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ml.chartshapes+xml"/>
  <Override PartName="/xl/charts/chart6.xml" ContentType="application/vnd.openxmlformats-officedocument.drawingml.chart+xml"/>
  <Override PartName="/xl/drawings/drawing4.xml" ContentType="application/vnd.openxmlformats-officedocument.drawingml.chartshapes+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drawings/drawing6.xml" ContentType="application/vnd.openxmlformats-officedocument.drawingml.chartshapes+xml"/>
  <Override PartName="/xl/charts/chart9.xml" ContentType="application/vnd.openxmlformats-officedocument.drawingml.chart+xml"/>
  <Override PartName="/xl/drawings/drawing7.xml" ContentType="application/vnd.openxmlformats-officedocument.drawingml.chartshapes+xml"/>
  <Override PartName="/xl/charts/chart10.xml" ContentType="application/vnd.openxmlformats-officedocument.drawingml.chart+xml"/>
  <Override PartName="/xl/drawings/drawing8.xml" ContentType="application/vnd.openxmlformats-officedocument.drawingml.chartshapes+xml"/>
  <Override PartName="/xl/charts/chart11.xml" ContentType="application/vnd.openxmlformats-officedocument.drawingml.chart+xml"/>
  <Override PartName="/xl/drawings/drawing9.xml" ContentType="application/vnd.openxmlformats-officedocument.drawingml.chartshapes+xml"/>
  <Override PartName="/xl/charts/chart12.xml" ContentType="application/vnd.openxmlformats-officedocument.drawingml.chart+xml"/>
  <Override PartName="/xl/drawings/drawing10.xml" ContentType="application/vnd.openxmlformats-officedocument.drawingml.chartshapes+xml"/>
  <Override PartName="/xl/charts/chart13.xml" ContentType="application/vnd.openxmlformats-officedocument.drawingml.chart+xml"/>
  <Override PartName="/xl/drawings/drawing11.xml" ContentType="application/vnd.openxmlformats-officedocument.drawingml.chartshapes+xml"/>
  <Override PartName="/xl/charts/chart14.xml" ContentType="application/vnd.openxmlformats-officedocument.drawingml.chart+xml"/>
  <Override PartName="/xl/drawings/drawing12.xml" ContentType="application/vnd.openxmlformats-officedocument.drawingml.chartshapes+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ml.chartshapes+xml"/>
  <Override PartName="/xl/charts/chart22.xml" ContentType="application/vnd.openxmlformats-officedocument.drawingml.chart+xml"/>
  <Override PartName="/xl/drawings/drawing20.xml" ContentType="application/vnd.openxmlformats-officedocument.drawingml.chartshapes+xml"/>
  <Override PartName="/xl/charts/chart23.xml" ContentType="application/vnd.openxmlformats-officedocument.drawingml.chart+xml"/>
  <Override PartName="/xl/drawings/drawing21.xml" ContentType="application/vnd.openxmlformats-officedocument.drawingml.chartshapes+xml"/>
  <Override PartName="/xl/charts/chart24.xml" ContentType="application/vnd.openxmlformats-officedocument.drawingml.chart+xml"/>
  <Override PartName="/xl/charts/chart25.xml" ContentType="application/vnd.openxmlformats-officedocument.drawingml.chart+xml"/>
  <Override PartName="/xl/drawings/drawing22.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4.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25.xml" ContentType="application/vnd.openxmlformats-officedocument.drawingml.chartshapes+xml"/>
  <Override PartName="/xl/charts/chart34.xml" ContentType="application/vnd.openxmlformats-officedocument.drawingml.chart+xml"/>
  <Override PartName="/xl/drawings/drawing26.xml" ContentType="application/vnd.openxmlformats-officedocument.drawingml.chartshapes+xml"/>
  <Override PartName="/xl/charts/chart35.xml" ContentType="application/vnd.openxmlformats-officedocument.drawingml.chart+xml"/>
  <Override PartName="/xl/drawings/drawing27.xml" ContentType="application/vnd.openxmlformats-officedocument.drawingml.chartshapes+xml"/>
  <Override PartName="/xl/charts/chart36.xml" ContentType="application/vnd.openxmlformats-officedocument.drawingml.chart+xml"/>
  <Override PartName="/xl/drawings/drawing28.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drawings/drawing29.xml" ContentType="application/vnd.openxmlformats-officedocument.drawingml.chartshapes+xml"/>
  <Override PartName="/xl/charts/chart39.xml" ContentType="application/vnd.openxmlformats-officedocument.drawingml.chart+xml"/>
  <Override PartName="/xl/drawings/drawing30.xml" ContentType="application/vnd.openxmlformats-officedocument.drawingml.chartshapes+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31.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32.xml" ContentType="application/vnd.openxmlformats-officedocument.drawingml.chartshapes+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33.xml" ContentType="application/vnd.openxmlformats-officedocument.drawingml.chartshapes+xml"/>
  <Override PartName="/xl/charts/chart49.xml" ContentType="application/vnd.openxmlformats-officedocument.drawingml.chart+xml"/>
  <Override PartName="/xl/drawings/drawing34.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35.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36.xml" ContentType="application/vnd.openxmlformats-officedocument.drawingml.chartshapes+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37.xml" ContentType="application/vnd.openxmlformats-officedocument.drawingml.chartshapes+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38.xml" ContentType="application/vnd.openxmlformats-officedocument.drawingml.chartshapes+xml"/>
  <Override PartName="/xl/charts/chart66.xml" ContentType="application/vnd.openxmlformats-officedocument.drawingml.chart+xml"/>
  <Override PartName="/xl/drawings/drawing39.xml" ContentType="application/vnd.openxmlformats-officedocument.drawingml.chartshapes+xml"/>
  <Override PartName="/xl/charts/chart67.xml" ContentType="application/vnd.openxmlformats-officedocument.drawingml.chart+xml"/>
  <Override PartName="/xl/drawings/drawing40.xml" ContentType="application/vnd.openxmlformats-officedocument.drawingml.chartshapes+xml"/>
  <Override PartName="/xl/charts/chart68.xml" ContentType="application/vnd.openxmlformats-officedocument.drawingml.chart+xml"/>
  <Override PartName="/xl/drawings/drawing41.xml" ContentType="application/vnd.openxmlformats-officedocument.drawingml.chartshapes+xml"/>
  <Override PartName="/xl/charts/chart69.xml" ContentType="application/vnd.openxmlformats-officedocument.drawingml.chart+xml"/>
  <Override PartName="/xl/drawings/drawing42.xml" ContentType="application/vnd.openxmlformats-officedocument.drawingml.chartshapes+xml"/>
  <Override PartName="/xl/charts/chart70.xml" ContentType="application/vnd.openxmlformats-officedocument.drawingml.chart+xml"/>
  <Override PartName="/xl/drawings/drawing43.xml" ContentType="application/vnd.openxmlformats-officedocument.drawingml.chartshapes+xml"/>
  <Override PartName="/xl/charts/chart71.xml" ContentType="application/vnd.openxmlformats-officedocument.drawingml.chart+xml"/>
  <Override PartName="/xl/drawings/drawing44.xml" ContentType="application/vnd.openxmlformats-officedocument.drawingml.chartshapes+xml"/>
  <Override PartName="/xl/charts/chart72.xml" ContentType="application/vnd.openxmlformats-officedocument.drawingml.chart+xml"/>
  <Override PartName="/xl/drawings/drawing45.xml" ContentType="application/vnd.openxmlformats-officedocument.drawingml.chartshapes+xml"/>
  <Override PartName="/xl/charts/chart73.xml" ContentType="application/vnd.openxmlformats-officedocument.drawingml.chart+xml"/>
  <Override PartName="/xl/drawings/drawing46.xml" ContentType="application/vnd.openxmlformats-officedocument.drawingml.chartshapes+xml"/>
  <Override PartName="/xl/charts/chart74.xml" ContentType="application/vnd.openxmlformats-officedocument.drawingml.chart+xml"/>
  <Override PartName="/xl/drawings/drawing47.xml" ContentType="application/vnd.openxmlformats-officedocument.drawingml.chartshapes+xml"/>
  <Override PartName="/xl/charts/chart75.xml" ContentType="application/vnd.openxmlformats-officedocument.drawingml.chart+xml"/>
  <Override PartName="/xl/drawings/drawing48.xml" ContentType="application/vnd.openxmlformats-officedocument.drawingml.chartshapes+xml"/>
  <Override PartName="/xl/charts/chart76.xml" ContentType="application/vnd.openxmlformats-officedocument.drawingml.chart+xml"/>
  <Override PartName="/xl/drawings/drawing49.xml" ContentType="application/vnd.openxmlformats-officedocument.drawingml.chartshapes+xml"/>
  <Override PartName="/xl/charts/chart77.xml" ContentType="application/vnd.openxmlformats-officedocument.drawingml.chart+xml"/>
  <Override PartName="/xl/drawings/drawing50.xml" ContentType="application/vnd.openxmlformats-officedocument.drawingml.chartshapes+xml"/>
  <Override PartName="/xl/charts/chart78.xml" ContentType="application/vnd.openxmlformats-officedocument.drawingml.chart+xml"/>
  <Override PartName="/xl/drawings/drawing51.xml" ContentType="application/vnd.openxmlformats-officedocument.drawingml.chartshapes+xml"/>
  <Override PartName="/xl/charts/chart79.xml" ContentType="application/vnd.openxmlformats-officedocument.drawingml.chart+xml"/>
  <Override PartName="/xl/drawings/drawing52.xml" ContentType="application/vnd.openxmlformats-officedocument.drawingml.chartshapes+xml"/>
  <Override PartName="/xl/charts/chart80.xml" ContentType="application/vnd.openxmlformats-officedocument.drawingml.chart+xml"/>
  <Override PartName="/xl/drawings/drawing53.xml" ContentType="application/vnd.openxmlformats-officedocument.drawingml.chartshapes+xml"/>
  <Override PartName="/xl/charts/chart81.xml" ContentType="application/vnd.openxmlformats-officedocument.drawingml.chart+xml"/>
  <Override PartName="/xl/drawings/drawing54.xml" ContentType="application/vnd.openxmlformats-officedocument.drawingml.chartshapes+xml"/>
  <Override PartName="/xl/charts/chart82.xml" ContentType="application/vnd.openxmlformats-officedocument.drawingml.chart+xml"/>
  <Override PartName="/xl/drawings/drawing55.xml" ContentType="application/vnd.openxmlformats-officedocument.drawingml.chartshapes+xml"/>
  <Override PartName="/xl/charts/chart83.xml" ContentType="application/vnd.openxmlformats-officedocument.drawingml.chart+xml"/>
  <Override PartName="/xl/drawings/drawing56.xml" ContentType="application/vnd.openxmlformats-officedocument.drawingml.chartshapes+xml"/>
  <Override PartName="/xl/charts/chart84.xml" ContentType="application/vnd.openxmlformats-officedocument.drawingml.chart+xml"/>
  <Override PartName="/xl/drawings/drawing57.xml" ContentType="application/vnd.openxmlformats-officedocument.drawingml.chartshapes+xml"/>
  <Override PartName="/xl/charts/chart85.xml" ContentType="application/vnd.openxmlformats-officedocument.drawingml.chart+xml"/>
  <Override PartName="/xl/drawings/drawing58.xml" ContentType="application/vnd.openxmlformats-officedocument.drawingml.chartshapes+xml"/>
  <Override PartName="/xl/charts/chart86.xml" ContentType="application/vnd.openxmlformats-officedocument.drawingml.chart+xml"/>
  <Override PartName="/xl/drawings/drawing59.xml" ContentType="application/vnd.openxmlformats-officedocument.drawingml.chartshapes+xml"/>
  <Override PartName="/xl/charts/chart87.xml" ContentType="application/vnd.openxmlformats-officedocument.drawingml.chart+xml"/>
  <Override PartName="/xl/drawings/drawing60.xml" ContentType="application/vnd.openxmlformats-officedocument.drawingml.chartshapes+xml"/>
  <Override PartName="/xl/charts/chart88.xml" ContentType="application/vnd.openxmlformats-officedocument.drawingml.chart+xml"/>
  <Override PartName="/xl/drawings/drawing61.xml" ContentType="application/vnd.openxmlformats-officedocument.drawingml.chartshapes+xml"/>
  <Override PartName="/xl/charts/chart89.xml" ContentType="application/vnd.openxmlformats-officedocument.drawingml.chart+xml"/>
  <Override PartName="/xl/drawings/drawing62.xml" ContentType="application/vnd.openxmlformats-officedocument.drawingml.chartshapes+xml"/>
  <Override PartName="/xl/charts/chart90.xml" ContentType="application/vnd.openxmlformats-officedocument.drawingml.chart+xml"/>
  <Override PartName="/xl/drawings/drawing63.xml" ContentType="application/vnd.openxmlformats-officedocument.drawingml.chartshapes+xml"/>
  <Override PartName="/xl/charts/chart91.xml" ContentType="application/vnd.openxmlformats-officedocument.drawingml.chart+xml"/>
  <Override PartName="/xl/drawings/drawing64.xml" ContentType="application/vnd.openxmlformats-officedocument.drawingml.chartshapes+xml"/>
  <Override PartName="/xl/charts/chart92.xml" ContentType="application/vnd.openxmlformats-officedocument.drawingml.chart+xml"/>
  <Override PartName="/xl/drawings/drawing65.xml" ContentType="application/vnd.openxmlformats-officedocument.drawingml.chartshapes+xml"/>
  <Override PartName="/xl/charts/chart93.xml" ContentType="application/vnd.openxmlformats-officedocument.drawingml.chart+xml"/>
  <Override PartName="/xl/drawings/drawing66.xml" ContentType="application/vnd.openxmlformats-officedocument.drawingml.chartshapes+xml"/>
  <Override PartName="/xl/charts/chart94.xml" ContentType="application/vnd.openxmlformats-officedocument.drawingml.chart+xml"/>
  <Override PartName="/xl/drawings/drawing67.xml" ContentType="application/vnd.openxmlformats-officedocument.drawingml.chartshapes+xml"/>
  <Override PartName="/xl/charts/chart95.xml" ContentType="application/vnd.openxmlformats-officedocument.drawingml.chart+xml"/>
  <Override PartName="/xl/drawings/drawing68.xml" ContentType="application/vnd.openxmlformats-officedocument.drawingml.chartshapes+xml"/>
  <Override PartName="/xl/charts/chart96.xml" ContentType="application/vnd.openxmlformats-officedocument.drawingml.chart+xml"/>
  <Override PartName="/xl/drawings/drawing69.xml" ContentType="application/vnd.openxmlformats-officedocument.drawingml.chartshapes+xml"/>
  <Override PartName="/xl/charts/chart97.xml" ContentType="application/vnd.openxmlformats-officedocument.drawingml.chart+xml"/>
  <Override PartName="/xl/drawings/drawing70.xml" ContentType="application/vnd.openxmlformats-officedocument.drawingml.chartshapes+xml"/>
  <Override PartName="/xl/charts/chart98.xml" ContentType="application/vnd.openxmlformats-officedocument.drawingml.chart+xml"/>
  <Override PartName="/xl/drawings/drawing71.xml" ContentType="application/vnd.openxmlformats-officedocument.drawingml.chartshapes+xml"/>
  <Override PartName="/xl/charts/chart99.xml" ContentType="application/vnd.openxmlformats-officedocument.drawingml.chart+xml"/>
  <Override PartName="/xl/drawings/drawing72.xml" ContentType="application/vnd.openxmlformats-officedocument.drawingml.chartshapes+xml"/>
  <Override PartName="/xl/charts/chart100.xml" ContentType="application/vnd.openxmlformats-officedocument.drawingml.chart+xml"/>
  <Override PartName="/xl/drawings/drawing73.xml" ContentType="application/vnd.openxmlformats-officedocument.drawingml.chartshapes+xml"/>
  <Override PartName="/xl/charts/chart101.xml" ContentType="application/vnd.openxmlformats-officedocument.drawingml.chart+xml"/>
  <Override PartName="/xl/drawings/drawing74.xml" ContentType="application/vnd.openxmlformats-officedocument.drawingml.chartshapes+xml"/>
  <Override PartName="/xl/charts/chart102.xml" ContentType="application/vnd.openxmlformats-officedocument.drawingml.chart+xml"/>
  <Override PartName="/xl/drawings/drawing75.xml" ContentType="application/vnd.openxmlformats-officedocument.drawingml.chartshapes+xml"/>
  <Override PartName="/xl/charts/chart103.xml" ContentType="application/vnd.openxmlformats-officedocument.drawingml.chart+xml"/>
  <Override PartName="/xl/drawings/drawing76.xml" ContentType="application/vnd.openxmlformats-officedocument.drawingml.chartshapes+xml"/>
  <Override PartName="/xl/charts/chart104.xml" ContentType="application/vnd.openxmlformats-officedocument.drawingml.chart+xml"/>
  <Override PartName="/xl/drawings/drawing77.xml" ContentType="application/vnd.openxmlformats-officedocument.drawingml.chartshapes+xml"/>
  <Override PartName="/xl/charts/chart105.xml" ContentType="application/vnd.openxmlformats-officedocument.drawingml.chart+xml"/>
  <Override PartName="/xl/drawings/drawing78.xml" ContentType="application/vnd.openxmlformats-officedocument.drawingml.chartshapes+xml"/>
  <Override PartName="/xl/charts/chart106.xml" ContentType="application/vnd.openxmlformats-officedocument.drawingml.chart+xml"/>
  <Override PartName="/xl/drawings/drawing79.xml" ContentType="application/vnd.openxmlformats-officedocument.drawingml.chartshapes+xml"/>
  <Override PartName="/xl/charts/chart107.xml" ContentType="application/vnd.openxmlformats-officedocument.drawingml.chart+xml"/>
  <Override PartName="/xl/drawings/drawing80.xml" ContentType="application/vnd.openxmlformats-officedocument.drawingml.chartshapes+xml"/>
  <Override PartName="/xl/charts/chart108.xml" ContentType="application/vnd.openxmlformats-officedocument.drawingml.chart+xml"/>
  <Override PartName="/xl/drawings/drawing81.xml" ContentType="application/vnd.openxmlformats-officedocument.drawingml.chartshapes+xml"/>
  <Override PartName="/xl/charts/chart109.xml" ContentType="application/vnd.openxmlformats-officedocument.drawingml.chart+xml"/>
  <Override PartName="/xl/drawings/drawing82.xml" ContentType="application/vnd.openxmlformats-officedocument.drawingml.chartshapes+xml"/>
  <Override PartName="/xl/charts/chart110.xml" ContentType="application/vnd.openxmlformats-officedocument.drawingml.chart+xml"/>
  <Override PartName="/xl/drawings/drawing83.xml" ContentType="application/vnd.openxmlformats-officedocument.drawingml.chartshapes+xml"/>
  <Override PartName="/xl/charts/chart111.xml" ContentType="application/vnd.openxmlformats-officedocument.drawingml.chart+xml"/>
  <Override PartName="/xl/drawings/drawing84.xml" ContentType="application/vnd.openxmlformats-officedocument.drawingml.chartshapes+xml"/>
  <Override PartName="/xl/charts/chart112.xml" ContentType="application/vnd.openxmlformats-officedocument.drawingml.chart+xml"/>
  <Override PartName="/xl/drawings/drawing85.xml" ContentType="application/vnd.openxmlformats-officedocument.drawingml.chartshapes+xml"/>
  <Override PartName="/xl/charts/chart113.xml" ContentType="application/vnd.openxmlformats-officedocument.drawingml.chart+xml"/>
  <Override PartName="/xl/drawings/drawing86.xml" ContentType="application/vnd.openxmlformats-officedocument.drawingml.chartshapes+xml"/>
  <Override PartName="/xl/charts/chart114.xml" ContentType="application/vnd.openxmlformats-officedocument.drawingml.chart+xml"/>
  <Override PartName="/xl/drawings/drawing87.xml" ContentType="application/vnd.openxmlformats-officedocument.drawingml.chartshapes+xml"/>
  <Override PartName="/xl/charts/chart115.xml" ContentType="application/vnd.openxmlformats-officedocument.drawingml.chart+xml"/>
  <Override PartName="/xl/drawings/drawing88.xml" ContentType="application/vnd.openxmlformats-officedocument.drawingml.chartshapes+xml"/>
  <Override PartName="/xl/charts/chart116.xml" ContentType="application/vnd.openxmlformats-officedocument.drawingml.chart+xml"/>
  <Override PartName="/xl/drawings/drawing89.xml" ContentType="application/vnd.openxmlformats-officedocument.drawingml.chartshapes+xml"/>
  <Override PartName="/xl/charts/chart117.xml" ContentType="application/vnd.openxmlformats-officedocument.drawingml.chart+xml"/>
  <Override PartName="/xl/drawings/drawing90.xml" ContentType="application/vnd.openxmlformats-officedocument.drawingml.chartshapes+xml"/>
  <Override PartName="/xl/charts/chart118.xml" ContentType="application/vnd.openxmlformats-officedocument.drawingml.chart+xml"/>
  <Override PartName="/xl/drawings/drawing91.xml" ContentType="application/vnd.openxmlformats-officedocument.drawingml.chartshapes+xml"/>
  <Override PartName="/xl/charts/chart119.xml" ContentType="application/vnd.openxmlformats-officedocument.drawingml.chart+xml"/>
  <Override PartName="/xl/drawings/drawing92.xml" ContentType="application/vnd.openxmlformats-officedocument.drawingml.chartshapes+xml"/>
  <Override PartName="/xl/charts/chart120.xml" ContentType="application/vnd.openxmlformats-officedocument.drawingml.chart+xml"/>
  <Override PartName="/xl/drawings/drawing93.xml" ContentType="application/vnd.openxmlformats-officedocument.drawingml.chartshapes+xml"/>
  <Override PartName="/xl/charts/chart121.xml" ContentType="application/vnd.openxmlformats-officedocument.drawingml.chart+xml"/>
  <Override PartName="/xl/drawings/drawing94.xml" ContentType="application/vnd.openxmlformats-officedocument.drawingml.chartshapes+xml"/>
  <Override PartName="/xl/charts/chart122.xml" ContentType="application/vnd.openxmlformats-officedocument.drawingml.chart+xml"/>
  <Override PartName="/xl/drawings/drawing95.xml" ContentType="application/vnd.openxmlformats-officedocument.drawingml.chartshapes+xml"/>
  <Override PartName="/xl/charts/chart123.xml" ContentType="application/vnd.openxmlformats-officedocument.drawingml.chart+xml"/>
  <Override PartName="/xl/drawings/drawing96.xml" ContentType="application/vnd.openxmlformats-officedocument.drawingml.chartshapes+xml"/>
  <Override PartName="/xl/charts/chart124.xml" ContentType="application/vnd.openxmlformats-officedocument.drawingml.chart+xml"/>
  <Override PartName="/xl/drawings/drawing97.xml" ContentType="application/vnd.openxmlformats-officedocument.drawingml.chartshapes+xml"/>
  <Override PartName="/xl/charts/chart125.xml" ContentType="application/vnd.openxmlformats-officedocument.drawingml.chart+xml"/>
  <Override PartName="/xl/drawings/drawing98.xml" ContentType="application/vnd.openxmlformats-officedocument.drawingml.chartshapes+xml"/>
  <Override PartName="/xl/charts/chart126.xml" ContentType="application/vnd.openxmlformats-officedocument.drawingml.chart+xml"/>
  <Override PartName="/xl/drawings/drawing99.xml" ContentType="application/vnd.openxmlformats-officedocument.drawingml.chartshapes+xml"/>
  <Override PartName="/xl/charts/chart127.xml" ContentType="application/vnd.openxmlformats-officedocument.drawingml.chart+xml"/>
  <Override PartName="/xl/drawings/drawing100.xml" ContentType="application/vnd.openxmlformats-officedocument.drawingml.chartshapes+xml"/>
  <Override PartName="/xl/charts/chart128.xml" ContentType="application/vnd.openxmlformats-officedocument.drawingml.chart+xml"/>
  <Override PartName="/xl/drawings/drawing101.xml" ContentType="application/vnd.openxmlformats-officedocument.drawingml.chartshapes+xml"/>
  <Override PartName="/xl/charts/chart129.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130.xml" ContentType="application/vnd.openxmlformats-officedocument.drawingml.chart+xml"/>
  <Override PartName="/xl/charts/style1.xml" ContentType="application/vnd.ms-office.chartstyle+xml"/>
  <Override PartName="/xl/charts/colors1.xml" ContentType="application/vnd.ms-office.chartcolorstyle+xml"/>
  <Override PartName="/xl/charts/chart131.xml" ContentType="application/vnd.openxmlformats-officedocument.drawingml.chart+xml"/>
  <Override PartName="/xl/charts/style2.xml" ContentType="application/vnd.ms-office.chartstyle+xml"/>
  <Override PartName="/xl/charts/colors2.xml" ContentType="application/vnd.ms-office.chartcolorstyle+xml"/>
  <Override PartName="/xl/charts/chart132.xml" ContentType="application/vnd.openxmlformats-officedocument.drawingml.chart+xml"/>
  <Override PartName="/xl/charts/style3.xml" ContentType="application/vnd.ms-office.chartstyle+xml"/>
  <Override PartName="/xl/charts/colors3.xml" ContentType="application/vnd.ms-office.chartcolorstyle+xml"/>
  <Override PartName="/xl/charts/chart133.xml" ContentType="application/vnd.openxmlformats-officedocument.drawingml.chart+xml"/>
  <Override PartName="/xl/charts/style4.xml" ContentType="application/vnd.ms-office.chartstyle+xml"/>
  <Override PartName="/xl/charts/colors4.xml" ContentType="application/vnd.ms-office.chartcolorstyle+xml"/>
  <Override PartName="/xl/charts/chart134.xml" ContentType="application/vnd.openxmlformats-officedocument.drawingml.chart+xml"/>
  <Override PartName="/xl/charts/style5.xml" ContentType="application/vnd.ms-office.chartstyle+xml"/>
  <Override PartName="/xl/charts/colors5.xml" ContentType="application/vnd.ms-office.chartcolorstyle+xml"/>
  <Override PartName="/xl/charts/chart135.xml" ContentType="application/vnd.openxmlformats-officedocument.drawingml.chart+xml"/>
  <Override PartName="/xl/charts/style6.xml" ContentType="application/vnd.ms-office.chartstyle+xml"/>
  <Override PartName="/xl/charts/colors6.xml" ContentType="application/vnd.ms-office.chartcolorstyle+xml"/>
  <Override PartName="/xl/charts/chart136.xml" ContentType="application/vnd.openxmlformats-officedocument.drawingml.chart+xml"/>
  <Override PartName="/xl/charts/style7.xml" ContentType="application/vnd.ms-office.chartstyle+xml"/>
  <Override PartName="/xl/charts/colors7.xml" ContentType="application/vnd.ms-office.chartcolorstyle+xml"/>
  <Override PartName="/xl/charts/chart137.xml" ContentType="application/vnd.openxmlformats-officedocument.drawingml.chart+xml"/>
  <Override PartName="/xl/charts/style8.xml" ContentType="application/vnd.ms-office.chartstyle+xml"/>
  <Override PartName="/xl/charts/colors8.xml" ContentType="application/vnd.ms-office.chartcolorstyle+xml"/>
  <Override PartName="/xl/charts/chart138.xml" ContentType="application/vnd.openxmlformats-officedocument.drawingml.chart+xml"/>
  <Override PartName="/xl/charts/style9.xml" ContentType="application/vnd.ms-office.chartstyle+xml"/>
  <Override PartName="/xl/charts/colors9.xml" ContentType="application/vnd.ms-office.chartcolorstyle+xml"/>
  <Override PartName="/xl/charts/chart139.xml" ContentType="application/vnd.openxmlformats-officedocument.drawingml.chart+xml"/>
  <Override PartName="/xl/charts/style10.xml" ContentType="application/vnd.ms-office.chartstyle+xml"/>
  <Override PartName="/xl/charts/colors10.xml" ContentType="application/vnd.ms-office.chartcolorstyle+xml"/>
  <Override PartName="/xl/charts/chart140.xml" ContentType="application/vnd.openxmlformats-officedocument.drawingml.chart+xml"/>
  <Override PartName="/xl/charts/style11.xml" ContentType="application/vnd.ms-office.chartstyle+xml"/>
  <Override PartName="/xl/charts/colors11.xml" ContentType="application/vnd.ms-office.chartcolorstyle+xml"/>
  <Override PartName="/xl/charts/chart141.xml" ContentType="application/vnd.openxmlformats-officedocument.drawingml.chart+xml"/>
  <Override PartName="/xl/charts/style12.xml" ContentType="application/vnd.ms-office.chartstyle+xml"/>
  <Override PartName="/xl/charts/colors12.xml" ContentType="application/vnd.ms-office.chartcolorstyle+xml"/>
  <Override PartName="/xl/charts/chart142.xml" ContentType="application/vnd.openxmlformats-officedocument.drawingml.chart+xml"/>
  <Override PartName="/xl/charts/style13.xml" ContentType="application/vnd.ms-office.chartstyle+xml"/>
  <Override PartName="/xl/charts/colors13.xml" ContentType="application/vnd.ms-office.chartcolorstyle+xml"/>
  <Override PartName="/xl/charts/chart143.xml" ContentType="application/vnd.openxmlformats-officedocument.drawingml.chart+xml"/>
  <Override PartName="/xl/charts/style14.xml" ContentType="application/vnd.ms-office.chartstyle+xml"/>
  <Override PartName="/xl/charts/colors14.xml" ContentType="application/vnd.ms-office.chartcolorstyle+xml"/>
  <Override PartName="/xl/charts/chart144.xml" ContentType="application/vnd.openxmlformats-officedocument.drawingml.chart+xml"/>
  <Override PartName="/xl/charts/style15.xml" ContentType="application/vnd.ms-office.chartstyle+xml"/>
  <Override PartName="/xl/charts/colors15.xml" ContentType="application/vnd.ms-office.chartcolorstyle+xml"/>
  <Override PartName="/xl/charts/chart145.xml" ContentType="application/vnd.openxmlformats-officedocument.drawingml.chart+xml"/>
  <Override PartName="/xl/charts/style16.xml" ContentType="application/vnd.ms-office.chartstyle+xml"/>
  <Override PartName="/xl/charts/colors16.xml" ContentType="application/vnd.ms-office.chartcolorstyle+xml"/>
  <Override PartName="/xl/charts/chart146.xml" ContentType="application/vnd.openxmlformats-officedocument.drawingml.chart+xml"/>
  <Override PartName="/xl/charts/style17.xml" ContentType="application/vnd.ms-office.chartstyle+xml"/>
  <Override PartName="/xl/charts/colors17.xml" ContentType="application/vnd.ms-office.chartcolorstyle+xml"/>
  <Override PartName="/xl/charts/chart147.xml" ContentType="application/vnd.openxmlformats-officedocument.drawingml.chart+xml"/>
  <Override PartName="/xl/charts/style18.xml" ContentType="application/vnd.ms-office.chartstyle+xml"/>
  <Override PartName="/xl/charts/colors18.xml" ContentType="application/vnd.ms-office.chartcolorstyle+xml"/>
  <Override PartName="/xl/charts/chart148.xml" ContentType="application/vnd.openxmlformats-officedocument.drawingml.chart+xml"/>
  <Override PartName="/xl/charts/style19.xml" ContentType="application/vnd.ms-office.chartstyle+xml"/>
  <Override PartName="/xl/charts/colors19.xml" ContentType="application/vnd.ms-office.chartcolorstyle+xml"/>
  <Override PartName="/xl/charts/chart149.xml" ContentType="application/vnd.openxmlformats-officedocument.drawingml.chart+xml"/>
  <Override PartName="/xl/charts/style20.xml" ContentType="application/vnd.ms-office.chartstyle+xml"/>
  <Override PartName="/xl/charts/colors20.xml" ContentType="application/vnd.ms-office.chartcolorstyle+xml"/>
  <Override PartName="/xl/charts/chart150.xml" ContentType="application/vnd.openxmlformats-officedocument.drawingml.chart+xml"/>
  <Override PartName="/xl/charts/style21.xml" ContentType="application/vnd.ms-office.chartstyle+xml"/>
  <Override PartName="/xl/charts/colors21.xml" ContentType="application/vnd.ms-office.chartcolorstyle+xml"/>
  <Override PartName="/xl/charts/chart151.xml" ContentType="application/vnd.openxmlformats-officedocument.drawingml.chart+xml"/>
  <Override PartName="/xl/charts/style22.xml" ContentType="application/vnd.ms-office.chartstyle+xml"/>
  <Override PartName="/xl/charts/colors22.xml" ContentType="application/vnd.ms-office.chartcolorstyle+xml"/>
  <Override PartName="/xl/charts/chart152.xml" ContentType="application/vnd.openxmlformats-officedocument.drawingml.chart+xml"/>
  <Override PartName="/xl/charts/style23.xml" ContentType="application/vnd.ms-office.chartstyle+xml"/>
  <Override PartName="/xl/charts/colors23.xml" ContentType="application/vnd.ms-office.chartcolorstyle+xml"/>
  <Override PartName="/xl/charts/chart153.xml" ContentType="application/vnd.openxmlformats-officedocument.drawingml.chart+xml"/>
  <Override PartName="/xl/charts/style24.xml" ContentType="application/vnd.ms-office.chartstyle+xml"/>
  <Override PartName="/xl/charts/colors24.xml" ContentType="application/vnd.ms-office.chartcolorstyle+xml"/>
  <Override PartName="/xl/charts/chart154.xml" ContentType="application/vnd.openxmlformats-officedocument.drawingml.chart+xml"/>
  <Override PartName="/xl/charts/style25.xml" ContentType="application/vnd.ms-office.chartstyle+xml"/>
  <Override PartName="/xl/charts/colors25.xml" ContentType="application/vnd.ms-office.chartcolorstyle+xml"/>
  <Override PartName="/xl/charts/chart155.xml" ContentType="application/vnd.openxmlformats-officedocument.drawingml.chart+xml"/>
  <Override PartName="/xl/charts/style26.xml" ContentType="application/vnd.ms-office.chartstyle+xml"/>
  <Override PartName="/xl/charts/colors26.xml" ContentType="application/vnd.ms-office.chartcolorstyle+xml"/>
  <Override PartName="/xl/charts/chart156.xml" ContentType="application/vnd.openxmlformats-officedocument.drawingml.chart+xml"/>
  <Override PartName="/xl/charts/style27.xml" ContentType="application/vnd.ms-office.chartstyle+xml"/>
  <Override PartName="/xl/charts/colors27.xml" ContentType="application/vnd.ms-office.chartcolorstyle+xml"/>
  <Override PartName="/xl/charts/chart157.xml" ContentType="application/vnd.openxmlformats-officedocument.drawingml.chart+xml"/>
  <Override PartName="/xl/charts/style28.xml" ContentType="application/vnd.ms-office.chartstyle+xml"/>
  <Override PartName="/xl/charts/colors28.xml" ContentType="application/vnd.ms-office.chartcolorstyle+xml"/>
  <Override PartName="/xl/charts/chart158.xml" ContentType="application/vnd.openxmlformats-officedocument.drawingml.chart+xml"/>
  <Override PartName="/xl/charts/style29.xml" ContentType="application/vnd.ms-office.chartstyle+xml"/>
  <Override PartName="/xl/charts/colors29.xml" ContentType="application/vnd.ms-office.chartcolorstyle+xml"/>
  <Override PartName="/xl/charts/chart159.xml" ContentType="application/vnd.openxmlformats-officedocument.drawingml.chart+xml"/>
  <Override PartName="/xl/charts/style30.xml" ContentType="application/vnd.ms-office.chartstyle+xml"/>
  <Override PartName="/xl/charts/colors30.xml" ContentType="application/vnd.ms-office.chartcolorstyle+xml"/>
  <Override PartName="/xl/charts/chart160.xml" ContentType="application/vnd.openxmlformats-officedocument.drawingml.chart+xml"/>
  <Override PartName="/xl/charts/style31.xml" ContentType="application/vnd.ms-office.chartstyle+xml"/>
  <Override PartName="/xl/charts/colors31.xml" ContentType="application/vnd.ms-office.chartcolorstyle+xml"/>
  <Override PartName="/xl/charts/chart161.xml" ContentType="application/vnd.openxmlformats-officedocument.drawingml.chart+xml"/>
  <Override PartName="/xl/charts/style32.xml" ContentType="application/vnd.ms-office.chartstyle+xml"/>
  <Override PartName="/xl/charts/colors32.xml" ContentType="application/vnd.ms-office.chartcolorstyle+xml"/>
  <Override PartName="/xl/charts/chart162.xml" ContentType="application/vnd.openxmlformats-officedocument.drawingml.chart+xml"/>
  <Override PartName="/xl/charts/style33.xml" ContentType="application/vnd.ms-office.chartstyle+xml"/>
  <Override PartName="/xl/charts/colors33.xml" ContentType="application/vnd.ms-office.chartcolorstyle+xml"/>
  <Override PartName="/xl/charts/chart163.xml" ContentType="application/vnd.openxmlformats-officedocument.drawingml.chart+xml"/>
  <Override PartName="/xl/charts/style34.xml" ContentType="application/vnd.ms-office.chartstyle+xml"/>
  <Override PartName="/xl/charts/colors34.xml" ContentType="application/vnd.ms-office.chartcolorstyle+xml"/>
  <Override PartName="/xl/charts/chart164.xml" ContentType="application/vnd.openxmlformats-officedocument.drawingml.chart+xml"/>
  <Override PartName="/xl/charts/style35.xml" ContentType="application/vnd.ms-office.chartstyle+xml"/>
  <Override PartName="/xl/charts/colors35.xml" ContentType="application/vnd.ms-office.chartcolorstyle+xml"/>
  <Override PartName="/xl/charts/chart16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04.xml" ContentType="application/vnd.openxmlformats-officedocument.drawing+xml"/>
  <Override PartName="/xl/charts/chart166.xml" ContentType="application/vnd.openxmlformats-officedocument.drawingml.chart+xml"/>
  <Override PartName="/xl/drawings/drawing105.xml" ContentType="application/vnd.openxmlformats-officedocument.drawingml.chartshapes+xml"/>
  <Override PartName="/xl/charts/chart167.xml" ContentType="application/vnd.openxmlformats-officedocument.drawingml.chart+xml"/>
  <Override PartName="/xl/drawings/drawing106.xml" ContentType="application/vnd.openxmlformats-officedocument.drawingml.chartshapes+xml"/>
  <Override PartName="/xl/charts/chart168.xml" ContentType="application/vnd.openxmlformats-officedocument.drawingml.chart+xml"/>
  <Override PartName="/xl/drawings/drawing107.xml" ContentType="application/vnd.openxmlformats-officedocument.drawingml.chartshapes+xml"/>
  <Override PartName="/xl/charts/chart169.xml" ContentType="application/vnd.openxmlformats-officedocument.drawingml.chart+xml"/>
  <Override PartName="/xl/drawings/drawing108.xml" ContentType="application/vnd.openxmlformats-officedocument.drawingml.chartshapes+xml"/>
  <Override PartName="/xl/charts/chart170.xml" ContentType="application/vnd.openxmlformats-officedocument.drawingml.chart+xml"/>
  <Override PartName="/xl/drawings/drawing109.xml" ContentType="application/vnd.openxmlformats-officedocument.drawingml.chartshapes+xml"/>
  <Override PartName="/xl/charts/chart171.xml" ContentType="application/vnd.openxmlformats-officedocument.drawingml.chart+xml"/>
  <Override PartName="/xl/drawings/drawing110.xml" ContentType="application/vnd.openxmlformats-officedocument.drawingml.chartshapes+xml"/>
  <Override PartName="/xl/charts/chart172.xml" ContentType="application/vnd.openxmlformats-officedocument.drawingml.chart+xml"/>
  <Override PartName="/xl/drawings/drawing111.xml" ContentType="application/vnd.openxmlformats-officedocument.drawingml.chartshapes+xml"/>
  <Override PartName="/xl/charts/chart173.xml" ContentType="application/vnd.openxmlformats-officedocument.drawingml.chart+xml"/>
  <Override PartName="/xl/drawings/drawing112.xml" ContentType="application/vnd.openxmlformats-officedocument.drawingml.chartshapes+xml"/>
  <Override PartName="/xl/charts/chart174.xml" ContentType="application/vnd.openxmlformats-officedocument.drawingml.chart+xml"/>
  <Override PartName="/xl/charts/chart175.xml" ContentType="application/vnd.openxmlformats-officedocument.drawingml.chart+xml"/>
  <Override PartName="/xl/drawings/drawing113.xml" ContentType="application/vnd.openxmlformats-officedocument.drawing+xml"/>
  <Override PartName="/xl/charts/chart176.xml" ContentType="application/vnd.openxmlformats-officedocument.drawingml.chart+xml"/>
  <Override PartName="/xl/drawings/drawing114.xml" ContentType="application/vnd.openxmlformats-officedocument.drawingml.chartshapes+xml"/>
  <Override PartName="/xl/charts/chart177.xml" ContentType="application/vnd.openxmlformats-officedocument.drawingml.chart+xml"/>
  <Override PartName="/xl/drawings/drawing11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0" windowWidth="30840" windowHeight="16812" tabRatio="445" activeTab="3"/>
  </bookViews>
  <sheets>
    <sheet name="Discrete" sheetId="1" r:id="rId1"/>
    <sheet name="IC" sheetId="5" r:id="rId2"/>
    <sheet name="Calcs" sheetId="11" r:id="rId3"/>
    <sheet name="Hists" sheetId="3" r:id="rId4"/>
    <sheet name="Trends" sheetId="14" r:id="rId5"/>
    <sheet name="Pies" sheetId="9" r:id="rId6"/>
    <sheet name="Curves" sheetId="8" r:id="rId7"/>
  </sheets>
  <definedNames>
    <definedName name="_xlnm._FilterDatabase" localSheetId="0" hidden="1">Discrete!$A$2:$HM$89</definedName>
    <definedName name="_xlnm._FilterDatabase" localSheetId="1" hidden="1">IC!$J$1:$J$64</definedName>
  </definedNames>
  <calcPr calcId="152511"/>
</workbook>
</file>

<file path=xl/calcChain.xml><?xml version="1.0" encoding="utf-8"?>
<calcChain xmlns="http://schemas.openxmlformats.org/spreadsheetml/2006/main">
  <c r="P1941" i="3" l="1"/>
  <c r="P1940" i="3"/>
  <c r="I1904" i="3" a="1"/>
  <c r="I1904" i="3" s="1"/>
  <c r="I1907" i="3"/>
  <c r="I1911" i="3"/>
  <c r="I1915" i="3"/>
  <c r="I1919" i="3"/>
  <c r="I1923" i="3"/>
  <c r="I1927" i="3"/>
  <c r="I1931" i="3"/>
  <c r="I1935" i="3"/>
  <c r="I1939" i="3"/>
  <c r="G1904" i="3" a="1"/>
  <c r="G1904" i="3" s="1"/>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P1893" i="3"/>
  <c r="P1837" i="3"/>
  <c r="P1836" i="3"/>
  <c r="P1835" i="3"/>
  <c r="P1834" i="3"/>
  <c r="I1938" i="3" l="1"/>
  <c r="I1934" i="3"/>
  <c r="I1930" i="3"/>
  <c r="I1926" i="3"/>
  <c r="I1922" i="3"/>
  <c r="I1918" i="3"/>
  <c r="I1914" i="3"/>
  <c r="I1910" i="3"/>
  <c r="I1906" i="3"/>
  <c r="I1937" i="3"/>
  <c r="J1937" i="3" s="1"/>
  <c r="I1933" i="3"/>
  <c r="J1933" i="3" s="1"/>
  <c r="I1929" i="3"/>
  <c r="I1925" i="3"/>
  <c r="I1921" i="3"/>
  <c r="I1917" i="3"/>
  <c r="I1913" i="3"/>
  <c r="I1909" i="3"/>
  <c r="I1905" i="3"/>
  <c r="I1936" i="3"/>
  <c r="I1932" i="3"/>
  <c r="I1928" i="3"/>
  <c r="I1924" i="3"/>
  <c r="I1920" i="3"/>
  <c r="I1916" i="3"/>
  <c r="I1912" i="3"/>
  <c r="I1908" i="3"/>
  <c r="J1935" i="3"/>
  <c r="J1931" i="3"/>
  <c r="G1939" i="3"/>
  <c r="G1935" i="3"/>
  <c r="G1931" i="3"/>
  <c r="G1927" i="3"/>
  <c r="G1923" i="3"/>
  <c r="G1919" i="3"/>
  <c r="G1915" i="3"/>
  <c r="G1911" i="3"/>
  <c r="G1907" i="3"/>
  <c r="G1938" i="3"/>
  <c r="G1934" i="3"/>
  <c r="G1930" i="3"/>
  <c r="G1926" i="3"/>
  <c r="G1922" i="3"/>
  <c r="G1918" i="3"/>
  <c r="G1914" i="3"/>
  <c r="G1910" i="3"/>
  <c r="G1906" i="3"/>
  <c r="G1937" i="3"/>
  <c r="G1933" i="3"/>
  <c r="H1933" i="3" s="1"/>
  <c r="G1929" i="3"/>
  <c r="G1925" i="3"/>
  <c r="G1921" i="3"/>
  <c r="G1917" i="3"/>
  <c r="G1913" i="3"/>
  <c r="G1909" i="3"/>
  <c r="G1905" i="3"/>
  <c r="G1936" i="3"/>
  <c r="H1936" i="3" s="1"/>
  <c r="G1932" i="3"/>
  <c r="G1928" i="3"/>
  <c r="G1924" i="3"/>
  <c r="G1920" i="3"/>
  <c r="G1916" i="3"/>
  <c r="G1912" i="3"/>
  <c r="G1908" i="3"/>
  <c r="H1932" i="3"/>
  <c r="H1939" i="3"/>
  <c r="H1935" i="3"/>
  <c r="H1931" i="3"/>
  <c r="H1937" i="3"/>
  <c r="J1936" i="3"/>
  <c r="J1932" i="3"/>
  <c r="J1939" i="3"/>
  <c r="J1934" i="3"/>
  <c r="J1938" i="3"/>
  <c r="H1938" i="3"/>
  <c r="H1934"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C1857" i="3" s="1" a="1"/>
  <c r="C1890" i="3" s="1"/>
  <c r="A1858" i="3"/>
  <c r="A1857" i="3"/>
  <c r="C1940" i="3" l="1"/>
  <c r="J1925" i="3"/>
  <c r="J1923" i="3"/>
  <c r="J1922" i="3"/>
  <c r="G1940" i="3"/>
  <c r="H1915" i="3" s="1"/>
  <c r="E1940" i="3"/>
  <c r="J1913" i="3"/>
  <c r="I1940" i="3"/>
  <c r="J1909" i="3" s="1"/>
  <c r="J1920" i="3"/>
  <c r="G1857" i="3" a="1"/>
  <c r="E1857" i="3" a="1"/>
  <c r="I1857" i="3" a="1"/>
  <c r="I1879" i="3"/>
  <c r="I1862" i="3"/>
  <c r="I1870" i="3"/>
  <c r="I1886" i="3"/>
  <c r="E1867" i="3"/>
  <c r="I1866" i="3"/>
  <c r="I1874" i="3"/>
  <c r="C1858" i="3"/>
  <c r="C1864" i="3"/>
  <c r="C1869" i="3"/>
  <c r="C1874" i="3"/>
  <c r="C1880" i="3"/>
  <c r="C1885" i="3"/>
  <c r="E1874" i="3"/>
  <c r="I1875" i="3"/>
  <c r="I1883" i="3"/>
  <c r="C1891" i="3"/>
  <c r="C1887" i="3"/>
  <c r="C1883" i="3"/>
  <c r="C1879" i="3"/>
  <c r="C1875" i="3"/>
  <c r="C1871" i="3"/>
  <c r="C1867" i="3"/>
  <c r="C1863" i="3"/>
  <c r="C1859" i="3"/>
  <c r="C1861" i="3"/>
  <c r="C1866" i="3"/>
  <c r="C1872" i="3"/>
  <c r="C1877" i="3"/>
  <c r="C1882" i="3"/>
  <c r="C1888" i="3"/>
  <c r="C1857" i="3"/>
  <c r="C1862" i="3"/>
  <c r="C1868" i="3"/>
  <c r="C1873" i="3"/>
  <c r="C1878" i="3"/>
  <c r="C1884" i="3"/>
  <c r="C1889" i="3"/>
  <c r="C1860" i="3"/>
  <c r="C1865" i="3"/>
  <c r="C1870" i="3"/>
  <c r="C1876" i="3"/>
  <c r="C1881" i="3"/>
  <c r="C1886" i="3"/>
  <c r="C1892" i="3"/>
  <c r="I1889" i="3"/>
  <c r="I1877" i="3"/>
  <c r="I1873" i="3"/>
  <c r="I1861" i="3"/>
  <c r="I1857" i="3"/>
  <c r="I1884" i="3"/>
  <c r="I1880" i="3"/>
  <c r="I1868" i="3"/>
  <c r="I186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CI69" i="5"/>
  <c r="CJ69" i="5"/>
  <c r="CK69" i="5"/>
  <c r="CJ70" i="5"/>
  <c r="CK70" i="5"/>
  <c r="J1914" i="3" l="1"/>
  <c r="J1928" i="3"/>
  <c r="J1918" i="3"/>
  <c r="J1919" i="3"/>
  <c r="J1916" i="3"/>
  <c r="H1910" i="3"/>
  <c r="H1929" i="3"/>
  <c r="H1919" i="3"/>
  <c r="H1924" i="3"/>
  <c r="H1918" i="3"/>
  <c r="H1913" i="3"/>
  <c r="H1908" i="3"/>
  <c r="H1909" i="3"/>
  <c r="H1904" i="3"/>
  <c r="A1941" i="3"/>
  <c r="J1915" i="3"/>
  <c r="J1921" i="3"/>
  <c r="J1905" i="3"/>
  <c r="J1926" i="3"/>
  <c r="J1927" i="3"/>
  <c r="H1927" i="3"/>
  <c r="H1928" i="3"/>
  <c r="H1911" i="3"/>
  <c r="H1912" i="3"/>
  <c r="H1917" i="3"/>
  <c r="H1921" i="3"/>
  <c r="H1923" i="3"/>
  <c r="H1905" i="3"/>
  <c r="H1916" i="3"/>
  <c r="H1907" i="3"/>
  <c r="J1929" i="3"/>
  <c r="H1930" i="3"/>
  <c r="J1912" i="3"/>
  <c r="J1917" i="3"/>
  <c r="J1924" i="3"/>
  <c r="J1911" i="3"/>
  <c r="H1922" i="3"/>
  <c r="J1904" i="3"/>
  <c r="J1906" i="3"/>
  <c r="H1925" i="3"/>
  <c r="J1907" i="3"/>
  <c r="H1914" i="3"/>
  <c r="J1930" i="3"/>
  <c r="J1910" i="3"/>
  <c r="H1926" i="3"/>
  <c r="J1908" i="3"/>
  <c r="H1906" i="3"/>
  <c r="H1920" i="3"/>
  <c r="E1889" i="3"/>
  <c r="E1864" i="3"/>
  <c r="E1869" i="3"/>
  <c r="E1882" i="3"/>
  <c r="E1891" i="3"/>
  <c r="G1857" i="3"/>
  <c r="G1892" i="3"/>
  <c r="G1876" i="3"/>
  <c r="G1860" i="3"/>
  <c r="G1879" i="3"/>
  <c r="G1863" i="3"/>
  <c r="G1882" i="3"/>
  <c r="G1866" i="3"/>
  <c r="G1885" i="3"/>
  <c r="G1869" i="3"/>
  <c r="G1888" i="3"/>
  <c r="G1872" i="3"/>
  <c r="G1891" i="3"/>
  <c r="G1875" i="3"/>
  <c r="G1859" i="3"/>
  <c r="G1893" i="3" s="1"/>
  <c r="H1882" i="3" s="1"/>
  <c r="G1878" i="3"/>
  <c r="G1862" i="3"/>
  <c r="G1881" i="3"/>
  <c r="G1865" i="3"/>
  <c r="G1884" i="3"/>
  <c r="G1868" i="3"/>
  <c r="G1887" i="3"/>
  <c r="G1871" i="3"/>
  <c r="G1890" i="3"/>
  <c r="G1874" i="3"/>
  <c r="G1858" i="3"/>
  <c r="G1877" i="3"/>
  <c r="G1861" i="3"/>
  <c r="G1880" i="3"/>
  <c r="G1864" i="3"/>
  <c r="G1883" i="3"/>
  <c r="G1867" i="3"/>
  <c r="G1886" i="3"/>
  <c r="G1870" i="3"/>
  <c r="G1889" i="3"/>
  <c r="G1873" i="3"/>
  <c r="E1886" i="3"/>
  <c r="E1876" i="3"/>
  <c r="E1868" i="3"/>
  <c r="E1888" i="3"/>
  <c r="E1862" i="3"/>
  <c r="E1877" i="3"/>
  <c r="E1875" i="3"/>
  <c r="E1871" i="3"/>
  <c r="E1890" i="3"/>
  <c r="E1863" i="3"/>
  <c r="E1883" i="3"/>
  <c r="E1861" i="3"/>
  <c r="E1881" i="3"/>
  <c r="E1870" i="3"/>
  <c r="E1892" i="3"/>
  <c r="E1860" i="3"/>
  <c r="E1884" i="3"/>
  <c r="E1872" i="3"/>
  <c r="E1865" i="3"/>
  <c r="E1885" i="3"/>
  <c r="I1891" i="3"/>
  <c r="I1887" i="3"/>
  <c r="I1871" i="3"/>
  <c r="I1872" i="3"/>
  <c r="I1888" i="3"/>
  <c r="I1865" i="3"/>
  <c r="I1881" i="3"/>
  <c r="I1867" i="3"/>
  <c r="I1890" i="3"/>
  <c r="I1858" i="3"/>
  <c r="I1863" i="3"/>
  <c r="I1860" i="3"/>
  <c r="I1876" i="3"/>
  <c r="I1892" i="3"/>
  <c r="I1869" i="3"/>
  <c r="I1885" i="3"/>
  <c r="E1880" i="3"/>
  <c r="E1859" i="3"/>
  <c r="E1887" i="3"/>
  <c r="E1866" i="3"/>
  <c r="I1859" i="3"/>
  <c r="E1879" i="3"/>
  <c r="E1858" i="3"/>
  <c r="I1882" i="3"/>
  <c r="E1878" i="3"/>
  <c r="E1857" i="3"/>
  <c r="E1873" i="3"/>
  <c r="I1878" i="3"/>
  <c r="C1893" i="3"/>
  <c r="D1873" i="3" s="1"/>
  <c r="D1874" i="3"/>
  <c r="E1893" i="3"/>
  <c r="F1867" i="3" s="1"/>
  <c r="AS90" i="1"/>
  <c r="AS89" i="1"/>
  <c r="BN74" i="5"/>
  <c r="BN73" i="5"/>
  <c r="BN5" i="5"/>
  <c r="BN6" i="5"/>
  <c r="BN7" i="5"/>
  <c r="BN8" i="5"/>
  <c r="BN9" i="5"/>
  <c r="BN10" i="5"/>
  <c r="BN11" i="5"/>
  <c r="BN12" i="5"/>
  <c r="BN13" i="5"/>
  <c r="BN14" i="5"/>
  <c r="BN15" i="5"/>
  <c r="BN16" i="5"/>
  <c r="BN17" i="5"/>
  <c r="BN18" i="5"/>
  <c r="BN19" i="5"/>
  <c r="BN20" i="5"/>
  <c r="BN21" i="5"/>
  <c r="BN22" i="5"/>
  <c r="BN23" i="5"/>
  <c r="BN24" i="5"/>
  <c r="BN25" i="5"/>
  <c r="BN26" i="5"/>
  <c r="BN27" i="5"/>
  <c r="BN28" i="5"/>
  <c r="BN29" i="5"/>
  <c r="BN30" i="5"/>
  <c r="BN31" i="5"/>
  <c r="BN32" i="5"/>
  <c r="BN33" i="5"/>
  <c r="BN34" i="5"/>
  <c r="BN35" i="5"/>
  <c r="BN36" i="5"/>
  <c r="BN37" i="5"/>
  <c r="BN38" i="5"/>
  <c r="BN39" i="5"/>
  <c r="BN40" i="5"/>
  <c r="BN41" i="5"/>
  <c r="BN42" i="5"/>
  <c r="BN43" i="5"/>
  <c r="BN44" i="5"/>
  <c r="BN45" i="5"/>
  <c r="BN46" i="5"/>
  <c r="BN47" i="5"/>
  <c r="BN48" i="5"/>
  <c r="BN49" i="5"/>
  <c r="BN50" i="5"/>
  <c r="BN51" i="5"/>
  <c r="BN52" i="5"/>
  <c r="BN53" i="5"/>
  <c r="BN54" i="5"/>
  <c r="BN55" i="5"/>
  <c r="BN56" i="5"/>
  <c r="BN57" i="5"/>
  <c r="BN58" i="5"/>
  <c r="BN59" i="5"/>
  <c r="BN60" i="5"/>
  <c r="BN61" i="5"/>
  <c r="BN62" i="5"/>
  <c r="BN63" i="5"/>
  <c r="BN64" i="5"/>
  <c r="BN4" i="5"/>
  <c r="BN3" i="5"/>
  <c r="AR72" i="1"/>
  <c r="AN60" i="1"/>
  <c r="H1940" i="3" l="1"/>
  <c r="D1940" i="3"/>
  <c r="F1940" i="3"/>
  <c r="J1940" i="3"/>
  <c r="F1874" i="3"/>
  <c r="I1893" i="3"/>
  <c r="J1882" i="3" s="1"/>
  <c r="F1880" i="3"/>
  <c r="D1879" i="3"/>
  <c r="H1862" i="3"/>
  <c r="H1875" i="3"/>
  <c r="H1880" i="3"/>
  <c r="H1859" i="3"/>
  <c r="H1881" i="3"/>
  <c r="H1878" i="3"/>
  <c r="H1857" i="3"/>
  <c r="H1883" i="3"/>
  <c r="D1875" i="3"/>
  <c r="H1866" i="3"/>
  <c r="J1858" i="3"/>
  <c r="D1881" i="3"/>
  <c r="D1863" i="3"/>
  <c r="D1859" i="3"/>
  <c r="D1871" i="3"/>
  <c r="F1882" i="3"/>
  <c r="D1861" i="3"/>
  <c r="F1872" i="3"/>
  <c r="D1868" i="3"/>
  <c r="D1869" i="3"/>
  <c r="D1857" i="3"/>
  <c r="F1883" i="3"/>
  <c r="F1881" i="3"/>
  <c r="F1876" i="3"/>
  <c r="F1878" i="3"/>
  <c r="F1865" i="3"/>
  <c r="D1862" i="3"/>
  <c r="F1864" i="3"/>
  <c r="D1872" i="3"/>
  <c r="D1876" i="3"/>
  <c r="H1871" i="3"/>
  <c r="H1865" i="3"/>
  <c r="D1877" i="3"/>
  <c r="H1867" i="3"/>
  <c r="H1873" i="3"/>
  <c r="D1882" i="3"/>
  <c r="D1878" i="3"/>
  <c r="H1863" i="3"/>
  <c r="D1858" i="3"/>
  <c r="D1883" i="3"/>
  <c r="F1875" i="3"/>
  <c r="F1861" i="3"/>
  <c r="D1864" i="3"/>
  <c r="F1860" i="3"/>
  <c r="F1859" i="3"/>
  <c r="F1873" i="3"/>
  <c r="H1874" i="3"/>
  <c r="F1866" i="3"/>
  <c r="H1864" i="3"/>
  <c r="F1871" i="3"/>
  <c r="D1865" i="3"/>
  <c r="D1880" i="3"/>
  <c r="D1866" i="3"/>
  <c r="J1861" i="3"/>
  <c r="F1877" i="3"/>
  <c r="H1869" i="3"/>
  <c r="H1868" i="3"/>
  <c r="H1860" i="3"/>
  <c r="H1876" i="3"/>
  <c r="H1861" i="3"/>
  <c r="H1877" i="3"/>
  <c r="J1876" i="3"/>
  <c r="F1857" i="3"/>
  <c r="F1893" i="3" s="1"/>
  <c r="H1858" i="3"/>
  <c r="F1879" i="3"/>
  <c r="F1862" i="3"/>
  <c r="H1870" i="3"/>
  <c r="F1863" i="3"/>
  <c r="J1877" i="3"/>
  <c r="H1879" i="3"/>
  <c r="H1872" i="3"/>
  <c r="F1868" i="3"/>
  <c r="D1867" i="3"/>
  <c r="D1870" i="3"/>
  <c r="D1860" i="3"/>
  <c r="F1858" i="3"/>
  <c r="F1869" i="3"/>
  <c r="F1870" i="3"/>
  <c r="J1879" i="3"/>
  <c r="J1863" i="3"/>
  <c r="C166" i="3"/>
  <c r="E166" i="3"/>
  <c r="J1870" i="3" l="1"/>
  <c r="J1862" i="3"/>
  <c r="A1894" i="3"/>
  <c r="J1873" i="3"/>
  <c r="J1859" i="3"/>
  <c r="J1872" i="3"/>
  <c r="J1874" i="3"/>
  <c r="J1875" i="3"/>
  <c r="J1869" i="3"/>
  <c r="J1865" i="3"/>
  <c r="J1868" i="3"/>
  <c r="J1878" i="3"/>
  <c r="J1857" i="3"/>
  <c r="J1867" i="3"/>
  <c r="J1883" i="3"/>
  <c r="J1864" i="3"/>
  <c r="J1860" i="3"/>
  <c r="J1866" i="3"/>
  <c r="J1881" i="3"/>
  <c r="J1871" i="3"/>
  <c r="J1880"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6" i="3"/>
  <c r="A2015" i="3"/>
  <c r="A2014" i="3"/>
  <c r="A2013" i="3"/>
  <c r="A2012" i="3"/>
  <c r="A2011" i="3"/>
  <c r="A2010" i="3"/>
  <c r="A2009" i="3"/>
  <c r="A2008" i="3"/>
  <c r="A2007" i="3"/>
  <c r="A2006" i="3"/>
  <c r="A2005" i="3"/>
  <c r="G2056" i="3" l="1" a="1"/>
  <c r="G2056" i="3" s="1"/>
  <c r="I2005" i="3" a="1"/>
  <c r="I2005" i="3" s="1"/>
  <c r="I1955" i="3" a="1"/>
  <c r="I1955" i="3" s="1"/>
  <c r="C2005" i="3" a="1"/>
  <c r="C2005" i="3" s="1"/>
  <c r="E2005" i="3" a="1"/>
  <c r="E2006" i="3" s="1"/>
  <c r="C1955" i="3" a="1"/>
  <c r="C1955" i="3" s="1"/>
  <c r="G1955" i="3" a="1"/>
  <c r="G1987" i="3" s="1"/>
  <c r="G2005" i="3" a="1"/>
  <c r="G2005" i="3" s="1"/>
  <c r="E1955" i="3" a="1"/>
  <c r="E1955" i="3" s="1"/>
  <c r="C2056" i="3" a="1"/>
  <c r="C2056" i="3" s="1"/>
  <c r="E2056" i="3" a="1"/>
  <c r="E2056" i="3" s="1"/>
  <c r="I2056" i="3" a="1"/>
  <c r="I2056" i="3" s="1"/>
  <c r="I2032" i="3"/>
  <c r="I2024" i="3"/>
  <c r="I2016" i="3"/>
  <c r="I2035" i="3"/>
  <c r="I2027" i="3"/>
  <c r="I2019" i="3"/>
  <c r="I2007" i="3"/>
  <c r="I2038" i="3"/>
  <c r="I2034" i="3"/>
  <c r="I2026" i="3"/>
  <c r="I2022" i="3"/>
  <c r="I2018" i="3"/>
  <c r="I2010" i="3"/>
  <c r="I2006" i="3"/>
  <c r="I2036" i="3"/>
  <c r="I2020" i="3"/>
  <c r="I2012" i="3"/>
  <c r="I2039" i="3"/>
  <c r="I2023" i="3"/>
  <c r="I2011" i="3"/>
  <c r="I2037" i="3"/>
  <c r="I2029" i="3"/>
  <c r="I2025" i="3"/>
  <c r="I2021" i="3"/>
  <c r="I2013" i="3"/>
  <c r="I2009" i="3"/>
  <c r="C2024" i="3"/>
  <c r="AP89" i="1"/>
  <c r="C2008" i="3" l="1"/>
  <c r="C2033" i="3"/>
  <c r="C2022" i="3"/>
  <c r="C2037" i="3"/>
  <c r="C2026" i="3"/>
  <c r="C2016" i="3"/>
  <c r="C2035" i="3"/>
  <c r="I2017" i="3"/>
  <c r="I2033" i="3"/>
  <c r="I2031" i="3"/>
  <c r="I2028" i="3"/>
  <c r="I2014" i="3"/>
  <c r="I2030" i="3"/>
  <c r="I2015" i="3"/>
  <c r="I2008" i="3"/>
  <c r="I2040" i="3"/>
  <c r="C2017" i="3"/>
  <c r="C2023" i="3"/>
  <c r="C2006" i="3"/>
  <c r="C2038" i="3"/>
  <c r="C2021" i="3"/>
  <c r="C2031" i="3"/>
  <c r="C2010" i="3"/>
  <c r="C2007" i="3"/>
  <c r="C2009" i="3"/>
  <c r="C2025" i="3"/>
  <c r="C2011" i="3"/>
  <c r="C2039" i="3"/>
  <c r="C2032" i="3"/>
  <c r="C2014" i="3"/>
  <c r="C2030" i="3"/>
  <c r="C2019" i="3"/>
  <c r="C2020" i="3"/>
  <c r="C2013" i="3"/>
  <c r="C2029" i="3"/>
  <c r="C2015" i="3"/>
  <c r="C2012" i="3"/>
  <c r="C2040" i="3"/>
  <c r="C2018" i="3"/>
  <c r="C2034" i="3"/>
  <c r="C2027" i="3"/>
  <c r="C2028" i="3"/>
  <c r="E2022" i="3"/>
  <c r="C2036" i="3"/>
  <c r="E2013" i="3"/>
  <c r="I1975" i="3"/>
  <c r="I1960" i="3"/>
  <c r="I1980" i="3"/>
  <c r="I1969" i="3"/>
  <c r="I1989" i="3"/>
  <c r="I1974" i="3"/>
  <c r="I1963" i="3"/>
  <c r="I1983" i="3"/>
  <c r="I1972" i="3"/>
  <c r="I1957" i="3"/>
  <c r="I1977" i="3"/>
  <c r="I1966" i="3"/>
  <c r="I1967" i="3"/>
  <c r="I1956" i="3"/>
  <c r="I1976" i="3"/>
  <c r="I1961" i="3"/>
  <c r="I1985" i="3"/>
  <c r="I1970" i="3"/>
  <c r="I1959" i="3"/>
  <c r="I1979" i="3"/>
  <c r="I1964" i="3"/>
  <c r="I1988" i="3"/>
  <c r="I1973" i="3"/>
  <c r="I1958" i="3"/>
  <c r="I1982" i="3"/>
  <c r="I1971" i="3"/>
  <c r="I1987" i="3"/>
  <c r="I1968" i="3"/>
  <c r="I1984" i="3"/>
  <c r="I1965" i="3"/>
  <c r="I1981" i="3"/>
  <c r="I1962" i="3"/>
  <c r="I1978" i="3"/>
  <c r="I1986" i="3"/>
  <c r="I1990" i="3"/>
  <c r="G2060" i="3"/>
  <c r="G2076" i="3"/>
  <c r="G2062" i="3"/>
  <c r="G2090" i="3"/>
  <c r="G2069" i="3"/>
  <c r="G2085" i="3"/>
  <c r="G2078" i="3"/>
  <c r="G2067" i="3"/>
  <c r="G2083" i="3"/>
  <c r="G2064" i="3"/>
  <c r="G2080" i="3"/>
  <c r="G2066" i="3"/>
  <c r="G2057" i="3"/>
  <c r="G2073" i="3"/>
  <c r="G2089" i="3"/>
  <c r="G2086" i="3"/>
  <c r="G2071" i="3"/>
  <c r="G2087" i="3"/>
  <c r="G2068" i="3"/>
  <c r="G2084" i="3"/>
  <c r="G2074" i="3"/>
  <c r="G2061" i="3"/>
  <c r="G2077" i="3"/>
  <c r="G2058" i="3"/>
  <c r="G2059" i="3"/>
  <c r="G2075" i="3"/>
  <c r="G2091" i="3"/>
  <c r="G2072" i="3"/>
  <c r="G2088" i="3"/>
  <c r="G2082" i="3"/>
  <c r="G2065" i="3"/>
  <c r="G2081" i="3"/>
  <c r="G2070" i="3"/>
  <c r="G2063" i="3"/>
  <c r="G2079" i="3"/>
  <c r="G2025" i="3"/>
  <c r="G2022" i="3"/>
  <c r="G2038" i="3"/>
  <c r="G2019" i="3"/>
  <c r="G2035" i="3"/>
  <c r="G2032" i="3"/>
  <c r="G2021" i="3"/>
  <c r="G2034" i="3"/>
  <c r="G2031" i="3"/>
  <c r="G2028" i="3"/>
  <c r="G2039" i="3"/>
  <c r="G2037" i="3"/>
  <c r="G2018" i="3"/>
  <c r="G2015" i="3"/>
  <c r="G2012" i="3"/>
  <c r="G2009" i="3"/>
  <c r="G2006" i="3"/>
  <c r="G2016" i="3"/>
  <c r="G2013" i="3"/>
  <c r="G2029" i="3"/>
  <c r="G2010" i="3"/>
  <c r="G2026" i="3"/>
  <c r="G2007" i="3"/>
  <c r="G2023" i="3"/>
  <c r="G2020" i="3"/>
  <c r="G2036" i="3"/>
  <c r="G2017" i="3"/>
  <c r="G2033" i="3"/>
  <c r="G2014" i="3"/>
  <c r="G2030" i="3"/>
  <c r="G2011" i="3"/>
  <c r="G2027" i="3"/>
  <c r="G2008" i="3"/>
  <c r="G2024" i="3"/>
  <c r="G2040" i="3"/>
  <c r="E2038" i="3"/>
  <c r="E2029" i="3"/>
  <c r="E2019" i="3"/>
  <c r="E2028" i="3"/>
  <c r="E2035" i="3"/>
  <c r="E2024" i="3"/>
  <c r="E1967" i="3"/>
  <c r="E1983" i="3"/>
  <c r="E1969" i="3"/>
  <c r="E1962" i="3"/>
  <c r="E1956" i="3"/>
  <c r="E1972" i="3"/>
  <c r="E1988" i="3"/>
  <c r="E1958" i="3"/>
  <c r="E1990" i="3"/>
  <c r="E2010" i="3"/>
  <c r="E2026" i="3"/>
  <c r="E2007" i="3"/>
  <c r="E2023" i="3"/>
  <c r="E2039" i="3"/>
  <c r="E2017" i="3"/>
  <c r="E2033" i="3"/>
  <c r="E2016" i="3"/>
  <c r="E2036" i="3"/>
  <c r="E1963" i="3"/>
  <c r="E1979" i="3"/>
  <c r="E1965" i="3"/>
  <c r="E1989" i="3"/>
  <c r="E1986" i="3"/>
  <c r="E1968" i="3"/>
  <c r="E1984" i="3"/>
  <c r="E1985" i="3"/>
  <c r="E1982" i="3"/>
  <c r="E1971" i="3"/>
  <c r="E1973" i="3"/>
  <c r="E1976" i="3"/>
  <c r="E1966" i="3"/>
  <c r="E2014" i="3"/>
  <c r="E2030" i="3"/>
  <c r="E2011" i="3"/>
  <c r="E2027" i="3"/>
  <c r="E2005" i="3"/>
  <c r="E2021" i="3"/>
  <c r="E2037" i="3"/>
  <c r="E2032" i="3"/>
  <c r="E2040" i="3"/>
  <c r="E1987" i="3"/>
  <c r="E1970" i="3"/>
  <c r="E1960" i="3"/>
  <c r="E1957" i="3"/>
  <c r="E1959" i="3"/>
  <c r="E1975" i="3"/>
  <c r="E1961" i="3"/>
  <c r="E1981" i="3"/>
  <c r="E1978" i="3"/>
  <c r="E1964" i="3"/>
  <c r="E1980" i="3"/>
  <c r="E1977" i="3"/>
  <c r="E1974" i="3"/>
  <c r="E2018" i="3"/>
  <c r="E2034" i="3"/>
  <c r="E2015" i="3"/>
  <c r="E2031" i="3"/>
  <c r="E2009" i="3"/>
  <c r="E2025" i="3"/>
  <c r="E2012" i="3"/>
  <c r="E2020" i="3"/>
  <c r="E2008" i="3"/>
  <c r="C1987" i="3"/>
  <c r="C1984" i="3"/>
  <c r="C1958" i="3"/>
  <c r="C1973" i="3"/>
  <c r="C1970" i="3"/>
  <c r="C1956" i="3"/>
  <c r="C1966" i="3"/>
  <c r="C1962" i="3"/>
  <c r="C1989" i="3"/>
  <c r="C1969" i="3"/>
  <c r="C1986" i="3"/>
  <c r="C1959" i="3"/>
  <c r="C1972" i="3"/>
  <c r="C1960" i="3"/>
  <c r="C1974" i="3"/>
  <c r="C1978" i="3"/>
  <c r="C1977" i="3"/>
  <c r="C1957" i="3"/>
  <c r="C1971" i="3"/>
  <c r="C1968" i="3"/>
  <c r="C1990" i="3"/>
  <c r="C1961" i="3"/>
  <c r="C1975" i="3"/>
  <c r="C1988" i="3"/>
  <c r="C1963" i="3"/>
  <c r="C1979" i="3"/>
  <c r="C1976" i="3"/>
  <c r="C1967" i="3"/>
  <c r="C1983" i="3"/>
  <c r="C1964" i="3"/>
  <c r="C1980" i="3"/>
  <c r="C1982" i="3"/>
  <c r="C1965" i="3"/>
  <c r="C1985" i="3"/>
  <c r="C1981" i="3"/>
  <c r="G1967" i="3"/>
  <c r="G1957" i="3"/>
  <c r="G1961" i="3"/>
  <c r="G1965" i="3"/>
  <c r="G1970" i="3"/>
  <c r="G1974" i="3"/>
  <c r="G1978" i="3"/>
  <c r="G1982" i="3"/>
  <c r="G1986" i="3"/>
  <c r="G1958" i="3"/>
  <c r="G1962" i="3"/>
  <c r="G1966" i="3"/>
  <c r="G1971" i="3"/>
  <c r="G1975" i="3"/>
  <c r="G1979" i="3"/>
  <c r="G1983" i="3"/>
  <c r="G1988" i="3"/>
  <c r="G1956" i="3"/>
  <c r="G1960" i="3"/>
  <c r="G1964" i="3"/>
  <c r="G1969" i="3"/>
  <c r="G1973" i="3"/>
  <c r="G1977" i="3"/>
  <c r="G1981" i="3"/>
  <c r="G1985" i="3"/>
  <c r="G1990" i="3"/>
  <c r="G1955" i="3"/>
  <c r="G1959" i="3"/>
  <c r="G1963" i="3"/>
  <c r="G1968" i="3"/>
  <c r="G1972" i="3"/>
  <c r="G1976" i="3"/>
  <c r="G1980" i="3"/>
  <c r="G1984" i="3"/>
  <c r="G1989" i="3"/>
  <c r="C2068" i="3"/>
  <c r="C2057" i="3"/>
  <c r="C2058" i="3"/>
  <c r="C2061" i="3"/>
  <c r="C2064" i="3"/>
  <c r="C2063" i="3"/>
  <c r="C2062" i="3"/>
  <c r="C2060" i="3"/>
  <c r="C2074" i="3"/>
  <c r="C2065" i="3"/>
  <c r="C2072" i="3"/>
  <c r="C2066" i="3"/>
  <c r="C2076" i="3"/>
  <c r="C2070" i="3"/>
  <c r="C2084" i="3"/>
  <c r="C2071" i="3"/>
  <c r="C2073" i="3"/>
  <c r="C2059" i="3"/>
  <c r="C2085" i="3"/>
  <c r="C2067" i="3"/>
  <c r="C2079" i="3"/>
  <c r="C2075" i="3"/>
  <c r="C2082" i="3"/>
  <c r="C2081" i="3"/>
  <c r="C2088" i="3"/>
  <c r="C2090" i="3"/>
  <c r="C2087" i="3"/>
  <c r="C2069" i="3"/>
  <c r="C2089" i="3"/>
  <c r="C2078" i="3"/>
  <c r="C2091" i="3"/>
  <c r="E2060" i="3"/>
  <c r="E2058" i="3"/>
  <c r="C2080" i="3"/>
  <c r="C2077" i="3"/>
  <c r="C2086" i="3"/>
  <c r="C2083" i="3"/>
  <c r="E2071" i="3"/>
  <c r="E2069" i="3"/>
  <c r="E2079" i="3"/>
  <c r="E2062" i="3"/>
  <c r="E2070" i="3"/>
  <c r="E2061" i="3"/>
  <c r="E2078" i="3"/>
  <c r="E2076" i="3"/>
  <c r="E2077" i="3"/>
  <c r="E2063" i="3"/>
  <c r="E2068" i="3"/>
  <c r="E2091" i="3"/>
  <c r="E2085" i="3"/>
  <c r="E2086" i="3"/>
  <c r="E2087" i="3"/>
  <c r="E2084" i="3"/>
  <c r="I2068" i="3"/>
  <c r="I2084" i="3"/>
  <c r="I2074" i="3"/>
  <c r="I2067" i="3"/>
  <c r="I2057" i="3"/>
  <c r="I2073" i="3"/>
  <c r="I2089" i="3"/>
  <c r="I2086" i="3"/>
  <c r="I2087" i="3"/>
  <c r="I2072" i="3"/>
  <c r="I2088" i="3"/>
  <c r="I2082" i="3"/>
  <c r="I2075" i="3"/>
  <c r="I2061" i="3"/>
  <c r="I2077" i="3"/>
  <c r="I2058" i="3"/>
  <c r="I2059" i="3"/>
  <c r="I2060" i="3"/>
  <c r="I2076" i="3"/>
  <c r="I2062" i="3"/>
  <c r="I2090" i="3"/>
  <c r="I2083" i="3"/>
  <c r="I2065" i="3"/>
  <c r="I2081" i="3"/>
  <c r="I2070" i="3"/>
  <c r="I2071" i="3"/>
  <c r="I2064" i="3"/>
  <c r="I2080" i="3"/>
  <c r="I2066" i="3"/>
  <c r="I2063" i="3"/>
  <c r="I2091" i="3"/>
  <c r="I2069" i="3"/>
  <c r="I2085" i="3"/>
  <c r="I2078" i="3"/>
  <c r="I2079" i="3"/>
  <c r="E2064" i="3"/>
  <c r="E2080" i="3"/>
  <c r="E2090" i="3"/>
  <c r="E2065" i="3"/>
  <c r="E2081" i="3"/>
  <c r="E2066" i="3"/>
  <c r="E2082" i="3"/>
  <c r="E2067" i="3"/>
  <c r="E2083" i="3"/>
  <c r="E2072" i="3"/>
  <c r="E2088" i="3"/>
  <c r="E2057" i="3"/>
  <c r="E2073" i="3"/>
  <c r="E2089" i="3"/>
  <c r="E2074" i="3"/>
  <c r="E2059" i="3"/>
  <c r="E2075" i="3"/>
  <c r="I2041" i="3" l="1"/>
  <c r="J2024" i="3" s="1"/>
  <c r="C2041" i="3"/>
  <c r="D2016" i="3" s="1"/>
  <c r="G2092" i="3"/>
  <c r="I1991" i="3"/>
  <c r="J1957" i="3" s="1"/>
  <c r="G2041" i="3"/>
  <c r="H2016" i="3" s="1"/>
  <c r="C1991" i="3"/>
  <c r="D1980" i="3" s="1"/>
  <c r="E2041" i="3"/>
  <c r="F2029" i="3" s="1"/>
  <c r="E1991" i="3"/>
  <c r="F1964" i="3" s="1"/>
  <c r="G1991" i="3"/>
  <c r="H1966" i="3" s="1"/>
  <c r="F2021" i="3"/>
  <c r="F2010" i="3"/>
  <c r="C2092" i="3"/>
  <c r="I2092" i="3"/>
  <c r="E2092" i="3"/>
  <c r="D2012" i="3"/>
  <c r="D2005" i="3"/>
  <c r="J2029" i="3"/>
  <c r="J2023" i="3"/>
  <c r="J2019" i="3"/>
  <c r="J2020" i="3"/>
  <c r="J2031" i="3"/>
  <c r="J2011" i="3"/>
  <c r="J2008" i="3"/>
  <c r="J2016" i="3"/>
  <c r="J2025" i="3"/>
  <c r="D2030" i="3"/>
  <c r="J2026" i="3"/>
  <c r="J2014" i="3"/>
  <c r="J2030" i="3"/>
  <c r="J2018" i="3"/>
  <c r="J2010" i="3"/>
  <c r="J2006" i="3"/>
  <c r="J2022" i="3"/>
  <c r="J2028" i="3"/>
  <c r="J2021" i="3"/>
  <c r="J2027" i="3"/>
  <c r="J2015" i="3"/>
  <c r="J2009" i="3"/>
  <c r="J2012" i="3"/>
  <c r="J2005" i="3"/>
  <c r="J2013" i="3"/>
  <c r="J2007" i="3"/>
  <c r="H2015" i="3"/>
  <c r="J2017" i="3"/>
  <c r="W80" i="1"/>
  <c r="X80" i="1"/>
  <c r="Y80" i="1"/>
  <c r="V80" i="1"/>
  <c r="D2019" i="3" l="1"/>
  <c r="D2021" i="3"/>
  <c r="F2022" i="3"/>
  <c r="D2028" i="3"/>
  <c r="D2013" i="3"/>
  <c r="D2011" i="3"/>
  <c r="D2024" i="3"/>
  <c r="D2006" i="3"/>
  <c r="D2022" i="3"/>
  <c r="D2007" i="3"/>
  <c r="D2018" i="3"/>
  <c r="D2023" i="3"/>
  <c r="H2021" i="3"/>
  <c r="D2029" i="3"/>
  <c r="D2026" i="3"/>
  <c r="D2027" i="3"/>
  <c r="H2022" i="3"/>
  <c r="D2014" i="3"/>
  <c r="D2010" i="3"/>
  <c r="D2009" i="3"/>
  <c r="D2008" i="3"/>
  <c r="D2015" i="3"/>
  <c r="D2025" i="3"/>
  <c r="D2020" i="3"/>
  <c r="D2017" i="3"/>
  <c r="D2031" i="3"/>
  <c r="H2030" i="3"/>
  <c r="H2005" i="3"/>
  <c r="H2006" i="3"/>
  <c r="H2023" i="3"/>
  <c r="H2028" i="3"/>
  <c r="H2010" i="3"/>
  <c r="H2027" i="3"/>
  <c r="F2008" i="3"/>
  <c r="F2027" i="3"/>
  <c r="H2018" i="3"/>
  <c r="H2009" i="3"/>
  <c r="H2014" i="3"/>
  <c r="F2014" i="3"/>
  <c r="H2011" i="3"/>
  <c r="H2017" i="3"/>
  <c r="H2013" i="3"/>
  <c r="H2020" i="3"/>
  <c r="H2008" i="3"/>
  <c r="H2019" i="3"/>
  <c r="A2042" i="3"/>
  <c r="F2013" i="3"/>
  <c r="F2031" i="3"/>
  <c r="F2007" i="3"/>
  <c r="F2005" i="3"/>
  <c r="F2006" i="3"/>
  <c r="F2016" i="3"/>
  <c r="F2019" i="3"/>
  <c r="F2025" i="3"/>
  <c r="F2017" i="3"/>
  <c r="F2018" i="3"/>
  <c r="F2026" i="3"/>
  <c r="F2020" i="3"/>
  <c r="H2025" i="3"/>
  <c r="H2026" i="3"/>
  <c r="H2007" i="3"/>
  <c r="H2029" i="3"/>
  <c r="H2031" i="3"/>
  <c r="H2012" i="3"/>
  <c r="H2024" i="3"/>
  <c r="F2030" i="3"/>
  <c r="F2028" i="3"/>
  <c r="F2011" i="3"/>
  <c r="F2009" i="3"/>
  <c r="F2012" i="3"/>
  <c r="J1970" i="3"/>
  <c r="J1965" i="3"/>
  <c r="J1963" i="3"/>
  <c r="D1975" i="3"/>
  <c r="J1960" i="3"/>
  <c r="J1981" i="3"/>
  <c r="J1964" i="3"/>
  <c r="J1974" i="3"/>
  <c r="J1967" i="3"/>
  <c r="J1956" i="3"/>
  <c r="J1975" i="3"/>
  <c r="J1973" i="3"/>
  <c r="J1972" i="3"/>
  <c r="J1969" i="3"/>
  <c r="D1955" i="3"/>
  <c r="D1968" i="3"/>
  <c r="D1972" i="3"/>
  <c r="J1977" i="3"/>
  <c r="J1971" i="3"/>
  <c r="J1966" i="3"/>
  <c r="J1968" i="3"/>
  <c r="J1976" i="3"/>
  <c r="J1958" i="3"/>
  <c r="J1961" i="3"/>
  <c r="D1974" i="3"/>
  <c r="D1961" i="3"/>
  <c r="D1978" i="3"/>
  <c r="D1957" i="3"/>
  <c r="D1971" i="3"/>
  <c r="D1960" i="3"/>
  <c r="D1973" i="3"/>
  <c r="D1981" i="3"/>
  <c r="J1962" i="3"/>
  <c r="J1959" i="3"/>
  <c r="J1979" i="3"/>
  <c r="J1955" i="3"/>
  <c r="J1980" i="3"/>
  <c r="J1978" i="3"/>
  <c r="D1962" i="3"/>
  <c r="D1976" i="3"/>
  <c r="D1966" i="3"/>
  <c r="D1967" i="3"/>
  <c r="D1969" i="3"/>
  <c r="D1970" i="3"/>
  <c r="D1963" i="3"/>
  <c r="D1959" i="3"/>
  <c r="D1977" i="3"/>
  <c r="D1964" i="3"/>
  <c r="D1958" i="3"/>
  <c r="D1956" i="3"/>
  <c r="D1965" i="3"/>
  <c r="D1979" i="3"/>
  <c r="F1959" i="3"/>
  <c r="F1955" i="3"/>
  <c r="F1967" i="3"/>
  <c r="F1978" i="3"/>
  <c r="F1968" i="3"/>
  <c r="F1977" i="3"/>
  <c r="F1966" i="3"/>
  <c r="F1975" i="3"/>
  <c r="F1958" i="3"/>
  <c r="F1960" i="3"/>
  <c r="F1980" i="3"/>
  <c r="F1957" i="3"/>
  <c r="F1956" i="3"/>
  <c r="F1974" i="3"/>
  <c r="F1973" i="3"/>
  <c r="F1970" i="3"/>
  <c r="F1976" i="3"/>
  <c r="F1961" i="3"/>
  <c r="F1981" i="3"/>
  <c r="F1971" i="3"/>
  <c r="F1962" i="3"/>
  <c r="F1963" i="3"/>
  <c r="F1979" i="3"/>
  <c r="F1969" i="3"/>
  <c r="F1965" i="3"/>
  <c r="F1972" i="3"/>
  <c r="H1981" i="3"/>
  <c r="H1968" i="3"/>
  <c r="H1957" i="3"/>
  <c r="H1962" i="3"/>
  <c r="H1956" i="3"/>
  <c r="A1992" i="3"/>
  <c r="H1971" i="3"/>
  <c r="H1978" i="3"/>
  <c r="H1959" i="3"/>
  <c r="H1969" i="3"/>
  <c r="H1958" i="3"/>
  <c r="H1974" i="3"/>
  <c r="H1976" i="3"/>
  <c r="H1975" i="3"/>
  <c r="H1955" i="3"/>
  <c r="H1979" i="3"/>
  <c r="H1980" i="3"/>
  <c r="H1972" i="3"/>
  <c r="H1970" i="3"/>
  <c r="H1967" i="3"/>
  <c r="H1963" i="3"/>
  <c r="H1964" i="3"/>
  <c r="H1973" i="3"/>
  <c r="H1960" i="3"/>
  <c r="H1961" i="3"/>
  <c r="H1965" i="3"/>
  <c r="H1977" i="3"/>
  <c r="F2024" i="3"/>
  <c r="F2015" i="3"/>
  <c r="F2023" i="3"/>
  <c r="K88" i="1"/>
  <c r="L88" i="1"/>
  <c r="M88" i="1"/>
  <c r="N88" i="1"/>
  <c r="O88" i="1"/>
  <c r="P88" i="1"/>
  <c r="Q88" i="1"/>
  <c r="R88" i="1"/>
  <c r="S88" i="1"/>
  <c r="T88" i="1"/>
  <c r="U88" i="1"/>
  <c r="V88" i="1"/>
  <c r="W88" i="1"/>
  <c r="X88" i="1"/>
  <c r="Y88" i="1"/>
  <c r="AB88" i="1"/>
  <c r="AC88" i="1"/>
  <c r="AD88" i="1"/>
  <c r="AE88" i="1"/>
  <c r="AG88" i="1"/>
  <c r="AH88" i="1"/>
  <c r="AJ88" i="1"/>
  <c r="AK88" i="1"/>
  <c r="AO88" i="1"/>
  <c r="AP88" i="1"/>
  <c r="AQ88" i="1"/>
  <c r="AT88" i="1"/>
  <c r="AU88" i="1"/>
  <c r="AV88" i="1"/>
  <c r="AW88" i="1"/>
  <c r="AX88" i="1"/>
  <c r="AY88" i="1"/>
  <c r="AZ88" i="1"/>
  <c r="BA88" i="1"/>
  <c r="BB88" i="1"/>
  <c r="BC88" i="1"/>
  <c r="BD88" i="1"/>
  <c r="BE88" i="1"/>
  <c r="BF88" i="1"/>
  <c r="BG88" i="1"/>
  <c r="BH88" i="1"/>
  <c r="BI88" i="1"/>
  <c r="BJ88" i="1"/>
  <c r="BK88" i="1"/>
  <c r="BL88" i="1"/>
  <c r="BM88" i="1"/>
  <c r="BN88" i="1"/>
  <c r="BO88" i="1"/>
  <c r="BP88" i="1"/>
  <c r="BQ88" i="1"/>
  <c r="BR88" i="1"/>
  <c r="BS88" i="1"/>
  <c r="BT88" i="1"/>
  <c r="BU88" i="1"/>
  <c r="BV88" i="1"/>
  <c r="BW88" i="1"/>
  <c r="BX88" i="1"/>
  <c r="BY88" i="1"/>
  <c r="BZ88" i="1"/>
  <c r="CA88" i="1"/>
  <c r="CB88" i="1"/>
  <c r="CC88" i="1"/>
  <c r="CD88" i="1"/>
  <c r="CE88" i="1"/>
  <c r="CF88" i="1"/>
  <c r="CG88" i="1"/>
  <c r="CH88" i="1"/>
  <c r="CI88" i="1"/>
  <c r="CJ88" i="1"/>
  <c r="CK88" i="1"/>
  <c r="CL88" i="1"/>
  <c r="CM88" i="1"/>
  <c r="CN88" i="1"/>
  <c r="CO88" i="1"/>
  <c r="CP88" i="1"/>
  <c r="CQ88" i="1"/>
  <c r="CR88" i="1"/>
  <c r="CS88" i="1"/>
  <c r="CT88" i="1"/>
  <c r="CU88" i="1"/>
  <c r="CV88" i="1"/>
  <c r="CW88" i="1"/>
  <c r="CX88" i="1"/>
  <c r="CY88" i="1"/>
  <c r="CZ88" i="1"/>
  <c r="DA88" i="1"/>
  <c r="DB88" i="1"/>
  <c r="DC88" i="1"/>
  <c r="DD88" i="1"/>
  <c r="DE88" i="1"/>
  <c r="DF88" i="1"/>
  <c r="DG88" i="1"/>
  <c r="DH88" i="1"/>
  <c r="DI88" i="1"/>
  <c r="DJ88" i="1"/>
  <c r="DK88" i="1"/>
  <c r="DL88" i="1"/>
  <c r="DM88" i="1"/>
  <c r="DN88" i="1"/>
  <c r="DO88" i="1"/>
  <c r="DP88" i="1"/>
  <c r="DQ88" i="1"/>
  <c r="DR88" i="1"/>
  <c r="DS88" i="1"/>
  <c r="DT88" i="1"/>
  <c r="DU88" i="1"/>
  <c r="DV88" i="1"/>
  <c r="DW88" i="1"/>
  <c r="DX88" i="1"/>
  <c r="DY88" i="1"/>
  <c r="DZ88" i="1"/>
  <c r="EA88" i="1"/>
  <c r="EB88" i="1"/>
  <c r="EC88" i="1"/>
  <c r="ED88" i="1"/>
  <c r="EE88" i="1"/>
  <c r="EF88" i="1"/>
  <c r="EG88" i="1"/>
  <c r="EH88" i="1"/>
  <c r="EI88" i="1"/>
  <c r="EJ88" i="1"/>
  <c r="EK88" i="1"/>
  <c r="EL88" i="1"/>
  <c r="EM88" i="1"/>
  <c r="EN88" i="1"/>
  <c r="EO88" i="1"/>
  <c r="EP88" i="1"/>
  <c r="EQ88" i="1"/>
  <c r="ER88" i="1"/>
  <c r="ES88" i="1"/>
  <c r="ET88" i="1"/>
  <c r="EU88" i="1"/>
  <c r="EV88" i="1"/>
  <c r="EW88" i="1"/>
  <c r="EX88" i="1"/>
  <c r="EY88" i="1"/>
  <c r="EZ88" i="1"/>
  <c r="FA88" i="1"/>
  <c r="FB88" i="1"/>
  <c r="FC88" i="1"/>
  <c r="FD88" i="1"/>
  <c r="FE88" i="1"/>
  <c r="FF88" i="1"/>
  <c r="FG88" i="1"/>
  <c r="FH88" i="1"/>
  <c r="FI88" i="1"/>
  <c r="FJ88" i="1"/>
  <c r="FK88" i="1"/>
  <c r="FL88" i="1"/>
  <c r="FM88" i="1"/>
  <c r="FN88" i="1"/>
  <c r="FO88" i="1"/>
  <c r="FP88" i="1"/>
  <c r="FQ88" i="1"/>
  <c r="FR88" i="1"/>
  <c r="FS88" i="1"/>
  <c r="FT88" i="1"/>
  <c r="FU88" i="1"/>
  <c r="FV88" i="1"/>
  <c r="FW88" i="1"/>
  <c r="FX88" i="1"/>
  <c r="FY88" i="1"/>
  <c r="FZ88" i="1"/>
  <c r="GA88" i="1"/>
  <c r="GB88" i="1"/>
  <c r="GC88" i="1"/>
  <c r="GD88" i="1"/>
  <c r="GE88" i="1"/>
  <c r="GF88" i="1"/>
  <c r="GJ88" i="1"/>
  <c r="GK88" i="1"/>
  <c r="GL88" i="1"/>
  <c r="GM88" i="1"/>
  <c r="GN88" i="1"/>
  <c r="GO88" i="1"/>
  <c r="GP88" i="1"/>
  <c r="GQ88" i="1"/>
  <c r="GR88" i="1"/>
  <c r="GS88" i="1"/>
  <c r="GT88" i="1"/>
  <c r="GU88" i="1"/>
  <c r="GV88" i="1"/>
  <c r="GW88" i="1"/>
  <c r="GX88" i="1"/>
  <c r="GY88" i="1"/>
  <c r="GZ88" i="1"/>
  <c r="HA88" i="1"/>
  <c r="HB88" i="1"/>
  <c r="HC88" i="1"/>
  <c r="HD88" i="1"/>
  <c r="HE88" i="1"/>
  <c r="HF88" i="1"/>
  <c r="HG88" i="1"/>
  <c r="HH88" i="1"/>
  <c r="HI88" i="1"/>
  <c r="HJ88" i="1"/>
  <c r="HK88" i="1"/>
  <c r="HL88" i="1"/>
  <c r="HM88" i="1"/>
  <c r="K89" i="1"/>
  <c r="L89" i="1"/>
  <c r="M89" i="1"/>
  <c r="N89" i="1"/>
  <c r="O89" i="1"/>
  <c r="P89" i="1"/>
  <c r="Q89" i="1"/>
  <c r="R89" i="1"/>
  <c r="S89" i="1"/>
  <c r="T89" i="1"/>
  <c r="U89" i="1"/>
  <c r="V89" i="1"/>
  <c r="W89" i="1"/>
  <c r="X89" i="1"/>
  <c r="Y89" i="1"/>
  <c r="AB89" i="1"/>
  <c r="AC89" i="1"/>
  <c r="AD89" i="1"/>
  <c r="AE89" i="1"/>
  <c r="AH89" i="1"/>
  <c r="AJ89" i="1"/>
  <c r="AK89" i="1"/>
  <c r="AO89" i="1"/>
  <c r="AQ89" i="1"/>
  <c r="AT89" i="1"/>
  <c r="AU89" i="1"/>
  <c r="AV89" i="1"/>
  <c r="AW89" i="1"/>
  <c r="AX89" i="1"/>
  <c r="AY89" i="1"/>
  <c r="AZ89" i="1"/>
  <c r="BA89" i="1"/>
  <c r="BB89" i="1"/>
  <c r="BC89" i="1"/>
  <c r="BD89" i="1"/>
  <c r="BE89" i="1"/>
  <c r="BF89" i="1"/>
  <c r="BG89" i="1"/>
  <c r="BH89" i="1"/>
  <c r="BI89" i="1"/>
  <c r="BJ89" i="1"/>
  <c r="BK89" i="1"/>
  <c r="BL89" i="1"/>
  <c r="BM89" i="1"/>
  <c r="BN89" i="1"/>
  <c r="BO89" i="1"/>
  <c r="BP89" i="1"/>
  <c r="BQ89" i="1"/>
  <c r="BR89" i="1"/>
  <c r="BS89" i="1"/>
  <c r="BV89" i="1"/>
  <c r="BW89" i="1"/>
  <c r="BX89" i="1"/>
  <c r="CA89" i="1"/>
  <c r="CB89" i="1"/>
  <c r="CC89" i="1"/>
  <c r="CD89" i="1"/>
  <c r="CE89" i="1"/>
  <c r="CF89" i="1"/>
  <c r="CG89" i="1"/>
  <c r="CH89" i="1"/>
  <c r="CI89" i="1"/>
  <c r="CJ89" i="1"/>
  <c r="CK89" i="1"/>
  <c r="CL89" i="1"/>
  <c r="CM89" i="1"/>
  <c r="CN89" i="1"/>
  <c r="CO89" i="1"/>
  <c r="CP89" i="1"/>
  <c r="CQ89" i="1"/>
  <c r="CR89" i="1"/>
  <c r="CS89" i="1"/>
  <c r="CT89" i="1"/>
  <c r="CU89" i="1"/>
  <c r="CV89" i="1"/>
  <c r="CW89" i="1"/>
  <c r="CX89" i="1"/>
  <c r="CY89" i="1"/>
  <c r="CZ89" i="1"/>
  <c r="DA89" i="1"/>
  <c r="DB89" i="1"/>
  <c r="DC89" i="1"/>
  <c r="DD89" i="1"/>
  <c r="DE89" i="1"/>
  <c r="DF89" i="1"/>
  <c r="DG89" i="1"/>
  <c r="DH89" i="1"/>
  <c r="DI89" i="1"/>
  <c r="DJ89" i="1"/>
  <c r="DL89" i="1"/>
  <c r="DM89" i="1"/>
  <c r="DN89" i="1"/>
  <c r="DO89" i="1"/>
  <c r="DP89" i="1"/>
  <c r="DQ89" i="1"/>
  <c r="DR89" i="1"/>
  <c r="DS89" i="1"/>
  <c r="DT89" i="1"/>
  <c r="DU89" i="1"/>
  <c r="DV89" i="1"/>
  <c r="DW89" i="1"/>
  <c r="DX89" i="1"/>
  <c r="DY89" i="1"/>
  <c r="DZ89" i="1"/>
  <c r="EA89" i="1"/>
  <c r="EB89" i="1"/>
  <c r="EC89" i="1"/>
  <c r="ED89" i="1"/>
  <c r="EE89" i="1"/>
  <c r="EF89" i="1"/>
  <c r="EG89" i="1"/>
  <c r="EH89" i="1"/>
  <c r="EI89" i="1"/>
  <c r="EJ89" i="1"/>
  <c r="EK89" i="1"/>
  <c r="EL89" i="1"/>
  <c r="EM89" i="1"/>
  <c r="EN89" i="1"/>
  <c r="EO89" i="1"/>
  <c r="EP89" i="1"/>
  <c r="EQ89" i="1"/>
  <c r="ER89" i="1"/>
  <c r="ES89" i="1"/>
  <c r="ET89" i="1"/>
  <c r="EU89" i="1"/>
  <c r="EV89" i="1"/>
  <c r="EW89" i="1"/>
  <c r="EX89" i="1"/>
  <c r="EY89" i="1"/>
  <c r="EZ89" i="1"/>
  <c r="FA89" i="1"/>
  <c r="FB89" i="1"/>
  <c r="FC89" i="1"/>
  <c r="FD89" i="1"/>
  <c r="FE89" i="1"/>
  <c r="FF89" i="1"/>
  <c r="FG89" i="1"/>
  <c r="FH89" i="1"/>
  <c r="FI89" i="1"/>
  <c r="FJ89" i="1"/>
  <c r="FK89" i="1"/>
  <c r="FL89" i="1"/>
  <c r="FM89" i="1"/>
  <c r="FN89" i="1"/>
  <c r="FO89" i="1"/>
  <c r="FP89" i="1"/>
  <c r="FQ89" i="1"/>
  <c r="FR89" i="1"/>
  <c r="FS89" i="1"/>
  <c r="FT89" i="1"/>
  <c r="FU89" i="1"/>
  <c r="FV89" i="1"/>
  <c r="FW89" i="1"/>
  <c r="FX89" i="1"/>
  <c r="FY89" i="1"/>
  <c r="FZ89" i="1"/>
  <c r="GA89" i="1"/>
  <c r="GB89" i="1"/>
  <c r="GC89" i="1"/>
  <c r="GD89" i="1"/>
  <c r="GE89" i="1"/>
  <c r="GF89" i="1"/>
  <c r="GJ89" i="1"/>
  <c r="GK89" i="1"/>
  <c r="GL89" i="1"/>
  <c r="GM89" i="1"/>
  <c r="GN89" i="1"/>
  <c r="GO89" i="1"/>
  <c r="GP89" i="1"/>
  <c r="GQ89" i="1"/>
  <c r="GR89" i="1"/>
  <c r="GS89" i="1"/>
  <c r="GT89" i="1"/>
  <c r="GU89" i="1"/>
  <c r="GV89" i="1"/>
  <c r="GW89" i="1"/>
  <c r="GX89" i="1"/>
  <c r="GY89" i="1"/>
  <c r="GZ89" i="1"/>
  <c r="HA89" i="1"/>
  <c r="HB89" i="1"/>
  <c r="HC89" i="1"/>
  <c r="HD89" i="1"/>
  <c r="HE89" i="1"/>
  <c r="HF89" i="1"/>
  <c r="HG89" i="1"/>
  <c r="HH89" i="1"/>
  <c r="HI89" i="1"/>
  <c r="HJ89" i="1"/>
  <c r="HK89" i="1"/>
  <c r="HL89" i="1"/>
  <c r="HM89" i="1"/>
  <c r="J89" i="1"/>
  <c r="J88" i="1"/>
  <c r="K73" i="5"/>
  <c r="L73" i="5"/>
  <c r="M73" i="5"/>
  <c r="N73" i="5"/>
  <c r="O73" i="5"/>
  <c r="P73" i="5"/>
  <c r="Q73" i="5"/>
  <c r="R73" i="5"/>
  <c r="S73" i="5"/>
  <c r="T73" i="5"/>
  <c r="U73" i="5"/>
  <c r="V73" i="5"/>
  <c r="W73" i="5"/>
  <c r="X73" i="5"/>
  <c r="Y73" i="5"/>
  <c r="Z73" i="5"/>
  <c r="AA73" i="5"/>
  <c r="AB73" i="5"/>
  <c r="AC73" i="5"/>
  <c r="AD73" i="5"/>
  <c r="AE73" i="5"/>
  <c r="AF73" i="5"/>
  <c r="AG73" i="5"/>
  <c r="AH73" i="5"/>
  <c r="AI73" i="5"/>
  <c r="AJ73" i="5"/>
  <c r="AK73" i="5"/>
  <c r="AL73" i="5"/>
  <c r="AM73" i="5"/>
  <c r="AN73" i="5"/>
  <c r="AO73" i="5"/>
  <c r="AR73" i="5"/>
  <c r="AS73" i="5"/>
  <c r="AT73" i="5"/>
  <c r="AU73" i="5"/>
  <c r="AV73" i="5"/>
  <c r="AW73" i="5"/>
  <c r="AX73" i="5"/>
  <c r="AY73" i="5"/>
  <c r="AZ73" i="5"/>
  <c r="BA73" i="5"/>
  <c r="BB73" i="5"/>
  <c r="BC73" i="5"/>
  <c r="BD73" i="5"/>
  <c r="BE73" i="5"/>
  <c r="BF73" i="5"/>
  <c r="BG73" i="5"/>
  <c r="BH73" i="5"/>
  <c r="BI73" i="5"/>
  <c r="BJ73" i="5"/>
  <c r="BK73" i="5"/>
  <c r="BL73" i="5"/>
  <c r="BM73" i="5"/>
  <c r="BO73" i="5"/>
  <c r="BP73" i="5"/>
  <c r="BQ73" i="5"/>
  <c r="BR73" i="5"/>
  <c r="BS73" i="5"/>
  <c r="BT73" i="5"/>
  <c r="BU73" i="5"/>
  <c r="BV73" i="5"/>
  <c r="BW73" i="5"/>
  <c r="BX73" i="5"/>
  <c r="BY73" i="5"/>
  <c r="BZ73" i="5"/>
  <c r="CA73" i="5"/>
  <c r="CB73" i="5"/>
  <c r="CC73" i="5"/>
  <c r="CD73" i="5"/>
  <c r="CE73" i="5"/>
  <c r="CF73" i="5"/>
  <c r="CG73" i="5"/>
  <c r="CH73" i="5"/>
  <c r="CI73" i="5"/>
  <c r="CJ73" i="5"/>
  <c r="CK73" i="5"/>
  <c r="CL73" i="5"/>
  <c r="CM73" i="5"/>
  <c r="CN73" i="5"/>
  <c r="CO73" i="5"/>
  <c r="CP73" i="5"/>
  <c r="CQ73" i="5"/>
  <c r="CR73" i="5"/>
  <c r="CS73" i="5"/>
  <c r="CT73" i="5"/>
  <c r="CU73" i="5"/>
  <c r="CV73" i="5"/>
  <c r="CW73" i="5"/>
  <c r="CX73" i="5"/>
  <c r="CY73" i="5"/>
  <c r="CZ73" i="5"/>
  <c r="DA73" i="5"/>
  <c r="DB73" i="5"/>
  <c r="DC73" i="5"/>
  <c r="DD73" i="5"/>
  <c r="DE73" i="5"/>
  <c r="DF73" i="5"/>
  <c r="DG73" i="5"/>
  <c r="DH73" i="5"/>
  <c r="DI73" i="5"/>
  <c r="DJ73" i="5"/>
  <c r="DK73" i="5"/>
  <c r="DL73" i="5"/>
  <c r="DM73" i="5"/>
  <c r="DN73" i="5"/>
  <c r="DO73" i="5"/>
  <c r="DP73" i="5"/>
  <c r="DQ73" i="5"/>
  <c r="DR73" i="5"/>
  <c r="DS73" i="5"/>
  <c r="DT73" i="5"/>
  <c r="DU73" i="5"/>
  <c r="DV73" i="5"/>
  <c r="DW73" i="5"/>
  <c r="DX73" i="5"/>
  <c r="DY73" i="5"/>
  <c r="DZ73" i="5"/>
  <c r="EA73" i="5"/>
  <c r="EB73" i="5"/>
  <c r="EC73" i="5"/>
  <c r="ED73" i="5"/>
  <c r="EE73" i="5"/>
  <c r="EF73" i="5"/>
  <c r="EG73" i="5"/>
  <c r="EH73" i="5"/>
  <c r="EI73" i="5"/>
  <c r="EJ73" i="5"/>
  <c r="EK73" i="5"/>
  <c r="EL73" i="5"/>
  <c r="EM73" i="5"/>
  <c r="EN73" i="5"/>
  <c r="EO73" i="5"/>
  <c r="EP73" i="5"/>
  <c r="EQ73" i="5"/>
  <c r="ER73" i="5"/>
  <c r="ES73" i="5"/>
  <c r="ET73" i="5"/>
  <c r="EU73" i="5"/>
  <c r="EV73" i="5"/>
  <c r="EW73" i="5"/>
  <c r="EX73" i="5"/>
  <c r="EY73" i="5"/>
  <c r="EZ73" i="5"/>
  <c r="FA73" i="5"/>
  <c r="FB73" i="5"/>
  <c r="FC73" i="5"/>
  <c r="FD73" i="5"/>
  <c r="FE73" i="5"/>
  <c r="FF73" i="5"/>
  <c r="FG73" i="5"/>
  <c r="FH73" i="5"/>
  <c r="FI73" i="5"/>
  <c r="FJ73" i="5"/>
  <c r="FK73" i="5"/>
  <c r="FL73" i="5"/>
  <c r="FM73" i="5"/>
  <c r="FN73" i="5"/>
  <c r="FO73" i="5"/>
  <c r="FP73" i="5"/>
  <c r="FQ73" i="5"/>
  <c r="FR73" i="5"/>
  <c r="FS73" i="5"/>
  <c r="FT73" i="5"/>
  <c r="FU73" i="5"/>
  <c r="FV73" i="5"/>
  <c r="FW73" i="5"/>
  <c r="FX73" i="5"/>
  <c r="FY73" i="5"/>
  <c r="FZ73" i="5"/>
  <c r="GA73" i="5"/>
  <c r="GB73" i="5"/>
  <c r="GC73" i="5"/>
  <c r="GD73" i="5"/>
  <c r="GE73" i="5"/>
  <c r="GF73" i="5"/>
  <c r="GG73" i="5"/>
  <c r="GH73" i="5"/>
  <c r="GI73" i="5"/>
  <c r="GJ73" i="5"/>
  <c r="GK73" i="5"/>
  <c r="GL73" i="5"/>
  <c r="GM73" i="5"/>
  <c r="GN73" i="5"/>
  <c r="GO73" i="5"/>
  <c r="GP73" i="5"/>
  <c r="GQ73" i="5"/>
  <c r="GR73" i="5"/>
  <c r="GS73" i="5"/>
  <c r="GT73" i="5"/>
  <c r="GU73" i="5"/>
  <c r="GV73" i="5"/>
  <c r="GW73" i="5"/>
  <c r="GX73" i="5"/>
  <c r="GY73" i="5"/>
  <c r="GZ73" i="5"/>
  <c r="HA73" i="5"/>
  <c r="HB73" i="5"/>
  <c r="HC73" i="5"/>
  <c r="HD73" i="5"/>
  <c r="HE73" i="5"/>
  <c r="HF73" i="5"/>
  <c r="HG73" i="5"/>
  <c r="HH73" i="5"/>
  <c r="HI73" i="5"/>
  <c r="HJ73" i="5"/>
  <c r="HK73" i="5"/>
  <c r="HL73" i="5"/>
  <c r="HM73" i="5"/>
  <c r="HN73" i="5"/>
  <c r="HO73" i="5"/>
  <c r="HP73" i="5"/>
  <c r="HQ73" i="5"/>
  <c r="HR73" i="5"/>
  <c r="HS73" i="5"/>
  <c r="HT73" i="5"/>
  <c r="HU73" i="5"/>
  <c r="HV73" i="5"/>
  <c r="HW73" i="5"/>
  <c r="HX73" i="5"/>
  <c r="HY73" i="5"/>
  <c r="HZ73" i="5"/>
  <c r="IA73" i="5"/>
  <c r="IB73" i="5"/>
  <c r="IC73" i="5"/>
  <c r="ID73" i="5"/>
  <c r="IE73" i="5"/>
  <c r="IF73" i="5"/>
  <c r="IG73" i="5"/>
  <c r="IH73" i="5"/>
  <c r="II73"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BA74" i="5"/>
  <c r="BB74" i="5"/>
  <c r="BC74" i="5"/>
  <c r="BD74" i="5"/>
  <c r="BE74" i="5"/>
  <c r="BF74" i="5"/>
  <c r="BG74" i="5"/>
  <c r="BH74" i="5"/>
  <c r="BI74" i="5"/>
  <c r="BJ74" i="5"/>
  <c r="BK74" i="5"/>
  <c r="BL74" i="5"/>
  <c r="BM74" i="5"/>
  <c r="BO74" i="5"/>
  <c r="BP74" i="5"/>
  <c r="BQ74" i="5"/>
  <c r="BR74" i="5"/>
  <c r="BS74" i="5"/>
  <c r="BT74" i="5"/>
  <c r="BU74" i="5"/>
  <c r="BV74" i="5"/>
  <c r="BW74" i="5"/>
  <c r="BX74" i="5"/>
  <c r="BY74" i="5"/>
  <c r="BZ74" i="5"/>
  <c r="CA74" i="5"/>
  <c r="CB74" i="5"/>
  <c r="CC74" i="5"/>
  <c r="CD74" i="5"/>
  <c r="CE74" i="5"/>
  <c r="CF74" i="5"/>
  <c r="CG74" i="5"/>
  <c r="CH74" i="5"/>
  <c r="CI74" i="5"/>
  <c r="CJ74" i="5"/>
  <c r="CK74" i="5"/>
  <c r="CL74" i="5"/>
  <c r="CM74" i="5"/>
  <c r="CN74" i="5"/>
  <c r="CO74" i="5"/>
  <c r="CP74" i="5"/>
  <c r="CQ74" i="5"/>
  <c r="CR74" i="5"/>
  <c r="CS74" i="5"/>
  <c r="CT74" i="5"/>
  <c r="CU74" i="5"/>
  <c r="CV74" i="5"/>
  <c r="CW74" i="5"/>
  <c r="CX74" i="5"/>
  <c r="CY74" i="5"/>
  <c r="CZ74" i="5"/>
  <c r="DA74" i="5"/>
  <c r="DB74" i="5"/>
  <c r="DC74" i="5"/>
  <c r="DD74" i="5"/>
  <c r="DE74" i="5"/>
  <c r="DF74" i="5"/>
  <c r="DG74" i="5"/>
  <c r="DH74" i="5"/>
  <c r="DI74" i="5"/>
  <c r="DJ74" i="5"/>
  <c r="DK74" i="5"/>
  <c r="DL74" i="5"/>
  <c r="DM74" i="5"/>
  <c r="DN74" i="5"/>
  <c r="DO74" i="5"/>
  <c r="DP74" i="5"/>
  <c r="DQ74" i="5"/>
  <c r="DR74" i="5"/>
  <c r="DS74" i="5"/>
  <c r="DT74" i="5"/>
  <c r="DU74" i="5"/>
  <c r="DV74" i="5"/>
  <c r="DW74" i="5"/>
  <c r="DX74" i="5"/>
  <c r="DY74" i="5"/>
  <c r="DZ74" i="5"/>
  <c r="EA74" i="5"/>
  <c r="EB74" i="5"/>
  <c r="EC74" i="5"/>
  <c r="ED74" i="5"/>
  <c r="EE74" i="5"/>
  <c r="EF74" i="5"/>
  <c r="EG74" i="5"/>
  <c r="EH74" i="5"/>
  <c r="EI74" i="5"/>
  <c r="EJ74" i="5"/>
  <c r="EK74" i="5"/>
  <c r="EL74" i="5"/>
  <c r="EM74" i="5"/>
  <c r="EN74" i="5"/>
  <c r="EO74" i="5"/>
  <c r="EP74" i="5"/>
  <c r="EQ74" i="5"/>
  <c r="ER74" i="5"/>
  <c r="ES74" i="5"/>
  <c r="ET74" i="5"/>
  <c r="EU74" i="5"/>
  <c r="EV74" i="5"/>
  <c r="EW74" i="5"/>
  <c r="EX74" i="5"/>
  <c r="EY74" i="5"/>
  <c r="EZ74" i="5"/>
  <c r="FA74" i="5"/>
  <c r="FB74" i="5"/>
  <c r="FC74" i="5"/>
  <c r="FD74" i="5"/>
  <c r="FE74" i="5"/>
  <c r="FF74" i="5"/>
  <c r="FG74" i="5"/>
  <c r="FH74" i="5"/>
  <c r="FI74" i="5"/>
  <c r="FJ74" i="5"/>
  <c r="FK74" i="5"/>
  <c r="FL74" i="5"/>
  <c r="FM74" i="5"/>
  <c r="FN74" i="5"/>
  <c r="FO74" i="5"/>
  <c r="FP74" i="5"/>
  <c r="FQ74" i="5"/>
  <c r="FR74" i="5"/>
  <c r="FS74" i="5"/>
  <c r="FT74" i="5"/>
  <c r="FU74" i="5"/>
  <c r="FV74" i="5"/>
  <c r="FW74" i="5"/>
  <c r="FX74" i="5"/>
  <c r="FY74" i="5"/>
  <c r="FZ74" i="5"/>
  <c r="GA74" i="5"/>
  <c r="GB74" i="5"/>
  <c r="GC74" i="5"/>
  <c r="GD74" i="5"/>
  <c r="GE74" i="5"/>
  <c r="GF74" i="5"/>
  <c r="GG74" i="5"/>
  <c r="GH74" i="5"/>
  <c r="GI74" i="5"/>
  <c r="GJ74" i="5"/>
  <c r="GK74" i="5"/>
  <c r="GL74" i="5"/>
  <c r="GM74" i="5"/>
  <c r="GN74" i="5"/>
  <c r="GO74" i="5"/>
  <c r="GP74" i="5"/>
  <c r="GQ74" i="5"/>
  <c r="GR74" i="5"/>
  <c r="GS74" i="5"/>
  <c r="GT74" i="5"/>
  <c r="GU74" i="5"/>
  <c r="GV74" i="5"/>
  <c r="GW74" i="5"/>
  <c r="GX74" i="5"/>
  <c r="GY74" i="5"/>
  <c r="GZ74" i="5"/>
  <c r="HA74" i="5"/>
  <c r="HB74" i="5"/>
  <c r="HC74" i="5"/>
  <c r="HD74" i="5"/>
  <c r="HE74" i="5"/>
  <c r="HF74" i="5"/>
  <c r="HG74" i="5"/>
  <c r="HH74" i="5"/>
  <c r="HI74" i="5"/>
  <c r="HJ74" i="5"/>
  <c r="HK74" i="5"/>
  <c r="HL74" i="5"/>
  <c r="HM74" i="5"/>
  <c r="HN74" i="5"/>
  <c r="HO74" i="5"/>
  <c r="HP74" i="5"/>
  <c r="HQ74" i="5"/>
  <c r="HR74" i="5"/>
  <c r="HS74" i="5"/>
  <c r="HT74" i="5"/>
  <c r="HU74" i="5"/>
  <c r="HV74" i="5"/>
  <c r="HW74" i="5"/>
  <c r="HX74" i="5"/>
  <c r="HY74" i="5"/>
  <c r="HZ74" i="5"/>
  <c r="IA74" i="5"/>
  <c r="IB74" i="5"/>
  <c r="IC74" i="5"/>
  <c r="ID74" i="5"/>
  <c r="IE74" i="5"/>
  <c r="IF74" i="5"/>
  <c r="IG74" i="5"/>
  <c r="IH74" i="5"/>
  <c r="II74" i="5"/>
  <c r="J74" i="5"/>
  <c r="J73" i="5"/>
  <c r="A1470" i="3" l="1"/>
  <c r="A1471" i="3"/>
  <c r="AF76" i="1" l="1"/>
  <c r="AL76" i="1" s="1"/>
  <c r="AN76" i="1" s="1"/>
  <c r="AI76" i="1"/>
  <c r="AA76" i="1"/>
  <c r="Z76" i="1"/>
  <c r="AA22"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5" i="1"/>
  <c r="AA56" i="1"/>
  <c r="AA59" i="1"/>
  <c r="AA60" i="1"/>
  <c r="AA61" i="1"/>
  <c r="AA62" i="1"/>
  <c r="AA63" i="1"/>
  <c r="AA64" i="1"/>
  <c r="AA65" i="1"/>
  <c r="AA66" i="1"/>
  <c r="AA67" i="1"/>
  <c r="AA68" i="1"/>
  <c r="AA69" i="1"/>
  <c r="AA70" i="1"/>
  <c r="AA71" i="1"/>
  <c r="AA72" i="1"/>
  <c r="AA73" i="1"/>
  <c r="AA74" i="1"/>
  <c r="AA75" i="1"/>
  <c r="AA77" i="1"/>
  <c r="AA78" i="1"/>
  <c r="AA3" i="1"/>
  <c r="AA4" i="1"/>
  <c r="AA6" i="1"/>
  <c r="AA7" i="1"/>
  <c r="AA8" i="1"/>
  <c r="AA9" i="1"/>
  <c r="AA10" i="1"/>
  <c r="AA11" i="1"/>
  <c r="AA12" i="1"/>
  <c r="AA13" i="1"/>
  <c r="AA14" i="1"/>
  <c r="AA15" i="1"/>
  <c r="AA16" i="1"/>
  <c r="AA17" i="1"/>
  <c r="AA18" i="1"/>
  <c r="AA19" i="1"/>
  <c r="AA20" i="1"/>
  <c r="AR76" i="1" l="1"/>
  <c r="AS76" i="1"/>
  <c r="A1835"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01" i="3"/>
  <c r="A1800" i="3"/>
  <c r="A1778"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51" i="3"/>
  <c r="A1750" i="3"/>
  <c r="A1728"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01" i="3"/>
  <c r="A1700" i="3"/>
  <c r="A1678"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51" i="3"/>
  <c r="A1650" i="3"/>
  <c r="A1628"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01" i="3"/>
  <c r="A1600" i="3"/>
  <c r="A1578"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51" i="3"/>
  <c r="A1550" i="3"/>
  <c r="A1502" i="3"/>
  <c r="A1503" i="3"/>
  <c r="A1504" i="3"/>
  <c r="A1505" i="3"/>
  <c r="A1506" i="3"/>
  <c r="A1507" i="3"/>
  <c r="A1508" i="3"/>
  <c r="A1509" i="3"/>
  <c r="A1510" i="3"/>
  <c r="A1511" i="3"/>
  <c r="A1512" i="3"/>
  <c r="A1513" i="3"/>
  <c r="A1514" i="3"/>
  <c r="A1515" i="3"/>
  <c r="A1516" i="3"/>
  <c r="A1517" i="3"/>
  <c r="A1518" i="3"/>
  <c r="A1501" i="3"/>
  <c r="A1500" i="3"/>
  <c r="A1478" i="3"/>
  <c r="A1452" i="3"/>
  <c r="A1453" i="3"/>
  <c r="A1454" i="3"/>
  <c r="A1455" i="3"/>
  <c r="A1456" i="3"/>
  <c r="A1457" i="3"/>
  <c r="A1458" i="3"/>
  <c r="A1459" i="3"/>
  <c r="A1460" i="3"/>
  <c r="A1461" i="3"/>
  <c r="A1462" i="3"/>
  <c r="A1463" i="3"/>
  <c r="A1464" i="3"/>
  <c r="A1465" i="3"/>
  <c r="A1466" i="3"/>
  <c r="A1467" i="3"/>
  <c r="A1468" i="3"/>
  <c r="A1469" i="3"/>
  <c r="A1472" i="3"/>
  <c r="A1473" i="3"/>
  <c r="A1474" i="3"/>
  <c r="A1475" i="3"/>
  <c r="A1476" i="3"/>
  <c r="A1477" i="3"/>
  <c r="A1451" i="3"/>
  <c r="A1450" i="3"/>
  <c r="A1428"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01" i="3"/>
  <c r="A1400" i="3"/>
  <c r="A1370" i="3"/>
  <c r="A1371" i="3"/>
  <c r="A1372" i="3"/>
  <c r="A1373" i="3"/>
  <c r="A1374" i="3"/>
  <c r="A1375" i="3"/>
  <c r="A1376" i="3"/>
  <c r="A1377" i="3"/>
  <c r="A1378" i="3"/>
  <c r="A1369" i="3"/>
  <c r="A1368" i="3"/>
  <c r="A1352" i="3"/>
  <c r="A1353" i="3"/>
  <c r="A1354" i="3"/>
  <c r="A1355" i="3"/>
  <c r="A1356" i="3"/>
  <c r="A1357" i="3"/>
  <c r="A1358" i="3"/>
  <c r="A1359" i="3"/>
  <c r="A1360" i="3"/>
  <c r="A1361" i="3"/>
  <c r="A1362" i="3"/>
  <c r="A1363" i="3"/>
  <c r="A1364" i="3"/>
  <c r="A1365" i="3"/>
  <c r="A1366" i="3"/>
  <c r="A1367" i="3"/>
  <c r="A1351" i="3"/>
  <c r="A1350" i="3"/>
  <c r="A1328"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01" i="3"/>
  <c r="A1300" i="3"/>
  <c r="A1278"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51" i="3"/>
  <c r="A1250"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78"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51" i="3"/>
  <c r="A1150" i="3"/>
  <c r="A1128"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01" i="3"/>
  <c r="A1100" i="3"/>
  <c r="A1078"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51" i="3"/>
  <c r="A1050" i="3"/>
  <c r="A1028"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01" i="3"/>
  <c r="A1000" i="3"/>
  <c r="A978"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51" i="3"/>
  <c r="A950" i="3"/>
  <c r="A928"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01" i="3"/>
  <c r="A900" i="3"/>
  <c r="A878"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51" i="3"/>
  <c r="A850" i="3"/>
  <c r="A828"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01" i="3"/>
  <c r="A800" i="3"/>
  <c r="A778"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51" i="3"/>
  <c r="A750" i="3"/>
  <c r="A728"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01" i="3"/>
  <c r="A700" i="3"/>
  <c r="A678"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51" i="3"/>
  <c r="A650" i="3"/>
  <c r="A628"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01" i="3"/>
  <c r="A600" i="3"/>
  <c r="A578"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51" i="3"/>
  <c r="A550" i="3"/>
  <c r="A528"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01" i="3"/>
  <c r="A500" i="3"/>
  <c r="A478"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51" i="3"/>
  <c r="A450" i="3"/>
  <c r="A428"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01" i="3"/>
  <c r="A400" i="3"/>
  <c r="A378"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51" i="3"/>
  <c r="A350"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24" i="3"/>
  <c r="A228" i="3"/>
  <c r="A226" i="3"/>
  <c r="A227" i="3"/>
  <c r="A202" i="3"/>
  <c r="A203" i="3"/>
  <c r="A204" i="3"/>
  <c r="A205" i="3"/>
  <c r="A206" i="3"/>
  <c r="A207" i="3"/>
  <c r="A208" i="3"/>
  <c r="A209" i="3"/>
  <c r="A210" i="3"/>
  <c r="A211" i="3"/>
  <c r="A212" i="3"/>
  <c r="A213" i="3"/>
  <c r="A214" i="3"/>
  <c r="A215" i="3"/>
  <c r="A216" i="3"/>
  <c r="A217" i="3"/>
  <c r="A218" i="3"/>
  <c r="A219" i="3"/>
  <c r="A220" i="3"/>
  <c r="A221" i="3"/>
  <c r="A222" i="3"/>
  <c r="A223" i="3"/>
  <c r="A225" i="3"/>
  <c r="A201" i="3"/>
  <c r="A200" i="3"/>
  <c r="A129"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02" i="3"/>
  <c r="A101" i="3"/>
  <c r="A77" i="3"/>
  <c r="A79" i="3"/>
  <c r="A53" i="3"/>
  <c r="A54" i="3"/>
  <c r="A55" i="3"/>
  <c r="A56" i="3"/>
  <c r="A57" i="3"/>
  <c r="A58" i="3"/>
  <c r="A59" i="3"/>
  <c r="A60" i="3"/>
  <c r="A61" i="3"/>
  <c r="A62" i="3"/>
  <c r="A63" i="3"/>
  <c r="A64" i="3"/>
  <c r="A65" i="3"/>
  <c r="A66" i="3"/>
  <c r="A67" i="3"/>
  <c r="A68" i="3"/>
  <c r="A69" i="3"/>
  <c r="A70" i="3"/>
  <c r="A71" i="3"/>
  <c r="A72" i="3"/>
  <c r="A73" i="3"/>
  <c r="A74" i="3"/>
  <c r="A75" i="3"/>
  <c r="A76" i="3"/>
  <c r="A78" i="3"/>
  <c r="A52" i="3"/>
  <c r="A51" i="3"/>
  <c r="A31" i="3"/>
  <c r="A5" i="3"/>
  <c r="A6" i="3"/>
  <c r="A7" i="3"/>
  <c r="A8" i="3"/>
  <c r="A9" i="3"/>
  <c r="A10" i="3"/>
  <c r="A11" i="3"/>
  <c r="A12" i="3"/>
  <c r="A13" i="3"/>
  <c r="A14" i="3"/>
  <c r="A15" i="3"/>
  <c r="A16" i="3"/>
  <c r="A17" i="3"/>
  <c r="A18" i="3"/>
  <c r="A19" i="3"/>
  <c r="A20" i="3"/>
  <c r="A21" i="3"/>
  <c r="A22" i="3"/>
  <c r="A23" i="3"/>
  <c r="A24" i="3"/>
  <c r="A25" i="3"/>
  <c r="A26" i="3"/>
  <c r="A27" i="3"/>
  <c r="A28" i="3"/>
  <c r="A29" i="3"/>
  <c r="A30" i="3"/>
  <c r="A4" i="3"/>
  <c r="A3" i="3"/>
  <c r="C1800" i="3" l="1" a="1"/>
  <c r="E1800" i="3" a="1"/>
  <c r="I1800" i="3" a="1"/>
  <c r="G1800" i="3" a="1"/>
  <c r="G1200" i="3" a="1"/>
  <c r="I1200" i="3" a="1"/>
  <c r="I51" i="3" a="1"/>
  <c r="I51" i="3" s="1"/>
  <c r="C1550" i="3" a="1"/>
  <c r="C1578" i="3" s="1"/>
  <c r="E1500" i="3" a="1"/>
  <c r="E1500" i="3" s="1"/>
  <c r="I1550" i="3" a="1"/>
  <c r="I1550" i="3" s="1"/>
  <c r="G1550" i="3" a="1"/>
  <c r="G1577" i="3" s="1"/>
  <c r="C1576" i="3"/>
  <c r="G1500" i="3" a="1"/>
  <c r="C1500" i="3" a="1"/>
  <c r="C1500" i="3" s="1"/>
  <c r="I1500" i="3" a="1"/>
  <c r="I1500" i="3" s="1"/>
  <c r="O1726" i="3"/>
  <c r="O1725" i="3"/>
  <c r="O1724" i="3"/>
  <c r="O1723" i="3"/>
  <c r="O1527" i="3"/>
  <c r="O1528" i="3"/>
  <c r="O1529" i="3"/>
  <c r="O1530" i="3"/>
  <c r="G1800" i="3" l="1"/>
  <c r="G1835" i="3"/>
  <c r="G1831" i="3"/>
  <c r="G1827" i="3"/>
  <c r="G1823" i="3"/>
  <c r="G1819" i="3"/>
  <c r="G1815" i="3"/>
  <c r="G1811" i="3"/>
  <c r="G1807" i="3"/>
  <c r="G1803" i="3"/>
  <c r="G1834" i="3"/>
  <c r="G1830" i="3"/>
  <c r="G1826" i="3"/>
  <c r="G1822" i="3"/>
  <c r="G1818" i="3"/>
  <c r="G1814" i="3"/>
  <c r="G1810" i="3"/>
  <c r="G1806" i="3"/>
  <c r="G1802" i="3"/>
  <c r="G1832" i="3"/>
  <c r="G1824" i="3"/>
  <c r="G1816" i="3"/>
  <c r="G1808" i="3"/>
  <c r="G1829" i="3"/>
  <c r="G1821" i="3"/>
  <c r="G1813" i="3"/>
  <c r="G1805" i="3"/>
  <c r="G1828" i="3"/>
  <c r="G1820" i="3"/>
  <c r="G1812" i="3"/>
  <c r="G1804" i="3"/>
  <c r="G1833" i="3"/>
  <c r="G1825" i="3"/>
  <c r="G1817" i="3"/>
  <c r="G1809" i="3"/>
  <c r="G1801" i="3"/>
  <c r="I1813" i="3"/>
  <c r="I1815" i="3"/>
  <c r="I1820" i="3"/>
  <c r="I1826" i="3"/>
  <c r="I1831" i="3"/>
  <c r="I1816" i="3"/>
  <c r="I1822" i="3"/>
  <c r="I1827" i="3"/>
  <c r="I1832" i="3"/>
  <c r="I1818" i="3"/>
  <c r="I1823" i="3"/>
  <c r="I1828" i="3"/>
  <c r="I1834" i="3"/>
  <c r="I1814" i="3"/>
  <c r="I1819" i="3"/>
  <c r="I1824" i="3"/>
  <c r="I1830" i="3"/>
  <c r="I1821" i="3"/>
  <c r="I1800" i="3"/>
  <c r="I1804" i="3"/>
  <c r="I1808" i="3"/>
  <c r="I1812" i="3"/>
  <c r="I1833" i="3"/>
  <c r="I1817" i="3"/>
  <c r="I1801" i="3"/>
  <c r="I1805" i="3"/>
  <c r="I1809" i="3"/>
  <c r="I1829" i="3"/>
  <c r="I1802" i="3"/>
  <c r="I1807" i="3"/>
  <c r="I1835" i="3"/>
  <c r="I1810" i="3"/>
  <c r="I1825" i="3"/>
  <c r="I1803" i="3"/>
  <c r="I1811" i="3"/>
  <c r="I1806" i="3"/>
  <c r="E1835" i="3"/>
  <c r="E1801" i="3"/>
  <c r="E1805" i="3"/>
  <c r="E1809" i="3"/>
  <c r="E1813" i="3"/>
  <c r="E1817" i="3"/>
  <c r="E1821" i="3"/>
  <c r="E1825" i="3"/>
  <c r="E1829" i="3"/>
  <c r="E1833" i="3"/>
  <c r="E1802" i="3"/>
  <c r="E1806" i="3"/>
  <c r="E1810" i="3"/>
  <c r="E1814" i="3"/>
  <c r="E1818" i="3"/>
  <c r="E1822" i="3"/>
  <c r="E1826" i="3"/>
  <c r="E1830" i="3"/>
  <c r="E1834" i="3"/>
  <c r="E1803" i="3"/>
  <c r="E1807" i="3"/>
  <c r="E1811" i="3"/>
  <c r="E1815" i="3"/>
  <c r="E1819" i="3"/>
  <c r="E1823" i="3"/>
  <c r="E1827" i="3"/>
  <c r="E1831" i="3"/>
  <c r="E1800" i="3"/>
  <c r="E1816" i="3"/>
  <c r="E1832" i="3"/>
  <c r="E1804" i="3"/>
  <c r="E1820" i="3"/>
  <c r="E1808" i="3"/>
  <c r="E1824" i="3"/>
  <c r="E1812" i="3"/>
  <c r="E1828" i="3"/>
  <c r="C1835" i="3"/>
  <c r="C1807" i="3"/>
  <c r="C1822" i="3"/>
  <c r="C1808" i="3"/>
  <c r="C1824" i="3"/>
  <c r="C1814" i="3"/>
  <c r="C1830" i="3"/>
  <c r="C1800" i="3"/>
  <c r="C1816" i="3"/>
  <c r="C1832" i="3"/>
  <c r="C1804" i="3"/>
  <c r="C1818" i="3"/>
  <c r="C1829" i="3"/>
  <c r="C1821" i="3"/>
  <c r="C1813" i="3"/>
  <c r="C1809" i="3"/>
  <c r="C1828" i="3"/>
  <c r="C1811" i="3"/>
  <c r="C1827" i="3"/>
  <c r="C1819" i="3"/>
  <c r="C1810" i="3"/>
  <c r="C1805" i="3"/>
  <c r="C1820" i="3"/>
  <c r="C1834" i="3"/>
  <c r="C1803" i="3"/>
  <c r="C1833" i="3"/>
  <c r="C1825" i="3"/>
  <c r="C1817" i="3"/>
  <c r="C1806" i="3"/>
  <c r="C1801" i="3"/>
  <c r="C1802" i="3"/>
  <c r="C1812" i="3"/>
  <c r="C1831" i="3"/>
  <c r="C1823" i="3"/>
  <c r="C1826" i="3"/>
  <c r="C1815" i="3"/>
  <c r="I1200" i="3"/>
  <c r="I1223" i="3"/>
  <c r="I1207" i="3"/>
  <c r="I1218" i="3"/>
  <c r="I1202" i="3"/>
  <c r="I1213" i="3"/>
  <c r="I1228" i="3"/>
  <c r="I1212" i="3"/>
  <c r="I1219" i="3"/>
  <c r="I1203" i="3"/>
  <c r="I1214" i="3"/>
  <c r="I1225" i="3"/>
  <c r="I1209" i="3"/>
  <c r="I1224" i="3"/>
  <c r="I1208" i="3"/>
  <c r="I1215" i="3"/>
  <c r="I1226" i="3"/>
  <c r="I1210" i="3"/>
  <c r="I1221" i="3"/>
  <c r="I1205" i="3"/>
  <c r="I1220" i="3"/>
  <c r="I1204" i="3"/>
  <c r="I1227" i="3"/>
  <c r="I1211" i="3"/>
  <c r="I1222" i="3"/>
  <c r="I1206" i="3"/>
  <c r="I1217" i="3"/>
  <c r="I1201" i="3"/>
  <c r="I1216" i="3"/>
  <c r="C1555" i="3"/>
  <c r="G1200" i="3"/>
  <c r="G1223" i="3"/>
  <c r="G1207" i="3"/>
  <c r="G1218" i="3"/>
  <c r="G1202" i="3"/>
  <c r="G1213" i="3"/>
  <c r="G1228" i="3"/>
  <c r="G1212" i="3"/>
  <c r="G1219" i="3"/>
  <c r="G1203" i="3"/>
  <c r="G1214" i="3"/>
  <c r="G1225" i="3"/>
  <c r="G1209" i="3"/>
  <c r="G1224" i="3"/>
  <c r="G1208" i="3"/>
  <c r="G1215" i="3"/>
  <c r="G1226" i="3"/>
  <c r="G1210" i="3"/>
  <c r="G1221" i="3"/>
  <c r="G1205" i="3"/>
  <c r="G1220" i="3"/>
  <c r="G1204" i="3"/>
  <c r="G1227" i="3"/>
  <c r="G1211" i="3"/>
  <c r="G1222" i="3"/>
  <c r="G1206" i="3"/>
  <c r="G1217" i="3"/>
  <c r="G1201" i="3"/>
  <c r="G1216" i="3"/>
  <c r="C1566" i="3"/>
  <c r="C1552" i="3"/>
  <c r="C1572" i="3"/>
  <c r="C1556" i="3"/>
  <c r="I1567" i="3"/>
  <c r="C1562" i="3"/>
  <c r="I53" i="3"/>
  <c r="I62" i="3"/>
  <c r="I67" i="3"/>
  <c r="I1551" i="3"/>
  <c r="I54" i="3"/>
  <c r="I63" i="3"/>
  <c r="I61" i="3"/>
  <c r="I71" i="3"/>
  <c r="I77" i="3"/>
  <c r="I56" i="3"/>
  <c r="I76" i="3"/>
  <c r="I69" i="3"/>
  <c r="I52" i="3"/>
  <c r="I72" i="3"/>
  <c r="I73" i="3"/>
  <c r="I1552" i="3"/>
  <c r="I78" i="3"/>
  <c r="I59" i="3"/>
  <c r="I68" i="3"/>
  <c r="I79" i="3"/>
  <c r="I65" i="3"/>
  <c r="I70" i="3"/>
  <c r="I74" i="3"/>
  <c r="I55" i="3"/>
  <c r="I64" i="3"/>
  <c r="I75" i="3"/>
  <c r="I57" i="3"/>
  <c r="I58" i="3"/>
  <c r="I66" i="3"/>
  <c r="I60" i="3"/>
  <c r="I1564" i="3"/>
  <c r="I1560" i="3"/>
  <c r="C1568" i="3"/>
  <c r="C1560" i="3"/>
  <c r="C1571" i="3"/>
  <c r="C1553" i="3"/>
  <c r="C1558" i="3"/>
  <c r="C1563" i="3"/>
  <c r="C1569" i="3"/>
  <c r="C1574" i="3"/>
  <c r="C1554" i="3"/>
  <c r="C1559" i="3"/>
  <c r="C1565" i="3"/>
  <c r="C1570" i="3"/>
  <c r="C1575" i="3"/>
  <c r="C1550" i="3"/>
  <c r="I1556" i="3"/>
  <c r="I1572" i="3"/>
  <c r="I1576" i="3"/>
  <c r="I1559" i="3"/>
  <c r="I1568" i="3"/>
  <c r="G1556" i="3"/>
  <c r="G1564" i="3"/>
  <c r="I1575" i="3"/>
  <c r="G1562" i="3"/>
  <c r="G1572" i="3"/>
  <c r="I1555" i="3"/>
  <c r="I1563" i="3"/>
  <c r="I1571" i="3"/>
  <c r="C1551" i="3"/>
  <c r="G1554" i="3"/>
  <c r="C1557" i="3"/>
  <c r="C1561" i="3"/>
  <c r="C1564" i="3"/>
  <c r="C1567" i="3"/>
  <c r="G1570" i="3"/>
  <c r="C1573" i="3"/>
  <c r="C1577" i="3"/>
  <c r="E1507" i="3"/>
  <c r="E1510" i="3"/>
  <c r="E1502" i="3"/>
  <c r="E1511" i="3"/>
  <c r="E1506" i="3"/>
  <c r="E1515" i="3"/>
  <c r="I1513" i="3"/>
  <c r="I1503" i="3"/>
  <c r="E1501" i="3"/>
  <c r="E1504" i="3"/>
  <c r="E1508" i="3"/>
  <c r="E1512" i="3"/>
  <c r="E1516" i="3"/>
  <c r="I1501" i="3"/>
  <c r="E1505" i="3"/>
  <c r="I1509" i="3"/>
  <c r="E1513" i="3"/>
  <c r="E1517" i="3"/>
  <c r="E1503" i="3"/>
  <c r="I1505" i="3"/>
  <c r="E1509" i="3"/>
  <c r="I1511" i="3"/>
  <c r="E1514" i="3"/>
  <c r="I1517" i="3"/>
  <c r="E1518" i="3"/>
  <c r="I1507" i="3"/>
  <c r="I1515" i="3"/>
  <c r="I1518" i="3"/>
  <c r="I1553" i="3"/>
  <c r="I1557" i="3"/>
  <c r="I1561" i="3"/>
  <c r="I1565" i="3"/>
  <c r="I1569" i="3"/>
  <c r="I1573" i="3"/>
  <c r="I1577" i="3"/>
  <c r="G1552" i="3"/>
  <c r="G1560" i="3"/>
  <c r="G1568" i="3"/>
  <c r="G1576" i="3"/>
  <c r="I1554" i="3"/>
  <c r="I1558" i="3"/>
  <c r="I1562" i="3"/>
  <c r="I1566" i="3"/>
  <c r="I1570" i="3"/>
  <c r="I1574" i="3"/>
  <c r="I1578" i="3"/>
  <c r="G1558" i="3"/>
  <c r="G1566" i="3"/>
  <c r="G1574" i="3"/>
  <c r="G1551" i="3"/>
  <c r="G1553" i="3"/>
  <c r="G1555" i="3"/>
  <c r="G1557" i="3"/>
  <c r="G1559" i="3"/>
  <c r="G1561" i="3"/>
  <c r="G1563" i="3"/>
  <c r="G1565" i="3"/>
  <c r="G1567" i="3"/>
  <c r="G1569" i="3"/>
  <c r="G1571" i="3"/>
  <c r="G1573" i="3"/>
  <c r="G1575" i="3"/>
  <c r="G1550" i="3"/>
  <c r="G1578" i="3"/>
  <c r="C1509" i="3"/>
  <c r="C1504" i="3"/>
  <c r="C1510" i="3"/>
  <c r="C1514" i="3"/>
  <c r="G1500" i="3"/>
  <c r="G1504" i="3"/>
  <c r="G1508" i="3"/>
  <c r="G1512" i="3"/>
  <c r="G1516" i="3"/>
  <c r="G1511" i="3"/>
  <c r="G1501" i="3"/>
  <c r="G1505" i="3"/>
  <c r="G1509" i="3"/>
  <c r="G1513" i="3"/>
  <c r="G1517" i="3"/>
  <c r="G1502" i="3"/>
  <c r="G1506" i="3"/>
  <c r="G1510" i="3"/>
  <c r="G1514" i="3"/>
  <c r="G1503" i="3"/>
  <c r="G1507" i="3"/>
  <c r="G1515" i="3"/>
  <c r="G1518" i="3"/>
  <c r="C1503" i="3"/>
  <c r="C1518" i="3"/>
  <c r="C1505" i="3"/>
  <c r="I1502" i="3"/>
  <c r="I1504" i="3"/>
  <c r="I1506" i="3"/>
  <c r="I1508" i="3"/>
  <c r="I1510" i="3"/>
  <c r="I1512" i="3"/>
  <c r="I1514" i="3"/>
  <c r="I1516" i="3"/>
  <c r="C1507" i="3"/>
  <c r="C1511" i="3"/>
  <c r="C1515" i="3"/>
  <c r="C1501" i="3"/>
  <c r="C1506" i="3"/>
  <c r="C1513" i="3"/>
  <c r="C1517" i="3"/>
  <c r="C1508" i="3"/>
  <c r="C1512" i="3"/>
  <c r="C1516" i="3"/>
  <c r="C1502" i="3"/>
  <c r="I1650" i="3" a="1"/>
  <c r="I1650" i="3" s="1"/>
  <c r="G1650" i="3" a="1"/>
  <c r="G1650" i="3" s="1"/>
  <c r="I1677" i="3" l="1"/>
  <c r="I1669" i="3"/>
  <c r="I1661" i="3"/>
  <c r="I1653" i="3"/>
  <c r="I1672" i="3"/>
  <c r="I1668" i="3"/>
  <c r="I1660" i="3"/>
  <c r="I1656" i="3"/>
  <c r="I1675" i="3"/>
  <c r="I1671" i="3"/>
  <c r="I1667" i="3"/>
  <c r="I1663" i="3"/>
  <c r="I1659" i="3"/>
  <c r="I1655" i="3"/>
  <c r="I1651" i="3"/>
  <c r="I1673" i="3"/>
  <c r="I1665" i="3"/>
  <c r="I1657" i="3"/>
  <c r="I1676" i="3"/>
  <c r="I1664" i="3"/>
  <c r="I1652" i="3"/>
  <c r="I1678" i="3"/>
  <c r="I1674" i="3"/>
  <c r="I1670" i="3"/>
  <c r="I1666" i="3"/>
  <c r="I1662" i="3"/>
  <c r="I1658" i="3"/>
  <c r="I1654" i="3"/>
  <c r="G1674" i="3"/>
  <c r="G1662" i="3"/>
  <c r="G1654" i="3"/>
  <c r="G1673" i="3"/>
  <c r="G1665" i="3"/>
  <c r="G1657" i="3"/>
  <c r="G1672" i="3"/>
  <c r="G1660" i="3"/>
  <c r="G1652" i="3"/>
  <c r="G1670" i="3"/>
  <c r="G1666" i="3"/>
  <c r="G1658" i="3"/>
  <c r="G1677" i="3"/>
  <c r="G1669" i="3"/>
  <c r="G1661" i="3"/>
  <c r="G1653" i="3"/>
  <c r="G1676" i="3"/>
  <c r="G1668" i="3"/>
  <c r="G1664" i="3"/>
  <c r="G1656" i="3"/>
  <c r="G1675" i="3"/>
  <c r="G1671" i="3"/>
  <c r="G1667" i="3"/>
  <c r="G1663" i="3"/>
  <c r="G1659" i="3"/>
  <c r="G1655" i="3"/>
  <c r="G1651" i="3"/>
  <c r="G1678" i="3"/>
  <c r="E1600" i="3" a="1"/>
  <c r="E1600" i="3" s="1"/>
  <c r="I1450" i="3" a="1"/>
  <c r="I1450" i="3" s="1"/>
  <c r="G1450" i="3" a="1"/>
  <c r="G1451" i="3" s="1"/>
  <c r="E1627" i="3" l="1"/>
  <c r="E1619" i="3"/>
  <c r="E1611" i="3"/>
  <c r="E1603" i="3"/>
  <c r="E1626" i="3"/>
  <c r="E1618" i="3"/>
  <c r="E1610" i="3"/>
  <c r="E1602" i="3"/>
  <c r="E1625" i="3"/>
  <c r="E1621" i="3"/>
  <c r="E1617" i="3"/>
  <c r="E1613" i="3"/>
  <c r="E1609" i="3"/>
  <c r="E1605" i="3"/>
  <c r="E1601" i="3"/>
  <c r="E1623" i="3"/>
  <c r="E1615" i="3"/>
  <c r="E1607" i="3"/>
  <c r="E1622" i="3"/>
  <c r="E1614" i="3"/>
  <c r="E1606" i="3"/>
  <c r="E1628" i="3"/>
  <c r="E1624" i="3"/>
  <c r="E1620" i="3"/>
  <c r="E1616" i="3"/>
  <c r="E1612" i="3"/>
  <c r="E1608" i="3"/>
  <c r="E1604" i="3"/>
  <c r="I1477" i="3"/>
  <c r="I1473" i="3"/>
  <c r="I1469" i="3"/>
  <c r="I1465" i="3"/>
  <c r="I1461" i="3"/>
  <c r="I1457" i="3"/>
  <c r="I1453" i="3"/>
  <c r="I1476" i="3"/>
  <c r="I1472" i="3"/>
  <c r="I1468" i="3"/>
  <c r="I1464" i="3"/>
  <c r="I1460" i="3"/>
  <c r="I1456" i="3"/>
  <c r="I1452" i="3"/>
  <c r="I1475" i="3"/>
  <c r="I1471" i="3"/>
  <c r="I1467" i="3"/>
  <c r="I1463" i="3"/>
  <c r="I1459" i="3"/>
  <c r="I1455" i="3"/>
  <c r="I1451" i="3"/>
  <c r="I1478" i="3"/>
  <c r="I1474" i="3"/>
  <c r="I1470" i="3"/>
  <c r="I1466" i="3"/>
  <c r="I1462" i="3"/>
  <c r="I1458" i="3"/>
  <c r="I1454" i="3"/>
  <c r="G1478" i="3"/>
  <c r="G1474" i="3"/>
  <c r="G1470" i="3"/>
  <c r="G1466" i="3"/>
  <c r="G1462" i="3"/>
  <c r="G1458" i="3"/>
  <c r="G1454" i="3"/>
  <c r="G1450" i="3"/>
  <c r="G1477" i="3"/>
  <c r="G1473" i="3"/>
  <c r="G1469" i="3"/>
  <c r="G1465" i="3"/>
  <c r="G1461" i="3"/>
  <c r="G1457" i="3"/>
  <c r="G1453" i="3"/>
  <c r="G1472" i="3"/>
  <c r="G1464" i="3"/>
  <c r="G1456" i="3"/>
  <c r="G1452" i="3"/>
  <c r="G1476" i="3"/>
  <c r="G1468" i="3"/>
  <c r="G1460" i="3"/>
  <c r="G1475" i="3"/>
  <c r="G1471" i="3"/>
  <c r="G1467" i="3"/>
  <c r="G1463" i="3"/>
  <c r="G1459" i="3"/>
  <c r="G1455" i="3"/>
  <c r="AP14" i="5"/>
  <c r="AP73" i="5" s="1"/>
  <c r="BO9" i="5" l="1"/>
  <c r="BO24" i="5"/>
  <c r="AS3" i="1"/>
  <c r="AS4" i="1"/>
  <c r="AS5" i="1"/>
  <c r="AS6" i="1"/>
  <c r="AS7" i="1"/>
  <c r="AS8" i="1"/>
  <c r="AS9" i="1"/>
  <c r="AS12" i="1"/>
  <c r="AS13" i="1"/>
  <c r="AS14" i="1"/>
  <c r="AS15" i="1"/>
  <c r="AS16" i="1"/>
  <c r="AS17" i="1"/>
  <c r="AS18" i="1"/>
  <c r="AS19" i="1"/>
  <c r="AS20" i="1"/>
  <c r="AS22" i="1"/>
  <c r="AN24" i="1" l="1"/>
  <c r="AS24" i="1" s="1"/>
  <c r="N384" i="3" l="1"/>
  <c r="X26" i="11" l="1"/>
  <c r="X25" i="11"/>
  <c r="X24" i="11"/>
  <c r="X22" i="11"/>
  <c r="X21" i="11"/>
  <c r="X20" i="11"/>
  <c r="X15" i="11"/>
  <c r="X14" i="11"/>
  <c r="X13" i="11"/>
  <c r="X12" i="11"/>
  <c r="X11" i="11"/>
  <c r="X10" i="11"/>
  <c r="X9" i="11"/>
  <c r="X8" i="11"/>
  <c r="X7" i="11"/>
  <c r="X6" i="11"/>
  <c r="X5" i="11"/>
  <c r="X4" i="11"/>
  <c r="X3" i="11"/>
  <c r="BZ55" i="11"/>
  <c r="BY55" i="11"/>
  <c r="BX55" i="11"/>
  <c r="BW55" i="11"/>
  <c r="BV55" i="11"/>
  <c r="BU55" i="11"/>
  <c r="BT55" i="11"/>
  <c r="BS55" i="11"/>
  <c r="BR55" i="11"/>
  <c r="BQ55" i="11"/>
  <c r="BP55" i="11"/>
  <c r="BO55" i="11"/>
  <c r="BN55" i="11"/>
  <c r="BM55" i="11"/>
  <c r="BL55" i="11"/>
  <c r="BK55" i="11"/>
  <c r="BJ55"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BZ54" i="11"/>
  <c r="BY54" i="11"/>
  <c r="BX54" i="11"/>
  <c r="BW54" i="11"/>
  <c r="BV54" i="11"/>
  <c r="BU54" i="11"/>
  <c r="BT54" i="11"/>
  <c r="BS54" i="11"/>
  <c r="BR54" i="11"/>
  <c r="BQ54" i="11"/>
  <c r="BP54" i="11"/>
  <c r="BO54" i="11"/>
  <c r="BN54" i="11"/>
  <c r="BM54" i="11"/>
  <c r="BL54" i="11"/>
  <c r="BK54" i="11"/>
  <c r="BJ54" i="11"/>
  <c r="BI54" i="11"/>
  <c r="BH54" i="11"/>
  <c r="BG54" i="11"/>
  <c r="BF54" i="11"/>
  <c r="BE54" i="11"/>
  <c r="BC54" i="11"/>
  <c r="BA54" i="11"/>
  <c r="AZ54" i="11"/>
  <c r="AY54" i="11"/>
  <c r="AX54" i="11"/>
  <c r="AW54" i="11"/>
  <c r="AV54" i="11"/>
  <c r="AU54" i="11"/>
  <c r="AT54" i="11"/>
  <c r="AS54" i="11"/>
  <c r="AR54" i="11"/>
  <c r="AQ54" i="11"/>
  <c r="AP54" i="11"/>
  <c r="AO54" i="11"/>
  <c r="AN54" i="11"/>
  <c r="AM54" i="11"/>
  <c r="AL54" i="11"/>
  <c r="AK54" i="11"/>
  <c r="AJ54" i="11"/>
  <c r="AI54" i="11"/>
  <c r="AH54"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D54" i="11"/>
  <c r="C54" i="11"/>
  <c r="BZ53" i="11"/>
  <c r="BY53" i="11"/>
  <c r="BX53" i="11"/>
  <c r="BW53" i="11"/>
  <c r="BV53" i="11"/>
  <c r="BU53" i="11"/>
  <c r="BT53" i="11"/>
  <c r="BS53" i="11"/>
  <c r="BR53" i="11"/>
  <c r="BQ53" i="11"/>
  <c r="BP53" i="11"/>
  <c r="BO53" i="11"/>
  <c r="BN53" i="11"/>
  <c r="BM53" i="11"/>
  <c r="BL53" i="11"/>
  <c r="BK53" i="11"/>
  <c r="BJ53" i="11"/>
  <c r="BI53" i="11"/>
  <c r="BH53" i="11"/>
  <c r="BG53" i="11"/>
  <c r="BF53" i="11"/>
  <c r="BE53" i="11"/>
  <c r="BC53" i="11"/>
  <c r="BA53" i="11"/>
  <c r="AZ53" i="11"/>
  <c r="AY53" i="11"/>
  <c r="AX53" i="11"/>
  <c r="AW53" i="11"/>
  <c r="AV53" i="11"/>
  <c r="AU53" i="11"/>
  <c r="AT53" i="11"/>
  <c r="AS53" i="11"/>
  <c r="AR53" i="11"/>
  <c r="AQ53" i="11"/>
  <c r="AP53" i="11"/>
  <c r="AO53" i="11"/>
  <c r="AN53" i="11"/>
  <c r="AM53" i="11"/>
  <c r="AL53" i="11"/>
  <c r="AK53" i="11"/>
  <c r="AJ53" i="11"/>
  <c r="AI53" i="11"/>
  <c r="AH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BZ52" i="11"/>
  <c r="BY52" i="11"/>
  <c r="BX52" i="11"/>
  <c r="BW52" i="11"/>
  <c r="BV52" i="11"/>
  <c r="BU52" i="11"/>
  <c r="BT52" i="11"/>
  <c r="BS52" i="11"/>
  <c r="BR52" i="11"/>
  <c r="BQ52" i="11"/>
  <c r="BP52" i="11"/>
  <c r="BO52" i="11"/>
  <c r="BN52" i="11"/>
  <c r="BM52" i="11"/>
  <c r="BL52" i="11"/>
  <c r="BK52" i="11"/>
  <c r="BJ52" i="11"/>
  <c r="BI52" i="11"/>
  <c r="BH52" i="11"/>
  <c r="BG52" i="11"/>
  <c r="BF52" i="11"/>
  <c r="BE52" i="11"/>
  <c r="BC52" i="11"/>
  <c r="BA52" i="11"/>
  <c r="AZ52" i="11"/>
  <c r="AY52" i="11"/>
  <c r="AX52" i="11"/>
  <c r="AW52" i="11"/>
  <c r="AV52" i="11"/>
  <c r="AU52" i="11"/>
  <c r="AT52" i="11"/>
  <c r="AS52" i="11"/>
  <c r="AR52" i="11"/>
  <c r="AQ52" i="11"/>
  <c r="AP52" i="11"/>
  <c r="AO52" i="11"/>
  <c r="AN52" i="11"/>
  <c r="AM52" i="11"/>
  <c r="AL52" i="11"/>
  <c r="AK52" i="11"/>
  <c r="AJ52" i="11"/>
  <c r="AI52" i="11"/>
  <c r="AH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D52" i="11"/>
  <c r="C52" i="11"/>
  <c r="BZ51" i="11"/>
  <c r="BY51" i="11"/>
  <c r="BX51" i="11"/>
  <c r="BW51" i="11"/>
  <c r="BV51" i="11"/>
  <c r="BU51" i="11"/>
  <c r="BT51" i="11"/>
  <c r="BS51" i="11"/>
  <c r="BR51" i="11"/>
  <c r="BQ51" i="11"/>
  <c r="BP51" i="11"/>
  <c r="BO51" i="11"/>
  <c r="BN51" i="11"/>
  <c r="BM51" i="11"/>
  <c r="BL51" i="11"/>
  <c r="BK51" i="11"/>
  <c r="BJ51" i="11"/>
  <c r="BI51" i="11"/>
  <c r="BH51" i="11"/>
  <c r="BG51" i="11"/>
  <c r="BF51" i="11"/>
  <c r="BE51" i="11"/>
  <c r="BC51" i="11"/>
  <c r="BA51" i="11"/>
  <c r="AZ51" i="11"/>
  <c r="AY51" i="11"/>
  <c r="AX51" i="11"/>
  <c r="AW51" i="11"/>
  <c r="AV51" i="11"/>
  <c r="AU51" i="11"/>
  <c r="AT51" i="11"/>
  <c r="AS51" i="11"/>
  <c r="AR51" i="11"/>
  <c r="AQ51" i="11"/>
  <c r="AP51" i="11"/>
  <c r="AO51" i="11"/>
  <c r="AN51" i="11"/>
  <c r="AM51" i="11"/>
  <c r="AL51" i="11"/>
  <c r="AK51" i="11"/>
  <c r="AJ51" i="11"/>
  <c r="AI51" i="11"/>
  <c r="AH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51" i="11"/>
  <c r="BZ50" i="11"/>
  <c r="BY50" i="11"/>
  <c r="BX50" i="11"/>
  <c r="BW50" i="11"/>
  <c r="BV50" i="11"/>
  <c r="BU50" i="11"/>
  <c r="BT50" i="11"/>
  <c r="BS50" i="11"/>
  <c r="BR50" i="11"/>
  <c r="BQ50" i="11"/>
  <c r="BP50" i="11"/>
  <c r="BO50" i="11"/>
  <c r="BN50" i="11"/>
  <c r="BM50" i="11"/>
  <c r="BL50" i="11"/>
  <c r="BK50" i="11"/>
  <c r="BJ50" i="11"/>
  <c r="BI50" i="11"/>
  <c r="BH50" i="11"/>
  <c r="BG50" i="11"/>
  <c r="BF50" i="11"/>
  <c r="BE50" i="11"/>
  <c r="BD50" i="11"/>
  <c r="BC50" i="11"/>
  <c r="BB50" i="11"/>
  <c r="BA50" i="11"/>
  <c r="AZ50" i="11"/>
  <c r="AY50" i="11"/>
  <c r="AX50" i="11"/>
  <c r="AW50" i="11"/>
  <c r="AV50" i="11"/>
  <c r="AU50" i="11"/>
  <c r="AT50" i="11"/>
  <c r="AS50" i="11"/>
  <c r="AR50" i="11"/>
  <c r="AQ50" i="11"/>
  <c r="AP50" i="11"/>
  <c r="AO50" i="11"/>
  <c r="AN50" i="11"/>
  <c r="AM50"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D50" i="11"/>
  <c r="C50" i="11"/>
  <c r="BZ49" i="11"/>
  <c r="BY49" i="11"/>
  <c r="BX49" i="11"/>
  <c r="BW49" i="11"/>
  <c r="BV49" i="11"/>
  <c r="BU49" i="11"/>
  <c r="BT49"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D49" i="11"/>
  <c r="C49" i="11"/>
  <c r="BZ48" i="11"/>
  <c r="BY48" i="11"/>
  <c r="BX48" i="11"/>
  <c r="BW48" i="11"/>
  <c r="BV48" i="11"/>
  <c r="BU48" i="11"/>
  <c r="BT48" i="11"/>
  <c r="BS48" i="11"/>
  <c r="BR48" i="11"/>
  <c r="BQ48" i="11"/>
  <c r="BP48" i="11"/>
  <c r="BO48" i="11"/>
  <c r="BN48" i="11"/>
  <c r="BM48" i="11"/>
  <c r="BL48" i="11"/>
  <c r="BK48" i="11"/>
  <c r="BJ48" i="11"/>
  <c r="BI48" i="11"/>
  <c r="BH48" i="11"/>
  <c r="BG48" i="11"/>
  <c r="BF48" i="11"/>
  <c r="BE48" i="11"/>
  <c r="BD48" i="11"/>
  <c r="BC48" i="11"/>
  <c r="BB48" i="11"/>
  <c r="BA48" i="11"/>
  <c r="AZ48" i="11"/>
  <c r="AY48" i="11"/>
  <c r="AX48" i="11"/>
  <c r="AW48" i="11"/>
  <c r="AV48" i="11"/>
  <c r="AU48" i="11"/>
  <c r="AT48" i="11"/>
  <c r="AS48" i="11"/>
  <c r="AR48" i="11"/>
  <c r="AQ48" i="11"/>
  <c r="AP48" i="11"/>
  <c r="AO48" i="11"/>
  <c r="AN48" i="11"/>
  <c r="AM48" i="11"/>
  <c r="AL48" i="11"/>
  <c r="AK48" i="11"/>
  <c r="AJ48" i="11"/>
  <c r="AI48" i="11"/>
  <c r="AH48" i="11"/>
  <c r="AG48"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D48" i="11"/>
  <c r="C48" i="11"/>
  <c r="BZ47" i="11"/>
  <c r="BY47" i="11"/>
  <c r="BX47" i="11"/>
  <c r="BW47" i="11"/>
  <c r="BV47" i="11"/>
  <c r="BU47" i="11"/>
  <c r="BT47" i="11"/>
  <c r="BS47" i="11"/>
  <c r="BR47" i="11"/>
  <c r="BQ47" i="11"/>
  <c r="BP47" i="11"/>
  <c r="BO47" i="11"/>
  <c r="BN47" i="11"/>
  <c r="BM47" i="11"/>
  <c r="BL47" i="11"/>
  <c r="BK47" i="11"/>
  <c r="BJ47"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D47" i="11"/>
  <c r="C47" i="11"/>
  <c r="BZ46" i="11"/>
  <c r="BY46" i="11"/>
  <c r="BX46" i="11"/>
  <c r="BW46" i="11"/>
  <c r="BV46" i="11"/>
  <c r="BU46" i="11"/>
  <c r="BT46" i="11"/>
  <c r="BS46" i="11"/>
  <c r="BR46" i="11"/>
  <c r="BQ46" i="11"/>
  <c r="BP46" i="11"/>
  <c r="BO46" i="11"/>
  <c r="BN46" i="11"/>
  <c r="BM46" i="11"/>
  <c r="BL46" i="11"/>
  <c r="BK46" i="11"/>
  <c r="BJ46" i="11"/>
  <c r="BI46" i="11"/>
  <c r="BH46" i="11"/>
  <c r="BG46"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D46" i="11"/>
  <c r="C46" i="11"/>
  <c r="BZ45" i="11"/>
  <c r="BY45" i="11"/>
  <c r="BX45" i="11"/>
  <c r="BW45" i="11"/>
  <c r="BV45" i="11"/>
  <c r="BU45" i="11"/>
  <c r="BT45" i="11"/>
  <c r="BS45" i="11"/>
  <c r="BR45" i="11"/>
  <c r="BQ45" i="11"/>
  <c r="BP45" i="11"/>
  <c r="BO45" i="11"/>
  <c r="BN45" i="11"/>
  <c r="BM45" i="11"/>
  <c r="BL45" i="11"/>
  <c r="BK45" i="11"/>
  <c r="BJ45"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D45" i="11"/>
  <c r="C45" i="11"/>
  <c r="BZ44" i="11"/>
  <c r="BY44" i="11"/>
  <c r="BX44" i="11"/>
  <c r="BW44" i="11"/>
  <c r="BV44" i="11"/>
  <c r="BU44" i="11"/>
  <c r="BT44" i="11"/>
  <c r="BS44" i="11"/>
  <c r="BR44" i="11"/>
  <c r="BQ44" i="11"/>
  <c r="BP44" i="11"/>
  <c r="BO44" i="11"/>
  <c r="BN44" i="11"/>
  <c r="BM44" i="11"/>
  <c r="BL44" i="11"/>
  <c r="BK44" i="11"/>
  <c r="BJ44" i="11"/>
  <c r="BI44" i="11"/>
  <c r="BH44"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D44" i="11"/>
  <c r="C44" i="11"/>
  <c r="BZ43" i="11"/>
  <c r="BY43" i="11"/>
  <c r="BX43" i="11"/>
  <c r="BW43" i="11"/>
  <c r="BV43" i="11"/>
  <c r="BU43" i="11"/>
  <c r="BT43" i="11"/>
  <c r="BS43" i="11"/>
  <c r="BR43" i="11"/>
  <c r="BQ43" i="11"/>
  <c r="BP43" i="11"/>
  <c r="BO43" i="11"/>
  <c r="BN43" i="11"/>
  <c r="BM43" i="11"/>
  <c r="BL43" i="11"/>
  <c r="BK43" i="11"/>
  <c r="BJ43" i="11"/>
  <c r="BI43" i="11"/>
  <c r="BH43" i="11"/>
  <c r="BG43"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D43" i="11"/>
  <c r="C43" i="11"/>
  <c r="BZ42" i="11"/>
  <c r="BY42" i="11"/>
  <c r="BX42" i="11"/>
  <c r="BW42" i="11"/>
  <c r="BV42" i="11"/>
  <c r="BU42" i="11"/>
  <c r="BT42" i="11"/>
  <c r="BS42" i="11"/>
  <c r="BR42" i="11"/>
  <c r="BQ42" i="11"/>
  <c r="BP42" i="11"/>
  <c r="BO42" i="11"/>
  <c r="BN42" i="11"/>
  <c r="BM42" i="11"/>
  <c r="BL42" i="11"/>
  <c r="BK42" i="11"/>
  <c r="BJ42" i="11"/>
  <c r="BH42" i="11"/>
  <c r="BG42" i="11"/>
  <c r="BF42" i="11"/>
  <c r="BE42" i="11"/>
  <c r="BC42" i="11"/>
  <c r="BA42" i="11"/>
  <c r="AZ42" i="11"/>
  <c r="AY42" i="11"/>
  <c r="AX42" i="11"/>
  <c r="AW42" i="11"/>
  <c r="AV42" i="11"/>
  <c r="AU42" i="11"/>
  <c r="AT42" i="11"/>
  <c r="AS42" i="11"/>
  <c r="AR42" i="11"/>
  <c r="AQ42" i="11"/>
  <c r="AO42" i="11"/>
  <c r="AN42" i="11"/>
  <c r="AK42" i="11"/>
  <c r="AJ42" i="11"/>
  <c r="AI42" i="11"/>
  <c r="AH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D42" i="11"/>
  <c r="C42" i="11"/>
  <c r="BZ41" i="11"/>
  <c r="BY41" i="11"/>
  <c r="BX41" i="11"/>
  <c r="BW41" i="11"/>
  <c r="BV41" i="11"/>
  <c r="BU41" i="11"/>
  <c r="BT41" i="11"/>
  <c r="BS41" i="11"/>
  <c r="BR41" i="11"/>
  <c r="BQ41" i="11"/>
  <c r="BP41" i="11"/>
  <c r="BO41" i="11"/>
  <c r="BN41" i="11"/>
  <c r="BM41" i="11"/>
  <c r="BL41" i="11"/>
  <c r="BK41" i="11"/>
  <c r="BJ41" i="11"/>
  <c r="BH41" i="11"/>
  <c r="BG41" i="11"/>
  <c r="BF41" i="11"/>
  <c r="BE41" i="11"/>
  <c r="BC41" i="11"/>
  <c r="BA41" i="11"/>
  <c r="AZ41" i="11"/>
  <c r="AY41" i="11"/>
  <c r="AX41" i="11"/>
  <c r="AW41" i="11"/>
  <c r="AV41" i="11"/>
  <c r="AU41" i="11"/>
  <c r="AT41" i="11"/>
  <c r="AS41" i="11"/>
  <c r="AR41" i="11"/>
  <c r="AQ41" i="11"/>
  <c r="AP41" i="11"/>
  <c r="AO41" i="11"/>
  <c r="AN41" i="11"/>
  <c r="AM41" i="11"/>
  <c r="AL41" i="11"/>
  <c r="AK41" i="11"/>
  <c r="AJ41" i="11"/>
  <c r="AI41" i="11"/>
  <c r="AH41" i="11"/>
  <c r="AG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D41" i="11"/>
  <c r="C41" i="11"/>
  <c r="BZ40" i="11"/>
  <c r="BY40" i="11"/>
  <c r="BX40" i="11"/>
  <c r="BW40" i="11"/>
  <c r="BV40" i="11"/>
  <c r="BU40" i="11"/>
  <c r="BT40" i="11"/>
  <c r="BS40" i="11"/>
  <c r="BR40" i="11"/>
  <c r="BQ40" i="11"/>
  <c r="BP40" i="11"/>
  <c r="BO40" i="11"/>
  <c r="BN40" i="11"/>
  <c r="BM40" i="11"/>
  <c r="BL40" i="11"/>
  <c r="BK40" i="11"/>
  <c r="BJ40" i="11"/>
  <c r="BI40" i="11"/>
  <c r="BH40" i="11"/>
  <c r="BG40" i="11"/>
  <c r="BF40" i="11"/>
  <c r="BE40" i="11"/>
  <c r="BC40" i="11"/>
  <c r="BA40" i="11"/>
  <c r="AZ40" i="11"/>
  <c r="AY40" i="11"/>
  <c r="AX40" i="11"/>
  <c r="AW40" i="11"/>
  <c r="AV40" i="11"/>
  <c r="AU40" i="11"/>
  <c r="AT40" i="11"/>
  <c r="AS40" i="11"/>
  <c r="AR40" i="11"/>
  <c r="AQ40" i="11"/>
  <c r="AN40" i="11"/>
  <c r="AL40" i="11"/>
  <c r="AJ40" i="11"/>
  <c r="AI40" i="11"/>
  <c r="AH40" i="11"/>
  <c r="AE40" i="11"/>
  <c r="AD40" i="11"/>
  <c r="AC40" i="11"/>
  <c r="AB40" i="11"/>
  <c r="AA40" i="11"/>
  <c r="Z40" i="11"/>
  <c r="Y40" i="11"/>
  <c r="X40" i="11"/>
  <c r="W40" i="11"/>
  <c r="U40" i="11"/>
  <c r="T40" i="11"/>
  <c r="S40" i="11"/>
  <c r="R40" i="11"/>
  <c r="Q40" i="11"/>
  <c r="P40" i="11"/>
  <c r="O40" i="11"/>
  <c r="N40" i="11"/>
  <c r="M40" i="11"/>
  <c r="L40" i="11"/>
  <c r="K40" i="11"/>
  <c r="J40" i="11"/>
  <c r="I40" i="11"/>
  <c r="H40" i="11"/>
  <c r="G40" i="11"/>
  <c r="F40" i="11"/>
  <c r="E40" i="11"/>
  <c r="D40" i="11"/>
  <c r="C40" i="11"/>
  <c r="BZ39" i="11"/>
  <c r="BY39" i="11"/>
  <c r="BX39" i="11"/>
  <c r="BW39" i="11"/>
  <c r="BV39" i="11"/>
  <c r="BU39" i="11"/>
  <c r="BT39" i="11"/>
  <c r="BS39" i="11"/>
  <c r="BR39" i="11"/>
  <c r="BQ39" i="11"/>
  <c r="BP39" i="11"/>
  <c r="BO39" i="11"/>
  <c r="BN39" i="11"/>
  <c r="BM39" i="11"/>
  <c r="BL39" i="11"/>
  <c r="BK39" i="11"/>
  <c r="BJ39" i="11"/>
  <c r="BI39" i="11"/>
  <c r="BH39" i="11"/>
  <c r="BG39" i="11"/>
  <c r="BF39" i="11"/>
  <c r="BE39" i="11"/>
  <c r="BC39" i="11"/>
  <c r="BA39" i="11"/>
  <c r="AZ39" i="11"/>
  <c r="AY39" i="11"/>
  <c r="AX39" i="11"/>
  <c r="AW39" i="11"/>
  <c r="AV39" i="11"/>
  <c r="AU39" i="11"/>
  <c r="AT39" i="11"/>
  <c r="AS39" i="11"/>
  <c r="AR39" i="11"/>
  <c r="AQ39" i="11"/>
  <c r="AO39" i="11"/>
  <c r="AN39" i="11"/>
  <c r="AM39" i="11"/>
  <c r="AL39" i="11"/>
  <c r="AK39" i="11"/>
  <c r="AJ39" i="11"/>
  <c r="AI39" i="11"/>
  <c r="AH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D39" i="11"/>
  <c r="C39" i="11"/>
  <c r="BZ38" i="11"/>
  <c r="BY38" i="11"/>
  <c r="BX38" i="11"/>
  <c r="BW38" i="11"/>
  <c r="BV38" i="11"/>
  <c r="BU38" i="11"/>
  <c r="BT38" i="11"/>
  <c r="BS38" i="11"/>
  <c r="BR38" i="11"/>
  <c r="BQ38" i="11"/>
  <c r="BP38" i="11"/>
  <c r="BO38" i="11"/>
  <c r="BN38" i="11"/>
  <c r="BM38" i="11"/>
  <c r="BL38" i="11"/>
  <c r="BK38" i="11"/>
  <c r="BJ38" i="11"/>
  <c r="BI38" i="11"/>
  <c r="BH38" i="11"/>
  <c r="BG38" i="11"/>
  <c r="BF38" i="11"/>
  <c r="BE38" i="11"/>
  <c r="BC38" i="11"/>
  <c r="BA38" i="11"/>
  <c r="AZ38" i="11"/>
  <c r="AY38" i="11"/>
  <c r="AX38" i="11"/>
  <c r="AW38" i="11"/>
  <c r="AV38" i="11"/>
  <c r="AU38" i="11"/>
  <c r="AT38" i="11"/>
  <c r="AS38" i="11"/>
  <c r="AR38" i="11"/>
  <c r="AQ38" i="11"/>
  <c r="AO38" i="11"/>
  <c r="AN38" i="11"/>
  <c r="AM38" i="11"/>
  <c r="AL38" i="11"/>
  <c r="AJ38" i="11"/>
  <c r="AI38" i="11"/>
  <c r="AH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BZ37" i="11"/>
  <c r="BY37" i="11"/>
  <c r="BX37" i="11"/>
  <c r="BW37" i="11"/>
  <c r="BV37" i="11"/>
  <c r="BU37" i="11"/>
  <c r="BT37"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BZ36" i="11"/>
  <c r="BY36" i="11"/>
  <c r="BX36" i="11"/>
  <c r="BW36" i="11"/>
  <c r="BV36" i="11"/>
  <c r="BU36" i="11"/>
  <c r="BT36" i="11"/>
  <c r="BS36" i="11"/>
  <c r="BR36" i="11"/>
  <c r="BQ36" i="11"/>
  <c r="BP36" i="11"/>
  <c r="BO36" i="11"/>
  <c r="BN36" i="11"/>
  <c r="BM36" i="11"/>
  <c r="BL36" i="11"/>
  <c r="BK36" i="11"/>
  <c r="BJ36" i="11"/>
  <c r="BI36" i="11"/>
  <c r="BH36" i="11"/>
  <c r="BG36" i="11"/>
  <c r="BF36" i="11"/>
  <c r="BE36" i="11"/>
  <c r="BC36" i="11"/>
  <c r="BA36" i="11"/>
  <c r="AZ36" i="11"/>
  <c r="AY36" i="11"/>
  <c r="AX36" i="11"/>
  <c r="AW36" i="11"/>
  <c r="AV36" i="11"/>
  <c r="AU36" i="11"/>
  <c r="AT36" i="11"/>
  <c r="AS36" i="11"/>
  <c r="AR36" i="11"/>
  <c r="AQ36" i="11"/>
  <c r="AO36" i="11"/>
  <c r="AN36" i="11"/>
  <c r="AL36" i="11"/>
  <c r="AJ36" i="11"/>
  <c r="AI36" i="11"/>
  <c r="AH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D36" i="11"/>
  <c r="C36" i="11"/>
  <c r="BZ35" i="11"/>
  <c r="BY35" i="11"/>
  <c r="BX35" i="11"/>
  <c r="BW35" i="11"/>
  <c r="BV35" i="11"/>
  <c r="BU35" i="11"/>
  <c r="BT35" i="11"/>
  <c r="BS35" i="11"/>
  <c r="BR35" i="11"/>
  <c r="BQ35" i="11"/>
  <c r="BP35" i="11"/>
  <c r="BO35" i="11"/>
  <c r="BN35" i="11"/>
  <c r="BM35" i="11"/>
  <c r="BL35" i="11"/>
  <c r="BK35" i="11"/>
  <c r="BJ35" i="11"/>
  <c r="BI35" i="11"/>
  <c r="BH35" i="11"/>
  <c r="BG35" i="11"/>
  <c r="BF35" i="11"/>
  <c r="BE35" i="11"/>
  <c r="BC35" i="11"/>
  <c r="BA35" i="11"/>
  <c r="AZ35" i="11"/>
  <c r="AY35" i="11"/>
  <c r="AX35" i="11"/>
  <c r="AW35" i="11"/>
  <c r="AV35" i="11"/>
  <c r="AU35" i="11"/>
  <c r="AT35" i="11"/>
  <c r="AS35" i="11"/>
  <c r="AR35" i="11"/>
  <c r="AQ35" i="11"/>
  <c r="AP35" i="11"/>
  <c r="AO35" i="11"/>
  <c r="AN35" i="11"/>
  <c r="AM35" i="11"/>
  <c r="AL35" i="11"/>
  <c r="AK35" i="11"/>
  <c r="AJ35" i="11"/>
  <c r="AI35" i="11"/>
  <c r="AH35" i="11"/>
  <c r="AG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D35" i="11"/>
  <c r="C35" i="11"/>
  <c r="BZ34" i="11"/>
  <c r="BY34" i="11"/>
  <c r="BX34" i="11"/>
  <c r="BW34" i="11"/>
  <c r="BV34" i="11"/>
  <c r="BU34" i="11"/>
  <c r="BT34" i="11"/>
  <c r="BS34" i="11"/>
  <c r="BR34" i="11"/>
  <c r="BQ34" i="11"/>
  <c r="BP34" i="11"/>
  <c r="BO34" i="11"/>
  <c r="BN34" i="11"/>
  <c r="BM34" i="11"/>
  <c r="BL34" i="11"/>
  <c r="BK34" i="11"/>
  <c r="BJ34" i="11"/>
  <c r="BI34" i="11"/>
  <c r="BH34" i="11"/>
  <c r="BG34" i="11"/>
  <c r="BF34" i="11"/>
  <c r="BE34" i="11"/>
  <c r="BC34" i="11"/>
  <c r="BA34" i="11"/>
  <c r="AZ34" i="11"/>
  <c r="AY34" i="11"/>
  <c r="AX34" i="11"/>
  <c r="AW34" i="11"/>
  <c r="AV34" i="11"/>
  <c r="AU34" i="11"/>
  <c r="AT34" i="11"/>
  <c r="AS34" i="11"/>
  <c r="AR34" i="11"/>
  <c r="AQ34" i="11"/>
  <c r="AP34" i="11"/>
  <c r="AO34" i="11"/>
  <c r="AN34" i="11"/>
  <c r="AM34" i="11"/>
  <c r="AL34" i="11"/>
  <c r="AK34" i="11"/>
  <c r="AJ34" i="11"/>
  <c r="AI34" i="11"/>
  <c r="AH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D34" i="11"/>
  <c r="C34"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BZ32" i="11"/>
  <c r="BY32" i="11"/>
  <c r="BX32" i="11"/>
  <c r="BW32" i="11"/>
  <c r="BV32" i="11"/>
  <c r="BU32" i="11"/>
  <c r="BT32" i="11"/>
  <c r="BS32" i="11"/>
  <c r="BR32" i="11"/>
  <c r="BQ32" i="11"/>
  <c r="BP32" i="11"/>
  <c r="BO32" i="11"/>
  <c r="BN32" i="11"/>
  <c r="BM32" i="11"/>
  <c r="BL32" i="11"/>
  <c r="BK32" i="11"/>
  <c r="BJ32" i="11"/>
  <c r="BI32" i="11"/>
  <c r="BH32" i="11"/>
  <c r="BG32" i="11"/>
  <c r="BF32" i="11"/>
  <c r="BE32" i="11"/>
  <c r="BC32" i="11"/>
  <c r="BA32" i="11"/>
  <c r="AZ32" i="11"/>
  <c r="AY32" i="11"/>
  <c r="AX32" i="11"/>
  <c r="AW32" i="11"/>
  <c r="AV32" i="11"/>
  <c r="AU32" i="11"/>
  <c r="AT32" i="11"/>
  <c r="AS32" i="11"/>
  <c r="AR32" i="11"/>
  <c r="AQ32" i="11"/>
  <c r="AP32" i="11"/>
  <c r="AO32" i="11"/>
  <c r="AN32" i="11"/>
  <c r="AM32" i="11"/>
  <c r="AL32" i="11"/>
  <c r="AK32" i="11"/>
  <c r="AJ32" i="11"/>
  <c r="AI32" i="11"/>
  <c r="AH32" i="11"/>
  <c r="AG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D32" i="11"/>
  <c r="C32"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W26" i="11"/>
  <c r="V26" i="11"/>
  <c r="U26" i="11"/>
  <c r="T26" i="11"/>
  <c r="S26" i="11"/>
  <c r="R26" i="11"/>
  <c r="Q26" i="11"/>
  <c r="P26" i="11"/>
  <c r="O26" i="11"/>
  <c r="N26" i="11"/>
  <c r="M26" i="11"/>
  <c r="L26" i="11"/>
  <c r="K26" i="11"/>
  <c r="J26" i="11"/>
  <c r="I26" i="11"/>
  <c r="H26" i="11"/>
  <c r="G26" i="11"/>
  <c r="F26" i="11"/>
  <c r="E26" i="11"/>
  <c r="D26" i="1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AD25" i="11"/>
  <c r="AC25" i="11"/>
  <c r="AB25" i="11"/>
  <c r="AA25" i="11"/>
  <c r="Z25" i="11"/>
  <c r="Y25" i="11"/>
  <c r="W25" i="11"/>
  <c r="V25" i="11"/>
  <c r="U25" i="11"/>
  <c r="T25" i="11"/>
  <c r="S25" i="11"/>
  <c r="R25" i="11"/>
  <c r="Q25" i="11"/>
  <c r="P25" i="11"/>
  <c r="O25" i="11"/>
  <c r="N25" i="11"/>
  <c r="M25" i="11"/>
  <c r="L25" i="11"/>
  <c r="K25" i="11"/>
  <c r="J25" i="11"/>
  <c r="I25" i="11"/>
  <c r="H25" i="11"/>
  <c r="G25" i="11"/>
  <c r="F25" i="11"/>
  <c r="E25" i="11"/>
  <c r="D25"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W24" i="11"/>
  <c r="V24" i="11"/>
  <c r="U24" i="11"/>
  <c r="T24" i="11"/>
  <c r="S24" i="11"/>
  <c r="R24" i="11"/>
  <c r="Q24" i="11"/>
  <c r="P24" i="11"/>
  <c r="O24" i="11"/>
  <c r="N24" i="11"/>
  <c r="M24" i="11"/>
  <c r="L24" i="11"/>
  <c r="K24" i="11"/>
  <c r="J24" i="11"/>
  <c r="I24" i="11"/>
  <c r="H24" i="11"/>
  <c r="G24" i="11"/>
  <c r="F24" i="11"/>
  <c r="E24" i="11"/>
  <c r="D24" i="11"/>
  <c r="BB23" i="11"/>
  <c r="BA23" i="11"/>
  <c r="AZ23" i="11"/>
  <c r="AY23" i="11"/>
  <c r="AX23" i="11"/>
  <c r="AW23" i="11"/>
  <c r="AV23" i="11"/>
  <c r="AU23" i="11"/>
  <c r="AT23" i="11"/>
  <c r="AS23" i="11"/>
  <c r="AR23" i="11"/>
  <c r="AQ23" i="11"/>
  <c r="AP23" i="11"/>
  <c r="AO23" i="11"/>
  <c r="AN23" i="11"/>
  <c r="AM23" i="11"/>
  <c r="AL23" i="11"/>
  <c r="AK23" i="11"/>
  <c r="AJ23" i="11"/>
  <c r="AI23" i="11"/>
  <c r="AF23" i="11"/>
  <c r="AE23" i="11"/>
  <c r="AD23" i="11"/>
  <c r="AA23" i="11"/>
  <c r="Z23" i="11"/>
  <c r="Y23" i="11"/>
  <c r="W23" i="11"/>
  <c r="U23" i="11"/>
  <c r="T23" i="11"/>
  <c r="R23" i="11"/>
  <c r="Q23" i="11"/>
  <c r="O23" i="11"/>
  <c r="N23" i="11"/>
  <c r="M23" i="11"/>
  <c r="L23" i="11"/>
  <c r="K23" i="11"/>
  <c r="I23" i="11"/>
  <c r="H23" i="11"/>
  <c r="G23" i="11"/>
  <c r="F23" i="11"/>
  <c r="E23" i="11"/>
  <c r="D23"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W22" i="11"/>
  <c r="V22" i="11"/>
  <c r="U22" i="11"/>
  <c r="T22" i="11"/>
  <c r="S22" i="11"/>
  <c r="R22" i="11"/>
  <c r="Q22" i="11"/>
  <c r="P22" i="11"/>
  <c r="O22" i="11"/>
  <c r="N22" i="11"/>
  <c r="M22" i="11"/>
  <c r="L22" i="11"/>
  <c r="K22" i="11"/>
  <c r="J22" i="11"/>
  <c r="I22" i="11"/>
  <c r="H22" i="11"/>
  <c r="G22" i="11"/>
  <c r="F22" i="11"/>
  <c r="E22" i="11"/>
  <c r="D22"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W21" i="11"/>
  <c r="V21" i="11"/>
  <c r="U21" i="11"/>
  <c r="T21" i="11"/>
  <c r="S21" i="11"/>
  <c r="R21" i="11"/>
  <c r="Q21" i="11"/>
  <c r="P21" i="11"/>
  <c r="O21" i="11"/>
  <c r="N21" i="11"/>
  <c r="M21" i="11"/>
  <c r="L21" i="11"/>
  <c r="K21" i="11"/>
  <c r="J21" i="11"/>
  <c r="I21" i="11"/>
  <c r="H21" i="11"/>
  <c r="G21" i="11"/>
  <c r="F21" i="11"/>
  <c r="E21" i="11"/>
  <c r="D21"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W20" i="11"/>
  <c r="V20" i="11"/>
  <c r="U20" i="11"/>
  <c r="T20" i="11"/>
  <c r="S20" i="11"/>
  <c r="R20" i="11"/>
  <c r="Q20" i="11"/>
  <c r="P20" i="11"/>
  <c r="O20" i="11"/>
  <c r="N20" i="11"/>
  <c r="M20" i="11"/>
  <c r="L20" i="11"/>
  <c r="K20" i="11"/>
  <c r="J20" i="11"/>
  <c r="I20" i="11"/>
  <c r="H20" i="11"/>
  <c r="G20" i="11"/>
  <c r="F20" i="11"/>
  <c r="E20" i="11"/>
  <c r="D20"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A19" i="11"/>
  <c r="Z19" i="11"/>
  <c r="Y19" i="11"/>
  <c r="U19" i="11"/>
  <c r="T19" i="11"/>
  <c r="R19" i="11"/>
  <c r="N19" i="11"/>
  <c r="M19" i="11"/>
  <c r="L19" i="11"/>
  <c r="K19" i="11"/>
  <c r="I19" i="11"/>
  <c r="H19" i="11"/>
  <c r="G19" i="11"/>
  <c r="F19" i="11"/>
  <c r="E19" i="11"/>
  <c r="D19"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A18" i="11"/>
  <c r="Z18" i="11"/>
  <c r="Y18" i="11"/>
  <c r="W18" i="11"/>
  <c r="V18" i="11"/>
  <c r="U18" i="11"/>
  <c r="T18" i="11"/>
  <c r="R18" i="11"/>
  <c r="Q18" i="11"/>
  <c r="O18" i="11"/>
  <c r="N18" i="11"/>
  <c r="M18" i="11"/>
  <c r="L18" i="11"/>
  <c r="K18" i="11"/>
  <c r="I18" i="11"/>
  <c r="H18" i="11"/>
  <c r="G18" i="11"/>
  <c r="F18" i="11"/>
  <c r="E18" i="11"/>
  <c r="D18" i="11"/>
  <c r="BB17" i="11"/>
  <c r="BA17" i="11"/>
  <c r="AZ17" i="11"/>
  <c r="AY17" i="11"/>
  <c r="AX17" i="11"/>
  <c r="AW17" i="11"/>
  <c r="AV17" i="11"/>
  <c r="AU17" i="11"/>
  <c r="AT17" i="11"/>
  <c r="AS17" i="11"/>
  <c r="AR17" i="11"/>
  <c r="AQ17" i="11"/>
  <c r="AP17" i="11"/>
  <c r="AO17" i="11"/>
  <c r="AN17" i="11"/>
  <c r="AM17" i="11"/>
  <c r="AL17" i="11"/>
  <c r="AK17" i="11"/>
  <c r="AJ17" i="11"/>
  <c r="AI17" i="11"/>
  <c r="AH17" i="11"/>
  <c r="AG17" i="11"/>
  <c r="AF17" i="11"/>
  <c r="AE17" i="11"/>
  <c r="AD17" i="11"/>
  <c r="AA17" i="11"/>
  <c r="Z17" i="11"/>
  <c r="Y17" i="11"/>
  <c r="U17" i="11"/>
  <c r="T17" i="11"/>
  <c r="Q17" i="11"/>
  <c r="O17" i="11"/>
  <c r="N17" i="11"/>
  <c r="M17" i="11"/>
  <c r="L17" i="11"/>
  <c r="F17" i="11"/>
  <c r="E17" i="11"/>
  <c r="D17"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A16" i="11"/>
  <c r="Z16" i="11"/>
  <c r="Y16" i="11"/>
  <c r="U16" i="11"/>
  <c r="T16" i="11"/>
  <c r="O16" i="11"/>
  <c r="N16" i="11"/>
  <c r="M16" i="11"/>
  <c r="L16" i="11"/>
  <c r="F16" i="11"/>
  <c r="E16" i="11"/>
  <c r="D16"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W15" i="11"/>
  <c r="V15" i="11"/>
  <c r="U15" i="11"/>
  <c r="T15" i="11"/>
  <c r="S15" i="11"/>
  <c r="R15" i="11"/>
  <c r="Q15" i="11"/>
  <c r="P15" i="11"/>
  <c r="O15" i="11"/>
  <c r="N15" i="11"/>
  <c r="M15" i="11"/>
  <c r="L15" i="11"/>
  <c r="K15" i="11"/>
  <c r="J15" i="11"/>
  <c r="I15" i="11"/>
  <c r="H15" i="11"/>
  <c r="G15" i="11"/>
  <c r="F15" i="11"/>
  <c r="E15" i="11"/>
  <c r="D15"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W14" i="11"/>
  <c r="V14" i="11"/>
  <c r="U14" i="11"/>
  <c r="T14" i="11"/>
  <c r="S14" i="11"/>
  <c r="R14" i="11"/>
  <c r="Q14" i="11"/>
  <c r="P14" i="11"/>
  <c r="O14" i="11"/>
  <c r="N14" i="11"/>
  <c r="M14" i="11"/>
  <c r="L14" i="11"/>
  <c r="K14" i="11"/>
  <c r="J14" i="11"/>
  <c r="I14" i="11"/>
  <c r="H14" i="11"/>
  <c r="G14" i="11"/>
  <c r="F14" i="11"/>
  <c r="E14" i="11"/>
  <c r="D14" i="11"/>
  <c r="C14"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W13" i="11"/>
  <c r="V13" i="11"/>
  <c r="U13" i="11"/>
  <c r="T13" i="11"/>
  <c r="S13" i="11"/>
  <c r="R13" i="11"/>
  <c r="Q13" i="11"/>
  <c r="P13" i="11"/>
  <c r="O13" i="11"/>
  <c r="N13" i="11"/>
  <c r="M13" i="11"/>
  <c r="L13" i="11"/>
  <c r="K13" i="11"/>
  <c r="J13" i="11"/>
  <c r="I13" i="11"/>
  <c r="H13" i="11"/>
  <c r="G13" i="11"/>
  <c r="F13" i="11"/>
  <c r="E13" i="11"/>
  <c r="D13" i="11"/>
  <c r="C13"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Z12" i="11"/>
  <c r="Y12" i="11"/>
  <c r="W12" i="11"/>
  <c r="U12" i="11"/>
  <c r="T12" i="11"/>
  <c r="R12" i="11"/>
  <c r="Q12" i="11"/>
  <c r="O12" i="11"/>
  <c r="N12" i="11"/>
  <c r="M12" i="11"/>
  <c r="L12" i="11"/>
  <c r="K12" i="11"/>
  <c r="I12" i="11"/>
  <c r="H12" i="11"/>
  <c r="G12" i="11"/>
  <c r="F12" i="11"/>
  <c r="E12" i="11"/>
  <c r="D12" i="11"/>
  <c r="C12"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W11" i="11"/>
  <c r="U11" i="11"/>
  <c r="T11" i="11"/>
  <c r="R11" i="11"/>
  <c r="Q11" i="11"/>
  <c r="O11" i="11"/>
  <c r="N11" i="11"/>
  <c r="M11" i="11"/>
  <c r="L11" i="11"/>
  <c r="K11" i="11"/>
  <c r="I11" i="11"/>
  <c r="H11" i="11"/>
  <c r="G11" i="11"/>
  <c r="F11" i="11"/>
  <c r="E11" i="11"/>
  <c r="D11" i="11"/>
  <c r="C11"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W10" i="11"/>
  <c r="U10" i="11"/>
  <c r="T10" i="11"/>
  <c r="R10" i="11"/>
  <c r="Q10" i="11"/>
  <c r="O10" i="11"/>
  <c r="N10" i="11"/>
  <c r="M10" i="11"/>
  <c r="L10" i="11"/>
  <c r="K10" i="11"/>
  <c r="I10" i="11"/>
  <c r="H10" i="11"/>
  <c r="G10" i="11"/>
  <c r="F10" i="11"/>
  <c r="E10" i="11"/>
  <c r="D10" i="11"/>
  <c r="C10"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Y9" i="11"/>
  <c r="W9" i="11"/>
  <c r="V9" i="11"/>
  <c r="U9" i="11"/>
  <c r="T9" i="11"/>
  <c r="S9" i="11"/>
  <c r="R9" i="11"/>
  <c r="Q9" i="11"/>
  <c r="P9" i="11"/>
  <c r="O9" i="11"/>
  <c r="N9" i="11"/>
  <c r="M9" i="11"/>
  <c r="L9" i="11"/>
  <c r="K9" i="11"/>
  <c r="J9" i="11"/>
  <c r="I9" i="11"/>
  <c r="H9" i="11"/>
  <c r="G9" i="11"/>
  <c r="F9" i="11"/>
  <c r="E9" i="11"/>
  <c r="D9" i="11"/>
  <c r="C9" i="11"/>
  <c r="BB8" i="11"/>
  <c r="BA8" i="11"/>
  <c r="AZ8" i="11"/>
  <c r="AY8" i="11"/>
  <c r="AX8" i="11"/>
  <c r="AW8" i="11"/>
  <c r="AV8" i="11"/>
  <c r="AU8" i="11"/>
  <c r="AT8" i="11"/>
  <c r="AS8" i="11"/>
  <c r="AR8" i="11"/>
  <c r="AQ8" i="11"/>
  <c r="AP8" i="11"/>
  <c r="AO8" i="11"/>
  <c r="AN8" i="11"/>
  <c r="AM8" i="11"/>
  <c r="AL8" i="11"/>
  <c r="AK8" i="11"/>
  <c r="AJ8" i="11"/>
  <c r="AI8" i="11"/>
  <c r="AH8" i="11"/>
  <c r="AG8" i="11"/>
  <c r="AF8" i="11"/>
  <c r="AE8" i="11"/>
  <c r="AD8" i="11"/>
  <c r="AC8" i="11"/>
  <c r="AB8" i="11"/>
  <c r="AA8" i="11"/>
  <c r="Z8" i="11"/>
  <c r="Y8" i="11"/>
  <c r="W8" i="11"/>
  <c r="V8" i="11"/>
  <c r="U8" i="11"/>
  <c r="T8" i="11"/>
  <c r="S8" i="11"/>
  <c r="R8" i="11"/>
  <c r="Q8" i="11"/>
  <c r="P8" i="11"/>
  <c r="O8" i="11"/>
  <c r="N8" i="11"/>
  <c r="M8" i="11"/>
  <c r="L8" i="11"/>
  <c r="K8" i="11"/>
  <c r="J8" i="11"/>
  <c r="I8" i="11"/>
  <c r="H8" i="11"/>
  <c r="G8" i="11"/>
  <c r="F8" i="11"/>
  <c r="E8" i="11"/>
  <c r="D8" i="11"/>
  <c r="C8" i="11"/>
  <c r="BB7" i="11"/>
  <c r="BA7" i="11"/>
  <c r="AZ7" i="11"/>
  <c r="AY7" i="11"/>
  <c r="AX7" i="11"/>
  <c r="AW7" i="11"/>
  <c r="AV7" i="11"/>
  <c r="AU7" i="11"/>
  <c r="AT7" i="11"/>
  <c r="AS7" i="11"/>
  <c r="AR7" i="11"/>
  <c r="AQ7" i="11"/>
  <c r="AP7" i="11"/>
  <c r="AO7" i="11"/>
  <c r="AN7" i="11"/>
  <c r="AM7" i="11"/>
  <c r="AL7" i="11"/>
  <c r="AK7" i="11"/>
  <c r="AJ7" i="11"/>
  <c r="AI7" i="11"/>
  <c r="AH7" i="11"/>
  <c r="AG7" i="11"/>
  <c r="AF7" i="11"/>
  <c r="AE7" i="11"/>
  <c r="AD7" i="11"/>
  <c r="AC7" i="11"/>
  <c r="AB7" i="11"/>
  <c r="AA7" i="11"/>
  <c r="Z7" i="11"/>
  <c r="Y7" i="11"/>
  <c r="W7" i="11"/>
  <c r="V7" i="11"/>
  <c r="U7" i="11"/>
  <c r="T7" i="11"/>
  <c r="S7" i="11"/>
  <c r="R7" i="11"/>
  <c r="Q7" i="11"/>
  <c r="P7" i="11"/>
  <c r="O7" i="11"/>
  <c r="N7" i="11"/>
  <c r="M7" i="11"/>
  <c r="L7" i="11"/>
  <c r="K7" i="11"/>
  <c r="J7" i="11"/>
  <c r="I7" i="11"/>
  <c r="H7" i="11"/>
  <c r="G7" i="11"/>
  <c r="F7" i="11"/>
  <c r="E7" i="11"/>
  <c r="D7" i="11"/>
  <c r="C7"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W6" i="11"/>
  <c r="V6" i="11"/>
  <c r="U6" i="11"/>
  <c r="T6" i="11"/>
  <c r="S6" i="11"/>
  <c r="R6" i="11"/>
  <c r="Q6" i="11"/>
  <c r="P6" i="11"/>
  <c r="O6" i="11"/>
  <c r="N6" i="11"/>
  <c r="M6" i="11"/>
  <c r="L6" i="11"/>
  <c r="K6" i="11"/>
  <c r="J6" i="11"/>
  <c r="I6" i="11"/>
  <c r="H6" i="11"/>
  <c r="G6" i="11"/>
  <c r="F6" i="11"/>
  <c r="E6" i="11"/>
  <c r="D6" i="11"/>
  <c r="C6" i="11"/>
  <c r="BB5" i="11"/>
  <c r="BA5" i="11"/>
  <c r="AZ5" i="11"/>
  <c r="AY5" i="11"/>
  <c r="AX5"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W5" i="11"/>
  <c r="V5" i="11"/>
  <c r="U5" i="11"/>
  <c r="T5" i="11"/>
  <c r="S5" i="11"/>
  <c r="R5" i="11"/>
  <c r="Q5" i="11"/>
  <c r="P5" i="11"/>
  <c r="O5" i="11"/>
  <c r="N5" i="11"/>
  <c r="M5" i="11"/>
  <c r="L5" i="11"/>
  <c r="K5" i="11"/>
  <c r="J5" i="11"/>
  <c r="I5" i="11"/>
  <c r="H5" i="11"/>
  <c r="G5" i="11"/>
  <c r="F5" i="11"/>
  <c r="E5" i="11"/>
  <c r="D5" i="11"/>
  <c r="C5" i="11"/>
  <c r="BB4" i="11"/>
  <c r="BA4" i="11"/>
  <c r="AZ4" i="11"/>
  <c r="AY4" i="11"/>
  <c r="AX4" i="11"/>
  <c r="AW4" i="11"/>
  <c r="AV4" i="11"/>
  <c r="AU4" i="11"/>
  <c r="AT4" i="11"/>
  <c r="AS4" i="11"/>
  <c r="AR4" i="11"/>
  <c r="AQ4" i="11"/>
  <c r="AP4" i="11"/>
  <c r="AO4" i="11"/>
  <c r="AN4" i="11"/>
  <c r="AM4" i="11"/>
  <c r="AL4" i="11"/>
  <c r="AK4" i="11"/>
  <c r="AJ4" i="11"/>
  <c r="AI4" i="11"/>
  <c r="AH4" i="11"/>
  <c r="AG4" i="11"/>
  <c r="AF4" i="11"/>
  <c r="AE4" i="11"/>
  <c r="AD4" i="11"/>
  <c r="AC4" i="11"/>
  <c r="AB4" i="11"/>
  <c r="AA4" i="11"/>
  <c r="Z4" i="11"/>
  <c r="Y4" i="11"/>
  <c r="W4" i="11"/>
  <c r="V4" i="11"/>
  <c r="U4" i="11"/>
  <c r="T4" i="11"/>
  <c r="S4" i="11"/>
  <c r="R4" i="11"/>
  <c r="Q4" i="11"/>
  <c r="P4" i="11"/>
  <c r="O4" i="11"/>
  <c r="N4" i="11"/>
  <c r="M4" i="11"/>
  <c r="L4" i="11"/>
  <c r="K4" i="11"/>
  <c r="J4" i="11"/>
  <c r="I4" i="11"/>
  <c r="H4" i="11"/>
  <c r="G4" i="11"/>
  <c r="F4" i="11"/>
  <c r="E4" i="11"/>
  <c r="D4" i="11"/>
  <c r="C4" i="11"/>
  <c r="BB3" i="11"/>
  <c r="BA3" i="11"/>
  <c r="AZ3" i="11"/>
  <c r="AY3" i="11"/>
  <c r="AX3" i="11"/>
  <c r="AW3" i="11"/>
  <c r="AV3" i="11"/>
  <c r="AU3" i="11"/>
  <c r="AT3" i="11"/>
  <c r="AS3" i="11"/>
  <c r="AR3" i="11"/>
  <c r="AQ3" i="11"/>
  <c r="AP3" i="11"/>
  <c r="AO3" i="11"/>
  <c r="AN3" i="11"/>
  <c r="AM3" i="11"/>
  <c r="AL3" i="11"/>
  <c r="AK3" i="11"/>
  <c r="AJ3" i="11"/>
  <c r="AI3" i="11"/>
  <c r="AH3" i="11"/>
  <c r="AG3" i="11"/>
  <c r="AF3" i="11"/>
  <c r="AE3" i="11"/>
  <c r="AD3" i="11"/>
  <c r="AC3" i="11"/>
  <c r="AB3" i="11"/>
  <c r="AA3" i="11"/>
  <c r="Z3" i="11"/>
  <c r="Y3" i="11"/>
  <c r="W3" i="11"/>
  <c r="V3" i="11"/>
  <c r="U3" i="11"/>
  <c r="T3" i="11"/>
  <c r="S3" i="11"/>
  <c r="R3" i="11"/>
  <c r="Q3" i="11"/>
  <c r="P3" i="11"/>
  <c r="O3" i="11"/>
  <c r="N3" i="11"/>
  <c r="M3" i="11"/>
  <c r="L3" i="11"/>
  <c r="K3" i="11"/>
  <c r="J3" i="11"/>
  <c r="I3" i="11"/>
  <c r="H3" i="11"/>
  <c r="G3" i="11"/>
  <c r="F3" i="11"/>
  <c r="E3" i="11"/>
  <c r="D3" i="11"/>
  <c r="C3" i="11"/>
  <c r="C26" i="11"/>
  <c r="C25" i="11"/>
  <c r="C24" i="11"/>
  <c r="C23" i="11"/>
  <c r="C22" i="11"/>
  <c r="C21" i="11"/>
  <c r="C20" i="11"/>
  <c r="C19" i="11"/>
  <c r="C18" i="11"/>
  <c r="C17" i="11"/>
  <c r="C15" i="11"/>
  <c r="C16" i="11"/>
  <c r="I2138" i="3" l="1"/>
  <c r="G2138" i="3"/>
  <c r="I2137" i="3"/>
  <c r="G2137" i="3"/>
  <c r="I2136" i="3"/>
  <c r="G2136" i="3"/>
  <c r="I2135" i="3"/>
  <c r="G2135" i="3"/>
  <c r="I2134" i="3"/>
  <c r="G2134" i="3"/>
  <c r="I2133" i="3"/>
  <c r="G2133" i="3"/>
  <c r="I2132" i="3"/>
  <c r="G2132" i="3"/>
  <c r="I2131" i="3"/>
  <c r="G2131" i="3"/>
  <c r="I2130" i="3"/>
  <c r="G2130" i="3"/>
  <c r="I2129" i="3"/>
  <c r="G2129" i="3"/>
  <c r="I2128" i="3"/>
  <c r="G2128" i="3"/>
  <c r="I2127" i="3"/>
  <c r="G2127" i="3"/>
  <c r="I2126" i="3"/>
  <c r="G2126" i="3"/>
  <c r="I2125" i="3"/>
  <c r="G2125" i="3"/>
  <c r="I2124" i="3"/>
  <c r="G2124" i="3"/>
  <c r="I2123" i="3"/>
  <c r="G2123" i="3"/>
  <c r="I2121" i="3"/>
  <c r="G2121" i="3"/>
  <c r="I2120" i="3"/>
  <c r="G2120" i="3"/>
  <c r="I2119" i="3"/>
  <c r="G2119" i="3"/>
  <c r="I2118" i="3"/>
  <c r="G2118" i="3"/>
  <c r="I2117" i="3"/>
  <c r="G2117" i="3"/>
  <c r="I2116" i="3"/>
  <c r="G2116" i="3"/>
  <c r="I2115" i="3"/>
  <c r="G2115" i="3"/>
  <c r="I2114" i="3"/>
  <c r="G2114" i="3"/>
  <c r="I2113" i="3"/>
  <c r="G2113" i="3"/>
  <c r="I2111" i="3"/>
  <c r="G2111" i="3"/>
  <c r="I2110" i="3"/>
  <c r="G2110" i="3"/>
  <c r="I2109" i="3"/>
  <c r="G2109" i="3"/>
  <c r="I2107" i="3"/>
  <c r="G2107" i="3"/>
  <c r="I2106" i="3"/>
  <c r="G2106" i="3"/>
  <c r="E2138" i="3"/>
  <c r="C2138" i="3"/>
  <c r="E2137" i="3"/>
  <c r="C2137" i="3"/>
  <c r="E2136" i="3"/>
  <c r="C2136" i="3"/>
  <c r="E2135" i="3"/>
  <c r="C2135" i="3"/>
  <c r="E2134" i="3"/>
  <c r="C2134" i="3"/>
  <c r="E2133" i="3"/>
  <c r="C2133" i="3"/>
  <c r="E2132" i="3"/>
  <c r="C2132" i="3"/>
  <c r="E2131" i="3"/>
  <c r="C2131" i="3"/>
  <c r="E2130" i="3"/>
  <c r="C2130" i="3"/>
  <c r="E2129" i="3"/>
  <c r="C2129" i="3"/>
  <c r="E2128" i="3"/>
  <c r="C2128" i="3"/>
  <c r="E2127" i="3"/>
  <c r="C2127" i="3"/>
  <c r="E2126" i="3"/>
  <c r="C2126" i="3"/>
  <c r="E2125" i="3"/>
  <c r="C2125" i="3"/>
  <c r="E2124" i="3"/>
  <c r="C2124" i="3"/>
  <c r="E2123" i="3"/>
  <c r="C2123" i="3"/>
  <c r="E2121" i="3"/>
  <c r="C2121" i="3"/>
  <c r="E2120" i="3"/>
  <c r="C2120" i="3"/>
  <c r="E2119" i="3"/>
  <c r="C2119" i="3"/>
  <c r="E2118" i="3"/>
  <c r="C2118" i="3"/>
  <c r="E2117" i="3"/>
  <c r="C2117" i="3"/>
  <c r="E2116" i="3"/>
  <c r="C2116" i="3"/>
  <c r="E2115" i="3"/>
  <c r="C2115" i="3"/>
  <c r="E2114" i="3"/>
  <c r="E2113" i="3"/>
  <c r="E2111" i="3"/>
  <c r="E2110" i="3"/>
  <c r="E2109" i="3"/>
  <c r="E2107" i="3"/>
  <c r="E2106" i="3"/>
  <c r="C2114" i="3"/>
  <c r="C2113" i="3"/>
  <c r="C2111" i="3"/>
  <c r="C2110" i="3"/>
  <c r="C2109" i="3"/>
  <c r="C2107" i="3"/>
  <c r="C2106" i="3"/>
  <c r="G2122" i="3" l="1"/>
  <c r="C2112" i="3"/>
  <c r="I2108" i="3"/>
  <c r="C2108" i="3"/>
  <c r="I2122" i="3"/>
  <c r="I2112" i="3"/>
  <c r="G2112" i="3"/>
  <c r="G2108" i="3"/>
  <c r="E2122" i="3"/>
  <c r="E2108" i="3"/>
  <c r="E2112" i="3"/>
  <c r="C2122" i="3"/>
  <c r="K2136" i="3"/>
  <c r="K2106" i="3"/>
  <c r="K2135" i="3"/>
  <c r="K2134" i="3"/>
  <c r="K2138" i="3"/>
  <c r="K2137" i="3"/>
  <c r="K2114" i="3"/>
  <c r="K2117" i="3"/>
  <c r="K2119" i="3"/>
  <c r="K2120" i="3"/>
  <c r="K2121" i="3"/>
  <c r="K2123" i="3"/>
  <c r="K2124" i="3"/>
  <c r="K2125" i="3"/>
  <c r="K2126" i="3"/>
  <c r="K2127" i="3"/>
  <c r="K2128" i="3"/>
  <c r="K2129" i="3"/>
  <c r="K2130" i="3"/>
  <c r="K2131" i="3"/>
  <c r="K2132" i="3"/>
  <c r="K2133" i="3"/>
  <c r="K2109" i="3"/>
  <c r="K2116" i="3"/>
  <c r="K2107" i="3"/>
  <c r="K2113" i="3"/>
  <c r="K2111" i="3"/>
  <c r="K2115" i="3"/>
  <c r="K2118" i="3"/>
  <c r="L66" i="5"/>
  <c r="L82" i="1"/>
  <c r="C2139" i="3" l="1"/>
  <c r="I2139" i="3"/>
  <c r="E2139" i="3"/>
  <c r="G2139" i="3"/>
  <c r="K2122" i="3"/>
  <c r="K2110" i="3"/>
  <c r="AG58" i="1"/>
  <c r="Q16" i="11" s="1"/>
  <c r="L2110" i="3" l="1"/>
  <c r="A2140" i="3"/>
  <c r="L2122" i="3"/>
  <c r="L2132" i="3"/>
  <c r="L2138" i="3"/>
  <c r="L2127" i="3"/>
  <c r="L2118" i="3"/>
  <c r="L2120" i="3"/>
  <c r="L2113" i="3"/>
  <c r="L2134" i="3"/>
  <c r="L2131" i="3"/>
  <c r="L2114" i="3"/>
  <c r="L2119" i="3"/>
  <c r="L2107" i="3"/>
  <c r="L2108" i="3"/>
  <c r="L2125" i="3"/>
  <c r="L2135" i="3"/>
  <c r="L2117" i="3"/>
  <c r="L2116" i="3"/>
  <c r="L2130" i="3"/>
  <c r="L2124" i="3"/>
  <c r="L2121" i="3"/>
  <c r="L2106" i="3"/>
  <c r="L2129" i="3"/>
  <c r="L2126" i="3"/>
  <c r="L2123" i="3"/>
  <c r="L2115" i="3"/>
  <c r="L2136" i="3"/>
  <c r="L2128" i="3"/>
  <c r="L2109" i="3"/>
  <c r="L2137" i="3"/>
  <c r="L2133" i="3"/>
  <c r="L2111" i="3"/>
  <c r="K2139" i="3"/>
  <c r="ER47" i="5"/>
  <c r="AP46" i="5"/>
  <c r="AQ46" i="5"/>
  <c r="CP45" i="5" l="1"/>
  <c r="BT41" i="5"/>
  <c r="BL34" i="5" l="1"/>
  <c r="BO34" i="5" s="1"/>
  <c r="BT27" i="5" l="1"/>
  <c r="BT25" i="5"/>
  <c r="AU23" i="5" l="1"/>
  <c r="AZ23" i="5" s="1"/>
  <c r="AU22" i="5"/>
  <c r="AZ22" i="5" l="1"/>
  <c r="AP38" i="11" s="1"/>
  <c r="AK38" i="11"/>
  <c r="AW21" i="5"/>
  <c r="AM36" i="11" s="1"/>
  <c r="AU21" i="5"/>
  <c r="AZ21" i="5" l="1"/>
  <c r="AP36" i="11" s="1"/>
  <c r="AK36" i="11"/>
  <c r="AW20" i="5"/>
  <c r="AM40" i="11" s="1"/>
  <c r="AZ14" i="5" l="1"/>
  <c r="AP39" i="11" s="1"/>
  <c r="AQ13" i="5"/>
  <c r="BL63" i="5"/>
  <c r="BO63" i="5" s="1"/>
  <c r="BL62" i="5"/>
  <c r="BO62" i="5" s="1"/>
  <c r="BL61" i="5"/>
  <c r="BO61" i="5" s="1"/>
  <c r="BL60" i="5"/>
  <c r="BO60" i="5" s="1"/>
  <c r="BL59" i="5"/>
  <c r="BO59" i="5" s="1"/>
  <c r="BL58" i="5"/>
  <c r="BO58" i="5" s="1"/>
  <c r="BL57" i="5"/>
  <c r="BO57" i="5" s="1"/>
  <c r="BL56" i="5"/>
  <c r="BO56" i="5" s="1"/>
  <c r="BL55" i="5"/>
  <c r="BO55" i="5" s="1"/>
  <c r="BL54" i="5"/>
  <c r="BO54" i="5" s="1"/>
  <c r="BL53" i="5"/>
  <c r="BO53" i="5" s="1"/>
  <c r="BL52" i="5"/>
  <c r="BO52" i="5" s="1"/>
  <c r="BL51" i="5"/>
  <c r="BL50" i="5"/>
  <c r="BO50" i="5" s="1"/>
  <c r="BL49" i="5"/>
  <c r="BO49" i="5" s="1"/>
  <c r="BL48" i="5"/>
  <c r="BO48" i="5" s="1"/>
  <c r="BL47" i="5"/>
  <c r="BO47" i="5" s="1"/>
  <c r="BL46" i="5"/>
  <c r="BL45" i="5"/>
  <c r="BL44" i="5"/>
  <c r="BO44" i="5" s="1"/>
  <c r="BL43" i="5"/>
  <c r="BL42" i="5"/>
  <c r="BO42" i="5" s="1"/>
  <c r="BL41" i="5"/>
  <c r="BO41" i="5" s="1"/>
  <c r="BL40" i="5"/>
  <c r="BO40" i="5" s="1"/>
  <c r="BL39" i="5"/>
  <c r="BO39" i="5" s="1"/>
  <c r="BL38" i="5"/>
  <c r="BO38" i="5" s="1"/>
  <c r="BL37" i="5"/>
  <c r="BO37" i="5" s="1"/>
  <c r="BL36" i="5"/>
  <c r="BL35" i="5"/>
  <c r="BL33" i="5"/>
  <c r="BL32" i="5"/>
  <c r="BO32" i="5" s="1"/>
  <c r="BL31" i="5"/>
  <c r="BO31" i="5" s="1"/>
  <c r="BL30" i="5"/>
  <c r="BO30" i="5" s="1"/>
  <c r="BL29" i="5"/>
  <c r="BO29" i="5" s="1"/>
  <c r="BL28" i="5"/>
  <c r="BO28" i="5" s="1"/>
  <c r="BL27" i="5"/>
  <c r="BO27" i="5" s="1"/>
  <c r="BL26" i="5"/>
  <c r="BO26" i="5" s="1"/>
  <c r="BL25" i="5"/>
  <c r="BO25" i="5" s="1"/>
  <c r="BL23" i="5"/>
  <c r="BO23" i="5" s="1"/>
  <c r="BL64" i="5"/>
  <c r="BO64" i="5" s="1"/>
  <c r="BL22" i="5"/>
  <c r="BO22" i="5" s="1"/>
  <c r="BL21" i="5"/>
  <c r="BL18" i="5"/>
  <c r="BO18" i="5" s="1"/>
  <c r="BL17" i="5"/>
  <c r="BO17" i="5" s="1"/>
  <c r="BL16" i="5"/>
  <c r="BL15" i="5"/>
  <c r="BL13" i="5"/>
  <c r="BO13" i="5" s="1"/>
  <c r="BL12" i="5"/>
  <c r="BO12" i="5" s="1"/>
  <c r="BL11" i="5"/>
  <c r="BO11" i="5" s="1"/>
  <c r="BL10" i="5"/>
  <c r="BO10" i="5" s="1"/>
  <c r="BL8" i="5"/>
  <c r="BO15" i="5" l="1"/>
  <c r="BO21" i="5"/>
  <c r="BD36" i="11" s="1"/>
  <c r="BB36" i="11"/>
  <c r="BO33" i="5"/>
  <c r="BD35" i="11" s="1"/>
  <c r="BB35" i="11"/>
  <c r="BO45" i="5"/>
  <c r="BD52" i="11" s="1"/>
  <c r="BB52" i="11"/>
  <c r="BO16" i="5"/>
  <c r="BD38" i="11" s="1"/>
  <c r="BB38" i="11"/>
  <c r="BO35" i="5"/>
  <c r="BD34" i="11" s="1"/>
  <c r="BB34" i="11"/>
  <c r="BO43" i="5"/>
  <c r="BD54" i="11" s="1"/>
  <c r="BB54" i="11"/>
  <c r="BO51" i="5"/>
  <c r="BD51" i="11" s="1"/>
  <c r="BB51" i="11"/>
  <c r="BO36" i="5"/>
  <c r="BD32" i="11" s="1"/>
  <c r="BB32" i="11"/>
  <c r="BO8" i="5"/>
  <c r="BD41" i="11" s="1"/>
  <c r="BB41" i="11"/>
  <c r="BO46" i="5"/>
  <c r="BD53" i="11" s="1"/>
  <c r="BB53" i="11"/>
  <c r="GX4" i="5"/>
  <c r="GX5" i="5"/>
  <c r="GX6" i="5"/>
  <c r="GX7" i="5"/>
  <c r="GX8" i="5"/>
  <c r="GX10" i="5"/>
  <c r="GX11" i="5"/>
  <c r="GX12" i="5"/>
  <c r="GX13" i="5"/>
  <c r="GX14" i="5"/>
  <c r="GX15" i="5"/>
  <c r="GX16" i="5"/>
  <c r="GX17" i="5"/>
  <c r="GX18" i="5"/>
  <c r="GX19" i="5"/>
  <c r="GX20" i="5"/>
  <c r="GX21" i="5"/>
  <c r="GX22" i="5"/>
  <c r="GX23" i="5"/>
  <c r="GX24" i="5"/>
  <c r="GX25" i="5"/>
  <c r="GX26" i="5"/>
  <c r="GX27" i="5"/>
  <c r="GX28" i="5"/>
  <c r="GX29" i="5"/>
  <c r="GX30" i="5"/>
  <c r="GX31" i="5"/>
  <c r="GX32" i="5"/>
  <c r="GX33" i="5"/>
  <c r="GX34" i="5"/>
  <c r="GX35" i="5"/>
  <c r="GX36" i="5"/>
  <c r="GX37" i="5"/>
  <c r="GX38" i="5"/>
  <c r="GX39" i="5"/>
  <c r="GX40" i="5"/>
  <c r="GX41" i="5"/>
  <c r="GX42" i="5"/>
  <c r="GX43" i="5"/>
  <c r="GX44" i="5"/>
  <c r="GX45" i="5"/>
  <c r="GX46" i="5"/>
  <c r="GX47" i="5"/>
  <c r="GX48" i="5"/>
  <c r="GX49" i="5"/>
  <c r="GX50" i="5"/>
  <c r="GX51" i="5"/>
  <c r="GX52" i="5"/>
  <c r="GX53" i="5"/>
  <c r="GX54" i="5"/>
  <c r="GX55" i="5"/>
  <c r="GX56" i="5"/>
  <c r="GX57" i="5"/>
  <c r="GX58" i="5"/>
  <c r="GX59" i="5"/>
  <c r="GX60" i="5"/>
  <c r="GX61" i="5"/>
  <c r="GX62" i="5"/>
  <c r="GX63" i="5"/>
  <c r="GX64" i="5"/>
  <c r="GX3" i="5"/>
  <c r="GY4" i="5"/>
  <c r="GZ4" i="5"/>
  <c r="HA4" i="5"/>
  <c r="HB4" i="5"/>
  <c r="HC4" i="5"/>
  <c r="HD4" i="5"/>
  <c r="HE4" i="5"/>
  <c r="GY5" i="5"/>
  <c r="GZ5" i="5"/>
  <c r="HA5" i="5"/>
  <c r="HB5" i="5"/>
  <c r="HC5" i="5"/>
  <c r="HD5" i="5"/>
  <c r="HE5" i="5"/>
  <c r="GY6" i="5"/>
  <c r="GZ6" i="5"/>
  <c r="HA6" i="5"/>
  <c r="HB6" i="5"/>
  <c r="HC6" i="5"/>
  <c r="HD6" i="5"/>
  <c r="HE6" i="5"/>
  <c r="GY7" i="5"/>
  <c r="GZ7" i="5"/>
  <c r="HA7" i="5"/>
  <c r="HB7" i="5"/>
  <c r="HC7" i="5"/>
  <c r="HD7" i="5"/>
  <c r="HE7" i="5"/>
  <c r="GY8" i="5"/>
  <c r="GZ8" i="5"/>
  <c r="HA8" i="5"/>
  <c r="HB8" i="5"/>
  <c r="HC8" i="5"/>
  <c r="HD8" i="5"/>
  <c r="HE8" i="5"/>
  <c r="GY9" i="5"/>
  <c r="HA9" i="5"/>
  <c r="HB9" i="5"/>
  <c r="HC9" i="5"/>
  <c r="HD9" i="5"/>
  <c r="HE9" i="5"/>
  <c r="GY10" i="5"/>
  <c r="GZ10" i="5"/>
  <c r="HA10" i="5"/>
  <c r="HB10" i="5"/>
  <c r="HC10" i="5"/>
  <c r="HD10" i="5"/>
  <c r="HE10" i="5"/>
  <c r="GY11" i="5"/>
  <c r="GZ11" i="5"/>
  <c r="HA11" i="5"/>
  <c r="HB11" i="5"/>
  <c r="HC11" i="5"/>
  <c r="HD11" i="5"/>
  <c r="HE11" i="5"/>
  <c r="GY12" i="5"/>
  <c r="GZ12" i="5"/>
  <c r="HA12" i="5"/>
  <c r="HB12" i="5"/>
  <c r="HC12" i="5"/>
  <c r="HD12" i="5"/>
  <c r="HE12" i="5"/>
  <c r="GY13" i="5"/>
  <c r="GZ13" i="5"/>
  <c r="HA13" i="5"/>
  <c r="HB13" i="5"/>
  <c r="HC13" i="5"/>
  <c r="HD13" i="5"/>
  <c r="HE13" i="5"/>
  <c r="GY14" i="5"/>
  <c r="GZ14" i="5"/>
  <c r="HA14" i="5"/>
  <c r="HB14" i="5"/>
  <c r="HC14" i="5"/>
  <c r="HD14" i="5"/>
  <c r="HE14" i="5"/>
  <c r="GY15" i="5"/>
  <c r="GZ15" i="5"/>
  <c r="HA15" i="5"/>
  <c r="HB15" i="5"/>
  <c r="HC15" i="5"/>
  <c r="HD15" i="5"/>
  <c r="HE15" i="5"/>
  <c r="GY16" i="5"/>
  <c r="GZ16" i="5"/>
  <c r="HA16" i="5"/>
  <c r="HB16" i="5"/>
  <c r="HC16" i="5"/>
  <c r="HD16" i="5"/>
  <c r="HE16" i="5"/>
  <c r="GY17" i="5"/>
  <c r="GZ17" i="5"/>
  <c r="HA17" i="5"/>
  <c r="HB17" i="5"/>
  <c r="HC17" i="5"/>
  <c r="HD17" i="5"/>
  <c r="HE17" i="5"/>
  <c r="GY18" i="5"/>
  <c r="GZ18" i="5"/>
  <c r="HA18" i="5"/>
  <c r="HB18" i="5"/>
  <c r="HC18" i="5"/>
  <c r="HD18" i="5"/>
  <c r="HE18" i="5"/>
  <c r="GY19" i="5"/>
  <c r="GZ19" i="5"/>
  <c r="HA19" i="5"/>
  <c r="HB19" i="5"/>
  <c r="HC19" i="5"/>
  <c r="HD19" i="5"/>
  <c r="HE19" i="5"/>
  <c r="GY20" i="5"/>
  <c r="GZ20" i="5"/>
  <c r="HA20" i="5"/>
  <c r="HB20" i="5"/>
  <c r="HC20" i="5"/>
  <c r="HD20" i="5"/>
  <c r="HE20" i="5"/>
  <c r="GY21" i="5"/>
  <c r="GZ21" i="5"/>
  <c r="HA21" i="5"/>
  <c r="HB21" i="5"/>
  <c r="HC21" i="5"/>
  <c r="HD21" i="5"/>
  <c r="HE21" i="5"/>
  <c r="GY22" i="5"/>
  <c r="GZ22" i="5"/>
  <c r="HA22" i="5"/>
  <c r="HB22" i="5"/>
  <c r="HC22" i="5"/>
  <c r="HD22" i="5"/>
  <c r="HE22" i="5"/>
  <c r="GY23" i="5"/>
  <c r="GZ23" i="5"/>
  <c r="HA23" i="5"/>
  <c r="HB23" i="5"/>
  <c r="HC23" i="5"/>
  <c r="HD23" i="5"/>
  <c r="HE23" i="5"/>
  <c r="GY24" i="5"/>
  <c r="GZ24" i="5"/>
  <c r="HA24" i="5"/>
  <c r="HB24" i="5"/>
  <c r="HC24" i="5"/>
  <c r="HD24" i="5"/>
  <c r="HE24" i="5"/>
  <c r="GY25" i="5"/>
  <c r="GZ25" i="5"/>
  <c r="HA25" i="5"/>
  <c r="HB25" i="5"/>
  <c r="HC25" i="5"/>
  <c r="HD25" i="5"/>
  <c r="HE25" i="5"/>
  <c r="GY26" i="5"/>
  <c r="GZ26" i="5"/>
  <c r="HA26" i="5"/>
  <c r="HB26" i="5"/>
  <c r="HC26" i="5"/>
  <c r="HD26" i="5"/>
  <c r="HE26" i="5"/>
  <c r="GY27" i="5"/>
  <c r="GZ27" i="5"/>
  <c r="HA27" i="5"/>
  <c r="HB27" i="5"/>
  <c r="HC27" i="5"/>
  <c r="HD27" i="5"/>
  <c r="HE27" i="5"/>
  <c r="GY28" i="5"/>
  <c r="GZ28" i="5"/>
  <c r="HA28" i="5"/>
  <c r="HB28" i="5"/>
  <c r="HC28" i="5"/>
  <c r="HD28" i="5"/>
  <c r="HE28" i="5"/>
  <c r="GY29" i="5"/>
  <c r="GZ29" i="5"/>
  <c r="HA29" i="5"/>
  <c r="HB29" i="5"/>
  <c r="HC29" i="5"/>
  <c r="HD29" i="5"/>
  <c r="HE29" i="5"/>
  <c r="GY30" i="5"/>
  <c r="GZ30" i="5"/>
  <c r="HA30" i="5"/>
  <c r="HB30" i="5"/>
  <c r="HC30" i="5"/>
  <c r="HD30" i="5"/>
  <c r="HE30" i="5"/>
  <c r="GY31" i="5"/>
  <c r="GZ31" i="5"/>
  <c r="HA31" i="5"/>
  <c r="HB31" i="5"/>
  <c r="HC31" i="5"/>
  <c r="HD31" i="5"/>
  <c r="HE31" i="5"/>
  <c r="GY32" i="5"/>
  <c r="GZ32" i="5"/>
  <c r="HA32" i="5"/>
  <c r="HB32" i="5"/>
  <c r="HC32" i="5"/>
  <c r="HD32" i="5"/>
  <c r="HE32" i="5"/>
  <c r="GY33" i="5"/>
  <c r="GZ33" i="5"/>
  <c r="HA33" i="5"/>
  <c r="HB33" i="5"/>
  <c r="HC33" i="5"/>
  <c r="HD33" i="5"/>
  <c r="HE33" i="5"/>
  <c r="GY34" i="5"/>
  <c r="GZ34" i="5"/>
  <c r="HA34" i="5"/>
  <c r="HB34" i="5"/>
  <c r="HC34" i="5"/>
  <c r="HD34" i="5"/>
  <c r="HE34" i="5"/>
  <c r="GY35" i="5"/>
  <c r="GZ35" i="5"/>
  <c r="HA35" i="5"/>
  <c r="HB35" i="5"/>
  <c r="HC35" i="5"/>
  <c r="HD35" i="5"/>
  <c r="HE35" i="5"/>
  <c r="GY36" i="5"/>
  <c r="GZ36" i="5"/>
  <c r="HA36" i="5"/>
  <c r="HB36" i="5"/>
  <c r="HC36" i="5"/>
  <c r="HD36" i="5"/>
  <c r="HE36" i="5"/>
  <c r="GY37" i="5"/>
  <c r="GZ37" i="5"/>
  <c r="HA37" i="5"/>
  <c r="HB37" i="5"/>
  <c r="HC37" i="5"/>
  <c r="HD37" i="5"/>
  <c r="HE37" i="5"/>
  <c r="GY38" i="5"/>
  <c r="GZ38" i="5"/>
  <c r="HA38" i="5"/>
  <c r="HB38" i="5"/>
  <c r="HC38" i="5"/>
  <c r="HD38" i="5"/>
  <c r="HE38" i="5"/>
  <c r="GY39" i="5"/>
  <c r="GZ39" i="5"/>
  <c r="HA39" i="5"/>
  <c r="HB39" i="5"/>
  <c r="HC39" i="5"/>
  <c r="HD39" i="5"/>
  <c r="HE39" i="5"/>
  <c r="GY40" i="5"/>
  <c r="GZ40" i="5"/>
  <c r="HA40" i="5"/>
  <c r="HB40" i="5"/>
  <c r="HC40" i="5"/>
  <c r="HD40" i="5"/>
  <c r="HE40" i="5"/>
  <c r="GY41" i="5"/>
  <c r="GZ41" i="5"/>
  <c r="HA41" i="5"/>
  <c r="HB41" i="5"/>
  <c r="HC41" i="5"/>
  <c r="HD41" i="5"/>
  <c r="HE41" i="5"/>
  <c r="GY42" i="5"/>
  <c r="GZ42" i="5"/>
  <c r="HA42" i="5"/>
  <c r="HB42" i="5"/>
  <c r="HC42" i="5"/>
  <c r="HD42" i="5"/>
  <c r="HE42" i="5"/>
  <c r="GZ43" i="5"/>
  <c r="HA43" i="5"/>
  <c r="HB43" i="5"/>
  <c r="HC43" i="5"/>
  <c r="HD43" i="5"/>
  <c r="HE43" i="5"/>
  <c r="GY44" i="5"/>
  <c r="GZ44" i="5"/>
  <c r="HA44" i="5"/>
  <c r="HB44" i="5"/>
  <c r="HC44" i="5"/>
  <c r="HD44" i="5"/>
  <c r="HE44" i="5"/>
  <c r="GY45" i="5"/>
  <c r="GZ45" i="5"/>
  <c r="HA45" i="5"/>
  <c r="HB45" i="5"/>
  <c r="HC45" i="5"/>
  <c r="HD45" i="5"/>
  <c r="HE45" i="5"/>
  <c r="GY46" i="5"/>
  <c r="GZ46" i="5"/>
  <c r="HA46" i="5"/>
  <c r="HB46" i="5"/>
  <c r="HC46" i="5"/>
  <c r="HD46" i="5"/>
  <c r="HE46" i="5"/>
  <c r="GY47" i="5"/>
  <c r="GZ47" i="5"/>
  <c r="HA47" i="5"/>
  <c r="HB47" i="5"/>
  <c r="HC47" i="5"/>
  <c r="HD47" i="5"/>
  <c r="HE47" i="5"/>
  <c r="GY48" i="5"/>
  <c r="GZ48" i="5"/>
  <c r="HA48" i="5"/>
  <c r="HB48" i="5"/>
  <c r="HC48" i="5"/>
  <c r="HD48" i="5"/>
  <c r="HE48" i="5"/>
  <c r="GY49" i="5"/>
  <c r="GZ49" i="5"/>
  <c r="HA49" i="5"/>
  <c r="HB49" i="5"/>
  <c r="HC49" i="5"/>
  <c r="HD49" i="5"/>
  <c r="HE49" i="5"/>
  <c r="GY50" i="5"/>
  <c r="GZ50" i="5"/>
  <c r="HA50" i="5"/>
  <c r="HB50" i="5"/>
  <c r="HC50" i="5"/>
  <c r="HD50" i="5"/>
  <c r="HE50" i="5"/>
  <c r="GY51" i="5"/>
  <c r="GZ51" i="5"/>
  <c r="HA51" i="5"/>
  <c r="HB51" i="5"/>
  <c r="HC51" i="5"/>
  <c r="HD51" i="5"/>
  <c r="HE51" i="5"/>
  <c r="GY52" i="5"/>
  <c r="GZ52" i="5"/>
  <c r="HA52" i="5"/>
  <c r="HB52" i="5"/>
  <c r="HC52" i="5"/>
  <c r="HD52" i="5"/>
  <c r="HE52" i="5"/>
  <c r="GY53" i="5"/>
  <c r="GZ53" i="5"/>
  <c r="HA53" i="5"/>
  <c r="HB53" i="5"/>
  <c r="HC53" i="5"/>
  <c r="HD53" i="5"/>
  <c r="HE53" i="5"/>
  <c r="GY54" i="5"/>
  <c r="GZ54" i="5"/>
  <c r="HA54" i="5"/>
  <c r="HB54" i="5"/>
  <c r="HC54" i="5"/>
  <c r="HD54" i="5"/>
  <c r="HE54" i="5"/>
  <c r="GY55" i="5"/>
  <c r="GZ55" i="5"/>
  <c r="HA55" i="5"/>
  <c r="HB55" i="5"/>
  <c r="HC55" i="5"/>
  <c r="HD55" i="5"/>
  <c r="HE55" i="5"/>
  <c r="GY56" i="5"/>
  <c r="GZ56" i="5"/>
  <c r="HA56" i="5"/>
  <c r="HB56" i="5"/>
  <c r="HC56" i="5"/>
  <c r="HD56" i="5"/>
  <c r="HE56" i="5"/>
  <c r="GY57" i="5"/>
  <c r="GZ57" i="5"/>
  <c r="HA57" i="5"/>
  <c r="HB57" i="5"/>
  <c r="HC57" i="5"/>
  <c r="HD57" i="5"/>
  <c r="HE57" i="5"/>
  <c r="GY58" i="5"/>
  <c r="GZ58" i="5"/>
  <c r="HA58" i="5"/>
  <c r="HB58" i="5"/>
  <c r="HC58" i="5"/>
  <c r="HD58" i="5"/>
  <c r="HE58" i="5"/>
  <c r="GY59" i="5"/>
  <c r="GZ59" i="5"/>
  <c r="HA59" i="5"/>
  <c r="HB59" i="5"/>
  <c r="HC59" i="5"/>
  <c r="HD59" i="5"/>
  <c r="HE59" i="5"/>
  <c r="GY60" i="5"/>
  <c r="GZ60" i="5"/>
  <c r="HA60" i="5"/>
  <c r="HB60" i="5"/>
  <c r="HC60" i="5"/>
  <c r="HD60" i="5"/>
  <c r="HE60" i="5"/>
  <c r="GY61" i="5"/>
  <c r="GZ61" i="5"/>
  <c r="HA61" i="5"/>
  <c r="HB61" i="5"/>
  <c r="HC61" i="5"/>
  <c r="HD61" i="5"/>
  <c r="HE61" i="5"/>
  <c r="GY62" i="5"/>
  <c r="GZ62" i="5"/>
  <c r="HA62" i="5"/>
  <c r="HB62" i="5"/>
  <c r="HC62" i="5"/>
  <c r="HD62" i="5"/>
  <c r="HE62" i="5"/>
  <c r="GY63" i="5"/>
  <c r="GZ63" i="5"/>
  <c r="HA63" i="5"/>
  <c r="HB63" i="5"/>
  <c r="HC63" i="5"/>
  <c r="HD63" i="5"/>
  <c r="HE63" i="5"/>
  <c r="GY64" i="5"/>
  <c r="GZ64" i="5"/>
  <c r="HA64" i="5"/>
  <c r="HB64" i="5"/>
  <c r="HC64" i="5"/>
  <c r="HD64" i="5"/>
  <c r="HE64" i="5"/>
  <c r="HD3" i="5"/>
  <c r="HE3" i="5"/>
  <c r="HC3" i="5"/>
  <c r="HB3" i="5"/>
  <c r="HA3" i="5"/>
  <c r="GZ3" i="5"/>
  <c r="GY3" i="5"/>
  <c r="GG4" i="1"/>
  <c r="GH4" i="1"/>
  <c r="GI4" i="1"/>
  <c r="GG5" i="1"/>
  <c r="GH5" i="1"/>
  <c r="GI5" i="1"/>
  <c r="GG6" i="1"/>
  <c r="GH6" i="1"/>
  <c r="GI6" i="1"/>
  <c r="GG7" i="1"/>
  <c r="GH7" i="1"/>
  <c r="GI7" i="1"/>
  <c r="GG8" i="1"/>
  <c r="GH8" i="1"/>
  <c r="GI8" i="1"/>
  <c r="GG9" i="1"/>
  <c r="GH9" i="1"/>
  <c r="GI9" i="1"/>
  <c r="GG10" i="1"/>
  <c r="GH10" i="1"/>
  <c r="GI10" i="1"/>
  <c r="GG11" i="1"/>
  <c r="GH11" i="1"/>
  <c r="GI11" i="1"/>
  <c r="GG12" i="1"/>
  <c r="GH12" i="1"/>
  <c r="GI12" i="1"/>
  <c r="GG13" i="1"/>
  <c r="GH13" i="1"/>
  <c r="GI13" i="1"/>
  <c r="GG14" i="1"/>
  <c r="GH14" i="1"/>
  <c r="GI14" i="1"/>
  <c r="GG15" i="1"/>
  <c r="GH15" i="1"/>
  <c r="GI15" i="1"/>
  <c r="GG16" i="1"/>
  <c r="GH16" i="1"/>
  <c r="GI16" i="1"/>
  <c r="GG17" i="1"/>
  <c r="GH17" i="1"/>
  <c r="GI17" i="1"/>
  <c r="GG18" i="1"/>
  <c r="GH18" i="1"/>
  <c r="GI18" i="1"/>
  <c r="GG19" i="1"/>
  <c r="GH19" i="1"/>
  <c r="GI19" i="1"/>
  <c r="GG20" i="1"/>
  <c r="GH20" i="1"/>
  <c r="GI20" i="1"/>
  <c r="GG21" i="1"/>
  <c r="GH21" i="1"/>
  <c r="GI21" i="1"/>
  <c r="GG22" i="1"/>
  <c r="GH22" i="1"/>
  <c r="GI22" i="1"/>
  <c r="GG23" i="1"/>
  <c r="GH23" i="1"/>
  <c r="GI23" i="1"/>
  <c r="GG24" i="1"/>
  <c r="GH24" i="1"/>
  <c r="GI24" i="1"/>
  <c r="GG25" i="1"/>
  <c r="GH25" i="1"/>
  <c r="GI25" i="1"/>
  <c r="GG26" i="1"/>
  <c r="GH26" i="1"/>
  <c r="GI26" i="1"/>
  <c r="GG27" i="1"/>
  <c r="GH27" i="1"/>
  <c r="GI27" i="1"/>
  <c r="GG28" i="1"/>
  <c r="GH28" i="1"/>
  <c r="GI28" i="1"/>
  <c r="GG29" i="1"/>
  <c r="GH29" i="1"/>
  <c r="GI29" i="1"/>
  <c r="GG30" i="1"/>
  <c r="GH30" i="1"/>
  <c r="GI30" i="1"/>
  <c r="GG31" i="1"/>
  <c r="GH31" i="1"/>
  <c r="GI31" i="1"/>
  <c r="GG32" i="1"/>
  <c r="GH32" i="1"/>
  <c r="GI32" i="1"/>
  <c r="GG33" i="1"/>
  <c r="GH33" i="1"/>
  <c r="GI33" i="1"/>
  <c r="GG34" i="1"/>
  <c r="GH34" i="1"/>
  <c r="GI34" i="1"/>
  <c r="GG35" i="1"/>
  <c r="GH35" i="1"/>
  <c r="GI35" i="1"/>
  <c r="GG36" i="1"/>
  <c r="GH36" i="1"/>
  <c r="GI36" i="1"/>
  <c r="GG37" i="1"/>
  <c r="GH37" i="1"/>
  <c r="GI37" i="1"/>
  <c r="GG38" i="1"/>
  <c r="GH38" i="1"/>
  <c r="GI38" i="1"/>
  <c r="GG39" i="1"/>
  <c r="GH39" i="1"/>
  <c r="GI39" i="1"/>
  <c r="GG40" i="1"/>
  <c r="GH40" i="1"/>
  <c r="GI40" i="1"/>
  <c r="GG41" i="1"/>
  <c r="GH41" i="1"/>
  <c r="GI41" i="1"/>
  <c r="GG42" i="1"/>
  <c r="GH42" i="1"/>
  <c r="GI42" i="1"/>
  <c r="GG43" i="1"/>
  <c r="GH43" i="1"/>
  <c r="GI43" i="1"/>
  <c r="GG44" i="1"/>
  <c r="GH44" i="1"/>
  <c r="GI44" i="1"/>
  <c r="GG45" i="1"/>
  <c r="GH45" i="1"/>
  <c r="GI45" i="1"/>
  <c r="GG46" i="1"/>
  <c r="GH46" i="1"/>
  <c r="GI46" i="1"/>
  <c r="GG47" i="1"/>
  <c r="GH47" i="1"/>
  <c r="GI47" i="1"/>
  <c r="GG48" i="1"/>
  <c r="GH48" i="1"/>
  <c r="GI48" i="1"/>
  <c r="GG49" i="1"/>
  <c r="GH49" i="1"/>
  <c r="GI49" i="1"/>
  <c r="GG50" i="1"/>
  <c r="GH50" i="1"/>
  <c r="GI50" i="1"/>
  <c r="GG51" i="1"/>
  <c r="GH51" i="1"/>
  <c r="GI51" i="1"/>
  <c r="GG52" i="1"/>
  <c r="GH52" i="1"/>
  <c r="GI52" i="1"/>
  <c r="GG53" i="1"/>
  <c r="GH53" i="1"/>
  <c r="GI53" i="1"/>
  <c r="GG54" i="1"/>
  <c r="GH54" i="1"/>
  <c r="GI54" i="1"/>
  <c r="GG55" i="1"/>
  <c r="GH55" i="1"/>
  <c r="GI55" i="1"/>
  <c r="GG56" i="1"/>
  <c r="GH56" i="1"/>
  <c r="GI56" i="1"/>
  <c r="GG57" i="1"/>
  <c r="GH57" i="1"/>
  <c r="GI57" i="1"/>
  <c r="GG58" i="1"/>
  <c r="GH58" i="1"/>
  <c r="GI58" i="1"/>
  <c r="GG59" i="1"/>
  <c r="GH59" i="1"/>
  <c r="GI59" i="1"/>
  <c r="GG60" i="1"/>
  <c r="GH60" i="1"/>
  <c r="GI60" i="1"/>
  <c r="GG61" i="1"/>
  <c r="GH61" i="1"/>
  <c r="GI61" i="1"/>
  <c r="GG62" i="1"/>
  <c r="GH62" i="1"/>
  <c r="GI62" i="1"/>
  <c r="GG63" i="1"/>
  <c r="GH63" i="1"/>
  <c r="GI63" i="1"/>
  <c r="GG64" i="1"/>
  <c r="GH64" i="1"/>
  <c r="GI64" i="1"/>
  <c r="GG65" i="1"/>
  <c r="GH65" i="1"/>
  <c r="GI65" i="1"/>
  <c r="GG66" i="1"/>
  <c r="GH66" i="1"/>
  <c r="GI66" i="1"/>
  <c r="GG67" i="1"/>
  <c r="GH67" i="1"/>
  <c r="GI67" i="1"/>
  <c r="GG68" i="1"/>
  <c r="GH68" i="1"/>
  <c r="GI68" i="1"/>
  <c r="GG69" i="1"/>
  <c r="GH69" i="1"/>
  <c r="GI69" i="1"/>
  <c r="GG70" i="1"/>
  <c r="GH70" i="1"/>
  <c r="GI70" i="1"/>
  <c r="GG71" i="1"/>
  <c r="GH71" i="1"/>
  <c r="GI71" i="1"/>
  <c r="GG72" i="1"/>
  <c r="GH72" i="1"/>
  <c r="GI72" i="1"/>
  <c r="GG73" i="1"/>
  <c r="GH73" i="1"/>
  <c r="GI73" i="1"/>
  <c r="GG74" i="1"/>
  <c r="GH74" i="1"/>
  <c r="GI74" i="1"/>
  <c r="GG75" i="1"/>
  <c r="GH75" i="1"/>
  <c r="GI75" i="1"/>
  <c r="GG77" i="1"/>
  <c r="GH77" i="1"/>
  <c r="GI77" i="1"/>
  <c r="GG78" i="1"/>
  <c r="GH78" i="1"/>
  <c r="GI78" i="1"/>
  <c r="GI3" i="1"/>
  <c r="GH3" i="1"/>
  <c r="GG3" i="1"/>
  <c r="GG88" i="1" l="1"/>
  <c r="GH88" i="1"/>
  <c r="GI88" i="1"/>
  <c r="GI89" i="1"/>
  <c r="GH89" i="1"/>
  <c r="GG89" i="1"/>
  <c r="B150" i="9"/>
  <c r="D150" i="9"/>
  <c r="C150" i="9"/>
  <c r="G151" i="9"/>
  <c r="J151" i="9"/>
  <c r="F151" i="9"/>
  <c r="K151" i="9"/>
  <c r="H151" i="9"/>
  <c r="B151" i="9"/>
  <c r="I151" i="9"/>
  <c r="E151" i="9"/>
  <c r="BB68" i="5"/>
  <c r="BB67" i="5"/>
  <c r="C152" i="3"/>
  <c r="I1750" i="3" a="1"/>
  <c r="I1750" i="3" s="1"/>
  <c r="G1750" i="3" a="1"/>
  <c r="G1750" i="3" s="1"/>
  <c r="E1750" i="3" a="1"/>
  <c r="E1750" i="3" s="1"/>
  <c r="C1750" i="3" a="1"/>
  <c r="C1750" i="3" s="1"/>
  <c r="I1777" i="3" l="1"/>
  <c r="I1769" i="3"/>
  <c r="I1765" i="3"/>
  <c r="I1757" i="3"/>
  <c r="I1753" i="3"/>
  <c r="I1776" i="3"/>
  <c r="I1772" i="3"/>
  <c r="I1764" i="3"/>
  <c r="I1756" i="3"/>
  <c r="I1775" i="3"/>
  <c r="I1771" i="3"/>
  <c r="I1767" i="3"/>
  <c r="I1763" i="3"/>
  <c r="I1759" i="3"/>
  <c r="I1755" i="3"/>
  <c r="I1751" i="3"/>
  <c r="I1773" i="3"/>
  <c r="I1761" i="3"/>
  <c r="I1768" i="3"/>
  <c r="I1760" i="3"/>
  <c r="I1752" i="3"/>
  <c r="I1778" i="3"/>
  <c r="I1774" i="3"/>
  <c r="I1770" i="3"/>
  <c r="I1766" i="3"/>
  <c r="I1762" i="3"/>
  <c r="I1758" i="3"/>
  <c r="I1754" i="3"/>
  <c r="G1773" i="3"/>
  <c r="G1765" i="3"/>
  <c r="G1753" i="3"/>
  <c r="G1776" i="3"/>
  <c r="G1768" i="3"/>
  <c r="G1760" i="3"/>
  <c r="G1752" i="3"/>
  <c r="G1775" i="3"/>
  <c r="G1771" i="3"/>
  <c r="G1767" i="3"/>
  <c r="G1763" i="3"/>
  <c r="G1759" i="3"/>
  <c r="G1755" i="3"/>
  <c r="G1751" i="3"/>
  <c r="G1777" i="3"/>
  <c r="G1769" i="3"/>
  <c r="G1761" i="3"/>
  <c r="G1757" i="3"/>
  <c r="G1772" i="3"/>
  <c r="G1764" i="3"/>
  <c r="G1756" i="3"/>
  <c r="G1778" i="3"/>
  <c r="G1774" i="3"/>
  <c r="G1770" i="3"/>
  <c r="G1766" i="3"/>
  <c r="G1762" i="3"/>
  <c r="G1758" i="3"/>
  <c r="G1754" i="3"/>
  <c r="E1773" i="3"/>
  <c r="E1765" i="3"/>
  <c r="E1757" i="3"/>
  <c r="E1772" i="3"/>
  <c r="E1764" i="3"/>
  <c r="E1756" i="3"/>
  <c r="E1775" i="3"/>
  <c r="E1771" i="3"/>
  <c r="E1767" i="3"/>
  <c r="E1763" i="3"/>
  <c r="E1759" i="3"/>
  <c r="E1755" i="3"/>
  <c r="E1751" i="3"/>
  <c r="E1777" i="3"/>
  <c r="E1769" i="3"/>
  <c r="E1761" i="3"/>
  <c r="E1753" i="3"/>
  <c r="E1776" i="3"/>
  <c r="E1768" i="3"/>
  <c r="E1760" i="3"/>
  <c r="E1752" i="3"/>
  <c r="E1778" i="3"/>
  <c r="E1774" i="3"/>
  <c r="E1770" i="3"/>
  <c r="E1766" i="3"/>
  <c r="E1762" i="3"/>
  <c r="E1758" i="3"/>
  <c r="E1754" i="3"/>
  <c r="C1777" i="3"/>
  <c r="C1773" i="3"/>
  <c r="C1769" i="3"/>
  <c r="C1765" i="3"/>
  <c r="C1761" i="3"/>
  <c r="C1757" i="3"/>
  <c r="C1753" i="3"/>
  <c r="C1776" i="3"/>
  <c r="C1772" i="3"/>
  <c r="C1768" i="3"/>
  <c r="C1764" i="3"/>
  <c r="C1760" i="3"/>
  <c r="C1756" i="3"/>
  <c r="C1752" i="3"/>
  <c r="C1775" i="3"/>
  <c r="C1771" i="3"/>
  <c r="C1767" i="3"/>
  <c r="C1763" i="3"/>
  <c r="C1759" i="3"/>
  <c r="C1755" i="3"/>
  <c r="C1751" i="3"/>
  <c r="C1778" i="3"/>
  <c r="C1774" i="3"/>
  <c r="C1770" i="3"/>
  <c r="C1766" i="3"/>
  <c r="C1762" i="3"/>
  <c r="C1758" i="3"/>
  <c r="C1754" i="3"/>
  <c r="AQ3" i="5"/>
  <c r="AQ5" i="5"/>
  <c r="AQ6" i="5"/>
  <c r="AQ7" i="5"/>
  <c r="AQ10" i="5"/>
  <c r="AQ11" i="5"/>
  <c r="AQ12" i="5"/>
  <c r="AQ14" i="5"/>
  <c r="AQ15" i="5"/>
  <c r="AQ16" i="5"/>
  <c r="AQ17" i="5"/>
  <c r="AQ18" i="5"/>
  <c r="AQ19" i="5"/>
  <c r="AQ20" i="5"/>
  <c r="AQ21" i="5"/>
  <c r="AG36" i="11" s="1"/>
  <c r="AQ22" i="5"/>
  <c r="AQ23" i="5"/>
  <c r="AQ24" i="5"/>
  <c r="AQ25" i="5"/>
  <c r="AQ26" i="5"/>
  <c r="AQ27" i="5"/>
  <c r="AQ28" i="5"/>
  <c r="AQ29" i="5"/>
  <c r="AQ30" i="5"/>
  <c r="AQ31" i="5"/>
  <c r="AQ32" i="5"/>
  <c r="AQ35" i="5"/>
  <c r="AG34" i="11" s="1"/>
  <c r="AQ38" i="5"/>
  <c r="AQ39" i="5"/>
  <c r="AQ40" i="5"/>
  <c r="AQ41" i="5"/>
  <c r="AQ42" i="5"/>
  <c r="AQ44" i="5"/>
  <c r="AQ45" i="5"/>
  <c r="AQ47" i="5"/>
  <c r="AQ48" i="5"/>
  <c r="AQ49" i="5"/>
  <c r="AQ50" i="5"/>
  <c r="AQ51" i="5"/>
  <c r="AG51" i="11" s="1"/>
  <c r="AQ52" i="5"/>
  <c r="AQ53" i="5"/>
  <c r="AG53" i="11" s="1"/>
  <c r="AQ54" i="5"/>
  <c r="AQ55" i="5"/>
  <c r="AQ56" i="5"/>
  <c r="AQ57" i="5"/>
  <c r="AQ58" i="5"/>
  <c r="AQ59" i="5"/>
  <c r="AQ60" i="5"/>
  <c r="AQ61" i="5"/>
  <c r="AQ62" i="5"/>
  <c r="AQ63" i="5"/>
  <c r="AQ64" i="5"/>
  <c r="AQ4" i="5"/>
  <c r="AG42" i="11" s="1"/>
  <c r="AG39" i="11" l="1"/>
  <c r="AQ73" i="5"/>
  <c r="AG52" i="11"/>
  <c r="AG38" i="11"/>
  <c r="AG54" i="11"/>
  <c r="I1400" i="3" a="1"/>
  <c r="AG40" i="11"/>
  <c r="G1400" i="3" a="1"/>
  <c r="I1836" i="3"/>
  <c r="C1836" i="3"/>
  <c r="E1836" i="3"/>
  <c r="G1836" i="3"/>
  <c r="C1779" i="3"/>
  <c r="D1758" i="3" s="1"/>
  <c r="E1779" i="3"/>
  <c r="F1761" i="3" s="1"/>
  <c r="I1779" i="3"/>
  <c r="J1776" i="3" s="1"/>
  <c r="G1779" i="3"/>
  <c r="H1778" i="3" s="1"/>
  <c r="I1700" i="3" a="1"/>
  <c r="I1700" i="3" s="1"/>
  <c r="G1700" i="3" a="1"/>
  <c r="G1700" i="3" s="1"/>
  <c r="E1700" i="3" a="1"/>
  <c r="E1700" i="3" s="1"/>
  <c r="C1700" i="3" a="1"/>
  <c r="C1700" i="3" s="1"/>
  <c r="F1835" i="3" l="1"/>
  <c r="F1828" i="3"/>
  <c r="F1812" i="3"/>
  <c r="F1819" i="3"/>
  <c r="F1803" i="3"/>
  <c r="F1822" i="3"/>
  <c r="F1806" i="3"/>
  <c r="F1825" i="3"/>
  <c r="F1809" i="3"/>
  <c r="F1824" i="3"/>
  <c r="F1808" i="3"/>
  <c r="F1831" i="3"/>
  <c r="F1815" i="3"/>
  <c r="F1834" i="3"/>
  <c r="F1818" i="3"/>
  <c r="F1802" i="3"/>
  <c r="F1821" i="3"/>
  <c r="F1805" i="3"/>
  <c r="F1820" i="3"/>
  <c r="F1804" i="3"/>
  <c r="F1827" i="3"/>
  <c r="F1811" i="3"/>
  <c r="F1830" i="3"/>
  <c r="F1814" i="3"/>
  <c r="F1833" i="3"/>
  <c r="F1817" i="3"/>
  <c r="F1801" i="3"/>
  <c r="F1832" i="3"/>
  <c r="F1816" i="3"/>
  <c r="F1800" i="3"/>
  <c r="F1823" i="3"/>
  <c r="F1807" i="3"/>
  <c r="F1826" i="3"/>
  <c r="F1810" i="3"/>
  <c r="F1829" i="3"/>
  <c r="F1813" i="3"/>
  <c r="D1834" i="3"/>
  <c r="D1826" i="3"/>
  <c r="D1818" i="3"/>
  <c r="D1808" i="3"/>
  <c r="D1803" i="3"/>
  <c r="D1832" i="3"/>
  <c r="D1824" i="3"/>
  <c r="D1816" i="3"/>
  <c r="D1804" i="3"/>
  <c r="D1835" i="3"/>
  <c r="D1830" i="3"/>
  <c r="D1822" i="3"/>
  <c r="D1814" i="3"/>
  <c r="D1800" i="3"/>
  <c r="D1811" i="3"/>
  <c r="D1828" i="3"/>
  <c r="D1820" i="3"/>
  <c r="D1812" i="3"/>
  <c r="D1807" i="3"/>
  <c r="D1815" i="3"/>
  <c r="D1801" i="3"/>
  <c r="D1833" i="3"/>
  <c r="D1827" i="3"/>
  <c r="D1821" i="3"/>
  <c r="D1823" i="3"/>
  <c r="D1806" i="3"/>
  <c r="D1805" i="3"/>
  <c r="D1829" i="3"/>
  <c r="D1831" i="3"/>
  <c r="D1817" i="3"/>
  <c r="D1810" i="3"/>
  <c r="D1809" i="3"/>
  <c r="D1802" i="3"/>
  <c r="D1825" i="3"/>
  <c r="D1819" i="3"/>
  <c r="D1813" i="3"/>
  <c r="H1835" i="3"/>
  <c r="H1800" i="3"/>
  <c r="H1801" i="3"/>
  <c r="H1817" i="3"/>
  <c r="H1833" i="3"/>
  <c r="H1802" i="3"/>
  <c r="H1818" i="3"/>
  <c r="H1834" i="3"/>
  <c r="H1803" i="3"/>
  <c r="H1819" i="3"/>
  <c r="H1804" i="3"/>
  <c r="H1820" i="3"/>
  <c r="H1805" i="3"/>
  <c r="H1821" i="3"/>
  <c r="H1806" i="3"/>
  <c r="H1822" i="3"/>
  <c r="H1807" i="3"/>
  <c r="H1823" i="3"/>
  <c r="H1808" i="3"/>
  <c r="H1824" i="3"/>
  <c r="H1809" i="3"/>
  <c r="H1825" i="3"/>
  <c r="H1810" i="3"/>
  <c r="H1826" i="3"/>
  <c r="H1811" i="3"/>
  <c r="H1827" i="3"/>
  <c r="H1812" i="3"/>
  <c r="H1828" i="3"/>
  <c r="H1813" i="3"/>
  <c r="H1829" i="3"/>
  <c r="H1814" i="3"/>
  <c r="H1830" i="3"/>
  <c r="H1815" i="3"/>
  <c r="H1831" i="3"/>
  <c r="H1816" i="3"/>
  <c r="H1832" i="3"/>
  <c r="J1813" i="3"/>
  <c r="J1815" i="3"/>
  <c r="J1817" i="3"/>
  <c r="J1819" i="3"/>
  <c r="J1821" i="3"/>
  <c r="J1823" i="3"/>
  <c r="J1825" i="3"/>
  <c r="J1827" i="3"/>
  <c r="J1829" i="3"/>
  <c r="J1831" i="3"/>
  <c r="J1833" i="3"/>
  <c r="J1832" i="3"/>
  <c r="J1816" i="3"/>
  <c r="J1822" i="3"/>
  <c r="J1828" i="3"/>
  <c r="J1834" i="3"/>
  <c r="J1818" i="3"/>
  <c r="J1824" i="3"/>
  <c r="J1830" i="3"/>
  <c r="J1814" i="3"/>
  <c r="J1820" i="3"/>
  <c r="J1826" i="3"/>
  <c r="J1812" i="3"/>
  <c r="J1811" i="3"/>
  <c r="J1810" i="3"/>
  <c r="J1809" i="3"/>
  <c r="J1808" i="3"/>
  <c r="J1807" i="3"/>
  <c r="J1806" i="3"/>
  <c r="J1805" i="3"/>
  <c r="J1804" i="3"/>
  <c r="J1803" i="3"/>
  <c r="J1802" i="3"/>
  <c r="J1801" i="3"/>
  <c r="J1800" i="3"/>
  <c r="J1835" i="3"/>
  <c r="H1885" i="3"/>
  <c r="H1884" i="3"/>
  <c r="H1892" i="3"/>
  <c r="H1888" i="3"/>
  <c r="H1889" i="3"/>
  <c r="H1886" i="3"/>
  <c r="H1890" i="3"/>
  <c r="H1891" i="3"/>
  <c r="H1887" i="3"/>
  <c r="J1891" i="3"/>
  <c r="J1886" i="3"/>
  <c r="J1887" i="3"/>
  <c r="J1890" i="3"/>
  <c r="J1892" i="3"/>
  <c r="J1884" i="3"/>
  <c r="J1893" i="3" s="1"/>
  <c r="J1888" i="3"/>
  <c r="J1885" i="3"/>
  <c r="J1889" i="3"/>
  <c r="F1892" i="3"/>
  <c r="F1890" i="3"/>
  <c r="F1887" i="3"/>
  <c r="F1891" i="3"/>
  <c r="F1888" i="3"/>
  <c r="F1884" i="3"/>
  <c r="F1886" i="3"/>
  <c r="F1885" i="3"/>
  <c r="F1889" i="3"/>
  <c r="D1890" i="3"/>
  <c r="D1884" i="3"/>
  <c r="D1888" i="3"/>
  <c r="D1889" i="3"/>
  <c r="D1885" i="3"/>
  <c r="D1887" i="3"/>
  <c r="D1891" i="3"/>
  <c r="D1892" i="3"/>
  <c r="D1886" i="3"/>
  <c r="F2034" i="3"/>
  <c r="F2037" i="3"/>
  <c r="F1983" i="3"/>
  <c r="F1989" i="3"/>
  <c r="F2036" i="3"/>
  <c r="F2039" i="3"/>
  <c r="F1990" i="3"/>
  <c r="F1985" i="3"/>
  <c r="F2040" i="3"/>
  <c r="F1984" i="3"/>
  <c r="F2032" i="3"/>
  <c r="F1986" i="3"/>
  <c r="F1988" i="3"/>
  <c r="F2035" i="3"/>
  <c r="F2033" i="3"/>
  <c r="F2038" i="3"/>
  <c r="F1982" i="3"/>
  <c r="F1987" i="3"/>
  <c r="D1982" i="3"/>
  <c r="D1990" i="3"/>
  <c r="D1987" i="3"/>
  <c r="D2034" i="3"/>
  <c r="D2040" i="3"/>
  <c r="D1985" i="3"/>
  <c r="D1983" i="3"/>
  <c r="D1988" i="3"/>
  <c r="D2039" i="3"/>
  <c r="D2037" i="3"/>
  <c r="D2036" i="3"/>
  <c r="D1989" i="3"/>
  <c r="D1986" i="3"/>
  <c r="D2035" i="3"/>
  <c r="D2033" i="3"/>
  <c r="D2038" i="3"/>
  <c r="D1984" i="3"/>
  <c r="D2032" i="3"/>
  <c r="I1401" i="3"/>
  <c r="I1426" i="3"/>
  <c r="I1422" i="3"/>
  <c r="I1418" i="3"/>
  <c r="I1414" i="3"/>
  <c r="I1410" i="3"/>
  <c r="I1406" i="3"/>
  <c r="I1402" i="3"/>
  <c r="I1428" i="3"/>
  <c r="I1427" i="3"/>
  <c r="I1423" i="3"/>
  <c r="I1419" i="3"/>
  <c r="I1415" i="3"/>
  <c r="I1411" i="3"/>
  <c r="I1407" i="3"/>
  <c r="I1403" i="3"/>
  <c r="I1424" i="3"/>
  <c r="I1420" i="3"/>
  <c r="I1416" i="3"/>
  <c r="I1412" i="3"/>
  <c r="I1408" i="3"/>
  <c r="I1404" i="3"/>
  <c r="I1400" i="3"/>
  <c r="I1425" i="3"/>
  <c r="I1421" i="3"/>
  <c r="I1417" i="3"/>
  <c r="I1413" i="3"/>
  <c r="I1409" i="3"/>
  <c r="I1405" i="3"/>
  <c r="G1400" i="3"/>
  <c r="G1424" i="3"/>
  <c r="G1420" i="3"/>
  <c r="G1416" i="3"/>
  <c r="G1412" i="3"/>
  <c r="G1408" i="3"/>
  <c r="G1404" i="3"/>
  <c r="G1425" i="3"/>
  <c r="G1421" i="3"/>
  <c r="G1417" i="3"/>
  <c r="G1413" i="3"/>
  <c r="G1409" i="3"/>
  <c r="G1405" i="3"/>
  <c r="G1401" i="3"/>
  <c r="G1426" i="3"/>
  <c r="G1422" i="3"/>
  <c r="G1418" i="3"/>
  <c r="G1414" i="3"/>
  <c r="G1410" i="3"/>
  <c r="G1406" i="3"/>
  <c r="G1402" i="3"/>
  <c r="G1427" i="3"/>
  <c r="G1423" i="3"/>
  <c r="G1419" i="3"/>
  <c r="G1415" i="3"/>
  <c r="G1411" i="3"/>
  <c r="G1407" i="3"/>
  <c r="G1403" i="3"/>
  <c r="G1428" i="3"/>
  <c r="F2076" i="3"/>
  <c r="F2083" i="3"/>
  <c r="F2084" i="3"/>
  <c r="D2061" i="3"/>
  <c r="D2083" i="3"/>
  <c r="D2084" i="3"/>
  <c r="D2059" i="3"/>
  <c r="D2063" i="3"/>
  <c r="D2079" i="3"/>
  <c r="D2075" i="3"/>
  <c r="D2067" i="3"/>
  <c r="D2071" i="3"/>
  <c r="D2066" i="3"/>
  <c r="D2076" i="3"/>
  <c r="D2082" i="3"/>
  <c r="D2074" i="3"/>
  <c r="D2069" i="3"/>
  <c r="D2056" i="3"/>
  <c r="D2078" i="3"/>
  <c r="D2065" i="3"/>
  <c r="D2073" i="3"/>
  <c r="D2068" i="3"/>
  <c r="D2064" i="3"/>
  <c r="D2070" i="3"/>
  <c r="D2077" i="3"/>
  <c r="D2062" i="3"/>
  <c r="D2072" i="3"/>
  <c r="D2081" i="3"/>
  <c r="D2060" i="3"/>
  <c r="D2057" i="3"/>
  <c r="F2059" i="3"/>
  <c r="D2080" i="3"/>
  <c r="F2067" i="3"/>
  <c r="D2058" i="3"/>
  <c r="F2064" i="3"/>
  <c r="F2071" i="3"/>
  <c r="F2075" i="3"/>
  <c r="F2080" i="3"/>
  <c r="F2068" i="3"/>
  <c r="F2072" i="3"/>
  <c r="F2056" i="3"/>
  <c r="F2063" i="3"/>
  <c r="F2078" i="3"/>
  <c r="F2081" i="3"/>
  <c r="F2066" i="3"/>
  <c r="F2057" i="3"/>
  <c r="F2074" i="3"/>
  <c r="F2062" i="3"/>
  <c r="F2061" i="3"/>
  <c r="F2065" i="3"/>
  <c r="F2082" i="3"/>
  <c r="F2069" i="3"/>
  <c r="F2070" i="3"/>
  <c r="F2073" i="3"/>
  <c r="F2058" i="3"/>
  <c r="F2077" i="3"/>
  <c r="F2079" i="3"/>
  <c r="F2060" i="3"/>
  <c r="D1765" i="3"/>
  <c r="A1837" i="3"/>
  <c r="D1773" i="3"/>
  <c r="D1764" i="3"/>
  <c r="D1769" i="3"/>
  <c r="D1763" i="3"/>
  <c r="D1761" i="3"/>
  <c r="D1756" i="3"/>
  <c r="D1776" i="3"/>
  <c r="D1754" i="3"/>
  <c r="D1771" i="3"/>
  <c r="D1755" i="3"/>
  <c r="D1750" i="3"/>
  <c r="D1759" i="3"/>
  <c r="D1767" i="3"/>
  <c r="D1766" i="3"/>
  <c r="D1760" i="3"/>
  <c r="D1752" i="3"/>
  <c r="D1777" i="3"/>
  <c r="D1770" i="3"/>
  <c r="D1753" i="3"/>
  <c r="D1757" i="3"/>
  <c r="D1762" i="3"/>
  <c r="D1775" i="3"/>
  <c r="D1778" i="3"/>
  <c r="D1774" i="3"/>
  <c r="D1772" i="3"/>
  <c r="D1768" i="3"/>
  <c r="D1751" i="3"/>
  <c r="F1774" i="3"/>
  <c r="F1765" i="3"/>
  <c r="F1769" i="3"/>
  <c r="F1754" i="3"/>
  <c r="J1767" i="3"/>
  <c r="J1754" i="3"/>
  <c r="F1777" i="3"/>
  <c r="F1753" i="3"/>
  <c r="F1758" i="3"/>
  <c r="J1753" i="3"/>
  <c r="J1758" i="3"/>
  <c r="J1775" i="3"/>
  <c r="J1770" i="3"/>
  <c r="J1769" i="3"/>
  <c r="J1750" i="3"/>
  <c r="F1770" i="3"/>
  <c r="F1750" i="3"/>
  <c r="F1773" i="3"/>
  <c r="H1755" i="3"/>
  <c r="H1753" i="3"/>
  <c r="J1773" i="3"/>
  <c r="H1766" i="3"/>
  <c r="J1752" i="3"/>
  <c r="J1766" i="3"/>
  <c r="J1765" i="3"/>
  <c r="J1774" i="3"/>
  <c r="H1770" i="3"/>
  <c r="J1756" i="3"/>
  <c r="J1763" i="3"/>
  <c r="J1764" i="3"/>
  <c r="J1762" i="3"/>
  <c r="H1758" i="3"/>
  <c r="H1767" i="3"/>
  <c r="H1760" i="3"/>
  <c r="H1768" i="3"/>
  <c r="H1756" i="3"/>
  <c r="H1776" i="3"/>
  <c r="H1775" i="3"/>
  <c r="H1772" i="3"/>
  <c r="H1752" i="3"/>
  <c r="H1764" i="3"/>
  <c r="H1759" i="3"/>
  <c r="H1771" i="3"/>
  <c r="H1754" i="3"/>
  <c r="H1762" i="3"/>
  <c r="H1751" i="3"/>
  <c r="H1769" i="3"/>
  <c r="J1751" i="3"/>
  <c r="J1768" i="3"/>
  <c r="H1757" i="3"/>
  <c r="J1755" i="3"/>
  <c r="J1772" i="3"/>
  <c r="F1756" i="3"/>
  <c r="F1776" i="3"/>
  <c r="F1772" i="3"/>
  <c r="F1768" i="3"/>
  <c r="F1764" i="3"/>
  <c r="F1752" i="3"/>
  <c r="F1760" i="3"/>
  <c r="F1775" i="3"/>
  <c r="F1771" i="3"/>
  <c r="F1759" i="3"/>
  <c r="F1751" i="3"/>
  <c r="F1778" i="3"/>
  <c r="F1755" i="3"/>
  <c r="F1767" i="3"/>
  <c r="F1763" i="3"/>
  <c r="J1777" i="3"/>
  <c r="J1778" i="3"/>
  <c r="H1774" i="3"/>
  <c r="J1760" i="3"/>
  <c r="H1763" i="3"/>
  <c r="H1777" i="3"/>
  <c r="H1750" i="3"/>
  <c r="J1757" i="3"/>
  <c r="H1773" i="3"/>
  <c r="J1771" i="3"/>
  <c r="J1761" i="3"/>
  <c r="H1761" i="3"/>
  <c r="F1757" i="3"/>
  <c r="J1759" i="3"/>
  <c r="F1762" i="3"/>
  <c r="H1765" i="3"/>
  <c r="F1766" i="3"/>
  <c r="A1780" i="3"/>
  <c r="E1429" i="3"/>
  <c r="C1429" i="3"/>
  <c r="I1379" i="3"/>
  <c r="J1369" i="3" s="1"/>
  <c r="G1379" i="3"/>
  <c r="H1367" i="3" s="1"/>
  <c r="I1579" i="3"/>
  <c r="C1579" i="3"/>
  <c r="G1579" i="3"/>
  <c r="I1727" i="3"/>
  <c r="I1723" i="3"/>
  <c r="I1715" i="3"/>
  <c r="I1707" i="3"/>
  <c r="I1726" i="3"/>
  <c r="I1718" i="3"/>
  <c r="I1710" i="3"/>
  <c r="I1702" i="3"/>
  <c r="I1725" i="3"/>
  <c r="I1721" i="3"/>
  <c r="I1717" i="3"/>
  <c r="I1713" i="3"/>
  <c r="I1709" i="3"/>
  <c r="I1705" i="3"/>
  <c r="I1701" i="3"/>
  <c r="I1719" i="3"/>
  <c r="I1711" i="3"/>
  <c r="I1703" i="3"/>
  <c r="I1722" i="3"/>
  <c r="I1714" i="3"/>
  <c r="I1706" i="3"/>
  <c r="I1728" i="3"/>
  <c r="I1724" i="3"/>
  <c r="I1720" i="3"/>
  <c r="I1716" i="3"/>
  <c r="I1712" i="3"/>
  <c r="I1708" i="3"/>
  <c r="I1704" i="3"/>
  <c r="G1727" i="3"/>
  <c r="G1719" i="3"/>
  <c r="G1711" i="3"/>
  <c r="G1703" i="3"/>
  <c r="G1726" i="3"/>
  <c r="G1718" i="3"/>
  <c r="G1710" i="3"/>
  <c r="G1702" i="3"/>
  <c r="G1725" i="3"/>
  <c r="G1721" i="3"/>
  <c r="G1717" i="3"/>
  <c r="G1713" i="3"/>
  <c r="G1709" i="3"/>
  <c r="G1705" i="3"/>
  <c r="G1701" i="3"/>
  <c r="G1723" i="3"/>
  <c r="G1715" i="3"/>
  <c r="G1707" i="3"/>
  <c r="G1722" i="3"/>
  <c r="G1714" i="3"/>
  <c r="G1706" i="3"/>
  <c r="G1728" i="3"/>
  <c r="G1724" i="3"/>
  <c r="G1720" i="3"/>
  <c r="G1716" i="3"/>
  <c r="G1712" i="3"/>
  <c r="G1708" i="3"/>
  <c r="G1704" i="3"/>
  <c r="E1727" i="3"/>
  <c r="E1723" i="3"/>
  <c r="E1719" i="3"/>
  <c r="E1715" i="3"/>
  <c r="E1711" i="3"/>
  <c r="E1707" i="3"/>
  <c r="E1703" i="3"/>
  <c r="E1726" i="3"/>
  <c r="E1722" i="3"/>
  <c r="E1718" i="3"/>
  <c r="E1714" i="3"/>
  <c r="E1710" i="3"/>
  <c r="E1706" i="3"/>
  <c r="E1702" i="3"/>
  <c r="E1725" i="3"/>
  <c r="E1721" i="3"/>
  <c r="E1717" i="3"/>
  <c r="E1713" i="3"/>
  <c r="E1709" i="3"/>
  <c r="E1705" i="3"/>
  <c r="E1701" i="3"/>
  <c r="E1728" i="3"/>
  <c r="E1724" i="3"/>
  <c r="E1720" i="3"/>
  <c r="E1716" i="3"/>
  <c r="E1712" i="3"/>
  <c r="E1708" i="3"/>
  <c r="E1704" i="3"/>
  <c r="C1727" i="3"/>
  <c r="C1723" i="3"/>
  <c r="C1715" i="3"/>
  <c r="C1707" i="3"/>
  <c r="C1722" i="3"/>
  <c r="C1714" i="3"/>
  <c r="C1710" i="3"/>
  <c r="C1702" i="3"/>
  <c r="C1725" i="3"/>
  <c r="C1721" i="3"/>
  <c r="C1717" i="3"/>
  <c r="C1713" i="3"/>
  <c r="C1709" i="3"/>
  <c r="C1705" i="3"/>
  <c r="C1701" i="3"/>
  <c r="C1719" i="3"/>
  <c r="C1711" i="3"/>
  <c r="C1703" i="3"/>
  <c r="C1726" i="3"/>
  <c r="C1718" i="3"/>
  <c r="C1706" i="3"/>
  <c r="C1728" i="3"/>
  <c r="C1724" i="3"/>
  <c r="C1720" i="3"/>
  <c r="C1716" i="3"/>
  <c r="C1712" i="3"/>
  <c r="C1708" i="3"/>
  <c r="C1704" i="3"/>
  <c r="C1650" i="3" a="1"/>
  <c r="C1650" i="3" s="1"/>
  <c r="E1650" i="3" a="1"/>
  <c r="E1650" i="3" s="1"/>
  <c r="I1600" i="3" a="1"/>
  <c r="I1600" i="3" s="1"/>
  <c r="G1600" i="3" a="1"/>
  <c r="G1600" i="3" s="1"/>
  <c r="C1600" i="3" a="1"/>
  <c r="C1600" i="3" s="1"/>
  <c r="AI37" i="1"/>
  <c r="H1893" i="3" l="1"/>
  <c r="D1893" i="3"/>
  <c r="D2041" i="3"/>
  <c r="F2041" i="3"/>
  <c r="F1991" i="3"/>
  <c r="D1991" i="3"/>
  <c r="D1401" i="3"/>
  <c r="D1403" i="3"/>
  <c r="D1405" i="3"/>
  <c r="D1407" i="3"/>
  <c r="D1409" i="3"/>
  <c r="D1411" i="3"/>
  <c r="D1413" i="3"/>
  <c r="D1415" i="3"/>
  <c r="D1417" i="3"/>
  <c r="D1419" i="3"/>
  <c r="D1421" i="3"/>
  <c r="D1423" i="3"/>
  <c r="D1425" i="3"/>
  <c r="D1427" i="3"/>
  <c r="D1400" i="3"/>
  <c r="D1402" i="3"/>
  <c r="D1404" i="3"/>
  <c r="D1406" i="3"/>
  <c r="D1408" i="3"/>
  <c r="D1410" i="3"/>
  <c r="D1412" i="3"/>
  <c r="D1414" i="3"/>
  <c r="D1416" i="3"/>
  <c r="D1418" i="3"/>
  <c r="D1420" i="3"/>
  <c r="D1422" i="3"/>
  <c r="D1424" i="3"/>
  <c r="D1426" i="3"/>
  <c r="D1428" i="3"/>
  <c r="F1401" i="3"/>
  <c r="F1403" i="3"/>
  <c r="F1405" i="3"/>
  <c r="F1407" i="3"/>
  <c r="F1409" i="3"/>
  <c r="F1411" i="3"/>
  <c r="F1413" i="3"/>
  <c r="F1415" i="3"/>
  <c r="F1417" i="3"/>
  <c r="F1419" i="3"/>
  <c r="F1421" i="3"/>
  <c r="F1423" i="3"/>
  <c r="F1425" i="3"/>
  <c r="F1427" i="3"/>
  <c r="F1400" i="3"/>
  <c r="F1402" i="3"/>
  <c r="F1404" i="3"/>
  <c r="F1406" i="3"/>
  <c r="F1408" i="3"/>
  <c r="F1410" i="3"/>
  <c r="F1412" i="3"/>
  <c r="F1414" i="3"/>
  <c r="F1416" i="3"/>
  <c r="F1418" i="3"/>
  <c r="F1420" i="3"/>
  <c r="F1422" i="3"/>
  <c r="F1424" i="3"/>
  <c r="F1426" i="3"/>
  <c r="F1428" i="3"/>
  <c r="D1550" i="3"/>
  <c r="D1578" i="3"/>
  <c r="D1557" i="3"/>
  <c r="D1565" i="3"/>
  <c r="D1573" i="3"/>
  <c r="D1552" i="3"/>
  <c r="D1560" i="3"/>
  <c r="D1568" i="3"/>
  <c r="D1576" i="3"/>
  <c r="D1555" i="3"/>
  <c r="D1574" i="3"/>
  <c r="D1551" i="3"/>
  <c r="D1559" i="3"/>
  <c r="D1567" i="3"/>
  <c r="D1575" i="3"/>
  <c r="D1554" i="3"/>
  <c r="D1562" i="3"/>
  <c r="D1570" i="3"/>
  <c r="D1571" i="3"/>
  <c r="D1566" i="3"/>
  <c r="D1553" i="3"/>
  <c r="D1561" i="3"/>
  <c r="D1569" i="3"/>
  <c r="D1577" i="3"/>
  <c r="D1556" i="3"/>
  <c r="D1564" i="3"/>
  <c r="D1572" i="3"/>
  <c r="D1563" i="3"/>
  <c r="D1558" i="3"/>
  <c r="J1550" i="3"/>
  <c r="J1552" i="3"/>
  <c r="J1560" i="3"/>
  <c r="J1568" i="3"/>
  <c r="J1576" i="3"/>
  <c r="J1555" i="3"/>
  <c r="J1563" i="3"/>
  <c r="J1571" i="3"/>
  <c r="J1561" i="3"/>
  <c r="J1577" i="3"/>
  <c r="J1554" i="3"/>
  <c r="J1562" i="3"/>
  <c r="J1570" i="3"/>
  <c r="J1578" i="3"/>
  <c r="J1557" i="3"/>
  <c r="J1565" i="3"/>
  <c r="J1573" i="3"/>
  <c r="J1558" i="3"/>
  <c r="J1566" i="3"/>
  <c r="J1574" i="3"/>
  <c r="J1569" i="3"/>
  <c r="J1556" i="3"/>
  <c r="J1564" i="3"/>
  <c r="J1572" i="3"/>
  <c r="J1551" i="3"/>
  <c r="J1559" i="3"/>
  <c r="J1567" i="3"/>
  <c r="J1575" i="3"/>
  <c r="J1553" i="3"/>
  <c r="H1578" i="3"/>
  <c r="H1550" i="3"/>
  <c r="H1552" i="3"/>
  <c r="H1558" i="3"/>
  <c r="H1574" i="3"/>
  <c r="H1553" i="3"/>
  <c r="H1561" i="3"/>
  <c r="H1569" i="3"/>
  <c r="H1577" i="3"/>
  <c r="H1566" i="3"/>
  <c r="H1568" i="3"/>
  <c r="H1551" i="3"/>
  <c r="H1556" i="3"/>
  <c r="H1564" i="3"/>
  <c r="H1555" i="3"/>
  <c r="H1563" i="3"/>
  <c r="H1571" i="3"/>
  <c r="H1576" i="3"/>
  <c r="H1572" i="3"/>
  <c r="H1567" i="3"/>
  <c r="H1560" i="3"/>
  <c r="H1562" i="3"/>
  <c r="H1570" i="3"/>
  <c r="H1557" i="3"/>
  <c r="H1565" i="3"/>
  <c r="H1573" i="3"/>
  <c r="H1554" i="3"/>
  <c r="H1559" i="3"/>
  <c r="H1575" i="3"/>
  <c r="J1351" i="3"/>
  <c r="I1429" i="3"/>
  <c r="G1429" i="3"/>
  <c r="J1836" i="3"/>
  <c r="H1836" i="3"/>
  <c r="D1836" i="3"/>
  <c r="F1836" i="3"/>
  <c r="D1779" i="3"/>
  <c r="F1779" i="3"/>
  <c r="J1779" i="3"/>
  <c r="H1779" i="3"/>
  <c r="J1361" i="3"/>
  <c r="H1363" i="3"/>
  <c r="H1371" i="3"/>
  <c r="H1373" i="3"/>
  <c r="H1362" i="3"/>
  <c r="H1359" i="3"/>
  <c r="H1357" i="3"/>
  <c r="H1376" i="3"/>
  <c r="H1370" i="3"/>
  <c r="H1351" i="3"/>
  <c r="H1374" i="3"/>
  <c r="H1352" i="3"/>
  <c r="H1354" i="3"/>
  <c r="J1366" i="3"/>
  <c r="J1372" i="3"/>
  <c r="J1358" i="3"/>
  <c r="J1364" i="3"/>
  <c r="J1353" i="3"/>
  <c r="J1374" i="3"/>
  <c r="J1356" i="3"/>
  <c r="H1378" i="3"/>
  <c r="J1377" i="3"/>
  <c r="J1365" i="3"/>
  <c r="H1350" i="3"/>
  <c r="J1368" i="3"/>
  <c r="H1358" i="3"/>
  <c r="J1376" i="3"/>
  <c r="J1362" i="3"/>
  <c r="J1370" i="3"/>
  <c r="J1378" i="3"/>
  <c r="J1354" i="3"/>
  <c r="J1363" i="3"/>
  <c r="J1371" i="3"/>
  <c r="J1375" i="3"/>
  <c r="J1350" i="3"/>
  <c r="J1357" i="3"/>
  <c r="J1359" i="3"/>
  <c r="J1373" i="3"/>
  <c r="J1367" i="3"/>
  <c r="J1355" i="3"/>
  <c r="H1361" i="3"/>
  <c r="H1372" i="3"/>
  <c r="H1377" i="3"/>
  <c r="H1364" i="3"/>
  <c r="H1353" i="3"/>
  <c r="H1369" i="3"/>
  <c r="H1356" i="3"/>
  <c r="H1368" i="3"/>
  <c r="J1352" i="3"/>
  <c r="H1375" i="3"/>
  <c r="H1365" i="3"/>
  <c r="H1355" i="3"/>
  <c r="H1360" i="3"/>
  <c r="J1360" i="3"/>
  <c r="H1366" i="3"/>
  <c r="G1729" i="3"/>
  <c r="H1716" i="3" s="1"/>
  <c r="I1729" i="3"/>
  <c r="J1726" i="3" s="1"/>
  <c r="E1729" i="3"/>
  <c r="F1703" i="3" s="1"/>
  <c r="C1729" i="3"/>
  <c r="D1715" i="3" s="1"/>
  <c r="C1677" i="3"/>
  <c r="C1673" i="3"/>
  <c r="C1669" i="3"/>
  <c r="C1665" i="3"/>
  <c r="C1661" i="3"/>
  <c r="C1657" i="3"/>
  <c r="C1653" i="3"/>
  <c r="C1676" i="3"/>
  <c r="C1672" i="3"/>
  <c r="C1668" i="3"/>
  <c r="C1664" i="3"/>
  <c r="C1660" i="3"/>
  <c r="C1656" i="3"/>
  <c r="C1652" i="3"/>
  <c r="C1675" i="3"/>
  <c r="C1671" i="3"/>
  <c r="C1667" i="3"/>
  <c r="C1663" i="3"/>
  <c r="C1659" i="3"/>
  <c r="C1655" i="3"/>
  <c r="C1651" i="3"/>
  <c r="C1678" i="3"/>
  <c r="C1674" i="3"/>
  <c r="C1670" i="3"/>
  <c r="C1666" i="3"/>
  <c r="C1662" i="3"/>
  <c r="C1658" i="3"/>
  <c r="C1654" i="3"/>
  <c r="E1677" i="3"/>
  <c r="E1673" i="3"/>
  <c r="E1669" i="3"/>
  <c r="E1665" i="3"/>
  <c r="E1661" i="3"/>
  <c r="E1657" i="3"/>
  <c r="E1653" i="3"/>
  <c r="E1676" i="3"/>
  <c r="E1672" i="3"/>
  <c r="E1668" i="3"/>
  <c r="E1664" i="3"/>
  <c r="E1660" i="3"/>
  <c r="E1656" i="3"/>
  <c r="E1652" i="3"/>
  <c r="E1675" i="3"/>
  <c r="E1671" i="3"/>
  <c r="E1667" i="3"/>
  <c r="E1663" i="3"/>
  <c r="E1659" i="3"/>
  <c r="E1655" i="3"/>
  <c r="E1651" i="3"/>
  <c r="E1678" i="3"/>
  <c r="E1674" i="3"/>
  <c r="E1670" i="3"/>
  <c r="E1666" i="3"/>
  <c r="E1662" i="3"/>
  <c r="E1658" i="3"/>
  <c r="E1654" i="3"/>
  <c r="I1623" i="3"/>
  <c r="I1619" i="3"/>
  <c r="I1611" i="3"/>
  <c r="I1603" i="3"/>
  <c r="I1626" i="3"/>
  <c r="I1622" i="3"/>
  <c r="I1618" i="3"/>
  <c r="I1614" i="3"/>
  <c r="I1610" i="3"/>
  <c r="I1602" i="3"/>
  <c r="I1625" i="3"/>
  <c r="I1621" i="3"/>
  <c r="I1617" i="3"/>
  <c r="I1613" i="3"/>
  <c r="I1609" i="3"/>
  <c r="I1605" i="3"/>
  <c r="I1601" i="3"/>
  <c r="I1627" i="3"/>
  <c r="I1615" i="3"/>
  <c r="I1607" i="3"/>
  <c r="I1606" i="3"/>
  <c r="I1628" i="3"/>
  <c r="I1624" i="3"/>
  <c r="I1620" i="3"/>
  <c r="I1616" i="3"/>
  <c r="I1612" i="3"/>
  <c r="I1608" i="3"/>
  <c r="I1604" i="3"/>
  <c r="G1627" i="3"/>
  <c r="G1619" i="3"/>
  <c r="G1611" i="3"/>
  <c r="G1603" i="3"/>
  <c r="G1626" i="3"/>
  <c r="G1622" i="3"/>
  <c r="G1618" i="3"/>
  <c r="G1614" i="3"/>
  <c r="G1610" i="3"/>
  <c r="G1602" i="3"/>
  <c r="G1625" i="3"/>
  <c r="G1621" i="3"/>
  <c r="G1617" i="3"/>
  <c r="G1613" i="3"/>
  <c r="G1609" i="3"/>
  <c r="G1605" i="3"/>
  <c r="G1601" i="3"/>
  <c r="G1623" i="3"/>
  <c r="G1615" i="3"/>
  <c r="G1607" i="3"/>
  <c r="G1606" i="3"/>
  <c r="G1628" i="3"/>
  <c r="G1624" i="3"/>
  <c r="G1620" i="3"/>
  <c r="G1616" i="3"/>
  <c r="G1612" i="3"/>
  <c r="G1608" i="3"/>
  <c r="G1604" i="3"/>
  <c r="C1627" i="3"/>
  <c r="C1619" i="3"/>
  <c r="C1611" i="3"/>
  <c r="C1603" i="3"/>
  <c r="C1626" i="3"/>
  <c r="C1622" i="3"/>
  <c r="C1618" i="3"/>
  <c r="C1614" i="3"/>
  <c r="C1610" i="3"/>
  <c r="C1602" i="3"/>
  <c r="C1625" i="3"/>
  <c r="C1621" i="3"/>
  <c r="C1617" i="3"/>
  <c r="C1613" i="3"/>
  <c r="C1609" i="3"/>
  <c r="C1605" i="3"/>
  <c r="C1601" i="3"/>
  <c r="C1623" i="3"/>
  <c r="C1615" i="3"/>
  <c r="C1607" i="3"/>
  <c r="C1606" i="3"/>
  <c r="C1628" i="3"/>
  <c r="C1624" i="3"/>
  <c r="C1620" i="3"/>
  <c r="C1616" i="3"/>
  <c r="C1612" i="3"/>
  <c r="C1608" i="3"/>
  <c r="C1604" i="3"/>
  <c r="E1450" i="3" a="1"/>
  <c r="E1450" i="3" s="1"/>
  <c r="H1400" i="3" l="1"/>
  <c r="H1416" i="3"/>
  <c r="H1403" i="3"/>
  <c r="H1419" i="3"/>
  <c r="H1412" i="3"/>
  <c r="H1414" i="3"/>
  <c r="H1420" i="3"/>
  <c r="H1413" i="3"/>
  <c r="H1415" i="3"/>
  <c r="H1410" i="3"/>
  <c r="H1408" i="3"/>
  <c r="H1409" i="3"/>
  <c r="H1407" i="3"/>
  <c r="H1423" i="3"/>
  <c r="H1424" i="3"/>
  <c r="H1402" i="3"/>
  <c r="H1418" i="3"/>
  <c r="H1401" i="3"/>
  <c r="H1417" i="3"/>
  <c r="H1428" i="3"/>
  <c r="H1404" i="3"/>
  <c r="H1426" i="3"/>
  <c r="H1425" i="3"/>
  <c r="H1411" i="3"/>
  <c r="H1427" i="3"/>
  <c r="H1406" i="3"/>
  <c r="H1422" i="3"/>
  <c r="H1405" i="3"/>
  <c r="H1421" i="3"/>
  <c r="J1401" i="3"/>
  <c r="J1426" i="3"/>
  <c r="J1417" i="3"/>
  <c r="J1422" i="3"/>
  <c r="J1400" i="3"/>
  <c r="J1416" i="3"/>
  <c r="J1411" i="3"/>
  <c r="J1427" i="3"/>
  <c r="J1413" i="3"/>
  <c r="J1428" i="3"/>
  <c r="J1405" i="3"/>
  <c r="J1421" i="3"/>
  <c r="J1404" i="3"/>
  <c r="J1420" i="3"/>
  <c r="J1418" i="3"/>
  <c r="J1415" i="3"/>
  <c r="J1407" i="3"/>
  <c r="J1402" i="3"/>
  <c r="J1409" i="3"/>
  <c r="J1425" i="3"/>
  <c r="J1406" i="3"/>
  <c r="J1408" i="3"/>
  <c r="J1424" i="3"/>
  <c r="J1403" i="3"/>
  <c r="J1419" i="3"/>
  <c r="J1410" i="3"/>
  <c r="J1414" i="3"/>
  <c r="J1412" i="3"/>
  <c r="J1423" i="3"/>
  <c r="D1429" i="3"/>
  <c r="A1430" i="3"/>
  <c r="F1429" i="3"/>
  <c r="J1379" i="3"/>
  <c r="H1379" i="3"/>
  <c r="J1721" i="3"/>
  <c r="J1579" i="3"/>
  <c r="H1579" i="3"/>
  <c r="D1579" i="3"/>
  <c r="H1720" i="3"/>
  <c r="J1724" i="3"/>
  <c r="J1701" i="3"/>
  <c r="J1708" i="3"/>
  <c r="J1727" i="3"/>
  <c r="J1711" i="3"/>
  <c r="J1705" i="3"/>
  <c r="J1728" i="3"/>
  <c r="J1717" i="3"/>
  <c r="J1704" i="3"/>
  <c r="J1718" i="3"/>
  <c r="J1709" i="3"/>
  <c r="H1724" i="3"/>
  <c r="J1702" i="3"/>
  <c r="J1723" i="3"/>
  <c r="J1722" i="3"/>
  <c r="F1719" i="3"/>
  <c r="D1719" i="3"/>
  <c r="J1703" i="3"/>
  <c r="F1704" i="3"/>
  <c r="F1707" i="3"/>
  <c r="F1708" i="3"/>
  <c r="F1720" i="3"/>
  <c r="D1723" i="3"/>
  <c r="D1711" i="3"/>
  <c r="J1706" i="3"/>
  <c r="H1715" i="3"/>
  <c r="J1710" i="3"/>
  <c r="H1728" i="3"/>
  <c r="H1707" i="3"/>
  <c r="H1711" i="3"/>
  <c r="F1718" i="3"/>
  <c r="F1714" i="3"/>
  <c r="F1706" i="3"/>
  <c r="F1702" i="3"/>
  <c r="F1726" i="3"/>
  <c r="F1722" i="3"/>
  <c r="F1710" i="3"/>
  <c r="F1717" i="3"/>
  <c r="F1721" i="3"/>
  <c r="F1713" i="3"/>
  <c r="F1728" i="3"/>
  <c r="F1725" i="3"/>
  <c r="F1709" i="3"/>
  <c r="F1701" i="3"/>
  <c r="F1705" i="3"/>
  <c r="F1711" i="3"/>
  <c r="J1713" i="3"/>
  <c r="F1712" i="3"/>
  <c r="H1703" i="3"/>
  <c r="H1725" i="3"/>
  <c r="H1718" i="3"/>
  <c r="H1722" i="3"/>
  <c r="H1726" i="3"/>
  <c r="H1702" i="3"/>
  <c r="H1706" i="3"/>
  <c r="H1710" i="3"/>
  <c r="H1714" i="3"/>
  <c r="H1723" i="3"/>
  <c r="F1716" i="3"/>
  <c r="H1727" i="3"/>
  <c r="F1723" i="3"/>
  <c r="J1725" i="3"/>
  <c r="F1724" i="3"/>
  <c r="H1719" i="3"/>
  <c r="F1700" i="3"/>
  <c r="J1700" i="3"/>
  <c r="F1727" i="3"/>
  <c r="J1707" i="3"/>
  <c r="H1701" i="3"/>
  <c r="J1720" i="3"/>
  <c r="J1719" i="3"/>
  <c r="A1730" i="3"/>
  <c r="D1702" i="3"/>
  <c r="D1724" i="3"/>
  <c r="D1727" i="3"/>
  <c r="D1720" i="3"/>
  <c r="D1721" i="3"/>
  <c r="D1701" i="3"/>
  <c r="D1722" i="3"/>
  <c r="D1714" i="3"/>
  <c r="D1708" i="3"/>
  <c r="D1704" i="3"/>
  <c r="D1725" i="3"/>
  <c r="D1705" i="3"/>
  <c r="D1726" i="3"/>
  <c r="D1706" i="3"/>
  <c r="D1728" i="3"/>
  <c r="D1716" i="3"/>
  <c r="D1717" i="3"/>
  <c r="D1713" i="3"/>
  <c r="D1709" i="3"/>
  <c r="D1710" i="3"/>
  <c r="D1712" i="3"/>
  <c r="D1700" i="3"/>
  <c r="D1718" i="3"/>
  <c r="H1704" i="3"/>
  <c r="H1709" i="3"/>
  <c r="F1715" i="3"/>
  <c r="J1714" i="3"/>
  <c r="J1712" i="3"/>
  <c r="H1708" i="3"/>
  <c r="D1703" i="3"/>
  <c r="H1713" i="3"/>
  <c r="J1715" i="3"/>
  <c r="H1721" i="3"/>
  <c r="J1716" i="3"/>
  <c r="H1712" i="3"/>
  <c r="D1707" i="3"/>
  <c r="H1717" i="3"/>
  <c r="H1700" i="3"/>
  <c r="H1705" i="3"/>
  <c r="C1679" i="3"/>
  <c r="D1658" i="3" s="1"/>
  <c r="I1679" i="3"/>
  <c r="J1676" i="3" s="1"/>
  <c r="E1679" i="3"/>
  <c r="G1679" i="3"/>
  <c r="H1678" i="3" s="1"/>
  <c r="C1629" i="3"/>
  <c r="D1605" i="3" s="1"/>
  <c r="G1629" i="3"/>
  <c r="H1600" i="3" s="1"/>
  <c r="E1629" i="3"/>
  <c r="I1629" i="3"/>
  <c r="J1626" i="3" s="1"/>
  <c r="E1477" i="3"/>
  <c r="E1469" i="3"/>
  <c r="E1461" i="3"/>
  <c r="E1476" i="3"/>
  <c r="E1468" i="3"/>
  <c r="E1460" i="3"/>
  <c r="E1452" i="3"/>
  <c r="E1475" i="3"/>
  <c r="E1471" i="3"/>
  <c r="E1467" i="3"/>
  <c r="E1463" i="3"/>
  <c r="E1459" i="3"/>
  <c r="E1455" i="3"/>
  <c r="E1451" i="3"/>
  <c r="E1473" i="3"/>
  <c r="E1465" i="3"/>
  <c r="E1457" i="3"/>
  <c r="E1453" i="3"/>
  <c r="E1472" i="3"/>
  <c r="E1464" i="3"/>
  <c r="E1456" i="3"/>
  <c r="E1478" i="3"/>
  <c r="E1474" i="3"/>
  <c r="E1470" i="3"/>
  <c r="E1466" i="3"/>
  <c r="E1462" i="3"/>
  <c r="E1458" i="3"/>
  <c r="E1454" i="3"/>
  <c r="J1429" i="3" l="1"/>
  <c r="H1429" i="3"/>
  <c r="D1611" i="3"/>
  <c r="H1729" i="3"/>
  <c r="D1729" i="3"/>
  <c r="J1729" i="3"/>
  <c r="F1729" i="3"/>
  <c r="D1665" i="3"/>
  <c r="D1653" i="3"/>
  <c r="D1669" i="3"/>
  <c r="D1657" i="3"/>
  <c r="D1673" i="3"/>
  <c r="D1661" i="3"/>
  <c r="D1652" i="3"/>
  <c r="D1677" i="3"/>
  <c r="D1650" i="3"/>
  <c r="D1664" i="3"/>
  <c r="D1667" i="3"/>
  <c r="D1662" i="3"/>
  <c r="D1656" i="3"/>
  <c r="D1666" i="3"/>
  <c r="D1660" i="3"/>
  <c r="D1671" i="3"/>
  <c r="D1659" i="3"/>
  <c r="D1678" i="3"/>
  <c r="D1668" i="3"/>
  <c r="D1676" i="3"/>
  <c r="D1655" i="3"/>
  <c r="D1672" i="3"/>
  <c r="D1663" i="3"/>
  <c r="D1670" i="3"/>
  <c r="D1674" i="3"/>
  <c r="D1651" i="3"/>
  <c r="D1675" i="3"/>
  <c r="D1654" i="3"/>
  <c r="J1653" i="3"/>
  <c r="J1663" i="3"/>
  <c r="J1662" i="3"/>
  <c r="J1660" i="3"/>
  <c r="J1658" i="3"/>
  <c r="J1652" i="3"/>
  <c r="J1656" i="3"/>
  <c r="J1674" i="3"/>
  <c r="J1667" i="3"/>
  <c r="J1668" i="3"/>
  <c r="J1664" i="3"/>
  <c r="J1655" i="3"/>
  <c r="J1672" i="3"/>
  <c r="J1651" i="3"/>
  <c r="J1678" i="3"/>
  <c r="J1657" i="3"/>
  <c r="J1677" i="3"/>
  <c r="J1673" i="3"/>
  <c r="J1654" i="3"/>
  <c r="J1665" i="3"/>
  <c r="F1660" i="3"/>
  <c r="F1652" i="3"/>
  <c r="F1672" i="3"/>
  <c r="F1676" i="3"/>
  <c r="F1668" i="3"/>
  <c r="F1664" i="3"/>
  <c r="F1656" i="3"/>
  <c r="F1675" i="3"/>
  <c r="F1671" i="3"/>
  <c r="F1667" i="3"/>
  <c r="F1663" i="3"/>
  <c r="F1678" i="3"/>
  <c r="F1651" i="3"/>
  <c r="F1659" i="3"/>
  <c r="F1655" i="3"/>
  <c r="H1665" i="3"/>
  <c r="H1657" i="3"/>
  <c r="H1666" i="3"/>
  <c r="F1661" i="3"/>
  <c r="F1650" i="3"/>
  <c r="H1661" i="3"/>
  <c r="F1653" i="3"/>
  <c r="F1658" i="3"/>
  <c r="F1657" i="3"/>
  <c r="J1659" i="3"/>
  <c r="F1662" i="3"/>
  <c r="J1669" i="3"/>
  <c r="H1656" i="3"/>
  <c r="H1660" i="3"/>
  <c r="H1675" i="3"/>
  <c r="H1668" i="3"/>
  <c r="H1672" i="3"/>
  <c r="H1652" i="3"/>
  <c r="H1676" i="3"/>
  <c r="H1664" i="3"/>
  <c r="H1673" i="3"/>
  <c r="F1665" i="3"/>
  <c r="F1654" i="3"/>
  <c r="H1662" i="3"/>
  <c r="F1666" i="3"/>
  <c r="H1677" i="3"/>
  <c r="F1669" i="3"/>
  <c r="J1671" i="3"/>
  <c r="F1674" i="3"/>
  <c r="H1669" i="3"/>
  <c r="J1650" i="3"/>
  <c r="F1673" i="3"/>
  <c r="J1675" i="3"/>
  <c r="H1651" i="3"/>
  <c r="J1661" i="3"/>
  <c r="H1659" i="3"/>
  <c r="H1670" i="3"/>
  <c r="F1677" i="3"/>
  <c r="H1674" i="3"/>
  <c r="H1650" i="3"/>
  <c r="F1670" i="3"/>
  <c r="H1653" i="3"/>
  <c r="H1654" i="3"/>
  <c r="H1663" i="3"/>
  <c r="J1670" i="3"/>
  <c r="H1655" i="3"/>
  <c r="J1666" i="3"/>
  <c r="H1658" i="3"/>
  <c r="H1667" i="3"/>
  <c r="H1671" i="3"/>
  <c r="A1680" i="3"/>
  <c r="D1607" i="3"/>
  <c r="D1603" i="3"/>
  <c r="D1615" i="3"/>
  <c r="D1619" i="3"/>
  <c r="D1623" i="3"/>
  <c r="D1612" i="3"/>
  <c r="D1606" i="3"/>
  <c r="D1602" i="3"/>
  <c r="D1622" i="3"/>
  <c r="D1618" i="3"/>
  <c r="D1628" i="3"/>
  <c r="D1626" i="3"/>
  <c r="D1601" i="3"/>
  <c r="D1600" i="3"/>
  <c r="D1625" i="3"/>
  <c r="D1621" i="3"/>
  <c r="D1617" i="3"/>
  <c r="D1620" i="3"/>
  <c r="D1604" i="3"/>
  <c r="D1616" i="3"/>
  <c r="D1627" i="3"/>
  <c r="D1624" i="3"/>
  <c r="D1614" i="3"/>
  <c r="D1613" i="3"/>
  <c r="D1610" i="3"/>
  <c r="J1618" i="3"/>
  <c r="D1609" i="3"/>
  <c r="H1612" i="3"/>
  <c r="J1615" i="3"/>
  <c r="J1608" i="3"/>
  <c r="J1610" i="3"/>
  <c r="J1619" i="3"/>
  <c r="J1612" i="3"/>
  <c r="D1608" i="3"/>
  <c r="J1611" i="3"/>
  <c r="J1604" i="3"/>
  <c r="H1623" i="3"/>
  <c r="J1628" i="3"/>
  <c r="J1627" i="3"/>
  <c r="J1616" i="3"/>
  <c r="J1614" i="3"/>
  <c r="H1613" i="3"/>
  <c r="J1620" i="3"/>
  <c r="J1613" i="3"/>
  <c r="J1601" i="3"/>
  <c r="H1617" i="3"/>
  <c r="H1604" i="3"/>
  <c r="H1607" i="3"/>
  <c r="J1603" i="3"/>
  <c r="H1609" i="3"/>
  <c r="H1627" i="3"/>
  <c r="H1615" i="3"/>
  <c r="H1620" i="3"/>
  <c r="H1605" i="3"/>
  <c r="H1611" i="3"/>
  <c r="H1603" i="3"/>
  <c r="H1608" i="3"/>
  <c r="H1616" i="3"/>
  <c r="J1605" i="3"/>
  <c r="H1621" i="3"/>
  <c r="H1628" i="3"/>
  <c r="H1601" i="3"/>
  <c r="H1619" i="3"/>
  <c r="H1624" i="3"/>
  <c r="J1623" i="3"/>
  <c r="J1606" i="3"/>
  <c r="F1628" i="3"/>
  <c r="F1601" i="3"/>
  <c r="F1602" i="3"/>
  <c r="F1606" i="3"/>
  <c r="F1609" i="3"/>
  <c r="F1610" i="3"/>
  <c r="F1613" i="3"/>
  <c r="F1625" i="3"/>
  <c r="F1626" i="3"/>
  <c r="F1605" i="3"/>
  <c r="F1614" i="3"/>
  <c r="F1617" i="3"/>
  <c r="F1618" i="3"/>
  <c r="F1621" i="3"/>
  <c r="F1622" i="3"/>
  <c r="F1615" i="3"/>
  <c r="F1604" i="3"/>
  <c r="A1630" i="3"/>
  <c r="F1612" i="3"/>
  <c r="F1619" i="3"/>
  <c r="J1621" i="3"/>
  <c r="F1616" i="3"/>
  <c r="J1602" i="3"/>
  <c r="F1611" i="3"/>
  <c r="J1617" i="3"/>
  <c r="F1607" i="3"/>
  <c r="J1609" i="3"/>
  <c r="F1620" i="3"/>
  <c r="F1603" i="3"/>
  <c r="F1608" i="3"/>
  <c r="J1600" i="3"/>
  <c r="J1607" i="3"/>
  <c r="J1622" i="3"/>
  <c r="F1623" i="3"/>
  <c r="J1625" i="3"/>
  <c r="J1624" i="3"/>
  <c r="F1624" i="3"/>
  <c r="H1602" i="3"/>
  <c r="H1606" i="3"/>
  <c r="H1610" i="3"/>
  <c r="H1614" i="3"/>
  <c r="H1618" i="3"/>
  <c r="H1622" i="3"/>
  <c r="H1626" i="3"/>
  <c r="H1625" i="3"/>
  <c r="F1600" i="3"/>
  <c r="F1627" i="3"/>
  <c r="C1450" i="3" a="1"/>
  <c r="C1450" i="3" s="1"/>
  <c r="D1679" i="3" l="1"/>
  <c r="H1679" i="3"/>
  <c r="F1679" i="3"/>
  <c r="J1679" i="3"/>
  <c r="D1629" i="3"/>
  <c r="H1629" i="3"/>
  <c r="J1629" i="3"/>
  <c r="F1629" i="3"/>
  <c r="C1473" i="3"/>
  <c r="C1465" i="3"/>
  <c r="C1461" i="3"/>
  <c r="C1453" i="3"/>
  <c r="C1472" i="3"/>
  <c r="C1468" i="3"/>
  <c r="C1460" i="3"/>
  <c r="C1452" i="3"/>
  <c r="C1475" i="3"/>
  <c r="C1471" i="3"/>
  <c r="C1467" i="3"/>
  <c r="C1463" i="3"/>
  <c r="C1459" i="3"/>
  <c r="C1455" i="3"/>
  <c r="C1451" i="3"/>
  <c r="C1477" i="3"/>
  <c r="C1469" i="3"/>
  <c r="C1457" i="3"/>
  <c r="C1476" i="3"/>
  <c r="C1464" i="3"/>
  <c r="C1456" i="3"/>
  <c r="C1478" i="3"/>
  <c r="C1474" i="3"/>
  <c r="C1470" i="3"/>
  <c r="C1466" i="3"/>
  <c r="C1462" i="3"/>
  <c r="C1458" i="3"/>
  <c r="C1454" i="3"/>
  <c r="C1479" i="3" l="1"/>
  <c r="G1479" i="3"/>
  <c r="H1477" i="3" s="1"/>
  <c r="E1479" i="3"/>
  <c r="F1469" i="3" s="1"/>
  <c r="I1479" i="3"/>
  <c r="D1457" i="3" l="1"/>
  <c r="A1480" i="3"/>
  <c r="H1465" i="3"/>
  <c r="H1469" i="3"/>
  <c r="H1462" i="3"/>
  <c r="H1461" i="3"/>
  <c r="F1457" i="3"/>
  <c r="H1450" i="3"/>
  <c r="H1457" i="3"/>
  <c r="H1470" i="3"/>
  <c r="D1458" i="3"/>
  <c r="D1453" i="3"/>
  <c r="D1470" i="3"/>
  <c r="D1465" i="3"/>
  <c r="D1478" i="3"/>
  <c r="D1474" i="3"/>
  <c r="D1461" i="3"/>
  <c r="D1455" i="3"/>
  <c r="D1476" i="3"/>
  <c r="D1463" i="3"/>
  <c r="D1454" i="3"/>
  <c r="D1475" i="3"/>
  <c r="D1467" i="3"/>
  <c r="D1468" i="3"/>
  <c r="D1456" i="3"/>
  <c r="D1460" i="3"/>
  <c r="D1473" i="3"/>
  <c r="D1472" i="3"/>
  <c r="D1459" i="3"/>
  <c r="D1451" i="3"/>
  <c r="D1471" i="3"/>
  <c r="J1460" i="3"/>
  <c r="J1456" i="3"/>
  <c r="J1468" i="3"/>
  <c r="J1476" i="3"/>
  <c r="J1472" i="3"/>
  <c r="J1475" i="3"/>
  <c r="J1452" i="3"/>
  <c r="J1464" i="3"/>
  <c r="J1467" i="3"/>
  <c r="J1455" i="3"/>
  <c r="J1463" i="3"/>
  <c r="J1450" i="3"/>
  <c r="F1473" i="3"/>
  <c r="J1471" i="3"/>
  <c r="J1469" i="3"/>
  <c r="J1478" i="3"/>
  <c r="J1477" i="3"/>
  <c r="J1466" i="3"/>
  <c r="J1457" i="3"/>
  <c r="J1470" i="3"/>
  <c r="H1472" i="3"/>
  <c r="H1459" i="3"/>
  <c r="H1455" i="3"/>
  <c r="H1460" i="3"/>
  <c r="H1478" i="3"/>
  <c r="H1467" i="3"/>
  <c r="H1471" i="3"/>
  <c r="H1476" i="3"/>
  <c r="H1464" i="3"/>
  <c r="H1452" i="3"/>
  <c r="H1451" i="3"/>
  <c r="H1463" i="3"/>
  <c r="H1468" i="3"/>
  <c r="H1456" i="3"/>
  <c r="H1475" i="3"/>
  <c r="F1453" i="3"/>
  <c r="D1452" i="3"/>
  <c r="D1469" i="3"/>
  <c r="H1473" i="3"/>
  <c r="F1465" i="3"/>
  <c r="D1464" i="3"/>
  <c r="F1472" i="3"/>
  <c r="F1468" i="3"/>
  <c r="F1464" i="3"/>
  <c r="F1460" i="3"/>
  <c r="F1452" i="3"/>
  <c r="F1476" i="3"/>
  <c r="F1456" i="3"/>
  <c r="F1478" i="3"/>
  <c r="F1471" i="3"/>
  <c r="F1474" i="3"/>
  <c r="F1450" i="3"/>
  <c r="F1459" i="3"/>
  <c r="F1451" i="3"/>
  <c r="F1470" i="3"/>
  <c r="F1467" i="3"/>
  <c r="F1455" i="3"/>
  <c r="F1463" i="3"/>
  <c r="F1454" i="3"/>
  <c r="F1462" i="3"/>
  <c r="F1458" i="3"/>
  <c r="F1466" i="3"/>
  <c r="F1477" i="3"/>
  <c r="F1475" i="3"/>
  <c r="F1461" i="3"/>
  <c r="J1465" i="3"/>
  <c r="J1474" i="3"/>
  <c r="J1454" i="3"/>
  <c r="J1462" i="3"/>
  <c r="J1459" i="3"/>
  <c r="J1453" i="3"/>
  <c r="J1451" i="3"/>
  <c r="D1477" i="3"/>
  <c r="H1453" i="3"/>
  <c r="J1461" i="3"/>
  <c r="H1466" i="3"/>
  <c r="D1462" i="3"/>
  <c r="D1450" i="3"/>
  <c r="H1458" i="3"/>
  <c r="D1466" i="3"/>
  <c r="J1458" i="3"/>
  <c r="H1454" i="3"/>
  <c r="J1473" i="3"/>
  <c r="H1474" i="3"/>
  <c r="H1479" i="3" l="1"/>
  <c r="D1479" i="3"/>
  <c r="J1479" i="3"/>
  <c r="F1479" i="3"/>
  <c r="G1529" i="3" l="1"/>
  <c r="H1519" i="3" l="1"/>
  <c r="H1509" i="3"/>
  <c r="H1511" i="3"/>
  <c r="H1518" i="3"/>
  <c r="H1500" i="3"/>
  <c r="H1501" i="3"/>
  <c r="H1502" i="3"/>
  <c r="H1503" i="3"/>
  <c r="H1504" i="3"/>
  <c r="H1505" i="3"/>
  <c r="H1506" i="3"/>
  <c r="H1507" i="3"/>
  <c r="H1508" i="3"/>
  <c r="H1510" i="3"/>
  <c r="H1512" i="3"/>
  <c r="H1513" i="3"/>
  <c r="H1514" i="3"/>
  <c r="H1515" i="3"/>
  <c r="H1516" i="3"/>
  <c r="H1517" i="3"/>
  <c r="I1529" i="3"/>
  <c r="AV4" i="5"/>
  <c r="AL42" i="11" s="1"/>
  <c r="AW4" i="5"/>
  <c r="BT4" i="5"/>
  <c r="J1519" i="3" l="1"/>
  <c r="J1500" i="3"/>
  <c r="J1507" i="3"/>
  <c r="J1518" i="3"/>
  <c r="J1505" i="3"/>
  <c r="J1504" i="3"/>
  <c r="J1512" i="3"/>
  <c r="J1509" i="3"/>
  <c r="J1511" i="3"/>
  <c r="J1506" i="3"/>
  <c r="J1514" i="3"/>
  <c r="J1513" i="3"/>
  <c r="J1515" i="3"/>
  <c r="J1508" i="3"/>
  <c r="J1516" i="3"/>
  <c r="J1503" i="3"/>
  <c r="J1517" i="3"/>
  <c r="J1501" i="3"/>
  <c r="J1502" i="3"/>
  <c r="J1510" i="3"/>
  <c r="C1529" i="3"/>
  <c r="H1528" i="3"/>
  <c r="H1521" i="3"/>
  <c r="E1529" i="3"/>
  <c r="H1524" i="3"/>
  <c r="H1520" i="3"/>
  <c r="J1526" i="3"/>
  <c r="H1527" i="3"/>
  <c r="AW74" i="1"/>
  <c r="F1518" i="3" l="1"/>
  <c r="F1519" i="3"/>
  <c r="F1500" i="3"/>
  <c r="F1501" i="3"/>
  <c r="F1517" i="3"/>
  <c r="F1502" i="3"/>
  <c r="F1510" i="3"/>
  <c r="F1515" i="3"/>
  <c r="F1505" i="3"/>
  <c r="F1504" i="3"/>
  <c r="F1512" i="3"/>
  <c r="F1503" i="3"/>
  <c r="F1509" i="3"/>
  <c r="F1506" i="3"/>
  <c r="F1514" i="3"/>
  <c r="F1507" i="3"/>
  <c r="F1513" i="3"/>
  <c r="F1508" i="3"/>
  <c r="F1516" i="3"/>
  <c r="F1511" i="3"/>
  <c r="D1519" i="3"/>
  <c r="D1503" i="3"/>
  <c r="D1518" i="3"/>
  <c r="D1505" i="3"/>
  <c r="D1513" i="3"/>
  <c r="D1511" i="3"/>
  <c r="D1512" i="3"/>
  <c r="D1510" i="3"/>
  <c r="D1508" i="3"/>
  <c r="D1517" i="3"/>
  <c r="D1515" i="3"/>
  <c r="D1502" i="3"/>
  <c r="D1514" i="3"/>
  <c r="D1516" i="3"/>
  <c r="D1504" i="3"/>
  <c r="D1501" i="3"/>
  <c r="D1500" i="3"/>
  <c r="D1509" i="3"/>
  <c r="D1507" i="3"/>
  <c r="D1506" i="3"/>
  <c r="J1520" i="3"/>
  <c r="J1527" i="3"/>
  <c r="H1523" i="3"/>
  <c r="F1522" i="3"/>
  <c r="F1525" i="3"/>
  <c r="F1528" i="3"/>
  <c r="F1526" i="3"/>
  <c r="F1521" i="3"/>
  <c r="F1523" i="3"/>
  <c r="J1525" i="3"/>
  <c r="H1526" i="3"/>
  <c r="H1525" i="3"/>
  <c r="H1522" i="3"/>
  <c r="J1522" i="3"/>
  <c r="J1528" i="3"/>
  <c r="J1524" i="3"/>
  <c r="F1520" i="3"/>
  <c r="J1523" i="3"/>
  <c r="J1521" i="3"/>
  <c r="F1527" i="3"/>
  <c r="F1524" i="3"/>
  <c r="AW73" i="1"/>
  <c r="H1529" i="3" l="1"/>
  <c r="J1529" i="3"/>
  <c r="F1529" i="3"/>
  <c r="AM64" i="1"/>
  <c r="AG64" i="1"/>
  <c r="AF47" i="1"/>
  <c r="AF48" i="1"/>
  <c r="AF49" i="1"/>
  <c r="AF50" i="1"/>
  <c r="AF51" i="1"/>
  <c r="AF52" i="1"/>
  <c r="AF53" i="1"/>
  <c r="AF55" i="1"/>
  <c r="AF56" i="1"/>
  <c r="AF57" i="1"/>
  <c r="P17" i="11" s="1"/>
  <c r="AF58" i="1"/>
  <c r="P16" i="11" s="1"/>
  <c r="AF59" i="1"/>
  <c r="AF60" i="1"/>
  <c r="AF62" i="1"/>
  <c r="AF63" i="1"/>
  <c r="AF64" i="1"/>
  <c r="AF65" i="1"/>
  <c r="AF66" i="1"/>
  <c r="AF67" i="1"/>
  <c r="AF68" i="1"/>
  <c r="AF69" i="1"/>
  <c r="AF70" i="1"/>
  <c r="AF71" i="1"/>
  <c r="AF72" i="1"/>
  <c r="AF73" i="1"/>
  <c r="AF75" i="1"/>
  <c r="AF77" i="1"/>
  <c r="AF78" i="1"/>
  <c r="AF4" i="1"/>
  <c r="P10" i="11" s="1"/>
  <c r="AF5" i="1"/>
  <c r="AF6" i="1"/>
  <c r="AF7" i="1"/>
  <c r="AF8" i="1"/>
  <c r="AF9" i="1"/>
  <c r="AF10" i="1"/>
  <c r="AF11" i="1"/>
  <c r="AF12" i="1"/>
  <c r="AF13" i="1"/>
  <c r="AF14" i="1"/>
  <c r="AF15" i="1"/>
  <c r="AF16" i="1"/>
  <c r="P12" i="11" s="1"/>
  <c r="AF17" i="1"/>
  <c r="AF18" i="1"/>
  <c r="AF19" i="1"/>
  <c r="AF20" i="1"/>
  <c r="AF21" i="1"/>
  <c r="AF22" i="1"/>
  <c r="AF23" i="1"/>
  <c r="AL23" i="1" s="1"/>
  <c r="AF24" i="1"/>
  <c r="AF25" i="1"/>
  <c r="P18" i="11" s="1"/>
  <c r="AF26" i="1"/>
  <c r="AF27" i="1"/>
  <c r="AF28" i="1"/>
  <c r="AF29" i="1"/>
  <c r="AF30" i="1"/>
  <c r="AF31" i="1"/>
  <c r="AF32" i="1"/>
  <c r="AF33" i="1"/>
  <c r="AF34" i="1"/>
  <c r="AF35" i="1"/>
  <c r="AF36" i="1"/>
  <c r="AF38" i="1"/>
  <c r="AF39" i="1"/>
  <c r="AF40" i="1"/>
  <c r="AF41" i="1"/>
  <c r="AF42" i="1"/>
  <c r="AF43" i="1"/>
  <c r="P23" i="11" s="1"/>
  <c r="AF44" i="1"/>
  <c r="AF45" i="1"/>
  <c r="AF3" i="1"/>
  <c r="AI60" i="1"/>
  <c r="AI61" i="1"/>
  <c r="AI62" i="1"/>
  <c r="AI64" i="1"/>
  <c r="AI65" i="1"/>
  <c r="AI67" i="1"/>
  <c r="AI68" i="1"/>
  <c r="AI69" i="1"/>
  <c r="AI70" i="1"/>
  <c r="AI71" i="1"/>
  <c r="AI72" i="1"/>
  <c r="AI73" i="1"/>
  <c r="AI74" i="1"/>
  <c r="AI75" i="1"/>
  <c r="AI77" i="1"/>
  <c r="AI78" i="1"/>
  <c r="AI22" i="1"/>
  <c r="AI24" i="1"/>
  <c r="AI25" i="1"/>
  <c r="S18" i="11" s="1"/>
  <c r="AI26" i="1"/>
  <c r="AI27" i="1"/>
  <c r="AI28" i="1"/>
  <c r="AI29" i="1"/>
  <c r="AI30" i="1"/>
  <c r="AI31" i="1"/>
  <c r="AI32" i="1"/>
  <c r="AI33" i="1"/>
  <c r="AI34" i="1"/>
  <c r="AI35" i="1"/>
  <c r="AI36" i="1"/>
  <c r="AI38" i="1"/>
  <c r="AI39" i="1"/>
  <c r="AI40" i="1"/>
  <c r="AI41" i="1"/>
  <c r="AI42" i="1"/>
  <c r="AI43" i="1"/>
  <c r="S23" i="11" s="1"/>
  <c r="AI44" i="1"/>
  <c r="AI45" i="1"/>
  <c r="AI46" i="1"/>
  <c r="S19" i="11" s="1"/>
  <c r="AI47" i="1"/>
  <c r="AI48" i="1"/>
  <c r="AI49" i="1"/>
  <c r="AI50" i="1"/>
  <c r="AI51" i="1"/>
  <c r="AI52" i="1"/>
  <c r="AI53" i="1"/>
  <c r="AI56" i="1"/>
  <c r="AI59" i="1"/>
  <c r="AI12" i="1"/>
  <c r="AI13" i="1"/>
  <c r="AI14" i="1"/>
  <c r="AI15" i="1"/>
  <c r="AI16" i="1"/>
  <c r="S12" i="11" s="1"/>
  <c r="AI17" i="1"/>
  <c r="AI18" i="1"/>
  <c r="AI19" i="1"/>
  <c r="AI20" i="1"/>
  <c r="AI11" i="1"/>
  <c r="AI10" i="1"/>
  <c r="AI7" i="1"/>
  <c r="AI8" i="1"/>
  <c r="AI9" i="1"/>
  <c r="AI6" i="1"/>
  <c r="AI5" i="1"/>
  <c r="AI4" i="1"/>
  <c r="S10" i="11" s="1"/>
  <c r="AI3" i="1"/>
  <c r="AH63" i="1"/>
  <c r="AI63" i="1" s="1"/>
  <c r="AG63" i="1"/>
  <c r="AX63" i="1"/>
  <c r="AE61" i="1"/>
  <c r="AF61" i="1" s="1"/>
  <c r="AG61" i="1"/>
  <c r="AM61" i="1"/>
  <c r="AX61" i="1"/>
  <c r="AW61" i="1"/>
  <c r="AF88" i="1" l="1"/>
  <c r="AI88" i="1"/>
  <c r="P11" i="11"/>
  <c r="S11" i="11"/>
  <c r="AG60" i="1"/>
  <c r="AM60" i="1"/>
  <c r="AG59" i="1"/>
  <c r="AQ59" i="1"/>
  <c r="AM59" i="1"/>
  <c r="AM56" i="1"/>
  <c r="AX56" i="1"/>
  <c r="AW56" i="1"/>
  <c r="AG55" i="1" l="1"/>
  <c r="AH55" i="1"/>
  <c r="AI55" i="1" s="1"/>
  <c r="AM54" i="1"/>
  <c r="AE54" i="1"/>
  <c r="AF54" i="1" s="1"/>
  <c r="AG54" i="1"/>
  <c r="AH54" i="1"/>
  <c r="AI54" i="1" s="1"/>
  <c r="J54" i="1"/>
  <c r="J48" i="1" l="1"/>
  <c r="AQ47" i="1"/>
  <c r="AE46" i="1"/>
  <c r="O19" i="11" s="1"/>
  <c r="AM46" i="1"/>
  <c r="W19" i="11" s="1"/>
  <c r="AG46" i="1"/>
  <c r="Q19" i="11" s="1"/>
  <c r="AF46" i="1" l="1"/>
  <c r="P19" i="11" s="1"/>
  <c r="AM74" i="1"/>
  <c r="AW43" i="1" l="1"/>
  <c r="AG23" i="11" s="1"/>
  <c r="AX43" i="1"/>
  <c r="AH23" i="11" s="1"/>
  <c r="AM41" i="1" l="1"/>
  <c r="AM37" i="1"/>
  <c r="AE37" i="1"/>
  <c r="AF37" i="1" s="1"/>
  <c r="AF89" i="1" s="1"/>
  <c r="J36" i="1" l="1"/>
  <c r="AM35" i="1"/>
  <c r="AG35" i="1"/>
  <c r="AL35" i="1" s="1"/>
  <c r="AL36" i="1"/>
  <c r="AN36" i="1" s="1"/>
  <c r="AS36" i="1" s="1"/>
  <c r="AL37" i="1"/>
  <c r="AN37" i="1" s="1"/>
  <c r="AS37" i="1" s="1"/>
  <c r="AL38" i="1"/>
  <c r="AN38" i="1" s="1"/>
  <c r="AS38" i="1" s="1"/>
  <c r="AL39" i="1"/>
  <c r="AN39" i="1" s="1"/>
  <c r="AS39" i="1" s="1"/>
  <c r="AL40" i="1"/>
  <c r="AN40" i="1" s="1"/>
  <c r="AS40" i="1" s="1"/>
  <c r="AL41" i="1"/>
  <c r="AL42" i="1"/>
  <c r="AN42" i="1" s="1"/>
  <c r="AS42" i="1" s="1"/>
  <c r="AL43" i="1"/>
  <c r="V23" i="11" s="1"/>
  <c r="AL44" i="1"/>
  <c r="AN44" i="1" s="1"/>
  <c r="AS44" i="1" s="1"/>
  <c r="AL45" i="1"/>
  <c r="AN45" i="1" s="1"/>
  <c r="AS45" i="1" s="1"/>
  <c r="AL46" i="1"/>
  <c r="AL47" i="1"/>
  <c r="AN47" i="1" s="1"/>
  <c r="AS47" i="1" s="1"/>
  <c r="AL48" i="1"/>
  <c r="AN48" i="1" s="1"/>
  <c r="AS48" i="1" s="1"/>
  <c r="AL49" i="1"/>
  <c r="AN49" i="1" s="1"/>
  <c r="AS49" i="1" s="1"/>
  <c r="AL50" i="1"/>
  <c r="AN50" i="1" s="1"/>
  <c r="AS50" i="1" s="1"/>
  <c r="AL51" i="1"/>
  <c r="AN51" i="1" s="1"/>
  <c r="AS51" i="1" s="1"/>
  <c r="AL52" i="1"/>
  <c r="AN52" i="1" s="1"/>
  <c r="AS52" i="1" s="1"/>
  <c r="AL53" i="1"/>
  <c r="AN53" i="1" s="1"/>
  <c r="AS53" i="1" s="1"/>
  <c r="AL54" i="1"/>
  <c r="AN54" i="1" s="1"/>
  <c r="AS54" i="1" s="1"/>
  <c r="AL55" i="1"/>
  <c r="AN55" i="1" s="1"/>
  <c r="AS55" i="1" s="1"/>
  <c r="AL56" i="1"/>
  <c r="AN56" i="1" s="1"/>
  <c r="AS56" i="1" s="1"/>
  <c r="AL57" i="1"/>
  <c r="V17" i="11" s="1"/>
  <c r="AL58" i="1"/>
  <c r="V16" i="11" s="1"/>
  <c r="AL60" i="1"/>
  <c r="AS60" i="1" s="1"/>
  <c r="AL61" i="1"/>
  <c r="AN61" i="1" s="1"/>
  <c r="AS61" i="1" s="1"/>
  <c r="AL62" i="1"/>
  <c r="AN62" i="1" s="1"/>
  <c r="AS62" i="1" s="1"/>
  <c r="AL63" i="1"/>
  <c r="AN63" i="1" s="1"/>
  <c r="AS63" i="1" s="1"/>
  <c r="AL64" i="1"/>
  <c r="AN64" i="1" s="1"/>
  <c r="AS64" i="1" s="1"/>
  <c r="AL65" i="1"/>
  <c r="AN65" i="1" s="1"/>
  <c r="AS65" i="1" s="1"/>
  <c r="AL66" i="1"/>
  <c r="AN66" i="1" s="1"/>
  <c r="AS66" i="1" s="1"/>
  <c r="AL67" i="1"/>
  <c r="AN67" i="1" s="1"/>
  <c r="AS67" i="1" s="1"/>
  <c r="AL68" i="1"/>
  <c r="AN68" i="1" s="1"/>
  <c r="AS68" i="1" s="1"/>
  <c r="AL69" i="1"/>
  <c r="AN69" i="1" s="1"/>
  <c r="AS69" i="1" s="1"/>
  <c r="AL70" i="1"/>
  <c r="AN70" i="1" s="1"/>
  <c r="AS70" i="1" s="1"/>
  <c r="AL71" i="1"/>
  <c r="AN71" i="1" s="1"/>
  <c r="AS71" i="1" s="1"/>
  <c r="AL72" i="1"/>
  <c r="AN72" i="1" s="1"/>
  <c r="AS72" i="1" s="1"/>
  <c r="AL73" i="1"/>
  <c r="AN73" i="1" s="1"/>
  <c r="AS73" i="1" s="1"/>
  <c r="AL74" i="1"/>
  <c r="AN74" i="1" s="1"/>
  <c r="AS74" i="1" s="1"/>
  <c r="AL75" i="1"/>
  <c r="AN75" i="1" s="1"/>
  <c r="AS75" i="1" s="1"/>
  <c r="AL77" i="1"/>
  <c r="AN77" i="1" s="1"/>
  <c r="AS77" i="1" s="1"/>
  <c r="AL78" i="1"/>
  <c r="AN78" i="1" s="1"/>
  <c r="AS78" i="1" s="1"/>
  <c r="AG34" i="1"/>
  <c r="AM34" i="1"/>
  <c r="AN33" i="1"/>
  <c r="AS33" i="1" s="1"/>
  <c r="AN32" i="1"/>
  <c r="AS32" i="1" s="1"/>
  <c r="U32" i="1"/>
  <c r="E1550" i="3" s="1" a="1"/>
  <c r="T32" i="1"/>
  <c r="Q32" i="1"/>
  <c r="AY29" i="1"/>
  <c r="AY30" i="1"/>
  <c r="AY31" i="1"/>
  <c r="AN31" i="1"/>
  <c r="AS31" i="1" s="1"/>
  <c r="AN30" i="1"/>
  <c r="AS30" i="1" s="1"/>
  <c r="AN29" i="1"/>
  <c r="AS29" i="1" s="1"/>
  <c r="AN28" i="1"/>
  <c r="AY28" i="1"/>
  <c r="Z4" i="1"/>
  <c r="J10" i="11" s="1"/>
  <c r="Z5" i="1"/>
  <c r="Z6" i="1"/>
  <c r="Z7" i="1"/>
  <c r="Z8" i="1"/>
  <c r="Z9" i="1"/>
  <c r="Z10" i="1"/>
  <c r="Z11" i="1"/>
  <c r="Z12" i="1"/>
  <c r="Z13" i="1"/>
  <c r="Z14" i="1"/>
  <c r="Z15" i="1"/>
  <c r="Z16" i="1"/>
  <c r="J12" i="11" s="1"/>
  <c r="Z17" i="1"/>
  <c r="Z18" i="1"/>
  <c r="Z19" i="1"/>
  <c r="Z20" i="1"/>
  <c r="Z22" i="1"/>
  <c r="Z24" i="1"/>
  <c r="Z25" i="1"/>
  <c r="J18" i="11" s="1"/>
  <c r="Z26" i="1"/>
  <c r="Z27" i="1"/>
  <c r="Z28" i="1"/>
  <c r="Z29" i="1"/>
  <c r="Z30" i="1"/>
  <c r="Z31" i="1"/>
  <c r="Z32" i="1"/>
  <c r="Z33" i="1"/>
  <c r="Z34" i="1"/>
  <c r="Z35" i="1"/>
  <c r="Z36" i="1"/>
  <c r="Z37" i="1"/>
  <c r="Z38" i="1"/>
  <c r="Z39" i="1"/>
  <c r="Z40" i="1"/>
  <c r="Z41" i="1"/>
  <c r="Z42" i="1"/>
  <c r="Z43" i="1"/>
  <c r="J23" i="11" s="1"/>
  <c r="Z44" i="1"/>
  <c r="Z45" i="1"/>
  <c r="Z46" i="1"/>
  <c r="Z47" i="1"/>
  <c r="Z48" i="1"/>
  <c r="Z49" i="1"/>
  <c r="Z50" i="1"/>
  <c r="Z51" i="1"/>
  <c r="Z52" i="1"/>
  <c r="Z53" i="1"/>
  <c r="Z55" i="1"/>
  <c r="Z56" i="1"/>
  <c r="Z59" i="1"/>
  <c r="Z60" i="1"/>
  <c r="Z61" i="1"/>
  <c r="Z62" i="1"/>
  <c r="Z63" i="1"/>
  <c r="Z64" i="1"/>
  <c r="Z65" i="1"/>
  <c r="Z66" i="1"/>
  <c r="Z67" i="1"/>
  <c r="Z68" i="1"/>
  <c r="Z69" i="1"/>
  <c r="Z70" i="1"/>
  <c r="Z71" i="1"/>
  <c r="Z72" i="1"/>
  <c r="Z73" i="1"/>
  <c r="Z74" i="1"/>
  <c r="Z75" i="1"/>
  <c r="Z77" i="1"/>
  <c r="Z78" i="1"/>
  <c r="Z3" i="1"/>
  <c r="AN35" i="1" l="1"/>
  <c r="AS35" i="1" s="1"/>
  <c r="Z88" i="1"/>
  <c r="AL34" i="1"/>
  <c r="AG89" i="1"/>
  <c r="J11" i="11"/>
  <c r="AR28" i="1"/>
  <c r="AS28" i="1"/>
  <c r="E1576" i="3"/>
  <c r="E1558" i="3"/>
  <c r="E1550" i="3"/>
  <c r="E1555" i="3"/>
  <c r="E1563" i="3"/>
  <c r="E1571" i="3"/>
  <c r="E1564" i="3"/>
  <c r="E1566" i="3"/>
  <c r="E1551" i="3"/>
  <c r="E1559" i="3"/>
  <c r="E1567" i="3"/>
  <c r="E1575" i="3"/>
  <c r="E1556" i="3"/>
  <c r="E1572" i="3"/>
  <c r="E1561" i="3"/>
  <c r="E1562" i="3"/>
  <c r="E1578" i="3"/>
  <c r="E1557" i="3"/>
  <c r="E1565" i="3"/>
  <c r="E1573" i="3"/>
  <c r="E1552" i="3"/>
  <c r="E1568" i="3"/>
  <c r="E1554" i="3"/>
  <c r="E1570" i="3"/>
  <c r="E1553" i="3"/>
  <c r="E1569" i="3"/>
  <c r="E1577" i="3"/>
  <c r="E1560" i="3"/>
  <c r="E1574" i="3"/>
  <c r="J19" i="11"/>
  <c r="V19" i="11"/>
  <c r="AN43" i="1"/>
  <c r="AN46" i="1"/>
  <c r="AN57" i="1"/>
  <c r="AN34" i="1"/>
  <c r="AS34" i="1" s="1"/>
  <c r="AN27" i="1"/>
  <c r="AS27" i="1" s="1"/>
  <c r="AN26" i="1"/>
  <c r="AS26" i="1" s="1"/>
  <c r="AN25" i="1"/>
  <c r="X18" i="11" l="1"/>
  <c r="AS25" i="1"/>
  <c r="X19" i="11"/>
  <c r="AS46" i="1"/>
  <c r="AC19" i="11" s="1"/>
  <c r="X23" i="11"/>
  <c r="AS43" i="1"/>
  <c r="X17" i="11"/>
  <c r="AS57" i="1"/>
  <c r="AR57" i="1"/>
  <c r="AB17" i="11" s="1"/>
  <c r="E1579" i="3"/>
  <c r="AR27" i="1"/>
  <c r="AC23" i="11"/>
  <c r="AR24" i="1"/>
  <c r="AR26" i="1"/>
  <c r="AR29" i="1"/>
  <c r="AR30" i="1"/>
  <c r="AR31" i="1"/>
  <c r="AR32" i="1"/>
  <c r="AR33" i="1"/>
  <c r="AR34" i="1"/>
  <c r="AR35" i="1"/>
  <c r="AR36" i="1"/>
  <c r="AR44" i="1"/>
  <c r="AR45" i="1"/>
  <c r="AR46" i="1"/>
  <c r="AR48" i="1"/>
  <c r="AR49" i="1"/>
  <c r="AR50" i="1"/>
  <c r="AR51" i="1"/>
  <c r="AR52" i="1"/>
  <c r="AR53" i="1"/>
  <c r="AR55" i="1"/>
  <c r="AR60" i="1"/>
  <c r="AR62" i="1"/>
  <c r="AR63" i="1"/>
  <c r="AR64" i="1"/>
  <c r="AR65" i="1"/>
  <c r="AR66" i="1"/>
  <c r="AR67" i="1"/>
  <c r="AR68" i="1"/>
  <c r="AR69" i="1"/>
  <c r="AR70" i="1"/>
  <c r="AR71" i="1"/>
  <c r="AR73" i="1"/>
  <c r="AR75" i="1"/>
  <c r="AR77" i="1"/>
  <c r="AR78" i="1"/>
  <c r="AC18" i="11"/>
  <c r="AL4" i="1"/>
  <c r="V10" i="11" s="1"/>
  <c r="AL5" i="1"/>
  <c r="AL6" i="1"/>
  <c r="AL7" i="1"/>
  <c r="AL8" i="1"/>
  <c r="AL9" i="1"/>
  <c r="AL11" i="1"/>
  <c r="AL12" i="1"/>
  <c r="AL13" i="1"/>
  <c r="AL14" i="1"/>
  <c r="AL15" i="1"/>
  <c r="AL16" i="1"/>
  <c r="V12" i="11" s="1"/>
  <c r="AL17" i="1"/>
  <c r="AL18" i="1"/>
  <c r="AL19" i="1"/>
  <c r="AL3" i="1"/>
  <c r="AL59" i="1"/>
  <c r="AN59" i="1" s="1"/>
  <c r="AS59" i="1" s="1"/>
  <c r="AM23" i="1"/>
  <c r="AH23" i="1"/>
  <c r="AI23" i="1" s="1"/>
  <c r="V11" i="11" l="1"/>
  <c r="AB19" i="11"/>
  <c r="F1578" i="3"/>
  <c r="F1550" i="3"/>
  <c r="F1556" i="3"/>
  <c r="F1558" i="3"/>
  <c r="F1557" i="3"/>
  <c r="F1565" i="3"/>
  <c r="F1573" i="3"/>
  <c r="F1572" i="3"/>
  <c r="F1576" i="3"/>
  <c r="F1555" i="3"/>
  <c r="F1566" i="3"/>
  <c r="F1562" i="3"/>
  <c r="F1564" i="3"/>
  <c r="F1551" i="3"/>
  <c r="F1559" i="3"/>
  <c r="F1567" i="3"/>
  <c r="F1575" i="3"/>
  <c r="F1554" i="3"/>
  <c r="F1571" i="3"/>
  <c r="F1568" i="3"/>
  <c r="F1570" i="3"/>
  <c r="F1553" i="3"/>
  <c r="F1561" i="3"/>
  <c r="F1569" i="3"/>
  <c r="F1577" i="3"/>
  <c r="F1560" i="3"/>
  <c r="F1574" i="3"/>
  <c r="F1552" i="3"/>
  <c r="F1563" i="3"/>
  <c r="A1580" i="3"/>
  <c r="AN23" i="1"/>
  <c r="AR47" i="1"/>
  <c r="AR25" i="1"/>
  <c r="AB18" i="11" s="1"/>
  <c r="AL21" i="1"/>
  <c r="AL89" i="1" s="1"/>
  <c r="AM21" i="1"/>
  <c r="AH21" i="1"/>
  <c r="AI21" i="1" s="1"/>
  <c r="AI89" i="1" s="1"/>
  <c r="AS23" i="1" l="1"/>
  <c r="AR23" i="1"/>
  <c r="F1579" i="3"/>
  <c r="AN21" i="1"/>
  <c r="J19" i="1"/>
  <c r="AQ18" i="1"/>
  <c r="AS21" i="1" l="1"/>
  <c r="AR21" i="1"/>
  <c r="J16" i="1"/>
  <c r="AQ19" i="1"/>
  <c r="J14" i="1"/>
  <c r="J13" i="1"/>
  <c r="J12" i="1"/>
  <c r="AM11" i="1"/>
  <c r="AM88" i="1" s="1"/>
  <c r="J11" i="1"/>
  <c r="J10" i="1"/>
  <c r="J9" i="1"/>
  <c r="AL10" i="1" l="1"/>
  <c r="Y5" i="1"/>
  <c r="AA5" i="1" s="1"/>
  <c r="C1350" i="3" l="1" a="1"/>
  <c r="C1351" i="3" s="1"/>
  <c r="AA88" i="1"/>
  <c r="AN10" i="1"/>
  <c r="AL88" i="1"/>
  <c r="AR10" i="1"/>
  <c r="AS10" i="1"/>
  <c r="AP38" i="5"/>
  <c r="AP37" i="5"/>
  <c r="AP36" i="5"/>
  <c r="AF32" i="11" s="1"/>
  <c r="AP35" i="5"/>
  <c r="AF34" i="11" s="1"/>
  <c r="AP34" i="5"/>
  <c r="AP4" i="5"/>
  <c r="AZ4" i="5"/>
  <c r="AP5" i="5"/>
  <c r="AW5" i="5"/>
  <c r="BT5" i="5"/>
  <c r="CP5" i="5"/>
  <c r="CQ5" i="5"/>
  <c r="FF5" i="5"/>
  <c r="FG5" i="5"/>
  <c r="AP6" i="5"/>
  <c r="AW6" i="5"/>
  <c r="AZ6" i="5" s="1"/>
  <c r="BT6" i="5"/>
  <c r="CP6" i="5"/>
  <c r="CQ6" i="5"/>
  <c r="FF6" i="5"/>
  <c r="FG6" i="5"/>
  <c r="AP7" i="5"/>
  <c r="AW7" i="5"/>
  <c r="AZ7" i="5" s="1"/>
  <c r="BT7" i="5"/>
  <c r="CP7" i="5"/>
  <c r="CQ7" i="5"/>
  <c r="FF7" i="5"/>
  <c r="FG7" i="5"/>
  <c r="AP8" i="5"/>
  <c r="AF41" i="11" s="1"/>
  <c r="BT8" i="5"/>
  <c r="BI41" i="11" s="1"/>
  <c r="AP9" i="5"/>
  <c r="AP10" i="5"/>
  <c r="AP11" i="5"/>
  <c r="AP12" i="5"/>
  <c r="AP13" i="5"/>
  <c r="AP15" i="5"/>
  <c r="AP16" i="5"/>
  <c r="AP17" i="5"/>
  <c r="AP18" i="5"/>
  <c r="AP19" i="5"/>
  <c r="AZ19" i="5"/>
  <c r="AF20" i="5"/>
  <c r="V40" i="11" s="1"/>
  <c r="AP20" i="5"/>
  <c r="AU20" i="5"/>
  <c r="AK40" i="11" s="1"/>
  <c r="AY20" i="5"/>
  <c r="AO40" i="11" s="1"/>
  <c r="AP21" i="5"/>
  <c r="AF36" i="11" s="1"/>
  <c r="AP22" i="5"/>
  <c r="AP23" i="5"/>
  <c r="AP24" i="5"/>
  <c r="AP25" i="5"/>
  <c r="AP26" i="5"/>
  <c r="AP27" i="5"/>
  <c r="AP28" i="5"/>
  <c r="AP29" i="5"/>
  <c r="AP30" i="5"/>
  <c r="AP31" i="5"/>
  <c r="AP32" i="5"/>
  <c r="AP39" i="5"/>
  <c r="C1358" i="3" l="1"/>
  <c r="C1378" i="3"/>
  <c r="C1354" i="3"/>
  <c r="C1362" i="3"/>
  <c r="C1376" i="3"/>
  <c r="C1356" i="3"/>
  <c r="C1350" i="3"/>
  <c r="C1371" i="3"/>
  <c r="C1355" i="3"/>
  <c r="C1365" i="3"/>
  <c r="C1357" i="3"/>
  <c r="C1359" i="3"/>
  <c r="C1368" i="3"/>
  <c r="C1374" i="3"/>
  <c r="C1363" i="3"/>
  <c r="C1377" i="3"/>
  <c r="C1360" i="3"/>
  <c r="C1373" i="3"/>
  <c r="C1352" i="3"/>
  <c r="C1364" i="3"/>
  <c r="C1353" i="3"/>
  <c r="C1375" i="3"/>
  <c r="C1361" i="3"/>
  <c r="C1366" i="3"/>
  <c r="C1367" i="3"/>
  <c r="C1369" i="3"/>
  <c r="C1370" i="3"/>
  <c r="C1372" i="3"/>
  <c r="AF38" i="11"/>
  <c r="AZ5" i="5"/>
  <c r="AM42" i="11"/>
  <c r="AF40" i="11"/>
  <c r="BL4" i="5"/>
  <c r="AP42" i="11"/>
  <c r="BI42" i="11"/>
  <c r="AF42" i="11"/>
  <c r="BL7" i="5"/>
  <c r="BO7" i="5" s="1"/>
  <c r="BL19" i="5"/>
  <c r="BO19" i="5" s="1"/>
  <c r="BL5" i="5"/>
  <c r="BO5" i="5" s="1"/>
  <c r="BL6" i="5"/>
  <c r="BO6" i="5" s="1"/>
  <c r="BL14" i="5"/>
  <c r="CI70" i="5"/>
  <c r="AZ20" i="5"/>
  <c r="AP40" i="11" s="1"/>
  <c r="AP33" i="5"/>
  <c r="AP40" i="5"/>
  <c r="AP42" i="5"/>
  <c r="AP43" i="5"/>
  <c r="AF54" i="11" s="1"/>
  <c r="AP44" i="5"/>
  <c r="AP45" i="5"/>
  <c r="AP47" i="5"/>
  <c r="AP48" i="5"/>
  <c r="AP49" i="5"/>
  <c r="AP50" i="5"/>
  <c r="AP51" i="5"/>
  <c r="AF51" i="11" s="1"/>
  <c r="AP52" i="5"/>
  <c r="AP53" i="5"/>
  <c r="AF53" i="11" s="1"/>
  <c r="AP54" i="5"/>
  <c r="AP55" i="5"/>
  <c r="AP56" i="5"/>
  <c r="AP57" i="5"/>
  <c r="AP58" i="5"/>
  <c r="AP59" i="5"/>
  <c r="AP60" i="5"/>
  <c r="AP61" i="5"/>
  <c r="AP62" i="5"/>
  <c r="AP63" i="5"/>
  <c r="AP64" i="5"/>
  <c r="I1150" i="3" a="1"/>
  <c r="I1151" i="3" s="1"/>
  <c r="G1150" i="3" a="1"/>
  <c r="G1150" i="3" s="1"/>
  <c r="E1150" i="3" a="1"/>
  <c r="E1150" i="3" s="1"/>
  <c r="I101" i="3" a="1"/>
  <c r="I104" i="3" s="1"/>
  <c r="G101" i="3" a="1"/>
  <c r="G104" i="3" s="1"/>
  <c r="E101" i="3" a="1"/>
  <c r="E104" i="3" s="1"/>
  <c r="C101" i="3" a="1"/>
  <c r="C104" i="3" s="1"/>
  <c r="C1379" i="3" l="1"/>
  <c r="D1374" i="3" s="1"/>
  <c r="AF52" i="11"/>
  <c r="G1300" i="3" a="1"/>
  <c r="G1300" i="3" s="1"/>
  <c r="AF35" i="11"/>
  <c r="BO14" i="5"/>
  <c r="BD39" i="11" s="1"/>
  <c r="BB39" i="11"/>
  <c r="D1376" i="3"/>
  <c r="BO4" i="5"/>
  <c r="BD42" i="11" s="1"/>
  <c r="BB42" i="11"/>
  <c r="D1352" i="3"/>
  <c r="D1368" i="3"/>
  <c r="BL20" i="5"/>
  <c r="I1300" i="3" a="1"/>
  <c r="I1302" i="3" s="1"/>
  <c r="C1300" i="3" a="1"/>
  <c r="C1301" i="3" s="1"/>
  <c r="I1178" i="3"/>
  <c r="I1174" i="3"/>
  <c r="I1170" i="3"/>
  <c r="I1166" i="3"/>
  <c r="I1162" i="3"/>
  <c r="I1158" i="3"/>
  <c r="I1154" i="3"/>
  <c r="I1150" i="3"/>
  <c r="I1177" i="3"/>
  <c r="I1173" i="3"/>
  <c r="I1169" i="3"/>
  <c r="I1165" i="3"/>
  <c r="I1161" i="3"/>
  <c r="I1157" i="3"/>
  <c r="I1153" i="3"/>
  <c r="I1176" i="3"/>
  <c r="I1172" i="3"/>
  <c r="I1168" i="3"/>
  <c r="I1164" i="3"/>
  <c r="I1160" i="3"/>
  <c r="I1156" i="3"/>
  <c r="I1152" i="3"/>
  <c r="I1175" i="3"/>
  <c r="I1171" i="3"/>
  <c r="I1167" i="3"/>
  <c r="I1163" i="3"/>
  <c r="I1159" i="3"/>
  <c r="I1155" i="3"/>
  <c r="G1177" i="3"/>
  <c r="G1173" i="3"/>
  <c r="G1169" i="3"/>
  <c r="G1165" i="3"/>
  <c r="G1161" i="3"/>
  <c r="G1157" i="3"/>
  <c r="G1153" i="3"/>
  <c r="G1176" i="3"/>
  <c r="G1172" i="3"/>
  <c r="G1168" i="3"/>
  <c r="G1164" i="3"/>
  <c r="G1160" i="3"/>
  <c r="G1156" i="3"/>
  <c r="G1152" i="3"/>
  <c r="G1175" i="3"/>
  <c r="G1171" i="3"/>
  <c r="G1167" i="3"/>
  <c r="G1163" i="3"/>
  <c r="G1159" i="3"/>
  <c r="G1155" i="3"/>
  <c r="G1151" i="3"/>
  <c r="G1178" i="3"/>
  <c r="G1174" i="3"/>
  <c r="G1170" i="3"/>
  <c r="G1166" i="3"/>
  <c r="G1162" i="3"/>
  <c r="G1158" i="3"/>
  <c r="G1154" i="3"/>
  <c r="E1177" i="3"/>
  <c r="E1173" i="3"/>
  <c r="E1169" i="3"/>
  <c r="E1165" i="3"/>
  <c r="E1161" i="3"/>
  <c r="E1157" i="3"/>
  <c r="E1153" i="3"/>
  <c r="E1176" i="3"/>
  <c r="E1172" i="3"/>
  <c r="E1168" i="3"/>
  <c r="E1164" i="3"/>
  <c r="E1160" i="3"/>
  <c r="E1156" i="3"/>
  <c r="E1152" i="3"/>
  <c r="E1175" i="3"/>
  <c r="E1171" i="3"/>
  <c r="E1167" i="3"/>
  <c r="E1163" i="3"/>
  <c r="E1159" i="3"/>
  <c r="E1155" i="3"/>
  <c r="E1151" i="3"/>
  <c r="E1178" i="3"/>
  <c r="E1174" i="3"/>
  <c r="E1170" i="3"/>
  <c r="E1166" i="3"/>
  <c r="E1162" i="3"/>
  <c r="E1158" i="3"/>
  <c r="E1154" i="3"/>
  <c r="I127" i="3"/>
  <c r="I123" i="3"/>
  <c r="I119" i="3"/>
  <c r="I115" i="3"/>
  <c r="I111" i="3"/>
  <c r="I107" i="3"/>
  <c r="I103" i="3"/>
  <c r="I126" i="3"/>
  <c r="I122" i="3"/>
  <c r="I118" i="3"/>
  <c r="I114" i="3"/>
  <c r="I110" i="3"/>
  <c r="I106" i="3"/>
  <c r="I102" i="3"/>
  <c r="I129" i="3"/>
  <c r="I125" i="3"/>
  <c r="I121" i="3"/>
  <c r="I117" i="3"/>
  <c r="I113" i="3"/>
  <c r="I109" i="3"/>
  <c r="I105" i="3"/>
  <c r="I101" i="3"/>
  <c r="I128" i="3"/>
  <c r="I124" i="3"/>
  <c r="I120" i="3"/>
  <c r="I116" i="3"/>
  <c r="I112" i="3"/>
  <c r="I108" i="3"/>
  <c r="G127" i="3"/>
  <c r="G123" i="3"/>
  <c r="G119" i="3"/>
  <c r="G115" i="3"/>
  <c r="G111" i="3"/>
  <c r="G107" i="3"/>
  <c r="G103" i="3"/>
  <c r="G126" i="3"/>
  <c r="G122" i="3"/>
  <c r="G118" i="3"/>
  <c r="G114" i="3"/>
  <c r="G110" i="3"/>
  <c r="G106" i="3"/>
  <c r="G102" i="3"/>
  <c r="G129" i="3"/>
  <c r="G125" i="3"/>
  <c r="G121" i="3"/>
  <c r="G117" i="3"/>
  <c r="G113" i="3"/>
  <c r="G109" i="3"/>
  <c r="G105" i="3"/>
  <c r="G101" i="3"/>
  <c r="G128" i="3"/>
  <c r="G124" i="3"/>
  <c r="G120" i="3"/>
  <c r="G116" i="3"/>
  <c r="G112" i="3"/>
  <c r="G108" i="3"/>
  <c r="E127" i="3"/>
  <c r="E123" i="3"/>
  <c r="E119" i="3"/>
  <c r="E115" i="3"/>
  <c r="E111" i="3"/>
  <c r="E107" i="3"/>
  <c r="E103" i="3"/>
  <c r="E126" i="3"/>
  <c r="E122" i="3"/>
  <c r="E118" i="3"/>
  <c r="E114" i="3"/>
  <c r="E110" i="3"/>
  <c r="E106" i="3"/>
  <c r="E102" i="3"/>
  <c r="E129" i="3"/>
  <c r="E125" i="3"/>
  <c r="E121" i="3"/>
  <c r="E117" i="3"/>
  <c r="E113" i="3"/>
  <c r="E109" i="3"/>
  <c r="E105" i="3"/>
  <c r="E101" i="3"/>
  <c r="E128" i="3"/>
  <c r="E124" i="3"/>
  <c r="E120" i="3"/>
  <c r="E116" i="3"/>
  <c r="E112" i="3"/>
  <c r="E108" i="3"/>
  <c r="C127" i="3"/>
  <c r="C123" i="3"/>
  <c r="C119" i="3"/>
  <c r="C115" i="3"/>
  <c r="C111" i="3"/>
  <c r="C107" i="3"/>
  <c r="C103" i="3"/>
  <c r="C126" i="3"/>
  <c r="C122" i="3"/>
  <c r="C118" i="3"/>
  <c r="C114" i="3"/>
  <c r="C110" i="3"/>
  <c r="C106" i="3"/>
  <c r="C102" i="3"/>
  <c r="C129" i="3"/>
  <c r="C125" i="3"/>
  <c r="C121" i="3"/>
  <c r="C117" i="3"/>
  <c r="C113" i="3"/>
  <c r="C109" i="3"/>
  <c r="C105" i="3"/>
  <c r="C101" i="3"/>
  <c r="C128" i="3"/>
  <c r="C124" i="3"/>
  <c r="C120" i="3"/>
  <c r="C116" i="3"/>
  <c r="C112" i="3"/>
  <c r="C108" i="3"/>
  <c r="AH57" i="1"/>
  <c r="R17" i="11" s="1"/>
  <c r="AR59" i="1"/>
  <c r="AR43" i="1"/>
  <c r="AB23" i="11" s="1"/>
  <c r="AN41" i="1"/>
  <c r="D1363" i="3" l="1"/>
  <c r="D1351" i="3"/>
  <c r="D1355" i="3"/>
  <c r="D1358" i="3"/>
  <c r="D1373" i="3"/>
  <c r="D1365" i="3"/>
  <c r="D1357" i="3"/>
  <c r="D1377" i="3"/>
  <c r="D1359" i="3"/>
  <c r="D1360" i="3"/>
  <c r="D1364" i="3"/>
  <c r="D1353" i="3"/>
  <c r="D1367" i="3"/>
  <c r="D1371" i="3"/>
  <c r="D1370" i="3"/>
  <c r="D1354" i="3"/>
  <c r="D1372" i="3"/>
  <c r="D1361" i="3"/>
  <c r="D1362" i="3"/>
  <c r="D1366" i="3"/>
  <c r="D1369" i="3"/>
  <c r="D1375" i="3"/>
  <c r="D1356" i="3"/>
  <c r="D1350" i="3"/>
  <c r="D1378" i="3"/>
  <c r="AS41" i="1"/>
  <c r="G1303" i="3"/>
  <c r="G1309" i="3"/>
  <c r="G1328" i="3"/>
  <c r="G1302" i="3"/>
  <c r="G1318" i="3"/>
  <c r="G1323" i="3"/>
  <c r="G1316" i="3"/>
  <c r="G1301" i="3"/>
  <c r="G1317" i="3"/>
  <c r="G1306" i="3"/>
  <c r="G1322" i="3"/>
  <c r="G1311" i="3"/>
  <c r="G1327" i="3"/>
  <c r="G1308" i="3"/>
  <c r="G1324" i="3"/>
  <c r="G1325" i="3"/>
  <c r="G1314" i="3"/>
  <c r="G1319" i="3"/>
  <c r="G1312" i="3"/>
  <c r="G1313" i="3"/>
  <c r="G1307" i="3"/>
  <c r="G1304" i="3"/>
  <c r="G1320" i="3"/>
  <c r="G1305" i="3"/>
  <c r="G1321" i="3"/>
  <c r="G1310" i="3"/>
  <c r="G1326" i="3"/>
  <c r="G1315" i="3"/>
  <c r="BO20" i="5"/>
  <c r="BB40" i="11"/>
  <c r="AI57" i="1"/>
  <c r="S17" i="11" s="1"/>
  <c r="G1179" i="3"/>
  <c r="C130" i="3"/>
  <c r="E130" i="3"/>
  <c r="G130" i="3"/>
  <c r="I130" i="3"/>
  <c r="I1322" i="3"/>
  <c r="I1317" i="3"/>
  <c r="I1319" i="3"/>
  <c r="I1316" i="3"/>
  <c r="I1307" i="3"/>
  <c r="I1312" i="3"/>
  <c r="I1314" i="3"/>
  <c r="I1309" i="3"/>
  <c r="I1326" i="3"/>
  <c r="I1328" i="3"/>
  <c r="I1325" i="3"/>
  <c r="I1323" i="3"/>
  <c r="I1306" i="3"/>
  <c r="I1308" i="3"/>
  <c r="I1301" i="3"/>
  <c r="I1311" i="3"/>
  <c r="I1310" i="3"/>
  <c r="I1300" i="3"/>
  <c r="I1324" i="3"/>
  <c r="I1313" i="3"/>
  <c r="I1327" i="3"/>
  <c r="I1318" i="3"/>
  <c r="I1304" i="3"/>
  <c r="I1320" i="3"/>
  <c r="I1305" i="3"/>
  <c r="I1321" i="3"/>
  <c r="I1303" i="3"/>
  <c r="I1315" i="3"/>
  <c r="G1250" i="3" a="1"/>
  <c r="N1231" i="3"/>
  <c r="I1250" i="3" a="1"/>
  <c r="AR39" i="1"/>
  <c r="AR37" i="1"/>
  <c r="AR38" i="1"/>
  <c r="AR41" i="1"/>
  <c r="AR42" i="1"/>
  <c r="AR40" i="1"/>
  <c r="C1302" i="3"/>
  <c r="C1315" i="3"/>
  <c r="C1319" i="3"/>
  <c r="C1325" i="3"/>
  <c r="C1324" i="3"/>
  <c r="C1305" i="3"/>
  <c r="C1318" i="3"/>
  <c r="C1304" i="3"/>
  <c r="C1309" i="3"/>
  <c r="C1326" i="3"/>
  <c r="C1308" i="3"/>
  <c r="C1313" i="3"/>
  <c r="C1310" i="3"/>
  <c r="C1303" i="3"/>
  <c r="C1323" i="3"/>
  <c r="C1316" i="3"/>
  <c r="C1321" i="3"/>
  <c r="C1314" i="3"/>
  <c r="C1307" i="3"/>
  <c r="C1300" i="3"/>
  <c r="C1320" i="3"/>
  <c r="C1317" i="3"/>
  <c r="C1306" i="3"/>
  <c r="C1322" i="3"/>
  <c r="C1311" i="3"/>
  <c r="C1327" i="3"/>
  <c r="C1312" i="3"/>
  <c r="C1328" i="3"/>
  <c r="AN11" i="1"/>
  <c r="D1379" i="3" l="1"/>
  <c r="AS11" i="1"/>
  <c r="AS88" i="1" s="1"/>
  <c r="AN88" i="1"/>
  <c r="H1982" i="3"/>
  <c r="H1988" i="3"/>
  <c r="H1986" i="3"/>
  <c r="H2035" i="3"/>
  <c r="H1983" i="3"/>
  <c r="H1984" i="3"/>
  <c r="H1990" i="3"/>
  <c r="H2038" i="3"/>
  <c r="H2040" i="3"/>
  <c r="H2039" i="3"/>
  <c r="H1989" i="3"/>
  <c r="H1987" i="3"/>
  <c r="H2033" i="3"/>
  <c r="H1985" i="3"/>
  <c r="H2036" i="3"/>
  <c r="H2032" i="3"/>
  <c r="H2034" i="3"/>
  <c r="H2037" i="3"/>
  <c r="G1329" i="3"/>
  <c r="H1321" i="3" s="1"/>
  <c r="BD40" i="11"/>
  <c r="N1230" i="3"/>
  <c r="H2084" i="3"/>
  <c r="H2083" i="3"/>
  <c r="AR11" i="1"/>
  <c r="AR88" i="1" s="1"/>
  <c r="H2063" i="3"/>
  <c r="H2071" i="3"/>
  <c r="H2061" i="3"/>
  <c r="H2069" i="3"/>
  <c r="H2068" i="3"/>
  <c r="H2072" i="3"/>
  <c r="H2080" i="3"/>
  <c r="H2077" i="3"/>
  <c r="H2073" i="3"/>
  <c r="H2059" i="3"/>
  <c r="H2062" i="3"/>
  <c r="H2064" i="3"/>
  <c r="H2056" i="3"/>
  <c r="H2070" i="3"/>
  <c r="H2060" i="3"/>
  <c r="H2081" i="3"/>
  <c r="H2076" i="3"/>
  <c r="H2058" i="3"/>
  <c r="H2066" i="3"/>
  <c r="H2065" i="3"/>
  <c r="H2078" i="3"/>
  <c r="H2074" i="3"/>
  <c r="H2082" i="3"/>
  <c r="H2075" i="3"/>
  <c r="H2067" i="3"/>
  <c r="H2079" i="3"/>
  <c r="H2057" i="3"/>
  <c r="C1329" i="3"/>
  <c r="D1307" i="3" s="1"/>
  <c r="I1329" i="3"/>
  <c r="J1327" i="3" s="1"/>
  <c r="I1251" i="3"/>
  <c r="I1278" i="3"/>
  <c r="I1262" i="3"/>
  <c r="I1277" i="3"/>
  <c r="I1261" i="3"/>
  <c r="I1272" i="3"/>
  <c r="I1256" i="3"/>
  <c r="I1267" i="3"/>
  <c r="I1274" i="3"/>
  <c r="I1258" i="3"/>
  <c r="I1273" i="3"/>
  <c r="I1257" i="3"/>
  <c r="I1268" i="3"/>
  <c r="I1252" i="3"/>
  <c r="I1263" i="3"/>
  <c r="I1270" i="3"/>
  <c r="I1254" i="3"/>
  <c r="I1269" i="3"/>
  <c r="I1253" i="3"/>
  <c r="I1264" i="3"/>
  <c r="I1275" i="3"/>
  <c r="I1259" i="3"/>
  <c r="I1266" i="3"/>
  <c r="I1250" i="3"/>
  <c r="I1265" i="3"/>
  <c r="I1276" i="3"/>
  <c r="I1260" i="3"/>
  <c r="I1271" i="3"/>
  <c r="I1255" i="3"/>
  <c r="G1251" i="3"/>
  <c r="G1250" i="3"/>
  <c r="G1277" i="3"/>
  <c r="G1265" i="3"/>
  <c r="G1269" i="3"/>
  <c r="G1278" i="3"/>
  <c r="G1257" i="3"/>
  <c r="G1267" i="3"/>
  <c r="G1272" i="3"/>
  <c r="G1256" i="3"/>
  <c r="G1260" i="3"/>
  <c r="G1264" i="3"/>
  <c r="G1273" i="3"/>
  <c r="G1252" i="3"/>
  <c r="G1263" i="3"/>
  <c r="G1266" i="3"/>
  <c r="G1276" i="3"/>
  <c r="G1254" i="3"/>
  <c r="G1258" i="3"/>
  <c r="G1268" i="3"/>
  <c r="G1275" i="3"/>
  <c r="G1259" i="3"/>
  <c r="G1261" i="3"/>
  <c r="G1270" i="3"/>
  <c r="G1274" i="3"/>
  <c r="G1253" i="3"/>
  <c r="G1262" i="3"/>
  <c r="G1271" i="3"/>
  <c r="G1255" i="3"/>
  <c r="C1250" i="3" a="1"/>
  <c r="H1325" i="3"/>
  <c r="H1328" i="3"/>
  <c r="H1308" i="3"/>
  <c r="H1303" i="3"/>
  <c r="H1313" i="3"/>
  <c r="H1319" i="3"/>
  <c r="H1164" i="3"/>
  <c r="E1179" i="3"/>
  <c r="F1153" i="3" s="1"/>
  <c r="I1179" i="3"/>
  <c r="J1172" i="3" s="1"/>
  <c r="H1324" i="3" l="1"/>
  <c r="H1316" i="3"/>
  <c r="H1302" i="3"/>
  <c r="H1300" i="3"/>
  <c r="H1310" i="3"/>
  <c r="H1315" i="3"/>
  <c r="H1322" i="3"/>
  <c r="H1301" i="3"/>
  <c r="H1318" i="3"/>
  <c r="H1309" i="3"/>
  <c r="H1305" i="3"/>
  <c r="H1312" i="3"/>
  <c r="H1314" i="3"/>
  <c r="H1304" i="3"/>
  <c r="H1320" i="3"/>
  <c r="H1326" i="3"/>
  <c r="H1311" i="3"/>
  <c r="H1323" i="3"/>
  <c r="H1307" i="3"/>
  <c r="H1306" i="3"/>
  <c r="H1327" i="3"/>
  <c r="H1317" i="3"/>
  <c r="H2041" i="3"/>
  <c r="H1991" i="3"/>
  <c r="J1309" i="3"/>
  <c r="J1308" i="3"/>
  <c r="J1303" i="3"/>
  <c r="J1320" i="3"/>
  <c r="J1314" i="3"/>
  <c r="J1304" i="3"/>
  <c r="J1316" i="3"/>
  <c r="J1328" i="3"/>
  <c r="J1305" i="3"/>
  <c r="J1324" i="3"/>
  <c r="J1322" i="3"/>
  <c r="J1326" i="3"/>
  <c r="J1312" i="3"/>
  <c r="J1306" i="3"/>
  <c r="J1310" i="3"/>
  <c r="J1319" i="3"/>
  <c r="G1279" i="3"/>
  <c r="G1229" i="3"/>
  <c r="H1204" i="3" s="1"/>
  <c r="J1323" i="3"/>
  <c r="J1325" i="3"/>
  <c r="J1300" i="3"/>
  <c r="J1315" i="3"/>
  <c r="J1321" i="3"/>
  <c r="J1313" i="3"/>
  <c r="J1307" i="3"/>
  <c r="J1311" i="3"/>
  <c r="J1301" i="3"/>
  <c r="J1318" i="3"/>
  <c r="J1317" i="3"/>
  <c r="J1302" i="3"/>
  <c r="I1229" i="3"/>
  <c r="J1226" i="3" s="1"/>
  <c r="I1279" i="3"/>
  <c r="J1273" i="3" s="1"/>
  <c r="D1310" i="3"/>
  <c r="D1309" i="3"/>
  <c r="D1316" i="3"/>
  <c r="D1320" i="3"/>
  <c r="D1321" i="3"/>
  <c r="D1312" i="3"/>
  <c r="D1308" i="3"/>
  <c r="D1313" i="3"/>
  <c r="D1305" i="3"/>
  <c r="D1302" i="3"/>
  <c r="D1322" i="3"/>
  <c r="D1326" i="3"/>
  <c r="D1301" i="3"/>
  <c r="D1317" i="3"/>
  <c r="D1306" i="3"/>
  <c r="D1324" i="3"/>
  <c r="D1318" i="3"/>
  <c r="D1327" i="3"/>
  <c r="D1314" i="3"/>
  <c r="D1325" i="3"/>
  <c r="C1251" i="3"/>
  <c r="C1270" i="3"/>
  <c r="C1254" i="3"/>
  <c r="C1269" i="3"/>
  <c r="C1253" i="3"/>
  <c r="C1264" i="3"/>
  <c r="C1275" i="3"/>
  <c r="C1259" i="3"/>
  <c r="C1266" i="3"/>
  <c r="C1250" i="3"/>
  <c r="C1265" i="3"/>
  <c r="C1276" i="3"/>
  <c r="C1260" i="3"/>
  <c r="C1271" i="3"/>
  <c r="C1255" i="3"/>
  <c r="C1274" i="3"/>
  <c r="C1258" i="3"/>
  <c r="C1273" i="3"/>
  <c r="C1257" i="3"/>
  <c r="C1268" i="3"/>
  <c r="C1252" i="3"/>
  <c r="C1263" i="3"/>
  <c r="C1278" i="3"/>
  <c r="C1262" i="3"/>
  <c r="C1277" i="3"/>
  <c r="C1261" i="3"/>
  <c r="C1272" i="3"/>
  <c r="C1256" i="3"/>
  <c r="C1267" i="3"/>
  <c r="N1228" i="3"/>
  <c r="C1200" i="3" a="1"/>
  <c r="D1300" i="3"/>
  <c r="D1315" i="3"/>
  <c r="D1319" i="3"/>
  <c r="D1311" i="3"/>
  <c r="D1328" i="3"/>
  <c r="D1304" i="3"/>
  <c r="D1323" i="3"/>
  <c r="D1303" i="3"/>
  <c r="F1154" i="3"/>
  <c r="H1176" i="3"/>
  <c r="H1171" i="3"/>
  <c r="H1174" i="3"/>
  <c r="H1153" i="3"/>
  <c r="H1165" i="3"/>
  <c r="H1178" i="3"/>
  <c r="H1169" i="3"/>
  <c r="H1151" i="3"/>
  <c r="H1152" i="3"/>
  <c r="H1170" i="3"/>
  <c r="H1160" i="3"/>
  <c r="H1167" i="3"/>
  <c r="H1161" i="3"/>
  <c r="H1150" i="3"/>
  <c r="H1168" i="3"/>
  <c r="H1158" i="3"/>
  <c r="H1163" i="3"/>
  <c r="H1173" i="3"/>
  <c r="H1159" i="3"/>
  <c r="H1162" i="3"/>
  <c r="H1166" i="3"/>
  <c r="H1154" i="3"/>
  <c r="H1157" i="3"/>
  <c r="H1155" i="3"/>
  <c r="H1175" i="3"/>
  <c r="H1156" i="3"/>
  <c r="H1177" i="3"/>
  <c r="H1172" i="3"/>
  <c r="F1156" i="3"/>
  <c r="F1168" i="3"/>
  <c r="F1176" i="3"/>
  <c r="F1174" i="3"/>
  <c r="F1165" i="3"/>
  <c r="F1161" i="3"/>
  <c r="J1152" i="3"/>
  <c r="J1154" i="3"/>
  <c r="J1166" i="3"/>
  <c r="J1157" i="3"/>
  <c r="J1169" i="3"/>
  <c r="F1166" i="3"/>
  <c r="J1162" i="3"/>
  <c r="F1151" i="3"/>
  <c r="F1178" i="3"/>
  <c r="J1158" i="3"/>
  <c r="F1159" i="3"/>
  <c r="F1158" i="3"/>
  <c r="J1168" i="3"/>
  <c r="J1161" i="3"/>
  <c r="F1170" i="3"/>
  <c r="J1150" i="3"/>
  <c r="F1175" i="3"/>
  <c r="F1150" i="3"/>
  <c r="J1176" i="3"/>
  <c r="F1177" i="3"/>
  <c r="F1162" i="3"/>
  <c r="J1163" i="3"/>
  <c r="J1155" i="3"/>
  <c r="J1151" i="3"/>
  <c r="J1171" i="3"/>
  <c r="J1167" i="3"/>
  <c r="J1159" i="3"/>
  <c r="J1175" i="3"/>
  <c r="F1163" i="3"/>
  <c r="F1155" i="3"/>
  <c r="F1171" i="3"/>
  <c r="J1160" i="3"/>
  <c r="J1177" i="3"/>
  <c r="F1157" i="3"/>
  <c r="J1156" i="3"/>
  <c r="J1153" i="3"/>
  <c r="F1160" i="3"/>
  <c r="J1170" i="3"/>
  <c r="F1167" i="3"/>
  <c r="F1172" i="3"/>
  <c r="F1173" i="3"/>
  <c r="J1164" i="3"/>
  <c r="F1169" i="3"/>
  <c r="F1152" i="3"/>
  <c r="J1178" i="3"/>
  <c r="J1165" i="3"/>
  <c r="F1164" i="3"/>
  <c r="J1174" i="3"/>
  <c r="J1173" i="3"/>
  <c r="I350" i="3" a="1"/>
  <c r="I353" i="3" s="1"/>
  <c r="I450" i="3" a="1"/>
  <c r="I450" i="3" s="1"/>
  <c r="I500" i="3" a="1"/>
  <c r="I500" i="3" s="1"/>
  <c r="I550" i="3" a="1"/>
  <c r="I550" i="3" s="1"/>
  <c r="I600" i="3" a="1"/>
  <c r="I601" i="3" s="1"/>
  <c r="I650" i="3" a="1"/>
  <c r="I652" i="3" s="1"/>
  <c r="I750" i="3" a="1"/>
  <c r="I751" i="3" s="1"/>
  <c r="I800" i="3" a="1"/>
  <c r="I802" i="3" s="1"/>
  <c r="I850" i="3" a="1"/>
  <c r="I851" i="3" s="1"/>
  <c r="I900" i="3" a="1"/>
  <c r="I910" i="3" s="1"/>
  <c r="I950" i="3" a="1"/>
  <c r="I951" i="3" s="1"/>
  <c r="I1100" i="3" a="1"/>
  <c r="I1101" i="3" s="1"/>
  <c r="E1100" i="3" a="1"/>
  <c r="E1102" i="3" s="1"/>
  <c r="G1100" i="3" a="1"/>
  <c r="C1100" i="3" a="1"/>
  <c r="C1101" i="3" s="1"/>
  <c r="I1050" i="3" a="1"/>
  <c r="I1050" i="3" s="1"/>
  <c r="E1050" i="3" a="1"/>
  <c r="E1050" i="3" s="1"/>
  <c r="G1050" i="3" a="1"/>
  <c r="G1050" i="3" s="1"/>
  <c r="C1050" i="3" a="1"/>
  <c r="C1061" i="3" s="1"/>
  <c r="E1000" i="3" a="1"/>
  <c r="E1001" i="3" s="1"/>
  <c r="G1000" i="3" a="1"/>
  <c r="C1000" i="3" a="1"/>
  <c r="C1005" i="3" s="1"/>
  <c r="E950" i="3" a="1"/>
  <c r="E951" i="3" s="1"/>
  <c r="G950" i="3" a="1"/>
  <c r="G958" i="3" s="1"/>
  <c r="C950" i="3" a="1"/>
  <c r="C960" i="3" s="1"/>
  <c r="E900" i="3" a="1"/>
  <c r="E901" i="3" s="1"/>
  <c r="G900" i="3" a="1"/>
  <c r="G900" i="3" s="1"/>
  <c r="C900" i="3" a="1"/>
  <c r="C901" i="3" s="1"/>
  <c r="E850" i="3" a="1"/>
  <c r="E851" i="3" s="1"/>
  <c r="G850" i="3" a="1"/>
  <c r="G851" i="3" s="1"/>
  <c r="C850" i="3" a="1"/>
  <c r="C850" i="3" s="1"/>
  <c r="E800" i="3" a="1"/>
  <c r="E801" i="3" s="1"/>
  <c r="G800" i="3" a="1"/>
  <c r="G820" i="3" s="1"/>
  <c r="C800" i="3" a="1"/>
  <c r="C800" i="3" s="1"/>
  <c r="E750" i="3" a="1"/>
  <c r="E751" i="3" s="1"/>
  <c r="G750" i="3" a="1"/>
  <c r="G750" i="3" s="1"/>
  <c r="C750" i="3" a="1"/>
  <c r="C750" i="3" s="1"/>
  <c r="G700" i="3" a="1"/>
  <c r="G701" i="3" s="1"/>
  <c r="C700" i="3" a="1"/>
  <c r="C701" i="3" s="1"/>
  <c r="E650" i="3" a="1"/>
  <c r="E650" i="3" s="1"/>
  <c r="G650" i="3" a="1"/>
  <c r="G651" i="3" s="1"/>
  <c r="C650" i="3" a="1"/>
  <c r="C653" i="3" s="1"/>
  <c r="E600" i="3" a="1"/>
  <c r="E600" i="3" s="1"/>
  <c r="G600" i="3" a="1"/>
  <c r="G601" i="3" s="1"/>
  <c r="C600" i="3" a="1"/>
  <c r="C601" i="3" s="1"/>
  <c r="E550" i="3" a="1"/>
  <c r="E551" i="3" s="1"/>
  <c r="G550" i="3" a="1"/>
  <c r="G551" i="3" s="1"/>
  <c r="C550" i="3" a="1"/>
  <c r="C551" i="3" s="1"/>
  <c r="E500" i="3" a="1"/>
  <c r="E501" i="3" s="1"/>
  <c r="C500" i="3" a="1"/>
  <c r="C501" i="3" s="1"/>
  <c r="E450" i="3" a="1"/>
  <c r="E451" i="3" s="1"/>
  <c r="E400" i="3" a="1"/>
  <c r="E400" i="3" s="1"/>
  <c r="E350" i="3" a="1"/>
  <c r="E350" i="3" s="1"/>
  <c r="C350" i="3" a="1"/>
  <c r="C353" i="3" s="1"/>
  <c r="E300" i="3" a="1"/>
  <c r="E301" i="3" s="1"/>
  <c r="E250" i="3" a="1"/>
  <c r="E253" i="3" s="1"/>
  <c r="H1329" i="3" l="1"/>
  <c r="C1279" i="3"/>
  <c r="D1256" i="3" s="1"/>
  <c r="H1179" i="3"/>
  <c r="J1209" i="3"/>
  <c r="J1329" i="3"/>
  <c r="J1269" i="3"/>
  <c r="J1201" i="3"/>
  <c r="J1205" i="3"/>
  <c r="J1253" i="3"/>
  <c r="J1259" i="3"/>
  <c r="H1221" i="3"/>
  <c r="J1219" i="3"/>
  <c r="J1278" i="3"/>
  <c r="J1262" i="3"/>
  <c r="J1258" i="3"/>
  <c r="J1225" i="3"/>
  <c r="H1224" i="3"/>
  <c r="H1258" i="3"/>
  <c r="H1278" i="3"/>
  <c r="H1251" i="3"/>
  <c r="H1256" i="3"/>
  <c r="H1269" i="3"/>
  <c r="H1255" i="3"/>
  <c r="H1254" i="3"/>
  <c r="H1272" i="3"/>
  <c r="H1273" i="3"/>
  <c r="H1275" i="3"/>
  <c r="H1267" i="3"/>
  <c r="H1260" i="3"/>
  <c r="H1265" i="3"/>
  <c r="H1259" i="3"/>
  <c r="H1253" i="3"/>
  <c r="H1250" i="3"/>
  <c r="H1262" i="3"/>
  <c r="H1257" i="3"/>
  <c r="H1276" i="3"/>
  <c r="H1270" i="3"/>
  <c r="H1252" i="3"/>
  <c r="H1263" i="3"/>
  <c r="H1264" i="3"/>
  <c r="J1272" i="3"/>
  <c r="J1270" i="3"/>
  <c r="J1264" i="3"/>
  <c r="J1274" i="3"/>
  <c r="J1267" i="3"/>
  <c r="J1276" i="3"/>
  <c r="J1250" i="3"/>
  <c r="J1254" i="3"/>
  <c r="J1268" i="3"/>
  <c r="J1255" i="3"/>
  <c r="J1257" i="3"/>
  <c r="J1265" i="3"/>
  <c r="J1251" i="3"/>
  <c r="J1271" i="3"/>
  <c r="J1277" i="3"/>
  <c r="J1275" i="3"/>
  <c r="J1266" i="3"/>
  <c r="J1263" i="3"/>
  <c r="J1260" i="3"/>
  <c r="J1261" i="3"/>
  <c r="J1256" i="3"/>
  <c r="J1252" i="3"/>
  <c r="J1211" i="3"/>
  <c r="H1220" i="3"/>
  <c r="H1261" i="3"/>
  <c r="J1222" i="3"/>
  <c r="H1268" i="3"/>
  <c r="H1215" i="3"/>
  <c r="H1226" i="3"/>
  <c r="H1210" i="3"/>
  <c r="H1208" i="3"/>
  <c r="H1203" i="3"/>
  <c r="H1219" i="3"/>
  <c r="H1228" i="3"/>
  <c r="H1217" i="3"/>
  <c r="H1216" i="3"/>
  <c r="H1200" i="3"/>
  <c r="H1227" i="3"/>
  <c r="H1209" i="3"/>
  <c r="H1212" i="3"/>
  <c r="H1213" i="3"/>
  <c r="H1207" i="3"/>
  <c r="H1206" i="3"/>
  <c r="H1222" i="3"/>
  <c r="H1223" i="3"/>
  <c r="H1201" i="3"/>
  <c r="H1202" i="3"/>
  <c r="H1225" i="3"/>
  <c r="H1277" i="3"/>
  <c r="H1218" i="3"/>
  <c r="H1266" i="3"/>
  <c r="J1202" i="3"/>
  <c r="J1203" i="3"/>
  <c r="J1212" i="3"/>
  <c r="J1217" i="3"/>
  <c r="J1220" i="3"/>
  <c r="J1227" i="3"/>
  <c r="J1218" i="3"/>
  <c r="J1215" i="3"/>
  <c r="J1210" i="3"/>
  <c r="J1207" i="3"/>
  <c r="J1223" i="3"/>
  <c r="J1221" i="3"/>
  <c r="J1214" i="3"/>
  <c r="J1204" i="3"/>
  <c r="J1206" i="3"/>
  <c r="J1228" i="3"/>
  <c r="J1216" i="3"/>
  <c r="J1200" i="3"/>
  <c r="J1213" i="3"/>
  <c r="H1274" i="3"/>
  <c r="J1224" i="3"/>
  <c r="H1214" i="3"/>
  <c r="J1208" i="3"/>
  <c r="H1211" i="3"/>
  <c r="H1205" i="3"/>
  <c r="H1271" i="3"/>
  <c r="G1060" i="3"/>
  <c r="C1201" i="3"/>
  <c r="C1220" i="3"/>
  <c r="C1204" i="3"/>
  <c r="C1219" i="3"/>
  <c r="C1203" i="3"/>
  <c r="C1214" i="3"/>
  <c r="C1225" i="3"/>
  <c r="C1209" i="3"/>
  <c r="C1216" i="3"/>
  <c r="C1200" i="3"/>
  <c r="C1215" i="3"/>
  <c r="C1226" i="3"/>
  <c r="C1210" i="3"/>
  <c r="C1221" i="3"/>
  <c r="C1205" i="3"/>
  <c r="C1224" i="3"/>
  <c r="C1208" i="3"/>
  <c r="C1223" i="3"/>
  <c r="C1207" i="3"/>
  <c r="C1218" i="3"/>
  <c r="C1202" i="3"/>
  <c r="C1213" i="3"/>
  <c r="C1228" i="3"/>
  <c r="C1212" i="3"/>
  <c r="C1227" i="3"/>
  <c r="C1211" i="3"/>
  <c r="C1222" i="3"/>
  <c r="C1206" i="3"/>
  <c r="C1217" i="3"/>
  <c r="D1329" i="3"/>
  <c r="C1072" i="3"/>
  <c r="E1056" i="3"/>
  <c r="I923" i="3"/>
  <c r="I525" i="3"/>
  <c r="I610" i="3"/>
  <c r="I565" i="3"/>
  <c r="I620" i="3"/>
  <c r="I559" i="3"/>
  <c r="F1179" i="3"/>
  <c r="J1179" i="3"/>
  <c r="C1021" i="3"/>
  <c r="E1027" i="3"/>
  <c r="I517" i="3"/>
  <c r="I477" i="3"/>
  <c r="E1016" i="3"/>
  <c r="I509" i="3"/>
  <c r="I464" i="3"/>
  <c r="E1008" i="3"/>
  <c r="I572" i="3"/>
  <c r="I527" i="3"/>
  <c r="I506" i="3"/>
  <c r="I460" i="3"/>
  <c r="E1077" i="3"/>
  <c r="I965" i="3"/>
  <c r="E1071" i="3"/>
  <c r="I960" i="3"/>
  <c r="I665" i="3"/>
  <c r="I551" i="3"/>
  <c r="I970" i="3"/>
  <c r="E1064" i="3"/>
  <c r="I976" i="3"/>
  <c r="I954" i="3"/>
  <c r="I515" i="3"/>
  <c r="E924" i="3"/>
  <c r="E916" i="3"/>
  <c r="E1024" i="3"/>
  <c r="E1015" i="3"/>
  <c r="E1006" i="3"/>
  <c r="I974" i="3"/>
  <c r="I969" i="3"/>
  <c r="I964" i="3"/>
  <c r="I958" i="3"/>
  <c r="I953" i="3"/>
  <c r="I522" i="3"/>
  <c r="I514" i="3"/>
  <c r="I503" i="3"/>
  <c r="I475" i="3"/>
  <c r="I456" i="3"/>
  <c r="E908" i="3"/>
  <c r="E1022" i="3"/>
  <c r="E1014" i="3"/>
  <c r="E1003" i="3"/>
  <c r="E1118" i="3"/>
  <c r="I978" i="3"/>
  <c r="I973" i="3"/>
  <c r="I968" i="3"/>
  <c r="I962" i="3"/>
  <c r="I957" i="3"/>
  <c r="I952" i="3"/>
  <c r="I754" i="3"/>
  <c r="I521" i="3"/>
  <c r="I510" i="3"/>
  <c r="I501" i="3"/>
  <c r="I471" i="3"/>
  <c r="I453" i="3"/>
  <c r="E928" i="3"/>
  <c r="E900" i="3"/>
  <c r="E1020" i="3"/>
  <c r="E1010" i="3"/>
  <c r="E1000" i="3"/>
  <c r="I977" i="3"/>
  <c r="I972" i="3"/>
  <c r="I966" i="3"/>
  <c r="I961" i="3"/>
  <c r="I956" i="3"/>
  <c r="I950" i="3"/>
  <c r="I856" i="3"/>
  <c r="E1076" i="3"/>
  <c r="E1069" i="3"/>
  <c r="E1061" i="3"/>
  <c r="E1055" i="3"/>
  <c r="I1077" i="3"/>
  <c r="I1061" i="3"/>
  <c r="E1115" i="3"/>
  <c r="I772" i="3"/>
  <c r="I618" i="3"/>
  <c r="I607" i="3"/>
  <c r="I577" i="3"/>
  <c r="I571" i="3"/>
  <c r="I564" i="3"/>
  <c r="I556" i="3"/>
  <c r="E1075" i="3"/>
  <c r="E1067" i="3"/>
  <c r="E1060" i="3"/>
  <c r="E1053" i="3"/>
  <c r="I1073" i="3"/>
  <c r="I1057" i="3"/>
  <c r="E1110" i="3"/>
  <c r="I912" i="3"/>
  <c r="I870" i="3"/>
  <c r="I820" i="3"/>
  <c r="I765" i="3"/>
  <c r="I626" i="3"/>
  <c r="I615" i="3"/>
  <c r="I604" i="3"/>
  <c r="I576" i="3"/>
  <c r="I569" i="3"/>
  <c r="I561" i="3"/>
  <c r="I555" i="3"/>
  <c r="I467" i="3"/>
  <c r="I1065" i="3"/>
  <c r="I920" i="3"/>
  <c r="I877" i="3"/>
  <c r="E912" i="3"/>
  <c r="E1026" i="3"/>
  <c r="E1019" i="3"/>
  <c r="E1011" i="3"/>
  <c r="E1004" i="3"/>
  <c r="E1072" i="3"/>
  <c r="E1065" i="3"/>
  <c r="E1059" i="3"/>
  <c r="E1051" i="3"/>
  <c r="I1069" i="3"/>
  <c r="I1053" i="3"/>
  <c r="E1126" i="3"/>
  <c r="E1105" i="3"/>
  <c r="I902" i="3"/>
  <c r="I864" i="3"/>
  <c r="I810" i="3"/>
  <c r="I760" i="3"/>
  <c r="I678" i="3"/>
  <c r="I623" i="3"/>
  <c r="I612" i="3"/>
  <c r="I602" i="3"/>
  <c r="I575" i="3"/>
  <c r="I567" i="3"/>
  <c r="I560" i="3"/>
  <c r="I553" i="3"/>
  <c r="I526" i="3"/>
  <c r="I519" i="3"/>
  <c r="I511" i="3"/>
  <c r="I505" i="3"/>
  <c r="E970" i="3"/>
  <c r="E958" i="3"/>
  <c r="I670" i="3"/>
  <c r="I657" i="3"/>
  <c r="E920" i="3"/>
  <c r="E904" i="3"/>
  <c r="E966" i="3"/>
  <c r="E957" i="3"/>
  <c r="E1028" i="3"/>
  <c r="E1023" i="3"/>
  <c r="E1018" i="3"/>
  <c r="E1012" i="3"/>
  <c r="E1007" i="3"/>
  <c r="E1002" i="3"/>
  <c r="E1121" i="3"/>
  <c r="E1107" i="3"/>
  <c r="I1126" i="3"/>
  <c r="I1119" i="3"/>
  <c r="I1111" i="3"/>
  <c r="I1104" i="3"/>
  <c r="I876" i="3"/>
  <c r="I869" i="3"/>
  <c r="I861" i="3"/>
  <c r="I854" i="3"/>
  <c r="I828" i="3"/>
  <c r="I818" i="3"/>
  <c r="I807" i="3"/>
  <c r="I777" i="3"/>
  <c r="I770" i="3"/>
  <c r="I764" i="3"/>
  <c r="I758" i="3"/>
  <c r="I753" i="3"/>
  <c r="I668" i="3"/>
  <c r="I654" i="3"/>
  <c r="I624" i="3"/>
  <c r="I619" i="3"/>
  <c r="I614" i="3"/>
  <c r="I608" i="3"/>
  <c r="I603" i="3"/>
  <c r="I523" i="3"/>
  <c r="I518" i="3"/>
  <c r="I513" i="3"/>
  <c r="I507" i="3"/>
  <c r="I502" i="3"/>
  <c r="I476" i="3"/>
  <c r="I469" i="3"/>
  <c r="I461" i="3"/>
  <c r="I455" i="3"/>
  <c r="I1127" i="3"/>
  <c r="I1120" i="3"/>
  <c r="I1114" i="3"/>
  <c r="I1106" i="3"/>
  <c r="E974" i="3"/>
  <c r="E965" i="3"/>
  <c r="E954" i="3"/>
  <c r="I1124" i="3"/>
  <c r="I1116" i="3"/>
  <c r="I1110" i="3"/>
  <c r="I1103" i="3"/>
  <c r="I874" i="3"/>
  <c r="I866" i="3"/>
  <c r="I860" i="3"/>
  <c r="I853" i="3"/>
  <c r="I826" i="3"/>
  <c r="I815" i="3"/>
  <c r="I804" i="3"/>
  <c r="I776" i="3"/>
  <c r="I769" i="3"/>
  <c r="I762" i="3"/>
  <c r="I757" i="3"/>
  <c r="I752" i="3"/>
  <c r="E973" i="3"/>
  <c r="E962" i="3"/>
  <c r="E950" i="3"/>
  <c r="I1122" i="3"/>
  <c r="I1115" i="3"/>
  <c r="I1108" i="3"/>
  <c r="I1100" i="3"/>
  <c r="I872" i="3"/>
  <c r="I865" i="3"/>
  <c r="I858" i="3"/>
  <c r="I850" i="3"/>
  <c r="I823" i="3"/>
  <c r="I812" i="3"/>
  <c r="I774" i="3"/>
  <c r="I766" i="3"/>
  <c r="I761" i="3"/>
  <c r="I756" i="3"/>
  <c r="I750" i="3"/>
  <c r="I676" i="3"/>
  <c r="I660" i="3"/>
  <c r="I627" i="3"/>
  <c r="I622" i="3"/>
  <c r="I616" i="3"/>
  <c r="I611" i="3"/>
  <c r="I606" i="3"/>
  <c r="I600" i="3"/>
  <c r="I472" i="3"/>
  <c r="I465" i="3"/>
  <c r="I459" i="3"/>
  <c r="I451" i="3"/>
  <c r="E873" i="3"/>
  <c r="E865" i="3"/>
  <c r="E857" i="3"/>
  <c r="G1100" i="3"/>
  <c r="G1126" i="3"/>
  <c r="G1105" i="3"/>
  <c r="I373" i="3"/>
  <c r="I365" i="3"/>
  <c r="I357" i="3"/>
  <c r="E878" i="3"/>
  <c r="E870" i="3"/>
  <c r="E862" i="3"/>
  <c r="E854" i="3"/>
  <c r="G970" i="3"/>
  <c r="I901" i="3"/>
  <c r="I900" i="3"/>
  <c r="I906" i="3"/>
  <c r="I911" i="3"/>
  <c r="I916" i="3"/>
  <c r="I922" i="3"/>
  <c r="I927" i="3"/>
  <c r="I903" i="3"/>
  <c r="I908" i="3"/>
  <c r="I914" i="3"/>
  <c r="I919" i="3"/>
  <c r="I924" i="3"/>
  <c r="I371" i="3"/>
  <c r="I363" i="3"/>
  <c r="I355" i="3"/>
  <c r="G812" i="3"/>
  <c r="G866" i="3"/>
  <c r="E877" i="3"/>
  <c r="E869" i="3"/>
  <c r="E861" i="3"/>
  <c r="E853" i="3"/>
  <c r="G908" i="3"/>
  <c r="E926" i="3"/>
  <c r="E922" i="3"/>
  <c r="E918" i="3"/>
  <c r="E914" i="3"/>
  <c r="E910" i="3"/>
  <c r="E906" i="3"/>
  <c r="E902" i="3"/>
  <c r="C978" i="3"/>
  <c r="C1010" i="3"/>
  <c r="C1001" i="3"/>
  <c r="C1015" i="3"/>
  <c r="C1050" i="3"/>
  <c r="C1051" i="3"/>
  <c r="C1076" i="3"/>
  <c r="C1065" i="3"/>
  <c r="E1123" i="3"/>
  <c r="E1113" i="3"/>
  <c r="I928" i="3"/>
  <c r="I918" i="3"/>
  <c r="I907" i="3"/>
  <c r="I801" i="3"/>
  <c r="I803" i="3"/>
  <c r="I808" i="3"/>
  <c r="I814" i="3"/>
  <c r="I819" i="3"/>
  <c r="I824" i="3"/>
  <c r="I800" i="3"/>
  <c r="I806" i="3"/>
  <c r="I811" i="3"/>
  <c r="I816" i="3"/>
  <c r="I822" i="3"/>
  <c r="I827" i="3"/>
  <c r="I673" i="3"/>
  <c r="I662" i="3"/>
  <c r="I377" i="3"/>
  <c r="I369" i="3"/>
  <c r="I361" i="3"/>
  <c r="G953" i="3"/>
  <c r="G969" i="3"/>
  <c r="I350" i="3"/>
  <c r="I354" i="3"/>
  <c r="I358" i="3"/>
  <c r="I362" i="3"/>
  <c r="I366" i="3"/>
  <c r="I370" i="3"/>
  <c r="I374" i="3"/>
  <c r="I378" i="3"/>
  <c r="I352" i="3"/>
  <c r="I356" i="3"/>
  <c r="I360" i="3"/>
  <c r="I364" i="3"/>
  <c r="I368" i="3"/>
  <c r="I372" i="3"/>
  <c r="I376" i="3"/>
  <c r="E927" i="3"/>
  <c r="E923" i="3"/>
  <c r="E919" i="3"/>
  <c r="E915" i="3"/>
  <c r="E911" i="3"/>
  <c r="E907" i="3"/>
  <c r="E903" i="3"/>
  <c r="G850" i="3"/>
  <c r="E874" i="3"/>
  <c r="E866" i="3"/>
  <c r="E858" i="3"/>
  <c r="E850" i="3"/>
  <c r="E925" i="3"/>
  <c r="E921" i="3"/>
  <c r="E917" i="3"/>
  <c r="E913" i="3"/>
  <c r="E909" i="3"/>
  <c r="E905" i="3"/>
  <c r="C970" i="3"/>
  <c r="G954" i="3"/>
  <c r="G1003" i="3"/>
  <c r="G1010" i="3"/>
  <c r="G1110" i="3"/>
  <c r="E1100" i="3"/>
  <c r="E1101" i="3"/>
  <c r="E1106" i="3"/>
  <c r="E1111" i="3"/>
  <c r="E1117" i="3"/>
  <c r="E1122" i="3"/>
  <c r="E1127" i="3"/>
  <c r="E1103" i="3"/>
  <c r="E1109" i="3"/>
  <c r="E1114" i="3"/>
  <c r="E1119" i="3"/>
  <c r="E1125" i="3"/>
  <c r="I926" i="3"/>
  <c r="I915" i="3"/>
  <c r="I904" i="3"/>
  <c r="I651" i="3"/>
  <c r="I653" i="3"/>
  <c r="I658" i="3"/>
  <c r="I664" i="3"/>
  <c r="I669" i="3"/>
  <c r="I674" i="3"/>
  <c r="I650" i="3"/>
  <c r="I656" i="3"/>
  <c r="I661" i="3"/>
  <c r="I666" i="3"/>
  <c r="I672" i="3"/>
  <c r="I677" i="3"/>
  <c r="I375" i="3"/>
  <c r="I367" i="3"/>
  <c r="I359" i="3"/>
  <c r="I351" i="3"/>
  <c r="E978" i="3"/>
  <c r="E969" i="3"/>
  <c r="E961" i="3"/>
  <c r="E953" i="3"/>
  <c r="G1071" i="3"/>
  <c r="I1128" i="3"/>
  <c r="I1123" i="3"/>
  <c r="I1118" i="3"/>
  <c r="I1112" i="3"/>
  <c r="I1107" i="3"/>
  <c r="I1102" i="3"/>
  <c r="I878" i="3"/>
  <c r="I873" i="3"/>
  <c r="I868" i="3"/>
  <c r="I862" i="3"/>
  <c r="I857" i="3"/>
  <c r="I852" i="3"/>
  <c r="I573" i="3"/>
  <c r="I568" i="3"/>
  <c r="I563" i="3"/>
  <c r="I557" i="3"/>
  <c r="I552" i="3"/>
  <c r="I473" i="3"/>
  <c r="I468" i="3"/>
  <c r="I463" i="3"/>
  <c r="I457" i="3"/>
  <c r="I452" i="3"/>
  <c r="E1073" i="3"/>
  <c r="E1068" i="3"/>
  <c r="E1063" i="3"/>
  <c r="E1057" i="3"/>
  <c r="E1052" i="3"/>
  <c r="I975" i="3"/>
  <c r="I971" i="3"/>
  <c r="I967" i="3"/>
  <c r="I963" i="3"/>
  <c r="I959" i="3"/>
  <c r="I955" i="3"/>
  <c r="I778" i="3"/>
  <c r="I773" i="3"/>
  <c r="I768" i="3"/>
  <c r="I628" i="3"/>
  <c r="G773" i="3"/>
  <c r="C369" i="3"/>
  <c r="C726" i="3"/>
  <c r="G758" i="3"/>
  <c r="G965" i="3"/>
  <c r="G765" i="3"/>
  <c r="C365" i="3"/>
  <c r="C1026" i="3"/>
  <c r="C1011" i="3"/>
  <c r="C357" i="3"/>
  <c r="C705" i="3"/>
  <c r="G752" i="3"/>
  <c r="G976" i="3"/>
  <c r="G960" i="3"/>
  <c r="C1022" i="3"/>
  <c r="G1020" i="3"/>
  <c r="G1121" i="3"/>
  <c r="C669" i="3"/>
  <c r="C665" i="3"/>
  <c r="G778" i="3"/>
  <c r="G770" i="3"/>
  <c r="G764" i="3"/>
  <c r="G757" i="3"/>
  <c r="G1069" i="3"/>
  <c r="G1059" i="3"/>
  <c r="C1115" i="3"/>
  <c r="C373" i="3"/>
  <c r="C661" i="3"/>
  <c r="C715" i="3"/>
  <c r="G776" i="3"/>
  <c r="G769" i="3"/>
  <c r="G762" i="3"/>
  <c r="G754" i="3"/>
  <c r="G874" i="3"/>
  <c r="G858" i="3"/>
  <c r="C1071" i="3"/>
  <c r="C1060" i="3"/>
  <c r="G1076" i="3"/>
  <c r="G1065" i="3"/>
  <c r="G1055" i="3"/>
  <c r="C1110" i="3"/>
  <c r="C1120" i="3"/>
  <c r="C721" i="3"/>
  <c r="G878" i="3"/>
  <c r="G862" i="3"/>
  <c r="C677" i="3"/>
  <c r="C710" i="3"/>
  <c r="G774" i="3"/>
  <c r="G768" i="3"/>
  <c r="G760" i="3"/>
  <c r="G753" i="3"/>
  <c r="G870" i="3"/>
  <c r="G854" i="3"/>
  <c r="G920" i="3"/>
  <c r="C1077" i="3"/>
  <c r="C1067" i="3"/>
  <c r="C1056" i="3"/>
  <c r="G1075" i="3"/>
  <c r="G1064" i="3"/>
  <c r="G1053" i="3"/>
  <c r="C1126" i="3"/>
  <c r="C1104" i="3"/>
  <c r="G1115" i="3"/>
  <c r="C727" i="3"/>
  <c r="C722" i="3"/>
  <c r="C717" i="3"/>
  <c r="C711" i="3"/>
  <c r="C706" i="3"/>
  <c r="G801" i="3"/>
  <c r="G800" i="3"/>
  <c r="G816" i="3"/>
  <c r="C900" i="3"/>
  <c r="G923" i="3"/>
  <c r="G912" i="3"/>
  <c r="C951" i="3"/>
  <c r="C952" i="3"/>
  <c r="C957" i="3"/>
  <c r="C962" i="3"/>
  <c r="C968" i="3"/>
  <c r="C973" i="3"/>
  <c r="C953" i="3"/>
  <c r="C958" i="3"/>
  <c r="C964" i="3"/>
  <c r="C969" i="3"/>
  <c r="C974" i="3"/>
  <c r="G1024" i="3"/>
  <c r="G1014" i="3"/>
  <c r="C700" i="3"/>
  <c r="C704" i="3"/>
  <c r="C708" i="3"/>
  <c r="C712" i="3"/>
  <c r="C716" i="3"/>
  <c r="C720" i="3"/>
  <c r="C724" i="3"/>
  <c r="C728" i="3"/>
  <c r="G901" i="3"/>
  <c r="G903" i="3"/>
  <c r="G911" i="3"/>
  <c r="G919" i="3"/>
  <c r="G927" i="3"/>
  <c r="C977" i="3"/>
  <c r="C966" i="3"/>
  <c r="C956" i="3"/>
  <c r="G1001" i="3"/>
  <c r="G1000" i="3"/>
  <c r="G1006" i="3"/>
  <c r="G1011" i="3"/>
  <c r="G1016" i="3"/>
  <c r="G1022" i="3"/>
  <c r="G1027" i="3"/>
  <c r="G1002" i="3"/>
  <c r="G1007" i="3"/>
  <c r="G1012" i="3"/>
  <c r="G1018" i="3"/>
  <c r="G1023" i="3"/>
  <c r="G1028" i="3"/>
  <c r="C350" i="3"/>
  <c r="C361" i="3"/>
  <c r="C377" i="3"/>
  <c r="C650" i="3"/>
  <c r="C657" i="3"/>
  <c r="C673" i="3"/>
  <c r="C725" i="3"/>
  <c r="C719" i="3"/>
  <c r="C714" i="3"/>
  <c r="C709" i="3"/>
  <c r="C703" i="3"/>
  <c r="G777" i="3"/>
  <c r="G772" i="3"/>
  <c r="G766" i="3"/>
  <c r="G761" i="3"/>
  <c r="G756" i="3"/>
  <c r="G828" i="3"/>
  <c r="G808" i="3"/>
  <c r="G928" i="3"/>
  <c r="G916" i="3"/>
  <c r="G907" i="3"/>
  <c r="C976" i="3"/>
  <c r="C965" i="3"/>
  <c r="C954" i="3"/>
  <c r="G974" i="3"/>
  <c r="G964" i="3"/>
  <c r="C1000" i="3"/>
  <c r="C1002" i="3"/>
  <c r="C1007" i="3"/>
  <c r="C1013" i="3"/>
  <c r="C1018" i="3"/>
  <c r="C1023" i="3"/>
  <c r="C1003" i="3"/>
  <c r="C1009" i="3"/>
  <c r="C1014" i="3"/>
  <c r="C1019" i="3"/>
  <c r="C1025" i="3"/>
  <c r="G1019" i="3"/>
  <c r="G1008" i="3"/>
  <c r="C723" i="3"/>
  <c r="C718" i="3"/>
  <c r="C713" i="3"/>
  <c r="C707" i="3"/>
  <c r="C702" i="3"/>
  <c r="G751" i="3"/>
  <c r="G755" i="3"/>
  <c r="G759" i="3"/>
  <c r="G763" i="3"/>
  <c r="G767" i="3"/>
  <c r="G771" i="3"/>
  <c r="G775" i="3"/>
  <c r="G824" i="3"/>
  <c r="G804" i="3"/>
  <c r="G924" i="3"/>
  <c r="G915" i="3"/>
  <c r="G904" i="3"/>
  <c r="C972" i="3"/>
  <c r="C961" i="3"/>
  <c r="C950" i="3"/>
  <c r="G951" i="3"/>
  <c r="G950" i="3"/>
  <c r="G956" i="3"/>
  <c r="G961" i="3"/>
  <c r="G966" i="3"/>
  <c r="G972" i="3"/>
  <c r="G977" i="3"/>
  <c r="G952" i="3"/>
  <c r="G957" i="3"/>
  <c r="G962" i="3"/>
  <c r="G968" i="3"/>
  <c r="G973" i="3"/>
  <c r="G978" i="3"/>
  <c r="C1027" i="3"/>
  <c r="C1017" i="3"/>
  <c r="C1006" i="3"/>
  <c r="G1026" i="3"/>
  <c r="G1015" i="3"/>
  <c r="G1004" i="3"/>
  <c r="G1123" i="3"/>
  <c r="G1118" i="3"/>
  <c r="G1113" i="3"/>
  <c r="G1107" i="3"/>
  <c r="G1102" i="3"/>
  <c r="G1073" i="3"/>
  <c r="G1068" i="3"/>
  <c r="G1063" i="3"/>
  <c r="G1057" i="3"/>
  <c r="G1052" i="3"/>
  <c r="C1124" i="3"/>
  <c r="C1119" i="3"/>
  <c r="C1114" i="3"/>
  <c r="C1108" i="3"/>
  <c r="C1103" i="3"/>
  <c r="G1127" i="3"/>
  <c r="G1122" i="3"/>
  <c r="G1117" i="3"/>
  <c r="G1111" i="3"/>
  <c r="G1106" i="3"/>
  <c r="G1101" i="3"/>
  <c r="C1055" i="3"/>
  <c r="C1075" i="3"/>
  <c r="C1069" i="3"/>
  <c r="C1064" i="3"/>
  <c r="C1059" i="3"/>
  <c r="C1053" i="3"/>
  <c r="G1077" i="3"/>
  <c r="G1072" i="3"/>
  <c r="G1067" i="3"/>
  <c r="G1061" i="3"/>
  <c r="G1056" i="3"/>
  <c r="G1051" i="3"/>
  <c r="C1128" i="3"/>
  <c r="C1123" i="3"/>
  <c r="C1118" i="3"/>
  <c r="C1112" i="3"/>
  <c r="C1107" i="3"/>
  <c r="C1102" i="3"/>
  <c r="C1073" i="3"/>
  <c r="C1068" i="3"/>
  <c r="C1063" i="3"/>
  <c r="C1057" i="3"/>
  <c r="C1052" i="3"/>
  <c r="C1127" i="3"/>
  <c r="C1122" i="3"/>
  <c r="C1116" i="3"/>
  <c r="C1111" i="3"/>
  <c r="C1106" i="3"/>
  <c r="C1100" i="3"/>
  <c r="G1125" i="3"/>
  <c r="G1119" i="3"/>
  <c r="G1114" i="3"/>
  <c r="G1109" i="3"/>
  <c r="G1103" i="3"/>
  <c r="I478" i="3"/>
  <c r="I474" i="3"/>
  <c r="I470" i="3"/>
  <c r="I466" i="3"/>
  <c r="I462" i="3"/>
  <c r="I458" i="3"/>
  <c r="I454" i="3"/>
  <c r="I528" i="3"/>
  <c r="I524" i="3"/>
  <c r="I520" i="3"/>
  <c r="I516" i="3"/>
  <c r="I512" i="3"/>
  <c r="I508" i="3"/>
  <c r="I504" i="3"/>
  <c r="I578" i="3"/>
  <c r="I574" i="3"/>
  <c r="I570" i="3"/>
  <c r="I566" i="3"/>
  <c r="I562" i="3"/>
  <c r="I558" i="3"/>
  <c r="I554" i="3"/>
  <c r="I625" i="3"/>
  <c r="I621" i="3"/>
  <c r="I617" i="3"/>
  <c r="I613" i="3"/>
  <c r="I609" i="3"/>
  <c r="I605" i="3"/>
  <c r="I675" i="3"/>
  <c r="I671" i="3"/>
  <c r="I667" i="3"/>
  <c r="I663" i="3"/>
  <c r="I659" i="3"/>
  <c r="I655" i="3"/>
  <c r="I775" i="3"/>
  <c r="I771" i="3"/>
  <c r="I767" i="3"/>
  <c r="I763" i="3"/>
  <c r="I759" i="3"/>
  <c r="I755" i="3"/>
  <c r="I825" i="3"/>
  <c r="I821" i="3"/>
  <c r="I817" i="3"/>
  <c r="I813" i="3"/>
  <c r="I809" i="3"/>
  <c r="I805" i="3"/>
  <c r="I875" i="3"/>
  <c r="I871" i="3"/>
  <c r="I867" i="3"/>
  <c r="I863" i="3"/>
  <c r="I859" i="3"/>
  <c r="I855" i="3"/>
  <c r="I925" i="3"/>
  <c r="I921" i="3"/>
  <c r="I917" i="3"/>
  <c r="I913" i="3"/>
  <c r="I909" i="3"/>
  <c r="I905" i="3"/>
  <c r="I1125" i="3"/>
  <c r="I1121" i="3"/>
  <c r="I1117" i="3"/>
  <c r="I1113" i="3"/>
  <c r="I1109" i="3"/>
  <c r="I1105" i="3"/>
  <c r="E1128" i="3"/>
  <c r="E1124" i="3"/>
  <c r="E1120" i="3"/>
  <c r="E1116" i="3"/>
  <c r="E1112" i="3"/>
  <c r="E1108" i="3"/>
  <c r="E1104" i="3"/>
  <c r="G1128" i="3"/>
  <c r="G1124" i="3"/>
  <c r="G1120" i="3"/>
  <c r="G1116" i="3"/>
  <c r="G1112" i="3"/>
  <c r="G1108" i="3"/>
  <c r="G1104" i="3"/>
  <c r="C1125" i="3"/>
  <c r="C1121" i="3"/>
  <c r="C1117" i="3"/>
  <c r="C1113" i="3"/>
  <c r="C1109" i="3"/>
  <c r="C1105" i="3"/>
  <c r="I1076" i="3"/>
  <c r="I1072" i="3"/>
  <c r="I1068" i="3"/>
  <c r="I1064" i="3"/>
  <c r="I1060" i="3"/>
  <c r="I1056" i="3"/>
  <c r="I1052" i="3"/>
  <c r="I1075" i="3"/>
  <c r="I1071" i="3"/>
  <c r="I1067" i="3"/>
  <c r="I1063" i="3"/>
  <c r="I1059" i="3"/>
  <c r="I1055" i="3"/>
  <c r="I1051" i="3"/>
  <c r="I1078" i="3"/>
  <c r="I1074" i="3"/>
  <c r="I1070" i="3"/>
  <c r="I1066" i="3"/>
  <c r="I1062" i="3"/>
  <c r="I1058" i="3"/>
  <c r="I1054" i="3"/>
  <c r="E1078" i="3"/>
  <c r="E1074" i="3"/>
  <c r="E1070" i="3"/>
  <c r="E1066" i="3"/>
  <c r="E1062" i="3"/>
  <c r="E1058" i="3"/>
  <c r="E1054" i="3"/>
  <c r="G1078" i="3"/>
  <c r="G1074" i="3"/>
  <c r="G1070" i="3"/>
  <c r="G1066" i="3"/>
  <c r="G1062" i="3"/>
  <c r="G1058" i="3"/>
  <c r="G1054" i="3"/>
  <c r="C1078" i="3"/>
  <c r="C1074" i="3"/>
  <c r="C1070" i="3"/>
  <c r="C1066" i="3"/>
  <c r="C1062" i="3"/>
  <c r="C1058" i="3"/>
  <c r="C1054" i="3"/>
  <c r="E1025" i="3"/>
  <c r="E1021" i="3"/>
  <c r="E1017" i="3"/>
  <c r="E1013" i="3"/>
  <c r="E1009" i="3"/>
  <c r="E1005" i="3"/>
  <c r="G1025" i="3"/>
  <c r="G1021" i="3"/>
  <c r="G1017" i="3"/>
  <c r="G1013" i="3"/>
  <c r="G1009" i="3"/>
  <c r="G1005" i="3"/>
  <c r="C1028" i="3"/>
  <c r="C1024" i="3"/>
  <c r="C1020" i="3"/>
  <c r="C1016" i="3"/>
  <c r="C1012" i="3"/>
  <c r="C1008" i="3"/>
  <c r="C1004" i="3"/>
  <c r="E977" i="3"/>
  <c r="E976" i="3"/>
  <c r="E972" i="3"/>
  <c r="E968" i="3"/>
  <c r="E964" i="3"/>
  <c r="E960" i="3"/>
  <c r="E956" i="3"/>
  <c r="E952" i="3"/>
  <c r="E975" i="3"/>
  <c r="E971" i="3"/>
  <c r="E967" i="3"/>
  <c r="E963" i="3"/>
  <c r="E959" i="3"/>
  <c r="E955" i="3"/>
  <c r="G975" i="3"/>
  <c r="G971" i="3"/>
  <c r="G967" i="3"/>
  <c r="G963" i="3"/>
  <c r="G959" i="3"/>
  <c r="G955" i="3"/>
  <c r="C975" i="3"/>
  <c r="C971" i="3"/>
  <c r="C967" i="3"/>
  <c r="C963" i="3"/>
  <c r="C959" i="3"/>
  <c r="C955" i="3"/>
  <c r="G926" i="3"/>
  <c r="G922" i="3"/>
  <c r="G918" i="3"/>
  <c r="G914" i="3"/>
  <c r="G910" i="3"/>
  <c r="G906" i="3"/>
  <c r="G902" i="3"/>
  <c r="G925" i="3"/>
  <c r="G921" i="3"/>
  <c r="G917" i="3"/>
  <c r="G913" i="3"/>
  <c r="G909" i="3"/>
  <c r="G905" i="3"/>
  <c r="C928" i="3"/>
  <c r="C924" i="3"/>
  <c r="C920" i="3"/>
  <c r="C916" i="3"/>
  <c r="C912" i="3"/>
  <c r="C908" i="3"/>
  <c r="C904" i="3"/>
  <c r="C927" i="3"/>
  <c r="C923" i="3"/>
  <c r="C919" i="3"/>
  <c r="C915" i="3"/>
  <c r="C911" i="3"/>
  <c r="C907" i="3"/>
  <c r="C903" i="3"/>
  <c r="C926" i="3"/>
  <c r="C922" i="3"/>
  <c r="C918" i="3"/>
  <c r="C914" i="3"/>
  <c r="C910" i="3"/>
  <c r="C906" i="3"/>
  <c r="C902" i="3"/>
  <c r="C925" i="3"/>
  <c r="C921" i="3"/>
  <c r="C917" i="3"/>
  <c r="C913" i="3"/>
  <c r="C909" i="3"/>
  <c r="C905" i="3"/>
  <c r="E876" i="3"/>
  <c r="E872" i="3"/>
  <c r="E868" i="3"/>
  <c r="E864" i="3"/>
  <c r="E860" i="3"/>
  <c r="E856" i="3"/>
  <c r="E852" i="3"/>
  <c r="E875" i="3"/>
  <c r="E871" i="3"/>
  <c r="E867" i="3"/>
  <c r="E863" i="3"/>
  <c r="E859" i="3"/>
  <c r="E855" i="3"/>
  <c r="G877" i="3"/>
  <c r="G873" i="3"/>
  <c r="G869" i="3"/>
  <c r="G865" i="3"/>
  <c r="G861" i="3"/>
  <c r="G857" i="3"/>
  <c r="G853" i="3"/>
  <c r="G876" i="3"/>
  <c r="G872" i="3"/>
  <c r="G868" i="3"/>
  <c r="G864" i="3"/>
  <c r="G860" i="3"/>
  <c r="G856" i="3"/>
  <c r="G852" i="3"/>
  <c r="G875" i="3"/>
  <c r="G871" i="3"/>
  <c r="G867" i="3"/>
  <c r="G863" i="3"/>
  <c r="G859" i="3"/>
  <c r="G855" i="3"/>
  <c r="C876" i="3"/>
  <c r="C872" i="3"/>
  <c r="C868" i="3"/>
  <c r="C864" i="3"/>
  <c r="C860" i="3"/>
  <c r="C856" i="3"/>
  <c r="C852" i="3"/>
  <c r="C877" i="3"/>
  <c r="C873" i="3"/>
  <c r="C869" i="3"/>
  <c r="C865" i="3"/>
  <c r="C861" i="3"/>
  <c r="C857" i="3"/>
  <c r="C853" i="3"/>
  <c r="C875" i="3"/>
  <c r="C871" i="3"/>
  <c r="C867" i="3"/>
  <c r="C863" i="3"/>
  <c r="C859" i="3"/>
  <c r="C855" i="3"/>
  <c r="C851" i="3"/>
  <c r="C878" i="3"/>
  <c r="C874" i="3"/>
  <c r="C870" i="3"/>
  <c r="C866" i="3"/>
  <c r="C862" i="3"/>
  <c r="C858" i="3"/>
  <c r="C854" i="3"/>
  <c r="E828" i="3"/>
  <c r="E824" i="3"/>
  <c r="E820" i="3"/>
  <c r="E816" i="3"/>
  <c r="E812" i="3"/>
  <c r="E808" i="3"/>
  <c r="E804" i="3"/>
  <c r="E800" i="3"/>
  <c r="E827" i="3"/>
  <c r="E823" i="3"/>
  <c r="E819" i="3"/>
  <c r="E815" i="3"/>
  <c r="E811" i="3"/>
  <c r="E807" i="3"/>
  <c r="E803" i="3"/>
  <c r="E826" i="3"/>
  <c r="E822" i="3"/>
  <c r="E818" i="3"/>
  <c r="E814" i="3"/>
  <c r="E810" i="3"/>
  <c r="E806" i="3"/>
  <c r="E802" i="3"/>
  <c r="E825" i="3"/>
  <c r="E821" i="3"/>
  <c r="E817" i="3"/>
  <c r="E813" i="3"/>
  <c r="E809" i="3"/>
  <c r="E805" i="3"/>
  <c r="G827" i="3"/>
  <c r="G823" i="3"/>
  <c r="G819" i="3"/>
  <c r="G815" i="3"/>
  <c r="G811" i="3"/>
  <c r="G807" i="3"/>
  <c r="G803" i="3"/>
  <c r="G826" i="3"/>
  <c r="G822" i="3"/>
  <c r="G818" i="3"/>
  <c r="G814" i="3"/>
  <c r="G810" i="3"/>
  <c r="G806" i="3"/>
  <c r="G802" i="3"/>
  <c r="G825" i="3"/>
  <c r="G821" i="3"/>
  <c r="G817" i="3"/>
  <c r="G813" i="3"/>
  <c r="G809" i="3"/>
  <c r="G805" i="3"/>
  <c r="C827" i="3"/>
  <c r="C823" i="3"/>
  <c r="C819" i="3"/>
  <c r="C815" i="3"/>
  <c r="C811" i="3"/>
  <c r="C807" i="3"/>
  <c r="C803" i="3"/>
  <c r="C826" i="3"/>
  <c r="C822" i="3"/>
  <c r="C818" i="3"/>
  <c r="C814" i="3"/>
  <c r="C810" i="3"/>
  <c r="C806" i="3"/>
  <c r="C802" i="3"/>
  <c r="C825" i="3"/>
  <c r="C821" i="3"/>
  <c r="C817" i="3"/>
  <c r="C813" i="3"/>
  <c r="C809" i="3"/>
  <c r="C805" i="3"/>
  <c r="C801" i="3"/>
  <c r="C828" i="3"/>
  <c r="C824" i="3"/>
  <c r="C820" i="3"/>
  <c r="C816" i="3"/>
  <c r="C812" i="3"/>
  <c r="C808" i="3"/>
  <c r="C804" i="3"/>
  <c r="E778" i="3"/>
  <c r="E774" i="3"/>
  <c r="E770" i="3"/>
  <c r="E766" i="3"/>
  <c r="E762" i="3"/>
  <c r="E758" i="3"/>
  <c r="E754" i="3"/>
  <c r="E750" i="3"/>
  <c r="E777" i="3"/>
  <c r="E773" i="3"/>
  <c r="E769" i="3"/>
  <c r="E765" i="3"/>
  <c r="E761" i="3"/>
  <c r="E757" i="3"/>
  <c r="E753" i="3"/>
  <c r="E776" i="3"/>
  <c r="E772" i="3"/>
  <c r="E768" i="3"/>
  <c r="E764" i="3"/>
  <c r="E760" i="3"/>
  <c r="E756" i="3"/>
  <c r="E752" i="3"/>
  <c r="E775" i="3"/>
  <c r="E771" i="3"/>
  <c r="E767" i="3"/>
  <c r="E763" i="3"/>
  <c r="E759" i="3"/>
  <c r="E755" i="3"/>
  <c r="C777" i="3"/>
  <c r="C773" i="3"/>
  <c r="C769" i="3"/>
  <c r="C765" i="3"/>
  <c r="C761" i="3"/>
  <c r="C757" i="3"/>
  <c r="C753" i="3"/>
  <c r="C776" i="3"/>
  <c r="C772" i="3"/>
  <c r="C768" i="3"/>
  <c r="C764" i="3"/>
  <c r="C760" i="3"/>
  <c r="C756" i="3"/>
  <c r="C752" i="3"/>
  <c r="C775" i="3"/>
  <c r="C771" i="3"/>
  <c r="C767" i="3"/>
  <c r="C763" i="3"/>
  <c r="C759" i="3"/>
  <c r="C755" i="3"/>
  <c r="C751" i="3"/>
  <c r="C778" i="3"/>
  <c r="C774" i="3"/>
  <c r="C770" i="3"/>
  <c r="C766" i="3"/>
  <c r="C762" i="3"/>
  <c r="C758" i="3"/>
  <c r="C754" i="3"/>
  <c r="G728" i="3"/>
  <c r="G724" i="3"/>
  <c r="G720" i="3"/>
  <c r="G716" i="3"/>
  <c r="G712" i="3"/>
  <c r="G708" i="3"/>
  <c r="G704" i="3"/>
  <c r="G700" i="3"/>
  <c r="G727" i="3"/>
  <c r="G723" i="3"/>
  <c r="G719" i="3"/>
  <c r="G715" i="3"/>
  <c r="G711" i="3"/>
  <c r="G707" i="3"/>
  <c r="G703" i="3"/>
  <c r="G726" i="3"/>
  <c r="G722" i="3"/>
  <c r="G718" i="3"/>
  <c r="G714" i="3"/>
  <c r="G710" i="3"/>
  <c r="G706" i="3"/>
  <c r="G702" i="3"/>
  <c r="G725" i="3"/>
  <c r="G721" i="3"/>
  <c r="G717" i="3"/>
  <c r="G713" i="3"/>
  <c r="G709" i="3"/>
  <c r="G705" i="3"/>
  <c r="E677" i="3"/>
  <c r="E673" i="3"/>
  <c r="E669" i="3"/>
  <c r="E665" i="3"/>
  <c r="E661" i="3"/>
  <c r="E657" i="3"/>
  <c r="E653" i="3"/>
  <c r="E676" i="3"/>
  <c r="E672" i="3"/>
  <c r="E668" i="3"/>
  <c r="E664" i="3"/>
  <c r="E660" i="3"/>
  <c r="E656" i="3"/>
  <c r="E652" i="3"/>
  <c r="E675" i="3"/>
  <c r="E671" i="3"/>
  <c r="E667" i="3"/>
  <c r="E663" i="3"/>
  <c r="E659" i="3"/>
  <c r="E655" i="3"/>
  <c r="E651" i="3"/>
  <c r="E678" i="3"/>
  <c r="E674" i="3"/>
  <c r="E670" i="3"/>
  <c r="E666" i="3"/>
  <c r="E662" i="3"/>
  <c r="E658" i="3"/>
  <c r="E654" i="3"/>
  <c r="G678" i="3"/>
  <c r="G674" i="3"/>
  <c r="G670" i="3"/>
  <c r="G666" i="3"/>
  <c r="G662" i="3"/>
  <c r="G658" i="3"/>
  <c r="G654" i="3"/>
  <c r="G650" i="3"/>
  <c r="G677" i="3"/>
  <c r="G673" i="3"/>
  <c r="G669" i="3"/>
  <c r="G665" i="3"/>
  <c r="G661" i="3"/>
  <c r="G657" i="3"/>
  <c r="G653" i="3"/>
  <c r="G676" i="3"/>
  <c r="G672" i="3"/>
  <c r="G668" i="3"/>
  <c r="G664" i="3"/>
  <c r="G660" i="3"/>
  <c r="G656" i="3"/>
  <c r="G652" i="3"/>
  <c r="G675" i="3"/>
  <c r="G671" i="3"/>
  <c r="G667" i="3"/>
  <c r="G663" i="3"/>
  <c r="G659" i="3"/>
  <c r="G655" i="3"/>
  <c r="C676" i="3"/>
  <c r="C672" i="3"/>
  <c r="C668" i="3"/>
  <c r="C664" i="3"/>
  <c r="C660" i="3"/>
  <c r="C656" i="3"/>
  <c r="C652" i="3"/>
  <c r="C675" i="3"/>
  <c r="C671" i="3"/>
  <c r="C667" i="3"/>
  <c r="C663" i="3"/>
  <c r="C659" i="3"/>
  <c r="C655" i="3"/>
  <c r="C651" i="3"/>
  <c r="C678" i="3"/>
  <c r="C674" i="3"/>
  <c r="C670" i="3"/>
  <c r="C666" i="3"/>
  <c r="C662" i="3"/>
  <c r="C658" i="3"/>
  <c r="C654" i="3"/>
  <c r="E627" i="3"/>
  <c r="E623" i="3"/>
  <c r="E619" i="3"/>
  <c r="E615" i="3"/>
  <c r="E611" i="3"/>
  <c r="E607" i="3"/>
  <c r="E603" i="3"/>
  <c r="E626" i="3"/>
  <c r="E622" i="3"/>
  <c r="E618" i="3"/>
  <c r="E614" i="3"/>
  <c r="E610" i="3"/>
  <c r="E606" i="3"/>
  <c r="E602" i="3"/>
  <c r="E625" i="3"/>
  <c r="E621" i="3"/>
  <c r="E617" i="3"/>
  <c r="E613" i="3"/>
  <c r="E609" i="3"/>
  <c r="E605" i="3"/>
  <c r="E601" i="3"/>
  <c r="E628" i="3"/>
  <c r="E624" i="3"/>
  <c r="E620" i="3"/>
  <c r="E616" i="3"/>
  <c r="E612" i="3"/>
  <c r="E608" i="3"/>
  <c r="E604" i="3"/>
  <c r="G628" i="3"/>
  <c r="G624" i="3"/>
  <c r="G620" i="3"/>
  <c r="G616" i="3"/>
  <c r="G612" i="3"/>
  <c r="G608" i="3"/>
  <c r="G604" i="3"/>
  <c r="G600" i="3"/>
  <c r="G627" i="3"/>
  <c r="G623" i="3"/>
  <c r="G619" i="3"/>
  <c r="G615" i="3"/>
  <c r="G611" i="3"/>
  <c r="G607" i="3"/>
  <c r="G603" i="3"/>
  <c r="G626" i="3"/>
  <c r="G622" i="3"/>
  <c r="G618" i="3"/>
  <c r="G614" i="3"/>
  <c r="G610" i="3"/>
  <c r="G606" i="3"/>
  <c r="G602" i="3"/>
  <c r="G625" i="3"/>
  <c r="G621" i="3"/>
  <c r="G617" i="3"/>
  <c r="G613" i="3"/>
  <c r="G609" i="3"/>
  <c r="G605" i="3"/>
  <c r="C626" i="3"/>
  <c r="C622" i="3"/>
  <c r="C618" i="3"/>
  <c r="C614" i="3"/>
  <c r="C610" i="3"/>
  <c r="C606" i="3"/>
  <c r="C602" i="3"/>
  <c r="C628" i="3"/>
  <c r="C624" i="3"/>
  <c r="C620" i="3"/>
  <c r="C616" i="3"/>
  <c r="C612" i="3"/>
  <c r="C608" i="3"/>
  <c r="C604" i="3"/>
  <c r="C600" i="3"/>
  <c r="C627" i="3"/>
  <c r="C623" i="3"/>
  <c r="C619" i="3"/>
  <c r="C615" i="3"/>
  <c r="C611" i="3"/>
  <c r="C607" i="3"/>
  <c r="C603" i="3"/>
  <c r="C625" i="3"/>
  <c r="C621" i="3"/>
  <c r="C617" i="3"/>
  <c r="C613" i="3"/>
  <c r="C609" i="3"/>
  <c r="C605" i="3"/>
  <c r="E578" i="3"/>
  <c r="E574" i="3"/>
  <c r="E570" i="3"/>
  <c r="E566" i="3"/>
  <c r="E562" i="3"/>
  <c r="E558" i="3"/>
  <c r="E554" i="3"/>
  <c r="E550" i="3"/>
  <c r="E577" i="3"/>
  <c r="E573" i="3"/>
  <c r="E569" i="3"/>
  <c r="E565" i="3"/>
  <c r="E561" i="3"/>
  <c r="E557" i="3"/>
  <c r="E553" i="3"/>
  <c r="E576" i="3"/>
  <c r="E572" i="3"/>
  <c r="E568" i="3"/>
  <c r="E564" i="3"/>
  <c r="E560" i="3"/>
  <c r="E556" i="3"/>
  <c r="E552" i="3"/>
  <c r="E575" i="3"/>
  <c r="E571" i="3"/>
  <c r="E567" i="3"/>
  <c r="E563" i="3"/>
  <c r="E559" i="3"/>
  <c r="E555" i="3"/>
  <c r="G578" i="3"/>
  <c r="G574" i="3"/>
  <c r="G570" i="3"/>
  <c r="G566" i="3"/>
  <c r="G562" i="3"/>
  <c r="G558" i="3"/>
  <c r="G554" i="3"/>
  <c r="G550" i="3"/>
  <c r="G577" i="3"/>
  <c r="G573" i="3"/>
  <c r="G569" i="3"/>
  <c r="G565" i="3"/>
  <c r="G561" i="3"/>
  <c r="G557" i="3"/>
  <c r="G553" i="3"/>
  <c r="G576" i="3"/>
  <c r="G572" i="3"/>
  <c r="G568" i="3"/>
  <c r="G564" i="3"/>
  <c r="G560" i="3"/>
  <c r="G556" i="3"/>
  <c r="G552" i="3"/>
  <c r="G575" i="3"/>
  <c r="G571" i="3"/>
  <c r="G567" i="3"/>
  <c r="G563" i="3"/>
  <c r="G559" i="3"/>
  <c r="G555" i="3"/>
  <c r="C578" i="3"/>
  <c r="C574" i="3"/>
  <c r="C570" i="3"/>
  <c r="C566" i="3"/>
  <c r="C562" i="3"/>
  <c r="C558" i="3"/>
  <c r="C554" i="3"/>
  <c r="C550" i="3"/>
  <c r="C577" i="3"/>
  <c r="C573" i="3"/>
  <c r="C569" i="3"/>
  <c r="C565" i="3"/>
  <c r="C561" i="3"/>
  <c r="C557" i="3"/>
  <c r="C553" i="3"/>
  <c r="C576" i="3"/>
  <c r="C572" i="3"/>
  <c r="C568" i="3"/>
  <c r="C564" i="3"/>
  <c r="C560" i="3"/>
  <c r="C556" i="3"/>
  <c r="C552" i="3"/>
  <c r="C575" i="3"/>
  <c r="C571" i="3"/>
  <c r="C567" i="3"/>
  <c r="C563" i="3"/>
  <c r="C559" i="3"/>
  <c r="C555" i="3"/>
  <c r="E528" i="3"/>
  <c r="E524" i="3"/>
  <c r="E520" i="3"/>
  <c r="E516" i="3"/>
  <c r="E512" i="3"/>
  <c r="E508" i="3"/>
  <c r="E504" i="3"/>
  <c r="E500" i="3"/>
  <c r="E527" i="3"/>
  <c r="E523" i="3"/>
  <c r="E519" i="3"/>
  <c r="E515" i="3"/>
  <c r="E511" i="3"/>
  <c r="E507" i="3"/>
  <c r="E503" i="3"/>
  <c r="E526" i="3"/>
  <c r="E522" i="3"/>
  <c r="E518" i="3"/>
  <c r="E514" i="3"/>
  <c r="E510" i="3"/>
  <c r="E506" i="3"/>
  <c r="E502" i="3"/>
  <c r="E525" i="3"/>
  <c r="E521" i="3"/>
  <c r="E517" i="3"/>
  <c r="E513" i="3"/>
  <c r="E509" i="3"/>
  <c r="E505" i="3"/>
  <c r="C528" i="3"/>
  <c r="C524" i="3"/>
  <c r="C520" i="3"/>
  <c r="C516" i="3"/>
  <c r="C512" i="3"/>
  <c r="C508" i="3"/>
  <c r="C504" i="3"/>
  <c r="C500" i="3"/>
  <c r="C527" i="3"/>
  <c r="C523" i="3"/>
  <c r="C519" i="3"/>
  <c r="C515" i="3"/>
  <c r="C511" i="3"/>
  <c r="C507" i="3"/>
  <c r="C503" i="3"/>
  <c r="C526" i="3"/>
  <c r="C522" i="3"/>
  <c r="C518" i="3"/>
  <c r="C514" i="3"/>
  <c r="C510" i="3"/>
  <c r="C506" i="3"/>
  <c r="C502" i="3"/>
  <c r="C525" i="3"/>
  <c r="C521" i="3"/>
  <c r="C517" i="3"/>
  <c r="C513" i="3"/>
  <c r="C509" i="3"/>
  <c r="C505" i="3"/>
  <c r="E478" i="3"/>
  <c r="E474" i="3"/>
  <c r="E470" i="3"/>
  <c r="E466" i="3"/>
  <c r="E462" i="3"/>
  <c r="E458" i="3"/>
  <c r="E454" i="3"/>
  <c r="E450" i="3"/>
  <c r="E477" i="3"/>
  <c r="E473" i="3"/>
  <c r="E469" i="3"/>
  <c r="E465" i="3"/>
  <c r="E461" i="3"/>
  <c r="E457" i="3"/>
  <c r="E453" i="3"/>
  <c r="E476" i="3"/>
  <c r="E472" i="3"/>
  <c r="E468" i="3"/>
  <c r="E464" i="3"/>
  <c r="E460" i="3"/>
  <c r="E456" i="3"/>
  <c r="E452" i="3"/>
  <c r="E475" i="3"/>
  <c r="E471" i="3"/>
  <c r="E467" i="3"/>
  <c r="E463" i="3"/>
  <c r="E459" i="3"/>
  <c r="E455" i="3"/>
  <c r="E427" i="3"/>
  <c r="E423" i="3"/>
  <c r="E419" i="3"/>
  <c r="E415" i="3"/>
  <c r="E411" i="3"/>
  <c r="E407" i="3"/>
  <c r="E403" i="3"/>
  <c r="E426" i="3"/>
  <c r="E422" i="3"/>
  <c r="E418" i="3"/>
  <c r="E414" i="3"/>
  <c r="E410" i="3"/>
  <c r="E406" i="3"/>
  <c r="E402" i="3"/>
  <c r="E425" i="3"/>
  <c r="E421" i="3"/>
  <c r="E417" i="3"/>
  <c r="E413" i="3"/>
  <c r="E409" i="3"/>
  <c r="E405" i="3"/>
  <c r="E401" i="3"/>
  <c r="E428" i="3"/>
  <c r="E424" i="3"/>
  <c r="E420" i="3"/>
  <c r="E416" i="3"/>
  <c r="E412" i="3"/>
  <c r="E408" i="3"/>
  <c r="E404" i="3"/>
  <c r="E377" i="3"/>
  <c r="E373" i="3"/>
  <c r="E369" i="3"/>
  <c r="E365" i="3"/>
  <c r="E361" i="3"/>
  <c r="E357" i="3"/>
  <c r="E353" i="3"/>
  <c r="E376" i="3"/>
  <c r="E372" i="3"/>
  <c r="E368" i="3"/>
  <c r="E364" i="3"/>
  <c r="E360" i="3"/>
  <c r="E356" i="3"/>
  <c r="E352" i="3"/>
  <c r="E375" i="3"/>
  <c r="E371" i="3"/>
  <c r="E367" i="3"/>
  <c r="E363" i="3"/>
  <c r="E359" i="3"/>
  <c r="E355" i="3"/>
  <c r="E351" i="3"/>
  <c r="E378" i="3"/>
  <c r="E374" i="3"/>
  <c r="E370" i="3"/>
  <c r="E366" i="3"/>
  <c r="E362" i="3"/>
  <c r="E358" i="3"/>
  <c r="E354" i="3"/>
  <c r="C376" i="3"/>
  <c r="C372" i="3"/>
  <c r="C368" i="3"/>
  <c r="C364" i="3"/>
  <c r="C360" i="3"/>
  <c r="C356" i="3"/>
  <c r="C352" i="3"/>
  <c r="C375" i="3"/>
  <c r="C371" i="3"/>
  <c r="C367" i="3"/>
  <c r="C363" i="3"/>
  <c r="C359" i="3"/>
  <c r="C355" i="3"/>
  <c r="C351" i="3"/>
  <c r="C378" i="3"/>
  <c r="C374" i="3"/>
  <c r="C370" i="3"/>
  <c r="C366" i="3"/>
  <c r="C362" i="3"/>
  <c r="C358" i="3"/>
  <c r="C354" i="3"/>
  <c r="E328" i="3"/>
  <c r="E324" i="3"/>
  <c r="E320" i="3"/>
  <c r="E316" i="3"/>
  <c r="E312" i="3"/>
  <c r="E308" i="3"/>
  <c r="E304" i="3"/>
  <c r="E300" i="3"/>
  <c r="E327" i="3"/>
  <c r="E323" i="3"/>
  <c r="E319" i="3"/>
  <c r="E315" i="3"/>
  <c r="E311" i="3"/>
  <c r="E307" i="3"/>
  <c r="E303" i="3"/>
  <c r="E326" i="3"/>
  <c r="E322" i="3"/>
  <c r="E318" i="3"/>
  <c r="E314" i="3"/>
  <c r="E310" i="3"/>
  <c r="E306" i="3"/>
  <c r="E302" i="3"/>
  <c r="E325" i="3"/>
  <c r="E321" i="3"/>
  <c r="E317" i="3"/>
  <c r="E313" i="3"/>
  <c r="E309" i="3"/>
  <c r="E305" i="3"/>
  <c r="E276" i="3"/>
  <c r="E272" i="3"/>
  <c r="E268" i="3"/>
  <c r="E264" i="3"/>
  <c r="E260" i="3"/>
  <c r="E256" i="3"/>
  <c r="E252" i="3"/>
  <c r="E275" i="3"/>
  <c r="E271" i="3"/>
  <c r="E267" i="3"/>
  <c r="E263" i="3"/>
  <c r="E259" i="3"/>
  <c r="E255" i="3"/>
  <c r="E251" i="3"/>
  <c r="E278" i="3"/>
  <c r="E274" i="3"/>
  <c r="E270" i="3"/>
  <c r="E266" i="3"/>
  <c r="E262" i="3"/>
  <c r="E258" i="3"/>
  <c r="E254" i="3"/>
  <c r="E250" i="3"/>
  <c r="E277" i="3"/>
  <c r="E273" i="3"/>
  <c r="E269" i="3"/>
  <c r="E265" i="3"/>
  <c r="E261" i="3"/>
  <c r="E257" i="3"/>
  <c r="G1079" i="3" l="1"/>
  <c r="E429" i="3"/>
  <c r="I1079" i="3"/>
  <c r="C879" i="3"/>
  <c r="E1079" i="3"/>
  <c r="G929" i="3"/>
  <c r="G979" i="3"/>
  <c r="E279" i="3"/>
  <c r="C1129" i="3"/>
  <c r="C929" i="3"/>
  <c r="E1129" i="3"/>
  <c r="E879" i="3"/>
  <c r="G879" i="3"/>
  <c r="C979" i="3"/>
  <c r="I879" i="3"/>
  <c r="I1129" i="3"/>
  <c r="E979" i="3"/>
  <c r="I979" i="3"/>
  <c r="C1079" i="3"/>
  <c r="I929" i="3"/>
  <c r="G1129" i="3"/>
  <c r="E929" i="3"/>
  <c r="C1229" i="3"/>
  <c r="D1224" i="3" s="1"/>
  <c r="J1229" i="3"/>
  <c r="H1229" i="3"/>
  <c r="H1279" i="3"/>
  <c r="E329" i="3"/>
  <c r="J1279" i="3"/>
  <c r="D1266" i="3"/>
  <c r="D1263" i="3"/>
  <c r="D1260" i="3"/>
  <c r="D1250" i="3"/>
  <c r="D1277" i="3"/>
  <c r="D1267" i="3"/>
  <c r="D1265" i="3"/>
  <c r="D1269" i="3"/>
  <c r="D1259" i="3"/>
  <c r="D1255" i="3"/>
  <c r="D1276" i="3"/>
  <c r="D1251" i="3"/>
  <c r="D1258" i="3"/>
  <c r="D1270" i="3"/>
  <c r="D1271" i="3"/>
  <c r="D1262" i="3"/>
  <c r="D1278" i="3"/>
  <c r="D1268" i="3"/>
  <c r="D1253" i="3"/>
  <c r="D1252" i="3"/>
  <c r="D1264" i="3"/>
  <c r="D1273" i="3"/>
  <c r="D1254" i="3"/>
  <c r="D1257" i="3"/>
  <c r="D1261" i="3"/>
  <c r="D1275" i="3"/>
  <c r="D1272" i="3"/>
  <c r="D1274" i="3"/>
  <c r="I829" i="3"/>
  <c r="E1029" i="3"/>
  <c r="E679" i="3"/>
  <c r="E629" i="3"/>
  <c r="I379" i="3"/>
  <c r="I629" i="3"/>
  <c r="I479" i="3"/>
  <c r="E479" i="3"/>
  <c r="E529" i="3"/>
  <c r="E579" i="3"/>
  <c r="I529" i="3"/>
  <c r="E379" i="3"/>
  <c r="I779" i="3"/>
  <c r="I679" i="3"/>
  <c r="I579" i="3"/>
  <c r="G779" i="3"/>
  <c r="C729" i="3"/>
  <c r="C529" i="3"/>
  <c r="C579" i="3"/>
  <c r="G579" i="3"/>
  <c r="G629" i="3"/>
  <c r="C829" i="3"/>
  <c r="G829" i="3"/>
  <c r="C679" i="3"/>
  <c r="C629" i="3"/>
  <c r="G679" i="3"/>
  <c r="C779" i="3"/>
  <c r="C1029" i="3"/>
  <c r="C379" i="3"/>
  <c r="G1029" i="3"/>
  <c r="E829" i="3"/>
  <c r="E779" i="3"/>
  <c r="G729" i="3"/>
  <c r="CQ61" i="5"/>
  <c r="CV59" i="5"/>
  <c r="CQ59" i="5"/>
  <c r="CP44" i="5"/>
  <c r="CQ44" i="5"/>
  <c r="CV43" i="5"/>
  <c r="CQ43" i="5"/>
  <c r="BU66" i="1"/>
  <c r="BZ66" i="1"/>
  <c r="BZ55" i="1"/>
  <c r="BY55" i="1"/>
  <c r="BU55" i="1"/>
  <c r="BT55" i="1"/>
  <c r="BZ54" i="1"/>
  <c r="BU54" i="1"/>
  <c r="BT54" i="1"/>
  <c r="BZ47" i="1"/>
  <c r="BU47" i="1"/>
  <c r="BU46" i="1"/>
  <c r="BT46" i="1"/>
  <c r="BU28" i="1"/>
  <c r="BZ28" i="1"/>
  <c r="BY28" i="1"/>
  <c r="DL28" i="1"/>
  <c r="DK28" i="1"/>
  <c r="BT22" i="1"/>
  <c r="DL19" i="1"/>
  <c r="BZ89" i="1" l="1"/>
  <c r="C450" i="3" a="1"/>
  <c r="C458" i="3" s="1"/>
  <c r="DK89" i="1"/>
  <c r="G450" i="3" a="1"/>
  <c r="G461" i="3" s="1"/>
  <c r="G250" i="3" a="1"/>
  <c r="G253" i="3" s="1"/>
  <c r="D1279" i="3"/>
  <c r="D1212" i="3"/>
  <c r="D1201" i="3"/>
  <c r="D1209" i="3"/>
  <c r="D1208" i="3"/>
  <c r="D1207" i="3"/>
  <c r="D1211" i="3"/>
  <c r="D1215" i="3"/>
  <c r="D1219" i="3"/>
  <c r="D1218" i="3"/>
  <c r="D1203" i="3"/>
  <c r="D1202" i="3"/>
  <c r="D1220" i="3"/>
  <c r="D1221" i="3"/>
  <c r="D1205" i="3"/>
  <c r="D1216" i="3"/>
  <c r="D1227" i="3"/>
  <c r="D1214" i="3"/>
  <c r="D1223" i="3"/>
  <c r="D1204" i="3"/>
  <c r="D1228" i="3"/>
  <c r="D1226" i="3"/>
  <c r="D1206" i="3"/>
  <c r="D1210" i="3"/>
  <c r="D1217" i="3"/>
  <c r="D1200" i="3"/>
  <c r="D1213" i="3"/>
  <c r="D1225" i="3"/>
  <c r="D1222" i="3"/>
  <c r="J1100" i="3"/>
  <c r="F1100" i="3"/>
  <c r="D1107" i="3"/>
  <c r="H1076" i="3"/>
  <c r="H1072" i="3"/>
  <c r="H1050" i="3"/>
  <c r="H1068" i="3"/>
  <c r="H1064" i="3"/>
  <c r="H1060" i="3"/>
  <c r="H1056" i="3"/>
  <c r="H1052" i="3"/>
  <c r="H1066" i="3"/>
  <c r="H1058" i="3"/>
  <c r="H1054" i="3"/>
  <c r="H1051" i="3"/>
  <c r="H1077" i="3"/>
  <c r="H1063" i="3"/>
  <c r="H1062" i="3"/>
  <c r="H1067" i="3"/>
  <c r="H1059" i="3"/>
  <c r="H1074" i="3"/>
  <c r="H1078" i="3"/>
  <c r="H1070" i="3"/>
  <c r="H1055" i="3"/>
  <c r="H1075" i="3"/>
  <c r="H1071" i="3"/>
  <c r="H1061" i="3"/>
  <c r="H1073" i="3"/>
  <c r="H1057" i="3"/>
  <c r="F1078" i="3"/>
  <c r="D1059" i="3"/>
  <c r="H1069" i="3"/>
  <c r="H1053" i="3"/>
  <c r="H1065" i="3"/>
  <c r="D1025" i="3"/>
  <c r="D1028" i="3"/>
  <c r="D1004" i="3"/>
  <c r="D1016" i="3"/>
  <c r="D969" i="3"/>
  <c r="H957" i="3"/>
  <c r="J956" i="3"/>
  <c r="F975" i="3"/>
  <c r="H912" i="3"/>
  <c r="H914" i="3"/>
  <c r="H908" i="3"/>
  <c r="H910" i="3"/>
  <c r="H920" i="3"/>
  <c r="H922" i="3"/>
  <c r="H916" i="3"/>
  <c r="H918" i="3"/>
  <c r="H928" i="3"/>
  <c r="H927" i="3"/>
  <c r="H924" i="3"/>
  <c r="H926" i="3"/>
  <c r="H904" i="3"/>
  <c r="H906" i="3"/>
  <c r="H900" i="3"/>
  <c r="H902" i="3"/>
  <c r="H915" i="3"/>
  <c r="H925" i="3"/>
  <c r="H909" i="3"/>
  <c r="H911" i="3"/>
  <c r="H921" i="3"/>
  <c r="H905" i="3"/>
  <c r="F918" i="3"/>
  <c r="H923" i="3"/>
  <c r="H907" i="3"/>
  <c r="H917" i="3"/>
  <c r="H901" i="3"/>
  <c r="J922" i="3"/>
  <c r="H919" i="3"/>
  <c r="H903" i="3"/>
  <c r="H913" i="3"/>
  <c r="H873" i="3"/>
  <c r="D862" i="3"/>
  <c r="J870" i="3"/>
  <c r="H802" i="3"/>
  <c r="H812" i="3"/>
  <c r="H827" i="3"/>
  <c r="H808" i="3"/>
  <c r="H810" i="3"/>
  <c r="H820" i="3"/>
  <c r="H806" i="3"/>
  <c r="H816" i="3"/>
  <c r="H818" i="3"/>
  <c r="H828" i="3"/>
  <c r="H814" i="3"/>
  <c r="H824" i="3"/>
  <c r="H826" i="3"/>
  <c r="H804" i="3"/>
  <c r="H822" i="3"/>
  <c r="H800" i="3"/>
  <c r="H815" i="3"/>
  <c r="H825" i="3"/>
  <c r="H809" i="3"/>
  <c r="D819" i="3"/>
  <c r="J801" i="3"/>
  <c r="F823" i="3"/>
  <c r="F820" i="3"/>
  <c r="F822" i="3"/>
  <c r="J807" i="3"/>
  <c r="J814" i="3"/>
  <c r="J800" i="3"/>
  <c r="J816" i="3"/>
  <c r="H811" i="3"/>
  <c r="H821" i="3"/>
  <c r="H805" i="3"/>
  <c r="J825" i="3"/>
  <c r="F815" i="3"/>
  <c r="F824" i="3"/>
  <c r="F826" i="3"/>
  <c r="J802" i="3"/>
  <c r="J818" i="3"/>
  <c r="J804" i="3"/>
  <c r="J820" i="3"/>
  <c r="H823" i="3"/>
  <c r="H807" i="3"/>
  <c r="L807" i="3" s="1"/>
  <c r="H817" i="3"/>
  <c r="H801" i="3"/>
  <c r="J817" i="3"/>
  <c r="F807" i="3"/>
  <c r="F828" i="3"/>
  <c r="J823" i="3"/>
  <c r="J806" i="3"/>
  <c r="J822" i="3"/>
  <c r="J808" i="3"/>
  <c r="J824" i="3"/>
  <c r="H819" i="3"/>
  <c r="H803" i="3"/>
  <c r="H813" i="3"/>
  <c r="D823" i="3"/>
  <c r="D807" i="3"/>
  <c r="J809" i="3"/>
  <c r="F817" i="3"/>
  <c r="F809" i="3"/>
  <c r="F800" i="3"/>
  <c r="F802" i="3"/>
  <c r="F818" i="3"/>
  <c r="J815" i="3"/>
  <c r="J810" i="3"/>
  <c r="J826" i="3"/>
  <c r="J812" i="3"/>
  <c r="J828" i="3"/>
  <c r="H762" i="3"/>
  <c r="H764" i="3"/>
  <c r="H758" i="3"/>
  <c r="H760" i="3"/>
  <c r="H770" i="3"/>
  <c r="H772" i="3"/>
  <c r="H766" i="3"/>
  <c r="H768" i="3"/>
  <c r="H778" i="3"/>
  <c r="H777" i="3"/>
  <c r="H774" i="3"/>
  <c r="H776" i="3"/>
  <c r="H754" i="3"/>
  <c r="H756" i="3"/>
  <c r="H750" i="3"/>
  <c r="H752" i="3"/>
  <c r="H765" i="3"/>
  <c r="H775" i="3"/>
  <c r="H759" i="3"/>
  <c r="J753" i="3"/>
  <c r="J773" i="3"/>
  <c r="J772" i="3"/>
  <c r="J774" i="3"/>
  <c r="H761" i="3"/>
  <c r="H771" i="3"/>
  <c r="H755" i="3"/>
  <c r="J760" i="3"/>
  <c r="J762" i="3"/>
  <c r="F768" i="3"/>
  <c r="H773" i="3"/>
  <c r="H757" i="3"/>
  <c r="H767" i="3"/>
  <c r="H751" i="3"/>
  <c r="J769" i="3"/>
  <c r="J764" i="3"/>
  <c r="J750" i="3"/>
  <c r="F773" i="3"/>
  <c r="F770" i="3"/>
  <c r="F772" i="3"/>
  <c r="H769" i="3"/>
  <c r="H753" i="3"/>
  <c r="H763" i="3"/>
  <c r="J761" i="3"/>
  <c r="J752" i="3"/>
  <c r="J768" i="3"/>
  <c r="J754" i="3"/>
  <c r="J770" i="3"/>
  <c r="F765" i="3"/>
  <c r="F774" i="3"/>
  <c r="F776" i="3"/>
  <c r="H708" i="3"/>
  <c r="H718" i="3"/>
  <c r="H704" i="3"/>
  <c r="H722" i="3"/>
  <c r="H712" i="3"/>
  <c r="H716" i="3"/>
  <c r="H726" i="3"/>
  <c r="H720" i="3"/>
  <c r="H727" i="3"/>
  <c r="H728" i="3"/>
  <c r="H724" i="3"/>
  <c r="H702" i="3"/>
  <c r="H706" i="3"/>
  <c r="H700" i="3"/>
  <c r="H710" i="3"/>
  <c r="H714" i="3"/>
  <c r="H715" i="3"/>
  <c r="H725" i="3"/>
  <c r="H709" i="3"/>
  <c r="D719" i="3"/>
  <c r="H711" i="3"/>
  <c r="H721" i="3"/>
  <c r="H705" i="3"/>
  <c r="D715" i="3"/>
  <c r="H723" i="3"/>
  <c r="H707" i="3"/>
  <c r="H717" i="3"/>
  <c r="H701" i="3"/>
  <c r="H719" i="3"/>
  <c r="H703" i="3"/>
  <c r="H713" i="3"/>
  <c r="D723" i="3"/>
  <c r="D707" i="3"/>
  <c r="F669" i="3"/>
  <c r="F656" i="3"/>
  <c r="H665" i="3"/>
  <c r="F676" i="3"/>
  <c r="F666" i="3"/>
  <c r="J657" i="3"/>
  <c r="F653" i="3"/>
  <c r="F675" i="3"/>
  <c r="J662" i="3"/>
  <c r="J653" i="3"/>
  <c r="F652" i="3"/>
  <c r="F668" i="3"/>
  <c r="F651" i="3"/>
  <c r="D668" i="3"/>
  <c r="F657" i="3"/>
  <c r="J619" i="3"/>
  <c r="F613" i="3"/>
  <c r="J608" i="3"/>
  <c r="F601" i="3"/>
  <c r="F602" i="3"/>
  <c r="F600" i="3"/>
  <c r="D626" i="3"/>
  <c r="D617" i="3"/>
  <c r="D610" i="3"/>
  <c r="F605" i="3"/>
  <c r="H607" i="3"/>
  <c r="D604" i="3"/>
  <c r="D605" i="3"/>
  <c r="H623" i="3"/>
  <c r="H619" i="3"/>
  <c r="D618" i="3"/>
  <c r="J616" i="3"/>
  <c r="J603" i="3"/>
  <c r="H611" i="3"/>
  <c r="J623" i="3"/>
  <c r="J607" i="3"/>
  <c r="F609" i="3"/>
  <c r="D615" i="3"/>
  <c r="D609" i="3"/>
  <c r="H578" i="3"/>
  <c r="H566" i="3"/>
  <c r="H564" i="3"/>
  <c r="H550" i="3"/>
  <c r="H572" i="3"/>
  <c r="H556" i="3"/>
  <c r="H558" i="3"/>
  <c r="H554" i="3"/>
  <c r="H575" i="3"/>
  <c r="H571" i="3"/>
  <c r="H563" i="3"/>
  <c r="H574" i="3"/>
  <c r="H560" i="3"/>
  <c r="H577" i="3"/>
  <c r="H562" i="3"/>
  <c r="H576" i="3"/>
  <c r="H555" i="3"/>
  <c r="H567" i="3"/>
  <c r="H568" i="3"/>
  <c r="H570" i="3"/>
  <c r="H552" i="3"/>
  <c r="H551" i="3"/>
  <c r="H559" i="3"/>
  <c r="J570" i="3"/>
  <c r="H557" i="3"/>
  <c r="D571" i="3"/>
  <c r="H569" i="3"/>
  <c r="H553" i="3"/>
  <c r="D566" i="3"/>
  <c r="J578" i="3"/>
  <c r="F551" i="3"/>
  <c r="H561" i="3"/>
  <c r="H573" i="3"/>
  <c r="J563" i="3"/>
  <c r="H565" i="3"/>
  <c r="J568" i="3"/>
  <c r="J550" i="3"/>
  <c r="F552" i="3"/>
  <c r="J503" i="3"/>
  <c r="J507" i="3"/>
  <c r="J500" i="3"/>
  <c r="F521" i="3"/>
  <c r="J521" i="3"/>
  <c r="J504" i="3"/>
  <c r="J520" i="3"/>
  <c r="J477" i="3"/>
  <c r="F473" i="3"/>
  <c r="J457" i="3"/>
  <c r="J450" i="3"/>
  <c r="F464" i="3"/>
  <c r="J465" i="3"/>
  <c r="F474" i="3"/>
  <c r="F467" i="3"/>
  <c r="J461" i="3"/>
  <c r="F476" i="3"/>
  <c r="J462" i="3"/>
  <c r="J469" i="3"/>
  <c r="J453" i="3"/>
  <c r="F465" i="3"/>
  <c r="F450" i="3"/>
  <c r="F457" i="3"/>
  <c r="F452" i="3"/>
  <c r="F468" i="3"/>
  <c r="F428" i="3"/>
  <c r="D355" i="3"/>
  <c r="D375" i="3"/>
  <c r="J358" i="3"/>
  <c r="F361" i="3"/>
  <c r="D350" i="3"/>
  <c r="D366" i="3"/>
  <c r="F302" i="3"/>
  <c r="F250" i="3"/>
  <c r="I174" i="3"/>
  <c r="G174" i="3"/>
  <c r="E174" i="3"/>
  <c r="C174" i="3"/>
  <c r="E173" i="3"/>
  <c r="C173" i="3"/>
  <c r="I173" i="3"/>
  <c r="G173" i="3"/>
  <c r="GK46" i="5"/>
  <c r="I1000" i="3" s="1" a="1"/>
  <c r="I172" i="3"/>
  <c r="G172" i="3"/>
  <c r="C172" i="3"/>
  <c r="E172" i="3"/>
  <c r="C169" i="3"/>
  <c r="I171" i="3"/>
  <c r="G171" i="3"/>
  <c r="E171" i="3"/>
  <c r="C171" i="3"/>
  <c r="E170" i="3"/>
  <c r="C170" i="3"/>
  <c r="G170" i="3"/>
  <c r="C463" i="3" l="1"/>
  <c r="C476" i="3"/>
  <c r="C450" i="3"/>
  <c r="C459" i="3"/>
  <c r="C471" i="3"/>
  <c r="C462" i="3"/>
  <c r="C456" i="3"/>
  <c r="C453" i="3"/>
  <c r="C465" i="3"/>
  <c r="C455" i="3"/>
  <c r="C452" i="3"/>
  <c r="C451" i="3"/>
  <c r="C469" i="3"/>
  <c r="C466" i="3"/>
  <c r="C467" i="3"/>
  <c r="C472" i="3"/>
  <c r="C454" i="3"/>
  <c r="C468" i="3"/>
  <c r="C475" i="3"/>
  <c r="C460" i="3"/>
  <c r="C457" i="3"/>
  <c r="C474" i="3"/>
  <c r="C470" i="3"/>
  <c r="C477" i="3"/>
  <c r="C461" i="3"/>
  <c r="C473" i="3"/>
  <c r="C478" i="3"/>
  <c r="C464" i="3"/>
  <c r="K171" i="3"/>
  <c r="H1079" i="3"/>
  <c r="H929" i="3"/>
  <c r="F420" i="3"/>
  <c r="G450" i="3"/>
  <c r="G457" i="3"/>
  <c r="G463" i="3"/>
  <c r="G475" i="3"/>
  <c r="G470" i="3"/>
  <c r="G455" i="3"/>
  <c r="G469" i="3"/>
  <c r="G471" i="3"/>
  <c r="G460" i="3"/>
  <c r="G466" i="3"/>
  <c r="G462" i="3"/>
  <c r="G478" i="3"/>
  <c r="G474" i="3"/>
  <c r="G472" i="3"/>
  <c r="G459" i="3"/>
  <c r="G467" i="3"/>
  <c r="G265" i="3"/>
  <c r="G252" i="3"/>
  <c r="G477" i="3"/>
  <c r="G273" i="3"/>
  <c r="G257" i="3"/>
  <c r="G261" i="3"/>
  <c r="G473" i="3"/>
  <c r="G452" i="3"/>
  <c r="G465" i="3"/>
  <c r="G453" i="3"/>
  <c r="G456" i="3"/>
  <c r="G270" i="3"/>
  <c r="G250" i="3"/>
  <c r="G259" i="3"/>
  <c r="G267" i="3"/>
  <c r="G269" i="3"/>
  <c r="G271" i="3"/>
  <c r="G262" i="3"/>
  <c r="G251" i="3"/>
  <c r="G264" i="3"/>
  <c r="G272" i="3"/>
  <c r="G254" i="3"/>
  <c r="G260" i="3"/>
  <c r="G263" i="3"/>
  <c r="G468" i="3"/>
  <c r="G476" i="3"/>
  <c r="G454" i="3"/>
  <c r="G458" i="3"/>
  <c r="G464" i="3"/>
  <c r="G451" i="3"/>
  <c r="G256" i="3"/>
  <c r="G258" i="3"/>
  <c r="G266" i="3"/>
  <c r="G275" i="3"/>
  <c r="G255" i="3"/>
  <c r="G277" i="3"/>
  <c r="G268" i="3"/>
  <c r="G274" i="3"/>
  <c r="G276" i="3"/>
  <c r="G278" i="3"/>
  <c r="D867" i="3"/>
  <c r="D1229" i="3"/>
  <c r="D858" i="3"/>
  <c r="F414" i="3"/>
  <c r="D854" i="3"/>
  <c r="D871" i="3"/>
  <c r="F402" i="3"/>
  <c r="F410" i="3"/>
  <c r="F408" i="3"/>
  <c r="F915" i="3"/>
  <c r="F419" i="3"/>
  <c r="F424" i="3"/>
  <c r="I1000" i="3"/>
  <c r="I1011" i="3"/>
  <c r="I1015" i="3"/>
  <c r="I1023" i="3"/>
  <c r="I1018" i="3"/>
  <c r="I1002" i="3"/>
  <c r="I1013" i="3"/>
  <c r="I1028" i="3"/>
  <c r="I1012" i="3"/>
  <c r="I1019" i="3"/>
  <c r="I1010" i="3"/>
  <c r="I1005" i="3"/>
  <c r="I1004" i="3"/>
  <c r="I1003" i="3"/>
  <c r="I1007" i="3"/>
  <c r="I1014" i="3"/>
  <c r="I1025" i="3"/>
  <c r="I1009" i="3"/>
  <c r="I1024" i="3"/>
  <c r="I1008" i="3"/>
  <c r="I1027" i="3"/>
  <c r="I1026" i="3"/>
  <c r="I1021" i="3"/>
  <c r="I1020" i="3"/>
  <c r="I1017" i="3"/>
  <c r="I1022" i="3"/>
  <c r="I1001" i="3"/>
  <c r="I1016" i="3"/>
  <c r="I1006" i="3"/>
  <c r="F412" i="3"/>
  <c r="F406" i="3"/>
  <c r="J1128" i="3"/>
  <c r="L801" i="3"/>
  <c r="F404" i="3"/>
  <c r="F423" i="3"/>
  <c r="F405" i="3"/>
  <c r="F422" i="3"/>
  <c r="J968" i="3"/>
  <c r="J1117" i="3"/>
  <c r="F409" i="3"/>
  <c r="F426" i="3"/>
  <c r="F403" i="3"/>
  <c r="F400" i="3"/>
  <c r="J902" i="3"/>
  <c r="L902" i="3" s="1"/>
  <c r="J900" i="3"/>
  <c r="F268" i="3"/>
  <c r="F401" i="3"/>
  <c r="F413" i="3"/>
  <c r="L768" i="3"/>
  <c r="J961" i="3"/>
  <c r="D1071" i="3"/>
  <c r="J1122" i="3"/>
  <c r="J1102" i="3"/>
  <c r="F968" i="3"/>
  <c r="J1119" i="3"/>
  <c r="J1107" i="3"/>
  <c r="D1073" i="3"/>
  <c r="D875" i="3"/>
  <c r="D877" i="3"/>
  <c r="D878" i="3"/>
  <c r="D865" i="3"/>
  <c r="D873" i="3"/>
  <c r="D866" i="3"/>
  <c r="D859" i="3"/>
  <c r="D870" i="3"/>
  <c r="D850" i="3"/>
  <c r="H969" i="3"/>
  <c r="J853" i="3"/>
  <c r="J862" i="3"/>
  <c r="J857" i="3"/>
  <c r="J924" i="3"/>
  <c r="L924" i="3" s="1"/>
  <c r="J904" i="3"/>
  <c r="L904" i="3" s="1"/>
  <c r="J914" i="3"/>
  <c r="L914" i="3" s="1"/>
  <c r="J923" i="3"/>
  <c r="L923" i="3" s="1"/>
  <c r="J910" i="3"/>
  <c r="L910" i="3" s="1"/>
  <c r="J918" i="3"/>
  <c r="L918" i="3" s="1"/>
  <c r="F1112" i="3"/>
  <c r="F1111" i="3"/>
  <c r="F1108" i="3"/>
  <c r="F1106" i="3"/>
  <c r="F1125" i="3"/>
  <c r="F1118" i="3"/>
  <c r="F1107" i="3"/>
  <c r="K1107" i="3" s="1"/>
  <c r="F1119" i="3"/>
  <c r="F1102" i="3"/>
  <c r="F1114" i="3"/>
  <c r="F1109" i="3"/>
  <c r="F1110" i="3"/>
  <c r="F1117" i="3"/>
  <c r="F1104" i="3"/>
  <c r="F1116" i="3"/>
  <c r="F1101" i="3"/>
  <c r="F1126" i="3"/>
  <c r="F1115" i="3"/>
  <c r="F1120" i="3"/>
  <c r="F1128" i="3"/>
  <c r="F1124" i="3"/>
  <c r="F1122" i="3"/>
  <c r="F1123" i="3"/>
  <c r="F1127" i="3"/>
  <c r="F1067" i="3"/>
  <c r="F1074" i="3"/>
  <c r="F1060" i="3"/>
  <c r="F1057" i="3"/>
  <c r="F1062" i="3"/>
  <c r="F1065" i="3"/>
  <c r="F1071" i="3"/>
  <c r="F1056" i="3"/>
  <c r="F1068" i="3"/>
  <c r="F1064" i="3"/>
  <c r="F1052" i="3"/>
  <c r="F1059" i="3"/>
  <c r="K1059" i="3" s="1"/>
  <c r="F1070" i="3"/>
  <c r="F1072" i="3"/>
  <c r="F1066" i="3"/>
  <c r="F1058" i="3"/>
  <c r="D1026" i="3"/>
  <c r="D1011" i="3"/>
  <c r="J970" i="3"/>
  <c r="J978" i="3"/>
  <c r="J974" i="3"/>
  <c r="J954" i="3"/>
  <c r="J950" i="3"/>
  <c r="J976" i="3"/>
  <c r="J972" i="3"/>
  <c r="J969" i="3"/>
  <c r="J965" i="3"/>
  <c r="J973" i="3"/>
  <c r="J967" i="3"/>
  <c r="J955" i="3"/>
  <c r="J964" i="3"/>
  <c r="J963" i="3"/>
  <c r="J951" i="3"/>
  <c r="J959" i="3"/>
  <c r="H963" i="3"/>
  <c r="D957" i="3"/>
  <c r="J920" i="3"/>
  <c r="L920" i="3" s="1"/>
  <c r="J911" i="3"/>
  <c r="L911" i="3" s="1"/>
  <c r="J916" i="3"/>
  <c r="L916" i="3" s="1"/>
  <c r="J907" i="3"/>
  <c r="L907" i="3" s="1"/>
  <c r="J912" i="3"/>
  <c r="L912" i="3" s="1"/>
  <c r="J903" i="3"/>
  <c r="L903" i="3" s="1"/>
  <c r="J919" i="3"/>
  <c r="L919" i="3" s="1"/>
  <c r="F922" i="3"/>
  <c r="F926" i="3"/>
  <c r="F920" i="3"/>
  <c r="F924" i="3"/>
  <c r="F923" i="3"/>
  <c r="H853" i="3"/>
  <c r="H857" i="3"/>
  <c r="H861" i="3"/>
  <c r="D874" i="3"/>
  <c r="D869" i="3"/>
  <c r="D855" i="3"/>
  <c r="D851" i="3"/>
  <c r="D857" i="3"/>
  <c r="K807" i="3"/>
  <c r="L816" i="3"/>
  <c r="L808" i="3"/>
  <c r="L804" i="3"/>
  <c r="L812" i="3"/>
  <c r="H829" i="3"/>
  <c r="L753" i="3"/>
  <c r="H779" i="3"/>
  <c r="H729" i="3"/>
  <c r="F650" i="3"/>
  <c r="F663" i="3"/>
  <c r="F658" i="3"/>
  <c r="F671" i="3"/>
  <c r="F667" i="3"/>
  <c r="K668" i="3"/>
  <c r="F677" i="3"/>
  <c r="F664" i="3"/>
  <c r="F655" i="3"/>
  <c r="H657" i="3"/>
  <c r="L657" i="3" s="1"/>
  <c r="H661" i="3"/>
  <c r="L623" i="3"/>
  <c r="J600" i="3"/>
  <c r="J627" i="3"/>
  <c r="J624" i="3"/>
  <c r="L607" i="3"/>
  <c r="J604" i="3"/>
  <c r="K605" i="3"/>
  <c r="F616" i="3"/>
  <c r="F623" i="3"/>
  <c r="F617" i="3"/>
  <c r="K617" i="3" s="1"/>
  <c r="F626" i="3"/>
  <c r="K626" i="3" s="1"/>
  <c r="F607" i="3"/>
  <c r="F615" i="3"/>
  <c r="K615" i="3" s="1"/>
  <c r="F614" i="3"/>
  <c r="F603" i="3"/>
  <c r="F610" i="3"/>
  <c r="K610" i="3" s="1"/>
  <c r="F611" i="3"/>
  <c r="F622" i="3"/>
  <c r="F608" i="3"/>
  <c r="F627" i="3"/>
  <c r="K609" i="3"/>
  <c r="F625" i="3"/>
  <c r="F621" i="3"/>
  <c r="F606" i="3"/>
  <c r="H615" i="3"/>
  <c r="D613" i="3"/>
  <c r="K613" i="3" s="1"/>
  <c r="D624" i="3"/>
  <c r="D620" i="3"/>
  <c r="D600" i="3"/>
  <c r="D607" i="3"/>
  <c r="D625" i="3"/>
  <c r="D601" i="3"/>
  <c r="K601" i="3" s="1"/>
  <c r="H579" i="3"/>
  <c r="J556" i="3"/>
  <c r="L556" i="3" s="1"/>
  <c r="D575" i="3"/>
  <c r="D576" i="3"/>
  <c r="D567" i="3"/>
  <c r="F524" i="3"/>
  <c r="F511" i="3"/>
  <c r="F514" i="3"/>
  <c r="F527" i="3"/>
  <c r="F502" i="3"/>
  <c r="F512" i="3"/>
  <c r="F504" i="3"/>
  <c r="F519" i="3"/>
  <c r="F517" i="3"/>
  <c r="F520" i="3"/>
  <c r="J528" i="3"/>
  <c r="J524" i="3"/>
  <c r="J526" i="3"/>
  <c r="J506" i="3"/>
  <c r="F505" i="3"/>
  <c r="F507" i="3"/>
  <c r="F525" i="3"/>
  <c r="F509" i="3"/>
  <c r="F510" i="3"/>
  <c r="F523" i="3"/>
  <c r="F518" i="3"/>
  <c r="J470" i="3"/>
  <c r="J474" i="3"/>
  <c r="F463" i="3"/>
  <c r="F451" i="3"/>
  <c r="F458" i="3"/>
  <c r="F471" i="3"/>
  <c r="F411" i="3"/>
  <c r="F407" i="3"/>
  <c r="F425" i="3"/>
  <c r="F416" i="3"/>
  <c r="F415" i="3"/>
  <c r="F427" i="3"/>
  <c r="F421" i="3"/>
  <c r="F417" i="3"/>
  <c r="F418" i="3"/>
  <c r="D363" i="3"/>
  <c r="J1126" i="3"/>
  <c r="J1124" i="3"/>
  <c r="D1101" i="3"/>
  <c r="D1128" i="3"/>
  <c r="D1124" i="3"/>
  <c r="D1114" i="3"/>
  <c r="D1100" i="3"/>
  <c r="D1116" i="3"/>
  <c r="D1112" i="3"/>
  <c r="D1102" i="3"/>
  <c r="D1127" i="3"/>
  <c r="D1120" i="3"/>
  <c r="D1121" i="3"/>
  <c r="D1117" i="3"/>
  <c r="D1108" i="3"/>
  <c r="D1104" i="3"/>
  <c r="D1125" i="3"/>
  <c r="D1105" i="3"/>
  <c r="D1126" i="3"/>
  <c r="D1122" i="3"/>
  <c r="D1106" i="3"/>
  <c r="D1113" i="3"/>
  <c r="D1109" i="3"/>
  <c r="D1118" i="3"/>
  <c r="D1110" i="3"/>
  <c r="J1104" i="3"/>
  <c r="J1127" i="3"/>
  <c r="J1116" i="3"/>
  <c r="J1115" i="3"/>
  <c r="D1119" i="3"/>
  <c r="J1101" i="3"/>
  <c r="J1110" i="3"/>
  <c r="D1123" i="3"/>
  <c r="J1108" i="3"/>
  <c r="J1118" i="3"/>
  <c r="D1115" i="3"/>
  <c r="F1121" i="3"/>
  <c r="F1113" i="3"/>
  <c r="F1105" i="3"/>
  <c r="F1103" i="3"/>
  <c r="J1125" i="3"/>
  <c r="J1121" i="3"/>
  <c r="J1113" i="3"/>
  <c r="J1105" i="3"/>
  <c r="J1103" i="3"/>
  <c r="J1123" i="3"/>
  <c r="J1112" i="3"/>
  <c r="J1111" i="3"/>
  <c r="J1109" i="3"/>
  <c r="J1106" i="3"/>
  <c r="D1111" i="3"/>
  <c r="J1120" i="3"/>
  <c r="J1114" i="3"/>
  <c r="D1103" i="3"/>
  <c r="D1052" i="3"/>
  <c r="D1056" i="3"/>
  <c r="D1068" i="3"/>
  <c r="D1064" i="3"/>
  <c r="D1060" i="3"/>
  <c r="D1072" i="3"/>
  <c r="D1076" i="3"/>
  <c r="D1069" i="3"/>
  <c r="D1063" i="3"/>
  <c r="D1074" i="3"/>
  <c r="D1053" i="3"/>
  <c r="D1067" i="3"/>
  <c r="F1051" i="3"/>
  <c r="D1058" i="3"/>
  <c r="F1054" i="3"/>
  <c r="F1063" i="3"/>
  <c r="D1070" i="3"/>
  <c r="D1061" i="3"/>
  <c r="F1075" i="3"/>
  <c r="D1051" i="3"/>
  <c r="F1050" i="3"/>
  <c r="F1055" i="3"/>
  <c r="D1062" i="3"/>
  <c r="D1055" i="3"/>
  <c r="D1050" i="3"/>
  <c r="D1078" i="3"/>
  <c r="K1078" i="3" s="1"/>
  <c r="D1077" i="3"/>
  <c r="D1075" i="3"/>
  <c r="D1065" i="3"/>
  <c r="D1054" i="3"/>
  <c r="D1066" i="3"/>
  <c r="F1069" i="3"/>
  <c r="F1053" i="3"/>
  <c r="F1061" i="3"/>
  <c r="F1077" i="3"/>
  <c r="F1076" i="3"/>
  <c r="F1073" i="3"/>
  <c r="D1057" i="3"/>
  <c r="D1022" i="3"/>
  <c r="D1006" i="3"/>
  <c r="D1014" i="3"/>
  <c r="D1018" i="3"/>
  <c r="D1012" i="3"/>
  <c r="D1024" i="3"/>
  <c r="D1023" i="3"/>
  <c r="D1017" i="3"/>
  <c r="D1000" i="3"/>
  <c r="D1015" i="3"/>
  <c r="D1007" i="3"/>
  <c r="D1008" i="3"/>
  <c r="D1005" i="3"/>
  <c r="D1019" i="3"/>
  <c r="D1009" i="3"/>
  <c r="D1021" i="3"/>
  <c r="D1001" i="3"/>
  <c r="D1027" i="3"/>
  <c r="D1002" i="3"/>
  <c r="D1013" i="3"/>
  <c r="D1003" i="3"/>
  <c r="D1020" i="3"/>
  <c r="D1010" i="3"/>
  <c r="F967" i="3"/>
  <c r="F966" i="3"/>
  <c r="H966" i="3"/>
  <c r="H977" i="3"/>
  <c r="H960" i="3"/>
  <c r="H954" i="3"/>
  <c r="H974" i="3"/>
  <c r="H956" i="3"/>
  <c r="L956" i="3" s="1"/>
  <c r="H968" i="3"/>
  <c r="H962" i="3"/>
  <c r="H950" i="3"/>
  <c r="H964" i="3"/>
  <c r="H976" i="3"/>
  <c r="H970" i="3"/>
  <c r="H958" i="3"/>
  <c r="H972" i="3"/>
  <c r="H952" i="3"/>
  <c r="H978" i="3"/>
  <c r="F962" i="3"/>
  <c r="H951" i="3"/>
  <c r="F960" i="3"/>
  <c r="F977" i="3"/>
  <c r="D965" i="3"/>
  <c r="F956" i="3"/>
  <c r="F953" i="3"/>
  <c r="F950" i="3"/>
  <c r="H953" i="3"/>
  <c r="J975" i="3"/>
  <c r="F957" i="3"/>
  <c r="F955" i="3"/>
  <c r="H967" i="3"/>
  <c r="J962" i="3"/>
  <c r="F951" i="3"/>
  <c r="F974" i="3"/>
  <c r="J977" i="3"/>
  <c r="H955" i="3"/>
  <c r="J958" i="3"/>
  <c r="F959" i="3"/>
  <c r="F970" i="3"/>
  <c r="J953" i="3"/>
  <c r="H959" i="3"/>
  <c r="F964" i="3"/>
  <c r="A980" i="3"/>
  <c r="D968" i="3"/>
  <c r="D977" i="3"/>
  <c r="D970" i="3"/>
  <c r="D950" i="3"/>
  <c r="D966" i="3"/>
  <c r="D956" i="3"/>
  <c r="D978" i="3"/>
  <c r="D952" i="3"/>
  <c r="D974" i="3"/>
  <c r="D954" i="3"/>
  <c r="D975" i="3"/>
  <c r="K975" i="3" s="1"/>
  <c r="D971" i="3"/>
  <c r="D962" i="3"/>
  <c r="D958" i="3"/>
  <c r="D959" i="3"/>
  <c r="K959" i="3" s="1"/>
  <c r="D955" i="3"/>
  <c r="D976" i="3"/>
  <c r="D967" i="3"/>
  <c r="D963" i="3"/>
  <c r="D964" i="3"/>
  <c r="D960" i="3"/>
  <c r="D951" i="3"/>
  <c r="D972" i="3"/>
  <c r="F958" i="3"/>
  <c r="F963" i="3"/>
  <c r="H971" i="3"/>
  <c r="F954" i="3"/>
  <c r="F971" i="3"/>
  <c r="H975" i="3"/>
  <c r="L975" i="3" s="1"/>
  <c r="J952" i="3"/>
  <c r="F952" i="3"/>
  <c r="F961" i="3"/>
  <c r="D973" i="3"/>
  <c r="J966" i="3"/>
  <c r="J957" i="3"/>
  <c r="L957" i="3" s="1"/>
  <c r="F978" i="3"/>
  <c r="F969" i="3"/>
  <c r="K969" i="3" s="1"/>
  <c r="D961" i="3"/>
  <c r="H973" i="3"/>
  <c r="J960" i="3"/>
  <c r="F976" i="3"/>
  <c r="F965" i="3"/>
  <c r="J971" i="3"/>
  <c r="H961" i="3"/>
  <c r="F972" i="3"/>
  <c r="F973" i="3"/>
  <c r="D953" i="3"/>
  <c r="H965" i="3"/>
  <c r="A930" i="3"/>
  <c r="D917" i="3"/>
  <c r="D908" i="3"/>
  <c r="D927" i="3"/>
  <c r="D920" i="3"/>
  <c r="D900" i="3"/>
  <c r="D916" i="3"/>
  <c r="D901" i="3"/>
  <c r="D922" i="3"/>
  <c r="D913" i="3"/>
  <c r="D904" i="3"/>
  <c r="D925" i="3"/>
  <c r="D921" i="3"/>
  <c r="D906" i="3"/>
  <c r="D928" i="3"/>
  <c r="D918" i="3"/>
  <c r="K918" i="3" s="1"/>
  <c r="D909" i="3"/>
  <c r="D905" i="3"/>
  <c r="D926" i="3"/>
  <c r="D912" i="3"/>
  <c r="D902" i="3"/>
  <c r="D924" i="3"/>
  <c r="D914" i="3"/>
  <c r="D910" i="3"/>
  <c r="F913" i="3"/>
  <c r="F901" i="3"/>
  <c r="F905" i="3"/>
  <c r="F909" i="3"/>
  <c r="F917" i="3"/>
  <c r="F921" i="3"/>
  <c r="F925" i="3"/>
  <c r="D915" i="3"/>
  <c r="F914" i="3"/>
  <c r="D919" i="3"/>
  <c r="F908" i="3"/>
  <c r="D907" i="3"/>
  <c r="F904" i="3"/>
  <c r="J901" i="3"/>
  <c r="L901" i="3" s="1"/>
  <c r="J905" i="3"/>
  <c r="L905" i="3" s="1"/>
  <c r="J909" i="3"/>
  <c r="L909" i="3" s="1"/>
  <c r="J913" i="3"/>
  <c r="L913" i="3" s="1"/>
  <c r="J917" i="3"/>
  <c r="L917" i="3" s="1"/>
  <c r="J921" i="3"/>
  <c r="L921" i="3" s="1"/>
  <c r="J925" i="3"/>
  <c r="L925" i="3" s="1"/>
  <c r="F919" i="3"/>
  <c r="F902" i="3"/>
  <c r="J928" i="3"/>
  <c r="L928" i="3" s="1"/>
  <c r="J915" i="3"/>
  <c r="L915" i="3" s="1"/>
  <c r="F928" i="3"/>
  <c r="J908" i="3"/>
  <c r="L908" i="3" s="1"/>
  <c r="F903" i="3"/>
  <c r="D923" i="3"/>
  <c r="F916" i="3"/>
  <c r="F927" i="3"/>
  <c r="F912" i="3"/>
  <c r="L922" i="3"/>
  <c r="F910" i="3"/>
  <c r="F911" i="3"/>
  <c r="F906" i="3"/>
  <c r="D911" i="3"/>
  <c r="F900" i="3"/>
  <c r="J926" i="3"/>
  <c r="L926" i="3" s="1"/>
  <c r="J927" i="3"/>
  <c r="L927" i="3" s="1"/>
  <c r="F907" i="3"/>
  <c r="J906" i="3"/>
  <c r="L906" i="3" s="1"/>
  <c r="D903" i="3"/>
  <c r="J854" i="3"/>
  <c r="J869" i="3"/>
  <c r="J850" i="3"/>
  <c r="J861" i="3"/>
  <c r="H876" i="3"/>
  <c r="H872" i="3"/>
  <c r="H850" i="3"/>
  <c r="H866" i="3"/>
  <c r="H858" i="3"/>
  <c r="H868" i="3"/>
  <c r="H864" i="3"/>
  <c r="H860" i="3"/>
  <c r="H856" i="3"/>
  <c r="H852" i="3"/>
  <c r="H854" i="3"/>
  <c r="H862" i="3"/>
  <c r="H877" i="3"/>
  <c r="H851" i="3"/>
  <c r="H859" i="3"/>
  <c r="H867" i="3"/>
  <c r="H870" i="3"/>
  <c r="L870" i="3" s="1"/>
  <c r="H855" i="3"/>
  <c r="H878" i="3"/>
  <c r="H863" i="3"/>
  <c r="H875" i="3"/>
  <c r="H871" i="3"/>
  <c r="H874" i="3"/>
  <c r="H869" i="3"/>
  <c r="J875" i="3"/>
  <c r="J878" i="3"/>
  <c r="J860" i="3"/>
  <c r="J851" i="3"/>
  <c r="J855" i="3"/>
  <c r="J856" i="3"/>
  <c r="J868" i="3"/>
  <c r="J859" i="3"/>
  <c r="J863" i="3"/>
  <c r="J864" i="3"/>
  <c r="J876" i="3"/>
  <c r="J867" i="3"/>
  <c r="J871" i="3"/>
  <c r="J872" i="3"/>
  <c r="J852" i="3"/>
  <c r="J877" i="3"/>
  <c r="J858" i="3"/>
  <c r="J873" i="3"/>
  <c r="L873" i="3" s="1"/>
  <c r="J866" i="3"/>
  <c r="D861" i="3"/>
  <c r="D853" i="3"/>
  <c r="D856" i="3"/>
  <c r="D852" i="3"/>
  <c r="D864" i="3"/>
  <c r="D860" i="3"/>
  <c r="D872" i="3"/>
  <c r="D868" i="3"/>
  <c r="D876" i="3"/>
  <c r="H865" i="3"/>
  <c r="D863" i="3"/>
  <c r="J865" i="3"/>
  <c r="J874" i="3"/>
  <c r="L824" i="3"/>
  <c r="F816" i="3"/>
  <c r="F814" i="3"/>
  <c r="F825" i="3"/>
  <c r="L817" i="3"/>
  <c r="F810" i="3"/>
  <c r="F801" i="3"/>
  <c r="J813" i="3"/>
  <c r="L813" i="3" s="1"/>
  <c r="J827" i="3"/>
  <c r="L827" i="3" s="1"/>
  <c r="J803" i="3"/>
  <c r="L803" i="3" s="1"/>
  <c r="J805" i="3"/>
  <c r="L805" i="3" s="1"/>
  <c r="J811" i="3"/>
  <c r="L811" i="3" s="1"/>
  <c r="J819" i="3"/>
  <c r="L819" i="3" s="1"/>
  <c r="J821" i="3"/>
  <c r="L821" i="3" s="1"/>
  <c r="F806" i="3"/>
  <c r="L809" i="3"/>
  <c r="L822" i="3"/>
  <c r="L814" i="3"/>
  <c r="L806" i="3"/>
  <c r="L825" i="3"/>
  <c r="L828" i="3"/>
  <c r="L820" i="3"/>
  <c r="F803" i="3"/>
  <c r="F805" i="3"/>
  <c r="F811" i="3"/>
  <c r="F819" i="3"/>
  <c r="K819" i="3" s="1"/>
  <c r="F821" i="3"/>
  <c r="F827" i="3"/>
  <c r="F813" i="3"/>
  <c r="K823" i="3"/>
  <c r="A830" i="3"/>
  <c r="D800" i="3"/>
  <c r="D817" i="3"/>
  <c r="K817" i="3" s="1"/>
  <c r="D808" i="3"/>
  <c r="D827" i="3"/>
  <c r="D820" i="3"/>
  <c r="K820" i="3" s="1"/>
  <c r="D816" i="3"/>
  <c r="D801" i="3"/>
  <c r="D822" i="3"/>
  <c r="K822" i="3" s="1"/>
  <c r="D813" i="3"/>
  <c r="D804" i="3"/>
  <c r="D825" i="3"/>
  <c r="D805" i="3"/>
  <c r="D821" i="3"/>
  <c r="D806" i="3"/>
  <c r="D828" i="3"/>
  <c r="K828" i="3" s="1"/>
  <c r="D818" i="3"/>
  <c r="K818" i="3" s="1"/>
  <c r="D809" i="3"/>
  <c r="K809" i="3" s="1"/>
  <c r="D810" i="3"/>
  <c r="D826" i="3"/>
  <c r="K826" i="3" s="1"/>
  <c r="D812" i="3"/>
  <c r="D802" i="3"/>
  <c r="K802" i="3" s="1"/>
  <c r="D824" i="3"/>
  <c r="K824" i="3" s="1"/>
  <c r="D814" i="3"/>
  <c r="F812" i="3"/>
  <c r="D811" i="3"/>
  <c r="L823" i="3"/>
  <c r="F808" i="3"/>
  <c r="D815" i="3"/>
  <c r="K815" i="3" s="1"/>
  <c r="F804" i="3"/>
  <c r="D803" i="3"/>
  <c r="L815" i="3"/>
  <c r="L826" i="3"/>
  <c r="L818" i="3"/>
  <c r="L810" i="3"/>
  <c r="L802" i="3"/>
  <c r="A780" i="3"/>
  <c r="D756" i="3"/>
  <c r="D758" i="3"/>
  <c r="D751" i="3"/>
  <c r="D754" i="3"/>
  <c r="D775" i="3"/>
  <c r="D750" i="3"/>
  <c r="D766" i="3"/>
  <c r="D767" i="3"/>
  <c r="D763" i="3"/>
  <c r="D762" i="3"/>
  <c r="D759" i="3"/>
  <c r="D771" i="3"/>
  <c r="D778" i="3"/>
  <c r="D768" i="3"/>
  <c r="K768" i="3" s="1"/>
  <c r="D772" i="3"/>
  <c r="K772" i="3" s="1"/>
  <c r="D764" i="3"/>
  <c r="D755" i="3"/>
  <c r="D776" i="3"/>
  <c r="K776" i="3" s="1"/>
  <c r="D752" i="3"/>
  <c r="D774" i="3"/>
  <c r="K774" i="3" s="1"/>
  <c r="D777" i="3"/>
  <c r="D770" i="3"/>
  <c r="K770" i="3" s="1"/>
  <c r="D760" i="3"/>
  <c r="F763" i="3"/>
  <c r="F775" i="3"/>
  <c r="F751" i="3"/>
  <c r="F755" i="3"/>
  <c r="F759" i="3"/>
  <c r="F767" i="3"/>
  <c r="F771" i="3"/>
  <c r="D765" i="3"/>
  <c r="K765" i="3" s="1"/>
  <c r="F764" i="3"/>
  <c r="D769" i="3"/>
  <c r="L752" i="3"/>
  <c r="L760" i="3"/>
  <c r="F758" i="3"/>
  <c r="D757" i="3"/>
  <c r="L769" i="3"/>
  <c r="F754" i="3"/>
  <c r="J751" i="3"/>
  <c r="L751" i="3" s="1"/>
  <c r="J755" i="3"/>
  <c r="L755" i="3" s="1"/>
  <c r="J763" i="3"/>
  <c r="L763" i="3" s="1"/>
  <c r="J767" i="3"/>
  <c r="L767" i="3" s="1"/>
  <c r="J771" i="3"/>
  <c r="L771" i="3" s="1"/>
  <c r="J759" i="3"/>
  <c r="L759" i="3" s="1"/>
  <c r="J775" i="3"/>
  <c r="L775" i="3" s="1"/>
  <c r="F769" i="3"/>
  <c r="F752" i="3"/>
  <c r="J778" i="3"/>
  <c r="L778" i="3" s="1"/>
  <c r="J765" i="3"/>
  <c r="L765" i="3" s="1"/>
  <c r="F778" i="3"/>
  <c r="J758" i="3"/>
  <c r="L758" i="3" s="1"/>
  <c r="F753" i="3"/>
  <c r="L774" i="3"/>
  <c r="D773" i="3"/>
  <c r="K773" i="3" s="1"/>
  <c r="F766" i="3"/>
  <c r="F777" i="3"/>
  <c r="F762" i="3"/>
  <c r="L772" i="3"/>
  <c r="L764" i="3"/>
  <c r="F760" i="3"/>
  <c r="F761" i="3"/>
  <c r="F756" i="3"/>
  <c r="J766" i="3"/>
  <c r="L766" i="3" s="1"/>
  <c r="J757" i="3"/>
  <c r="L757" i="3" s="1"/>
  <c r="D761" i="3"/>
  <c r="L773" i="3"/>
  <c r="F750" i="3"/>
  <c r="J776" i="3"/>
  <c r="L776" i="3" s="1"/>
  <c r="J777" i="3"/>
  <c r="L777" i="3" s="1"/>
  <c r="L761" i="3"/>
  <c r="F757" i="3"/>
  <c r="J756" i="3"/>
  <c r="L756" i="3" s="1"/>
  <c r="D753" i="3"/>
  <c r="L754" i="3"/>
  <c r="L770" i="3"/>
  <c r="L762" i="3"/>
  <c r="D722" i="3"/>
  <c r="D704" i="3"/>
  <c r="D725" i="3"/>
  <c r="D700" i="3"/>
  <c r="D716" i="3"/>
  <c r="D713" i="3"/>
  <c r="D709" i="3"/>
  <c r="D721" i="3"/>
  <c r="D706" i="3"/>
  <c r="D718" i="3"/>
  <c r="D701" i="3"/>
  <c r="D714" i="3"/>
  <c r="D705" i="3"/>
  <c r="D726" i="3"/>
  <c r="D717" i="3"/>
  <c r="D702" i="3"/>
  <c r="D724" i="3"/>
  <c r="D712" i="3"/>
  <c r="D727" i="3"/>
  <c r="D720" i="3"/>
  <c r="D710" i="3"/>
  <c r="D728" i="3"/>
  <c r="D708" i="3"/>
  <c r="D711" i="3"/>
  <c r="D703" i="3"/>
  <c r="D651" i="3"/>
  <c r="D662" i="3"/>
  <c r="J675" i="3"/>
  <c r="J667" i="3"/>
  <c r="J655" i="3"/>
  <c r="J678" i="3"/>
  <c r="J672" i="3"/>
  <c r="J652" i="3"/>
  <c r="J663" i="3"/>
  <c r="J664" i="3"/>
  <c r="J660" i="3"/>
  <c r="J651" i="3"/>
  <c r="J671" i="3"/>
  <c r="J668" i="3"/>
  <c r="J659" i="3"/>
  <c r="J656" i="3"/>
  <c r="J676" i="3"/>
  <c r="D674" i="3"/>
  <c r="D660" i="3"/>
  <c r="D655" i="3"/>
  <c r="H676" i="3"/>
  <c r="H672" i="3"/>
  <c r="H664" i="3"/>
  <c r="H652" i="3"/>
  <c r="H668" i="3"/>
  <c r="H660" i="3"/>
  <c r="H656" i="3"/>
  <c r="H650" i="3"/>
  <c r="H666" i="3"/>
  <c r="H674" i="3"/>
  <c r="H655" i="3"/>
  <c r="H658" i="3"/>
  <c r="H671" i="3"/>
  <c r="H677" i="3"/>
  <c r="H651" i="3"/>
  <c r="H654" i="3"/>
  <c r="H659" i="3"/>
  <c r="H675" i="3"/>
  <c r="H667" i="3"/>
  <c r="H662" i="3"/>
  <c r="L662" i="3" s="1"/>
  <c r="H663" i="3"/>
  <c r="L663" i="3" s="1"/>
  <c r="H670" i="3"/>
  <c r="H678" i="3"/>
  <c r="H653" i="3"/>
  <c r="L653" i="3" s="1"/>
  <c r="D666" i="3"/>
  <c r="K666" i="3" s="1"/>
  <c r="F678" i="3"/>
  <c r="F654" i="3"/>
  <c r="F670" i="3"/>
  <c r="F674" i="3"/>
  <c r="F662" i="3"/>
  <c r="F665" i="3"/>
  <c r="J669" i="3"/>
  <c r="F673" i="3"/>
  <c r="D657" i="3"/>
  <c r="K657" i="3" s="1"/>
  <c r="F659" i="3"/>
  <c r="J673" i="3"/>
  <c r="J666" i="3"/>
  <c r="D658" i="3"/>
  <c r="F660" i="3"/>
  <c r="F661" i="3"/>
  <c r="J654" i="3"/>
  <c r="D670" i="3"/>
  <c r="F672" i="3"/>
  <c r="H669" i="3"/>
  <c r="L669" i="3" s="1"/>
  <c r="A680" i="3"/>
  <c r="D653" i="3"/>
  <c r="K653" i="3" s="1"/>
  <c r="D661" i="3"/>
  <c r="D669" i="3"/>
  <c r="K669" i="3" s="1"/>
  <c r="D656" i="3"/>
  <c r="K656" i="3" s="1"/>
  <c r="D677" i="3"/>
  <c r="D664" i="3"/>
  <c r="D672" i="3"/>
  <c r="D676" i="3"/>
  <c r="K676" i="3" s="1"/>
  <c r="D663" i="3"/>
  <c r="D652" i="3"/>
  <c r="K652" i="3" s="1"/>
  <c r="D675" i="3"/>
  <c r="K675" i="3" s="1"/>
  <c r="D665" i="3"/>
  <c r="J661" i="3"/>
  <c r="J670" i="3"/>
  <c r="D654" i="3"/>
  <c r="J658" i="3"/>
  <c r="D667" i="3"/>
  <c r="D650" i="3"/>
  <c r="H673" i="3"/>
  <c r="D678" i="3"/>
  <c r="J650" i="3"/>
  <c r="D659" i="3"/>
  <c r="J677" i="3"/>
  <c r="D671" i="3"/>
  <c r="D673" i="3"/>
  <c r="J665" i="3"/>
  <c r="L665" i="3" s="1"/>
  <c r="J674" i="3"/>
  <c r="D608" i="3"/>
  <c r="J625" i="3"/>
  <c r="J617" i="3"/>
  <c r="J613" i="3"/>
  <c r="J609" i="3"/>
  <c r="J610" i="3"/>
  <c r="J621" i="3"/>
  <c r="J618" i="3"/>
  <c r="J606" i="3"/>
  <c r="J628" i="3"/>
  <c r="J626" i="3"/>
  <c r="J605" i="3"/>
  <c r="J601" i="3"/>
  <c r="J622" i="3"/>
  <c r="J614" i="3"/>
  <c r="J602" i="3"/>
  <c r="J615" i="3"/>
  <c r="D621" i="3"/>
  <c r="D623" i="3"/>
  <c r="J611" i="3"/>
  <c r="L611" i="3" s="1"/>
  <c r="J620" i="3"/>
  <c r="D616" i="3"/>
  <c r="F628" i="3"/>
  <c r="F620" i="3"/>
  <c r="F624" i="3"/>
  <c r="F604" i="3"/>
  <c r="K604" i="3" s="1"/>
  <c r="F612" i="3"/>
  <c r="F619" i="3"/>
  <c r="D628" i="3"/>
  <c r="F618" i="3"/>
  <c r="K618" i="3" s="1"/>
  <c r="L619" i="3"/>
  <c r="H626" i="3"/>
  <c r="H622" i="3"/>
  <c r="H618" i="3"/>
  <c r="H610" i="3"/>
  <c r="H606" i="3"/>
  <c r="H614" i="3"/>
  <c r="H602" i="3"/>
  <c r="H600" i="3"/>
  <c r="H620" i="3"/>
  <c r="H621" i="3"/>
  <c r="H601" i="3"/>
  <c r="H628" i="3"/>
  <c r="H608" i="3"/>
  <c r="L608" i="3" s="1"/>
  <c r="H613" i="3"/>
  <c r="H625" i="3"/>
  <c r="H609" i="3"/>
  <c r="H617" i="3"/>
  <c r="H612" i="3"/>
  <c r="H604" i="3"/>
  <c r="H624" i="3"/>
  <c r="H605" i="3"/>
  <c r="H627" i="3"/>
  <c r="H616" i="3"/>
  <c r="L616" i="3" s="1"/>
  <c r="A630" i="3"/>
  <c r="D611" i="3"/>
  <c r="D603" i="3"/>
  <c r="D627" i="3"/>
  <c r="D614" i="3"/>
  <c r="D602" i="3"/>
  <c r="K602" i="3" s="1"/>
  <c r="D622" i="3"/>
  <c r="D619" i="3"/>
  <c r="D606" i="3"/>
  <c r="H603" i="3"/>
  <c r="L603" i="3" s="1"/>
  <c r="D612" i="3"/>
  <c r="J612" i="3"/>
  <c r="F563" i="3"/>
  <c r="F569" i="3"/>
  <c r="F553" i="3"/>
  <c r="F574" i="3"/>
  <c r="F558" i="3"/>
  <c r="A580" i="3"/>
  <c r="D573" i="3"/>
  <c r="D552" i="3"/>
  <c r="K552" i="3" s="1"/>
  <c r="D564" i="3"/>
  <c r="D569" i="3"/>
  <c r="D553" i="3"/>
  <c r="D578" i="3"/>
  <c r="D568" i="3"/>
  <c r="D557" i="3"/>
  <c r="D562" i="3"/>
  <c r="D574" i="3"/>
  <c r="K574" i="3" s="1"/>
  <c r="D558" i="3"/>
  <c r="F556" i="3"/>
  <c r="L570" i="3"/>
  <c r="F570" i="3"/>
  <c r="F566" i="3"/>
  <c r="K566" i="3" s="1"/>
  <c r="J569" i="3"/>
  <c r="L569" i="3" s="1"/>
  <c r="J553" i="3"/>
  <c r="L553" i="3" s="1"/>
  <c r="J577" i="3"/>
  <c r="L577" i="3" s="1"/>
  <c r="J575" i="3"/>
  <c r="L575" i="3" s="1"/>
  <c r="J559" i="3"/>
  <c r="L559" i="3" s="1"/>
  <c r="J564" i="3"/>
  <c r="L564" i="3" s="1"/>
  <c r="F573" i="3"/>
  <c r="F560" i="3"/>
  <c r="J574" i="3"/>
  <c r="L574" i="3" s="1"/>
  <c r="D570" i="3"/>
  <c r="F564" i="3"/>
  <c r="D559" i="3"/>
  <c r="F571" i="3"/>
  <c r="K571" i="3" s="1"/>
  <c r="J562" i="3"/>
  <c r="L562" i="3" s="1"/>
  <c r="F557" i="3"/>
  <c r="D565" i="3"/>
  <c r="D550" i="3"/>
  <c r="D551" i="3"/>
  <c r="J565" i="3"/>
  <c r="L565" i="3" s="1"/>
  <c r="L568" i="3"/>
  <c r="L563" i="3"/>
  <c r="D563" i="3"/>
  <c r="J567" i="3"/>
  <c r="L567" i="3" s="1"/>
  <c r="J571" i="3"/>
  <c r="L571" i="3" s="1"/>
  <c r="J552" i="3"/>
  <c r="L552" i="3" s="1"/>
  <c r="D555" i="3"/>
  <c r="J560" i="3"/>
  <c r="L560" i="3" s="1"/>
  <c r="F572" i="3"/>
  <c r="J554" i="3"/>
  <c r="L554" i="3" s="1"/>
  <c r="F554" i="3"/>
  <c r="D560" i="3"/>
  <c r="J551" i="3"/>
  <c r="L551" i="3" s="1"/>
  <c r="J555" i="3"/>
  <c r="L555" i="3" s="1"/>
  <c r="F578" i="3"/>
  <c r="F576" i="3"/>
  <c r="F577" i="3"/>
  <c r="D572" i="3"/>
  <c r="F561" i="3"/>
  <c r="D556" i="3"/>
  <c r="F568" i="3"/>
  <c r="D554" i="3"/>
  <c r="J566" i="3"/>
  <c r="L566" i="3" s="1"/>
  <c r="D561" i="3"/>
  <c r="J573" i="3"/>
  <c r="L573" i="3" s="1"/>
  <c r="F555" i="3"/>
  <c r="F562" i="3"/>
  <c r="F565" i="3"/>
  <c r="D577" i="3"/>
  <c r="F575" i="3"/>
  <c r="F550" i="3"/>
  <c r="J572" i="3"/>
  <c r="L572" i="3" s="1"/>
  <c r="J576" i="3"/>
  <c r="L576" i="3" s="1"/>
  <c r="J557" i="3"/>
  <c r="L557" i="3" s="1"/>
  <c r="F559" i="3"/>
  <c r="J558" i="3"/>
  <c r="L558" i="3" s="1"/>
  <c r="J561" i="3"/>
  <c r="L561" i="3" s="1"/>
  <c r="F567" i="3"/>
  <c r="L578" i="3"/>
  <c r="D518" i="3"/>
  <c r="D521" i="3"/>
  <c r="K521" i="3" s="1"/>
  <c r="D512" i="3"/>
  <c r="D527" i="3"/>
  <c r="D520" i="3"/>
  <c r="D509" i="3"/>
  <c r="D514" i="3"/>
  <c r="D502" i="3"/>
  <c r="D524" i="3"/>
  <c r="D505" i="3"/>
  <c r="D526" i="3"/>
  <c r="D517" i="3"/>
  <c r="D504" i="3"/>
  <c r="D525" i="3"/>
  <c r="D508" i="3"/>
  <c r="D510" i="3"/>
  <c r="D501" i="3"/>
  <c r="D522" i="3"/>
  <c r="D513" i="3"/>
  <c r="D500" i="3"/>
  <c r="D516" i="3"/>
  <c r="D506" i="3"/>
  <c r="D528" i="3"/>
  <c r="J517" i="3"/>
  <c r="J510" i="3"/>
  <c r="J505" i="3"/>
  <c r="J501" i="3"/>
  <c r="J518" i="3"/>
  <c r="J519" i="3"/>
  <c r="F528" i="3"/>
  <c r="J509" i="3"/>
  <c r="F500" i="3"/>
  <c r="J514" i="3"/>
  <c r="F513" i="3"/>
  <c r="F508" i="3"/>
  <c r="D511" i="3"/>
  <c r="J523" i="3"/>
  <c r="F522" i="3"/>
  <c r="F501" i="3"/>
  <c r="J508" i="3"/>
  <c r="J511" i="3"/>
  <c r="F516" i="3"/>
  <c r="D519" i="3"/>
  <c r="D523" i="3"/>
  <c r="D503" i="3"/>
  <c r="J527" i="3"/>
  <c r="J502" i="3"/>
  <c r="D507" i="3"/>
  <c r="D515" i="3"/>
  <c r="J516" i="3"/>
  <c r="J515" i="3"/>
  <c r="F526" i="3"/>
  <c r="F515" i="3"/>
  <c r="J512" i="3"/>
  <c r="F503" i="3"/>
  <c r="F506" i="3"/>
  <c r="J525" i="3"/>
  <c r="J522" i="3"/>
  <c r="J513" i="3"/>
  <c r="F478" i="3"/>
  <c r="F470" i="3"/>
  <c r="F462" i="3"/>
  <c r="F453" i="3"/>
  <c r="F477" i="3"/>
  <c r="F454" i="3"/>
  <c r="F469" i="3"/>
  <c r="F461" i="3"/>
  <c r="F460" i="3"/>
  <c r="F466" i="3"/>
  <c r="F472" i="3"/>
  <c r="F475" i="3"/>
  <c r="J475" i="3"/>
  <c r="J467" i="3"/>
  <c r="J456" i="3"/>
  <c r="J452" i="3"/>
  <c r="J459" i="3"/>
  <c r="J460" i="3"/>
  <c r="J476" i="3"/>
  <c r="J455" i="3"/>
  <c r="J451" i="3"/>
  <c r="J464" i="3"/>
  <c r="J468" i="3"/>
  <c r="J463" i="3"/>
  <c r="J472" i="3"/>
  <c r="J471" i="3"/>
  <c r="J478" i="3"/>
  <c r="J454" i="3"/>
  <c r="F455" i="3"/>
  <c r="F456" i="3"/>
  <c r="F459" i="3"/>
  <c r="J473" i="3"/>
  <c r="J466" i="3"/>
  <c r="J458" i="3"/>
  <c r="F376" i="3"/>
  <c r="F373" i="3"/>
  <c r="J363" i="3"/>
  <c r="J351" i="3"/>
  <c r="J368" i="3"/>
  <c r="J372" i="3"/>
  <c r="J356" i="3"/>
  <c r="J371" i="3"/>
  <c r="J359" i="3"/>
  <c r="J376" i="3"/>
  <c r="J378" i="3"/>
  <c r="J367" i="3"/>
  <c r="J352" i="3"/>
  <c r="J355" i="3"/>
  <c r="J375" i="3"/>
  <c r="J360" i="3"/>
  <c r="J364" i="3"/>
  <c r="F359" i="3"/>
  <c r="F358" i="3"/>
  <c r="J369" i="3"/>
  <c r="F366" i="3"/>
  <c r="K366" i="3" s="1"/>
  <c r="J357" i="3"/>
  <c r="F375" i="3"/>
  <c r="K375" i="3" s="1"/>
  <c r="J365" i="3"/>
  <c r="D370" i="3"/>
  <c r="D360" i="3"/>
  <c r="F362" i="3"/>
  <c r="F377" i="3"/>
  <c r="F378" i="3"/>
  <c r="F370" i="3"/>
  <c r="F354" i="3"/>
  <c r="F352" i="3"/>
  <c r="F356" i="3"/>
  <c r="D361" i="3"/>
  <c r="K361" i="3" s="1"/>
  <c r="D364" i="3"/>
  <c r="D353" i="3"/>
  <c r="D377" i="3"/>
  <c r="D356" i="3"/>
  <c r="D369" i="3"/>
  <c r="D372" i="3"/>
  <c r="F360" i="3"/>
  <c r="J374" i="3"/>
  <c r="F357" i="3"/>
  <c r="J361" i="3"/>
  <c r="D378" i="3"/>
  <c r="K378" i="3" s="1"/>
  <c r="F367" i="3"/>
  <c r="D359" i="3"/>
  <c r="D368" i="3"/>
  <c r="D354" i="3"/>
  <c r="F365" i="3"/>
  <c r="D367" i="3"/>
  <c r="D352" i="3"/>
  <c r="F371" i="3"/>
  <c r="D365" i="3"/>
  <c r="J373" i="3"/>
  <c r="D373" i="3"/>
  <c r="D362" i="3"/>
  <c r="F351" i="3"/>
  <c r="D374" i="3"/>
  <c r="F368" i="3"/>
  <c r="J366" i="3"/>
  <c r="F374" i="3"/>
  <c r="J377" i="3"/>
  <c r="D351" i="3"/>
  <c r="F350" i="3"/>
  <c r="F353" i="3"/>
  <c r="F355" i="3"/>
  <c r="K355" i="3" s="1"/>
  <c r="F369" i="3"/>
  <c r="J350" i="3"/>
  <c r="F364" i="3"/>
  <c r="J370" i="3"/>
  <c r="D357" i="3"/>
  <c r="F372" i="3"/>
  <c r="J353" i="3"/>
  <c r="J362" i="3"/>
  <c r="D358" i="3"/>
  <c r="F363" i="3"/>
  <c r="D371" i="3"/>
  <c r="D376" i="3"/>
  <c r="J354" i="3"/>
  <c r="F276" i="3"/>
  <c r="F251" i="3"/>
  <c r="F327" i="3"/>
  <c r="F308" i="3"/>
  <c r="F258" i="3"/>
  <c r="F252" i="3"/>
  <c r="F271" i="3"/>
  <c r="F264" i="3"/>
  <c r="F272" i="3"/>
  <c r="F257" i="3"/>
  <c r="F275" i="3"/>
  <c r="F322" i="3"/>
  <c r="F260" i="3"/>
  <c r="F273" i="3"/>
  <c r="F274" i="3"/>
  <c r="F267" i="3"/>
  <c r="F323" i="3"/>
  <c r="F328" i="3"/>
  <c r="F326" i="3"/>
  <c r="F315" i="3"/>
  <c r="F319" i="3"/>
  <c r="F307" i="3"/>
  <c r="F310" i="3"/>
  <c r="F311" i="3"/>
  <c r="F316" i="3"/>
  <c r="F312" i="3"/>
  <c r="F309" i="3"/>
  <c r="F320" i="3"/>
  <c r="F325" i="3"/>
  <c r="F305" i="3"/>
  <c r="F321" i="3"/>
  <c r="F313" i="3"/>
  <c r="F306" i="3"/>
  <c r="F318" i="3"/>
  <c r="F301" i="3"/>
  <c r="F324" i="3"/>
  <c r="F304" i="3"/>
  <c r="F317" i="3"/>
  <c r="F300" i="3"/>
  <c r="F314" i="3"/>
  <c r="F303" i="3"/>
  <c r="F255" i="3"/>
  <c r="F259" i="3"/>
  <c r="F256" i="3"/>
  <c r="F266" i="3"/>
  <c r="F263" i="3"/>
  <c r="F265" i="3"/>
  <c r="F262" i="3"/>
  <c r="F254" i="3"/>
  <c r="F269" i="3"/>
  <c r="F278" i="3"/>
  <c r="F270" i="3"/>
  <c r="F277" i="3"/>
  <c r="F253" i="3"/>
  <c r="F261" i="3"/>
  <c r="G169" i="3"/>
  <c r="I170" i="3"/>
  <c r="I169" i="3"/>
  <c r="E169" i="3"/>
  <c r="I168" i="3"/>
  <c r="G168" i="3"/>
  <c r="E168" i="3"/>
  <c r="C168" i="3"/>
  <c r="I167" i="3"/>
  <c r="G167" i="3"/>
  <c r="E167" i="3"/>
  <c r="C167" i="3"/>
  <c r="I166" i="3"/>
  <c r="G166" i="3"/>
  <c r="C479" i="3" l="1"/>
  <c r="D464" i="3" s="1"/>
  <c r="K464" i="3" s="1"/>
  <c r="K578" i="3"/>
  <c r="F1079" i="3"/>
  <c r="J1129" i="3"/>
  <c r="F1129" i="3"/>
  <c r="G279" i="3"/>
  <c r="H278" i="3" s="1"/>
  <c r="G479" i="3"/>
  <c r="H465" i="3" s="1"/>
  <c r="L465" i="3" s="1"/>
  <c r="J979" i="3"/>
  <c r="H979" i="3"/>
  <c r="F979" i="3"/>
  <c r="J929" i="3"/>
  <c r="L929" i="3"/>
  <c r="F929" i="3"/>
  <c r="J879" i="3"/>
  <c r="H879" i="3"/>
  <c r="D879" i="3"/>
  <c r="F429" i="3"/>
  <c r="K620" i="3"/>
  <c r="K1073" i="3"/>
  <c r="K1071" i="3"/>
  <c r="D471" i="3"/>
  <c r="K471" i="3" s="1"/>
  <c r="D451" i="3"/>
  <c r="K451" i="3" s="1"/>
  <c r="D454" i="3"/>
  <c r="F329" i="3"/>
  <c r="K612" i="3"/>
  <c r="L621" i="3"/>
  <c r="L614" i="3"/>
  <c r="I700" i="3" a="1"/>
  <c r="I700" i="3" s="1"/>
  <c r="K514" i="3"/>
  <c r="K524" i="3"/>
  <c r="K518" i="3"/>
  <c r="K376" i="3"/>
  <c r="K371" i="3"/>
  <c r="K372" i="3"/>
  <c r="L969" i="3"/>
  <c r="D457" i="3"/>
  <c r="K457" i="3" s="1"/>
  <c r="K915" i="3"/>
  <c r="K504" i="3"/>
  <c r="K825" i="3"/>
  <c r="L970" i="3"/>
  <c r="K1123" i="3"/>
  <c r="K1125" i="3"/>
  <c r="K1112" i="3"/>
  <c r="K1124" i="3"/>
  <c r="K512" i="3"/>
  <c r="K1060" i="3"/>
  <c r="K1052" i="3"/>
  <c r="K1109" i="3"/>
  <c r="K1126" i="3"/>
  <c r="K1108" i="3"/>
  <c r="E700" i="3" a="1"/>
  <c r="K510" i="3"/>
  <c r="K517" i="3"/>
  <c r="K502" i="3"/>
  <c r="K627" i="3"/>
  <c r="K655" i="3"/>
  <c r="K923" i="3"/>
  <c r="L973" i="3"/>
  <c r="L978" i="3"/>
  <c r="L954" i="3"/>
  <c r="K607" i="3"/>
  <c r="K525" i="3"/>
  <c r="K505" i="3"/>
  <c r="K667" i="3"/>
  <c r="K922" i="3"/>
  <c r="K920" i="3"/>
  <c r="L955" i="3"/>
  <c r="L861" i="3"/>
  <c r="I1029" i="3"/>
  <c r="J1003" i="3" s="1"/>
  <c r="K974" i="3"/>
  <c r="K966" i="3"/>
  <c r="K567" i="3"/>
  <c r="K821" i="3"/>
  <c r="L961" i="3"/>
  <c r="K577" i="3"/>
  <c r="K572" i="3"/>
  <c r="L620" i="3"/>
  <c r="L606" i="3"/>
  <c r="K663" i="3"/>
  <c r="L675" i="3"/>
  <c r="L660" i="3"/>
  <c r="L672" i="3"/>
  <c r="K761" i="3"/>
  <c r="K814" i="3"/>
  <c r="L959" i="3"/>
  <c r="L968" i="3"/>
  <c r="K955" i="3"/>
  <c r="K1119" i="3"/>
  <c r="K373" i="3"/>
  <c r="K353" i="3"/>
  <c r="K519" i="3"/>
  <c r="L853" i="3"/>
  <c r="L878" i="3"/>
  <c r="L864" i="3"/>
  <c r="K956" i="3"/>
  <c r="K977" i="3"/>
  <c r="K1057" i="3"/>
  <c r="K1115" i="3"/>
  <c r="K1118" i="3"/>
  <c r="K1122" i="3"/>
  <c r="K1104" i="3"/>
  <c r="K1128" i="3"/>
  <c r="F629" i="3"/>
  <c r="K374" i="3"/>
  <c r="K367" i="3"/>
  <c r="K359" i="3"/>
  <c r="K603" i="3"/>
  <c r="L862" i="3"/>
  <c r="K968" i="3"/>
  <c r="L951" i="3"/>
  <c r="L972" i="3"/>
  <c r="K1065" i="3"/>
  <c r="K1072" i="3"/>
  <c r="K1056" i="3"/>
  <c r="K1120" i="3"/>
  <c r="K1116" i="3"/>
  <c r="F279" i="3"/>
  <c r="K753" i="3"/>
  <c r="F829" i="3"/>
  <c r="L854" i="3"/>
  <c r="K377" i="3"/>
  <c r="K507" i="3"/>
  <c r="K511" i="3"/>
  <c r="L615" i="3"/>
  <c r="K608" i="3"/>
  <c r="K1067" i="3"/>
  <c r="K1064" i="3"/>
  <c r="K1117" i="3"/>
  <c r="K1102" i="3"/>
  <c r="K957" i="3"/>
  <c r="L661" i="3"/>
  <c r="K363" i="3"/>
  <c r="J479" i="3"/>
  <c r="J579" i="3"/>
  <c r="L627" i="3"/>
  <c r="L622" i="3"/>
  <c r="L865" i="3"/>
  <c r="L869" i="3"/>
  <c r="L857" i="3"/>
  <c r="L976" i="3"/>
  <c r="L963" i="3"/>
  <c r="L964" i="3"/>
  <c r="K1103" i="3"/>
  <c r="K1114" i="3"/>
  <c r="K1110" i="3"/>
  <c r="K1106" i="3"/>
  <c r="K1121" i="3"/>
  <c r="K1111" i="3"/>
  <c r="K1127" i="3"/>
  <c r="K1075" i="3"/>
  <c r="K1062" i="3"/>
  <c r="K1061" i="3"/>
  <c r="K1074" i="3"/>
  <c r="K1076" i="3"/>
  <c r="K1068" i="3"/>
  <c r="K1066" i="3"/>
  <c r="K1070" i="3"/>
  <c r="K1058" i="3"/>
  <c r="K1053" i="3"/>
  <c r="L971" i="3"/>
  <c r="L965" i="3"/>
  <c r="L967" i="3"/>
  <c r="L953" i="3"/>
  <c r="L974" i="3"/>
  <c r="K972" i="3"/>
  <c r="K963" i="3"/>
  <c r="K970" i="3"/>
  <c r="K960" i="3"/>
  <c r="K976" i="3"/>
  <c r="K962" i="3"/>
  <c r="K926" i="3"/>
  <c r="K907" i="3"/>
  <c r="K924" i="3"/>
  <c r="K910" i="3"/>
  <c r="K912" i="3"/>
  <c r="K927" i="3"/>
  <c r="L851" i="3"/>
  <c r="L872" i="3"/>
  <c r="L867" i="3"/>
  <c r="L860" i="3"/>
  <c r="L866" i="3"/>
  <c r="K811" i="3"/>
  <c r="K813" i="3"/>
  <c r="L829" i="3"/>
  <c r="J829" i="3"/>
  <c r="K803" i="3"/>
  <c r="K816" i="3"/>
  <c r="K766" i="3"/>
  <c r="L779" i="3"/>
  <c r="J779" i="3"/>
  <c r="F779" i="3"/>
  <c r="K755" i="3"/>
  <c r="K775" i="3"/>
  <c r="K756" i="3"/>
  <c r="D729" i="3"/>
  <c r="J679" i="3"/>
  <c r="L668" i="3"/>
  <c r="L667" i="3"/>
  <c r="L651" i="3"/>
  <c r="L656" i="3"/>
  <c r="H679" i="3"/>
  <c r="K671" i="3"/>
  <c r="K678" i="3"/>
  <c r="F679" i="3"/>
  <c r="L654" i="3"/>
  <c r="L678" i="3"/>
  <c r="L655" i="3"/>
  <c r="L664" i="3"/>
  <c r="L670" i="3"/>
  <c r="L677" i="3"/>
  <c r="L674" i="3"/>
  <c r="K664" i="3"/>
  <c r="K661" i="3"/>
  <c r="K673" i="3"/>
  <c r="K677" i="3"/>
  <c r="K670" i="3"/>
  <c r="K658" i="3"/>
  <c r="L612" i="3"/>
  <c r="L617" i="3"/>
  <c r="L626" i="3"/>
  <c r="J629" i="3"/>
  <c r="L613" i="3"/>
  <c r="H629" i="3"/>
  <c r="K622" i="3"/>
  <c r="K606" i="3"/>
  <c r="K614" i="3"/>
  <c r="K623" i="3"/>
  <c r="D629" i="3"/>
  <c r="L624" i="3"/>
  <c r="L609" i="3"/>
  <c r="L628" i="3"/>
  <c r="L610" i="3"/>
  <c r="L604" i="3"/>
  <c r="L625" i="3"/>
  <c r="L601" i="3"/>
  <c r="K611" i="3"/>
  <c r="K616" i="3"/>
  <c r="K621" i="3"/>
  <c r="K625" i="3"/>
  <c r="K624" i="3"/>
  <c r="L579" i="3"/>
  <c r="F579" i="3"/>
  <c r="K575" i="3"/>
  <c r="K576" i="3"/>
  <c r="K555" i="3"/>
  <c r="K563" i="3"/>
  <c r="K570" i="3"/>
  <c r="K562" i="3"/>
  <c r="J529" i="3"/>
  <c r="K520" i="3"/>
  <c r="F529" i="3"/>
  <c r="D529" i="3"/>
  <c r="K527" i="3"/>
  <c r="K528" i="3"/>
  <c r="K503" i="3"/>
  <c r="K509" i="3"/>
  <c r="K523" i="3"/>
  <c r="F479" i="3"/>
  <c r="F379" i="3"/>
  <c r="J379" i="3"/>
  <c r="K360" i="3"/>
  <c r="K369" i="3"/>
  <c r="K1101" i="3"/>
  <c r="D1129" i="3"/>
  <c r="K1113" i="3"/>
  <c r="K1105" i="3"/>
  <c r="D1079" i="3"/>
  <c r="K1051" i="3"/>
  <c r="K1054" i="3"/>
  <c r="K1077" i="3"/>
  <c r="K1055" i="3"/>
  <c r="K1063" i="3"/>
  <c r="K1069" i="3"/>
  <c r="D1029" i="3"/>
  <c r="K961" i="3"/>
  <c r="K978" i="3"/>
  <c r="K965" i="3"/>
  <c r="L958" i="3"/>
  <c r="L966" i="3"/>
  <c r="K973" i="3"/>
  <c r="D979" i="3"/>
  <c r="K951" i="3"/>
  <c r="K967" i="3"/>
  <c r="K958" i="3"/>
  <c r="K954" i="3"/>
  <c r="L962" i="3"/>
  <c r="L952" i="3"/>
  <c r="L960" i="3"/>
  <c r="K953" i="3"/>
  <c r="K964" i="3"/>
  <c r="K971" i="3"/>
  <c r="K952" i="3"/>
  <c r="L977" i="3"/>
  <c r="K919" i="3"/>
  <c r="K914" i="3"/>
  <c r="K928" i="3"/>
  <c r="K904" i="3"/>
  <c r="K916" i="3"/>
  <c r="K908" i="3"/>
  <c r="K925" i="3"/>
  <c r="K901" i="3"/>
  <c r="D929" i="3"/>
  <c r="K905" i="3"/>
  <c r="K906" i="3"/>
  <c r="K913" i="3"/>
  <c r="K917" i="3"/>
  <c r="K903" i="3"/>
  <c r="K911" i="3"/>
  <c r="K902" i="3"/>
  <c r="K909" i="3"/>
  <c r="K921" i="3"/>
  <c r="L871" i="3"/>
  <c r="L855" i="3"/>
  <c r="L852" i="3"/>
  <c r="L868" i="3"/>
  <c r="L875" i="3"/>
  <c r="L877" i="3"/>
  <c r="L856" i="3"/>
  <c r="L858" i="3"/>
  <c r="L876" i="3"/>
  <c r="L863" i="3"/>
  <c r="L874" i="3"/>
  <c r="L859" i="3"/>
  <c r="K812" i="3"/>
  <c r="K805" i="3"/>
  <c r="K827" i="3"/>
  <c r="K801" i="3"/>
  <c r="D829" i="3"/>
  <c r="K808" i="3"/>
  <c r="K810" i="3"/>
  <c r="K806" i="3"/>
  <c r="K804" i="3"/>
  <c r="K757" i="3"/>
  <c r="K760" i="3"/>
  <c r="K752" i="3"/>
  <c r="K759" i="3"/>
  <c r="D779" i="3"/>
  <c r="K751" i="3"/>
  <c r="K769" i="3"/>
  <c r="K762" i="3"/>
  <c r="K758" i="3"/>
  <c r="K777" i="3"/>
  <c r="K778" i="3"/>
  <c r="K763" i="3"/>
  <c r="K764" i="3"/>
  <c r="K771" i="3"/>
  <c r="K767" i="3"/>
  <c r="K754" i="3"/>
  <c r="L673" i="3"/>
  <c r="K654" i="3"/>
  <c r="L659" i="3"/>
  <c r="L671" i="3"/>
  <c r="L666" i="3"/>
  <c r="L676" i="3"/>
  <c r="K674" i="3"/>
  <c r="K662" i="3"/>
  <c r="K665" i="3"/>
  <c r="K660" i="3"/>
  <c r="K659" i="3"/>
  <c r="K672" i="3"/>
  <c r="L658" i="3"/>
  <c r="L652" i="3"/>
  <c r="D679" i="3"/>
  <c r="K651" i="3"/>
  <c r="L605" i="3"/>
  <c r="K619" i="3"/>
  <c r="L602" i="3"/>
  <c r="L618" i="3"/>
  <c r="K628" i="3"/>
  <c r="D579" i="3"/>
  <c r="K551" i="3"/>
  <c r="K561" i="3"/>
  <c r="K553" i="3"/>
  <c r="K573" i="3"/>
  <c r="K565" i="3"/>
  <c r="K557" i="3"/>
  <c r="K569" i="3"/>
  <c r="K554" i="3"/>
  <c r="K556" i="3"/>
  <c r="K560" i="3"/>
  <c r="K559" i="3"/>
  <c r="K558" i="3"/>
  <c r="K568" i="3"/>
  <c r="K564" i="3"/>
  <c r="K515" i="3"/>
  <c r="K513" i="3"/>
  <c r="K508" i="3"/>
  <c r="K526" i="3"/>
  <c r="K506" i="3"/>
  <c r="K522" i="3"/>
  <c r="K516" i="3"/>
  <c r="K501" i="3"/>
  <c r="K358" i="3"/>
  <c r="K357" i="3"/>
  <c r="K352" i="3"/>
  <c r="K356" i="3"/>
  <c r="K370" i="3"/>
  <c r="K354" i="3"/>
  <c r="K364" i="3"/>
  <c r="D379" i="3"/>
  <c r="K351" i="3"/>
  <c r="K362" i="3"/>
  <c r="K365" i="3"/>
  <c r="K368" i="3"/>
  <c r="I165" i="3"/>
  <c r="G165" i="3"/>
  <c r="E165" i="3"/>
  <c r="C165" i="3"/>
  <c r="K166" i="3"/>
  <c r="K167" i="3"/>
  <c r="K168" i="3"/>
  <c r="K169" i="3"/>
  <c r="K170" i="3"/>
  <c r="K172" i="3"/>
  <c r="K173" i="3"/>
  <c r="K174" i="3"/>
  <c r="I164" i="3"/>
  <c r="G164" i="3"/>
  <c r="E164" i="3"/>
  <c r="C164" i="3"/>
  <c r="I163" i="3"/>
  <c r="G163" i="3"/>
  <c r="E163" i="3"/>
  <c r="C163" i="3"/>
  <c r="DQ19" i="1"/>
  <c r="G500" i="3" s="1" a="1"/>
  <c r="D475" i="3" l="1"/>
  <c r="K475" i="3" s="1"/>
  <c r="D477" i="3"/>
  <c r="K477" i="3" s="1"/>
  <c r="D469" i="3"/>
  <c r="K469" i="3" s="1"/>
  <c r="D452" i="3"/>
  <c r="K452" i="3" s="1"/>
  <c r="D467" i="3"/>
  <c r="K467" i="3" s="1"/>
  <c r="D461" i="3"/>
  <c r="K461" i="3" s="1"/>
  <c r="D450" i="3"/>
  <c r="D478" i="3"/>
  <c r="K478" i="3" s="1"/>
  <c r="D466" i="3"/>
  <c r="K466" i="3" s="1"/>
  <c r="D462" i="3"/>
  <c r="K462" i="3" s="1"/>
  <c r="D455" i="3"/>
  <c r="K455" i="3" s="1"/>
  <c r="D459" i="3"/>
  <c r="K459" i="3" s="1"/>
  <c r="D476" i="3"/>
  <c r="K476" i="3" s="1"/>
  <c r="D463" i="3"/>
  <c r="K463" i="3" s="1"/>
  <c r="D472" i="3"/>
  <c r="K472" i="3" s="1"/>
  <c r="D470" i="3"/>
  <c r="K470" i="3" s="1"/>
  <c r="D453" i="3"/>
  <c r="K453" i="3" s="1"/>
  <c r="D456" i="3"/>
  <c r="K456" i="3" s="1"/>
  <c r="D468" i="3"/>
  <c r="K468" i="3" s="1"/>
  <c r="D458" i="3"/>
  <c r="K458" i="3" s="1"/>
  <c r="D474" i="3"/>
  <c r="K474" i="3" s="1"/>
  <c r="D473" i="3"/>
  <c r="K473" i="3" s="1"/>
  <c r="D460" i="3"/>
  <c r="K460" i="3" s="1"/>
  <c r="D465" i="3"/>
  <c r="K465" i="3" s="1"/>
  <c r="K1129" i="3"/>
  <c r="K1079" i="3"/>
  <c r="L979" i="3"/>
  <c r="K979" i="3"/>
  <c r="K929" i="3"/>
  <c r="L879" i="3"/>
  <c r="A480" i="3"/>
  <c r="H461" i="3"/>
  <c r="L461" i="3" s="1"/>
  <c r="H456" i="3"/>
  <c r="L456" i="3" s="1"/>
  <c r="H472" i="3"/>
  <c r="L472" i="3" s="1"/>
  <c r="H455" i="3"/>
  <c r="L455" i="3" s="1"/>
  <c r="H471" i="3"/>
  <c r="L471" i="3" s="1"/>
  <c r="H451" i="3"/>
  <c r="L451" i="3" s="1"/>
  <c r="H478" i="3"/>
  <c r="L478" i="3" s="1"/>
  <c r="H458" i="3"/>
  <c r="L458" i="3" s="1"/>
  <c r="H476" i="3"/>
  <c r="L476" i="3" s="1"/>
  <c r="H464" i="3"/>
  <c r="L464" i="3" s="1"/>
  <c r="H474" i="3"/>
  <c r="L474" i="3" s="1"/>
  <c r="H265" i="3"/>
  <c r="H275" i="3"/>
  <c r="H257" i="3"/>
  <c r="H450" i="3"/>
  <c r="H263" i="3"/>
  <c r="H276" i="3"/>
  <c r="H255" i="3"/>
  <c r="H266" i="3"/>
  <c r="H274" i="3"/>
  <c r="H277" i="3"/>
  <c r="H268" i="3"/>
  <c r="H256" i="3"/>
  <c r="H251" i="3"/>
  <c r="H272" i="3"/>
  <c r="H252" i="3"/>
  <c r="H462" i="3"/>
  <c r="L462" i="3" s="1"/>
  <c r="H469" i="3"/>
  <c r="L469" i="3" s="1"/>
  <c r="H468" i="3"/>
  <c r="L468" i="3" s="1"/>
  <c r="H470" i="3"/>
  <c r="L470" i="3" s="1"/>
  <c r="H467" i="3"/>
  <c r="L467" i="3" s="1"/>
  <c r="H454" i="3"/>
  <c r="L454" i="3" s="1"/>
  <c r="H477" i="3"/>
  <c r="L477" i="3" s="1"/>
  <c r="H261" i="3"/>
  <c r="H271" i="3"/>
  <c r="H259" i="3"/>
  <c r="H253" i="3"/>
  <c r="H250" i="3"/>
  <c r="H260" i="3"/>
  <c r="H273" i="3"/>
  <c r="H466" i="3"/>
  <c r="L466" i="3" s="1"/>
  <c r="H457" i="3"/>
  <c r="L457" i="3" s="1"/>
  <c r="H475" i="3"/>
  <c r="L475" i="3" s="1"/>
  <c r="H452" i="3"/>
  <c r="L452" i="3" s="1"/>
  <c r="H473" i="3"/>
  <c r="L473" i="3" s="1"/>
  <c r="H459" i="3"/>
  <c r="L459" i="3" s="1"/>
  <c r="H463" i="3"/>
  <c r="L463" i="3" s="1"/>
  <c r="H254" i="3"/>
  <c r="H258" i="3"/>
  <c r="H267" i="3"/>
  <c r="H264" i="3"/>
  <c r="H270" i="3"/>
  <c r="H269" i="3"/>
  <c r="H262" i="3"/>
  <c r="H460" i="3"/>
  <c r="L460" i="3" s="1"/>
  <c r="H453" i="3"/>
  <c r="L453" i="3" s="1"/>
  <c r="K454" i="3"/>
  <c r="I723" i="3"/>
  <c r="I725" i="3"/>
  <c r="I704" i="3"/>
  <c r="I721" i="3"/>
  <c r="I711" i="3"/>
  <c r="I718" i="3"/>
  <c r="I713" i="3"/>
  <c r="I705" i="3"/>
  <c r="I706" i="3"/>
  <c r="I710" i="3"/>
  <c r="I716" i="3"/>
  <c r="I726" i="3"/>
  <c r="I708" i="3"/>
  <c r="I717" i="3"/>
  <c r="I722" i="3"/>
  <c r="I701" i="3"/>
  <c r="I719" i="3"/>
  <c r="I712" i="3"/>
  <c r="I702" i="3"/>
  <c r="I709" i="3"/>
  <c r="I714" i="3"/>
  <c r="I728" i="3"/>
  <c r="I720" i="3"/>
  <c r="I707" i="3"/>
  <c r="I724" i="3"/>
  <c r="I727" i="3"/>
  <c r="I715" i="3"/>
  <c r="I703" i="3"/>
  <c r="J1027" i="3"/>
  <c r="J1014" i="3"/>
  <c r="J1013" i="3"/>
  <c r="J1025" i="3"/>
  <c r="J1018" i="3"/>
  <c r="J1004" i="3"/>
  <c r="J1008" i="3"/>
  <c r="J1009" i="3"/>
  <c r="J1028" i="3"/>
  <c r="J1010" i="3"/>
  <c r="J1007" i="3"/>
  <c r="J1024" i="3"/>
  <c r="J1017" i="3"/>
  <c r="J1001" i="3"/>
  <c r="J1015" i="3"/>
  <c r="J1016" i="3"/>
  <c r="J1021" i="3"/>
  <c r="J1026" i="3"/>
  <c r="J1022" i="3"/>
  <c r="J1006" i="3"/>
  <c r="J1002" i="3"/>
  <c r="J1023" i="3"/>
  <c r="J1012" i="3"/>
  <c r="J1019" i="3"/>
  <c r="J1005" i="3"/>
  <c r="J1000" i="3"/>
  <c r="E700" i="3"/>
  <c r="E715" i="3"/>
  <c r="E726" i="3"/>
  <c r="E710" i="3"/>
  <c r="E721" i="3"/>
  <c r="E705" i="3"/>
  <c r="E720" i="3"/>
  <c r="E704" i="3"/>
  <c r="E723" i="3"/>
  <c r="E718" i="3"/>
  <c r="E713" i="3"/>
  <c r="E712" i="3"/>
  <c r="E727" i="3"/>
  <c r="E711" i="3"/>
  <c r="E722" i="3"/>
  <c r="E706" i="3"/>
  <c r="E717" i="3"/>
  <c r="E701" i="3"/>
  <c r="E716" i="3"/>
  <c r="E707" i="3"/>
  <c r="E702" i="3"/>
  <c r="E728" i="3"/>
  <c r="E725" i="3"/>
  <c r="E724" i="3"/>
  <c r="E719" i="3"/>
  <c r="E709" i="3"/>
  <c r="E703" i="3"/>
  <c r="E714" i="3"/>
  <c r="E708" i="3"/>
  <c r="J1011" i="3"/>
  <c r="J1020" i="3"/>
  <c r="G500" i="3"/>
  <c r="G513" i="3"/>
  <c r="G509" i="3"/>
  <c r="G523" i="3"/>
  <c r="G501" i="3"/>
  <c r="G516" i="3"/>
  <c r="G506" i="3"/>
  <c r="G522" i="3"/>
  <c r="G508" i="3"/>
  <c r="G525" i="3"/>
  <c r="G504" i="3"/>
  <c r="G517" i="3"/>
  <c r="G511" i="3"/>
  <c r="G510" i="3"/>
  <c r="G526" i="3"/>
  <c r="G524" i="3"/>
  <c r="G503" i="3"/>
  <c r="G520" i="3"/>
  <c r="G512" i="3"/>
  <c r="G527" i="3"/>
  <c r="G505" i="3"/>
  <c r="G514" i="3"/>
  <c r="G519" i="3"/>
  <c r="G518" i="3"/>
  <c r="G528" i="3"/>
  <c r="G507" i="3"/>
  <c r="G521" i="3"/>
  <c r="G515" i="3"/>
  <c r="G502" i="3"/>
  <c r="K629" i="3"/>
  <c r="K829" i="3"/>
  <c r="K779" i="3"/>
  <c r="L679" i="3"/>
  <c r="K679" i="3"/>
  <c r="L629" i="3"/>
  <c r="K579" i="3"/>
  <c r="K529" i="3"/>
  <c r="K379" i="3"/>
  <c r="K163" i="3"/>
  <c r="K164" i="3"/>
  <c r="K165" i="3"/>
  <c r="I162" i="3"/>
  <c r="G162" i="3"/>
  <c r="E162" i="3"/>
  <c r="C162" i="3"/>
  <c r="DH39" i="1"/>
  <c r="I157" i="3"/>
  <c r="G157" i="3"/>
  <c r="I156" i="3"/>
  <c r="C156" i="3"/>
  <c r="G156" i="3"/>
  <c r="E156" i="3"/>
  <c r="E157" i="3"/>
  <c r="C157" i="3"/>
  <c r="G160" i="3"/>
  <c r="I160" i="3"/>
  <c r="I159" i="3"/>
  <c r="G159" i="3"/>
  <c r="E160" i="3"/>
  <c r="C160" i="3"/>
  <c r="E159" i="3"/>
  <c r="E153" i="3"/>
  <c r="C159" i="3"/>
  <c r="EE51" i="5"/>
  <c r="I400" i="3" s="1" a="1"/>
  <c r="DI9" i="1"/>
  <c r="CX9" i="1"/>
  <c r="N385" i="3" s="1"/>
  <c r="I154" i="3"/>
  <c r="I153" i="3"/>
  <c r="G154" i="3"/>
  <c r="G153" i="3"/>
  <c r="DI51" i="5"/>
  <c r="I300" i="3" s="1" a="1"/>
  <c r="K479" i="3" l="1"/>
  <c r="D479" i="3"/>
  <c r="G400" i="3" a="1"/>
  <c r="G422" i="3" s="1"/>
  <c r="N435" i="3"/>
  <c r="C400" i="3" a="1"/>
  <c r="C426" i="3" s="1"/>
  <c r="N434" i="3"/>
  <c r="G529" i="3"/>
  <c r="H526" i="3" s="1"/>
  <c r="L526" i="3" s="1"/>
  <c r="L479" i="3"/>
  <c r="H279" i="3"/>
  <c r="H479" i="3"/>
  <c r="G350" i="3" a="1"/>
  <c r="G362" i="3" s="1"/>
  <c r="I729" i="3"/>
  <c r="J718" i="3" s="1"/>
  <c r="L718" i="3" s="1"/>
  <c r="I412" i="3"/>
  <c r="I420" i="3"/>
  <c r="I423" i="3"/>
  <c r="I403" i="3"/>
  <c r="I424" i="3"/>
  <c r="I416" i="3"/>
  <c r="I418" i="3"/>
  <c r="I404" i="3"/>
  <c r="I425" i="3"/>
  <c r="I409" i="3"/>
  <c r="I406" i="3"/>
  <c r="I427" i="3"/>
  <c r="I426" i="3"/>
  <c r="I410" i="3"/>
  <c r="I401" i="3"/>
  <c r="I411" i="3"/>
  <c r="I428" i="3"/>
  <c r="I413" i="3"/>
  <c r="I402" i="3"/>
  <c r="I408" i="3"/>
  <c r="I400" i="3"/>
  <c r="I422" i="3"/>
  <c r="I407" i="3"/>
  <c r="I421" i="3"/>
  <c r="I405" i="3"/>
  <c r="I414" i="3"/>
  <c r="I417" i="3"/>
  <c r="I419" i="3"/>
  <c r="I415" i="3"/>
  <c r="E729" i="3"/>
  <c r="F725" i="3" s="1"/>
  <c r="K725" i="3" s="1"/>
  <c r="I302" i="3"/>
  <c r="I318" i="3"/>
  <c r="I314" i="3"/>
  <c r="I306" i="3"/>
  <c r="I327" i="3"/>
  <c r="I316" i="3"/>
  <c r="I321" i="3"/>
  <c r="I313" i="3"/>
  <c r="I325" i="3"/>
  <c r="I308" i="3"/>
  <c r="I310" i="3"/>
  <c r="I307" i="3"/>
  <c r="I309" i="3"/>
  <c r="I322" i="3"/>
  <c r="I320" i="3"/>
  <c r="I326" i="3"/>
  <c r="I323" i="3"/>
  <c r="I300" i="3"/>
  <c r="I319" i="3"/>
  <c r="I311" i="3"/>
  <c r="I328" i="3"/>
  <c r="I312" i="3"/>
  <c r="I315" i="3"/>
  <c r="I305" i="3"/>
  <c r="I303" i="3"/>
  <c r="I317" i="3"/>
  <c r="I324" i="3"/>
  <c r="I301" i="3"/>
  <c r="I304" i="3"/>
  <c r="J715" i="3"/>
  <c r="L715" i="3" s="1"/>
  <c r="J1029" i="3"/>
  <c r="G161" i="3"/>
  <c r="K162" i="3"/>
  <c r="G155" i="3"/>
  <c r="I155" i="3"/>
  <c r="E161" i="3"/>
  <c r="I161" i="3"/>
  <c r="C161" i="3"/>
  <c r="C158" i="3"/>
  <c r="K156" i="3"/>
  <c r="K157" i="3"/>
  <c r="I158" i="3"/>
  <c r="K160" i="3"/>
  <c r="K159" i="3"/>
  <c r="E158" i="3"/>
  <c r="G158" i="3"/>
  <c r="C154" i="3"/>
  <c r="E154" i="3"/>
  <c r="E155" i="3" s="1"/>
  <c r="C153" i="3"/>
  <c r="C151" i="3"/>
  <c r="CM38" i="1"/>
  <c r="CL28" i="1"/>
  <c r="CM9" i="1"/>
  <c r="C404" i="3" l="1"/>
  <c r="C418" i="3"/>
  <c r="C412" i="3"/>
  <c r="C413" i="3"/>
  <c r="C401" i="3"/>
  <c r="C405" i="3"/>
  <c r="C408" i="3"/>
  <c r="C421" i="3"/>
  <c r="C415" i="3"/>
  <c r="G408" i="3"/>
  <c r="C428" i="3"/>
  <c r="C409" i="3"/>
  <c r="C407" i="3"/>
  <c r="G415" i="3"/>
  <c r="C420" i="3"/>
  <c r="C416" i="3"/>
  <c r="C410" i="3"/>
  <c r="G401" i="3"/>
  <c r="C419" i="3"/>
  <c r="C427" i="3"/>
  <c r="C406" i="3"/>
  <c r="C414" i="3"/>
  <c r="C400" i="3"/>
  <c r="C417" i="3"/>
  <c r="C424" i="3"/>
  <c r="G407" i="3"/>
  <c r="G414" i="3"/>
  <c r="C422" i="3"/>
  <c r="C403" i="3"/>
  <c r="C411" i="3"/>
  <c r="C425" i="3"/>
  <c r="C402" i="3"/>
  <c r="C423" i="3"/>
  <c r="G423" i="3"/>
  <c r="G411" i="3"/>
  <c r="G404" i="3"/>
  <c r="G412" i="3"/>
  <c r="G420" i="3"/>
  <c r="G424" i="3"/>
  <c r="G403" i="3"/>
  <c r="G417" i="3"/>
  <c r="G427" i="3"/>
  <c r="G428" i="3"/>
  <c r="G405" i="3"/>
  <c r="G413" i="3"/>
  <c r="G421" i="3"/>
  <c r="G409" i="3"/>
  <c r="G419" i="3"/>
  <c r="G406" i="3"/>
  <c r="G400" i="3"/>
  <c r="G402" i="3"/>
  <c r="G410" i="3"/>
  <c r="G418" i="3"/>
  <c r="G426" i="3"/>
  <c r="G425" i="3"/>
  <c r="G416" i="3"/>
  <c r="N333" i="3"/>
  <c r="C300" i="3" a="1"/>
  <c r="I429" i="3"/>
  <c r="J400" i="3" s="1"/>
  <c r="I329" i="3"/>
  <c r="J323" i="3" s="1"/>
  <c r="J707" i="3"/>
  <c r="L707" i="3" s="1"/>
  <c r="J705" i="3"/>
  <c r="L705" i="3" s="1"/>
  <c r="J722" i="3"/>
  <c r="L722" i="3" s="1"/>
  <c r="J709" i="3"/>
  <c r="L709" i="3" s="1"/>
  <c r="J717" i="3"/>
  <c r="L717" i="3" s="1"/>
  <c r="G367" i="3"/>
  <c r="G357" i="3"/>
  <c r="G365" i="3"/>
  <c r="G372" i="3"/>
  <c r="G373" i="3"/>
  <c r="G375" i="3"/>
  <c r="G350" i="3"/>
  <c r="G378" i="3"/>
  <c r="G363" i="3"/>
  <c r="G353" i="3"/>
  <c r="G355" i="3"/>
  <c r="G371" i="3"/>
  <c r="G354" i="3"/>
  <c r="G300" i="3" a="1"/>
  <c r="G352" i="3"/>
  <c r="G360" i="3"/>
  <c r="G368" i="3"/>
  <c r="G376" i="3"/>
  <c r="G364" i="3"/>
  <c r="G370" i="3"/>
  <c r="G361" i="3"/>
  <c r="G351" i="3"/>
  <c r="G377" i="3"/>
  <c r="G358" i="3"/>
  <c r="G366" i="3"/>
  <c r="G374" i="3"/>
  <c r="G359" i="3"/>
  <c r="G369" i="3"/>
  <c r="G356" i="3"/>
  <c r="H520" i="3"/>
  <c r="L520" i="3" s="1"/>
  <c r="F704" i="3"/>
  <c r="K704" i="3" s="1"/>
  <c r="J708" i="3"/>
  <c r="L708" i="3" s="1"/>
  <c r="J712" i="3"/>
  <c r="L712" i="3" s="1"/>
  <c r="J711" i="3"/>
  <c r="L711" i="3" s="1"/>
  <c r="J704" i="3"/>
  <c r="L704" i="3" s="1"/>
  <c r="J703" i="3"/>
  <c r="L703" i="3" s="1"/>
  <c r="J700" i="3"/>
  <c r="J713" i="3"/>
  <c r="L713" i="3" s="1"/>
  <c r="J706" i="3"/>
  <c r="L706" i="3" s="1"/>
  <c r="J702" i="3"/>
  <c r="L702" i="3" s="1"/>
  <c r="J714" i="3"/>
  <c r="L714" i="3" s="1"/>
  <c r="J721" i="3"/>
  <c r="L721" i="3" s="1"/>
  <c r="J725" i="3"/>
  <c r="L725" i="3" s="1"/>
  <c r="J710" i="3"/>
  <c r="L710" i="3" s="1"/>
  <c r="J701" i="3"/>
  <c r="L701" i="3" s="1"/>
  <c r="J723" i="3"/>
  <c r="L723" i="3" s="1"/>
  <c r="J720" i="3"/>
  <c r="L720" i="3" s="1"/>
  <c r="J726" i="3"/>
  <c r="L726" i="3" s="1"/>
  <c r="J724" i="3"/>
  <c r="L724" i="3" s="1"/>
  <c r="J719" i="3"/>
  <c r="L719" i="3" s="1"/>
  <c r="A730" i="3"/>
  <c r="J716" i="3"/>
  <c r="L716" i="3" s="1"/>
  <c r="J727" i="3"/>
  <c r="L727" i="3" s="1"/>
  <c r="J728" i="3"/>
  <c r="L728" i="3" s="1"/>
  <c r="F711" i="3"/>
  <c r="K711" i="3" s="1"/>
  <c r="F724" i="3"/>
  <c r="K724" i="3" s="1"/>
  <c r="H513" i="3"/>
  <c r="L513" i="3" s="1"/>
  <c r="F708" i="3"/>
  <c r="K708" i="3" s="1"/>
  <c r="F712" i="3"/>
  <c r="K712" i="3" s="1"/>
  <c r="F706" i="3"/>
  <c r="K706" i="3" s="1"/>
  <c r="F705" i="3"/>
  <c r="K705" i="3" s="1"/>
  <c r="F727" i="3"/>
  <c r="K727" i="3" s="1"/>
  <c r="F703" i="3"/>
  <c r="K703" i="3" s="1"/>
  <c r="F728" i="3"/>
  <c r="K728" i="3" s="1"/>
  <c r="F714" i="3"/>
  <c r="K714" i="3" s="1"/>
  <c r="F709" i="3"/>
  <c r="K709" i="3" s="1"/>
  <c r="F721" i="3"/>
  <c r="K721" i="3" s="1"/>
  <c r="F720" i="3"/>
  <c r="K720" i="3" s="1"/>
  <c r="F710" i="3"/>
  <c r="K710" i="3" s="1"/>
  <c r="F707" i="3"/>
  <c r="K707" i="3" s="1"/>
  <c r="F718" i="3"/>
  <c r="K718" i="3" s="1"/>
  <c r="F716" i="3"/>
  <c r="K716" i="3" s="1"/>
  <c r="F700" i="3"/>
  <c r="F702" i="3"/>
  <c r="K702" i="3" s="1"/>
  <c r="F715" i="3"/>
  <c r="K715" i="3" s="1"/>
  <c r="F701" i="3"/>
  <c r="K701" i="3" s="1"/>
  <c r="F713" i="3"/>
  <c r="K713" i="3" s="1"/>
  <c r="F723" i="3"/>
  <c r="K723" i="3" s="1"/>
  <c r="F719" i="3"/>
  <c r="K719" i="3" s="1"/>
  <c r="F722" i="3"/>
  <c r="K722" i="3" s="1"/>
  <c r="F717" i="3"/>
  <c r="K717" i="3" s="1"/>
  <c r="F726" i="3"/>
  <c r="K726" i="3" s="1"/>
  <c r="H505" i="3"/>
  <c r="L505" i="3" s="1"/>
  <c r="A530" i="3"/>
  <c r="H503" i="3"/>
  <c r="L503" i="3" s="1"/>
  <c r="H516" i="3"/>
  <c r="L516" i="3" s="1"/>
  <c r="H514" i="3"/>
  <c r="L514" i="3" s="1"/>
  <c r="H509" i="3"/>
  <c r="L509" i="3" s="1"/>
  <c r="H512" i="3"/>
  <c r="L512" i="3" s="1"/>
  <c r="H522" i="3"/>
  <c r="L522" i="3" s="1"/>
  <c r="H518" i="3"/>
  <c r="L518" i="3" s="1"/>
  <c r="H501" i="3"/>
  <c r="L501" i="3" s="1"/>
  <c r="H528" i="3"/>
  <c r="L528" i="3" s="1"/>
  <c r="H525" i="3"/>
  <c r="L525" i="3" s="1"/>
  <c r="H507" i="3"/>
  <c r="L507" i="3" s="1"/>
  <c r="H506" i="3"/>
  <c r="L506" i="3" s="1"/>
  <c r="H519" i="3"/>
  <c r="L519" i="3" s="1"/>
  <c r="H517" i="3"/>
  <c r="L517" i="3" s="1"/>
  <c r="H515" i="3"/>
  <c r="L515" i="3" s="1"/>
  <c r="H508" i="3"/>
  <c r="L508" i="3" s="1"/>
  <c r="H502" i="3"/>
  <c r="L502" i="3" s="1"/>
  <c r="H523" i="3"/>
  <c r="L523" i="3" s="1"/>
  <c r="H527" i="3"/>
  <c r="L527" i="3" s="1"/>
  <c r="H510" i="3"/>
  <c r="L510" i="3" s="1"/>
  <c r="H504" i="3"/>
  <c r="L504" i="3" s="1"/>
  <c r="H521" i="3"/>
  <c r="L521" i="3" s="1"/>
  <c r="H524" i="3"/>
  <c r="L524" i="3" s="1"/>
  <c r="H500" i="3"/>
  <c r="H511" i="3"/>
  <c r="L511" i="3" s="1"/>
  <c r="K161" i="3"/>
  <c r="K153" i="3"/>
  <c r="C155" i="3"/>
  <c r="K155" i="3" s="1"/>
  <c r="K154" i="3"/>
  <c r="K158" i="3"/>
  <c r="C429" i="3" l="1"/>
  <c r="D406" i="3" s="1"/>
  <c r="K406" i="3" s="1"/>
  <c r="G429" i="3"/>
  <c r="H423" i="3" s="1"/>
  <c r="K729" i="3"/>
  <c r="C300" i="3"/>
  <c r="C323" i="3"/>
  <c r="C307" i="3"/>
  <c r="C318" i="3"/>
  <c r="C302" i="3"/>
  <c r="C317" i="3"/>
  <c r="C301" i="3"/>
  <c r="C312" i="3"/>
  <c r="C319" i="3"/>
  <c r="C303" i="3"/>
  <c r="C314" i="3"/>
  <c r="C328" i="3"/>
  <c r="C313" i="3"/>
  <c r="C324" i="3"/>
  <c r="C308" i="3"/>
  <c r="C315" i="3"/>
  <c r="C326" i="3"/>
  <c r="C310" i="3"/>
  <c r="C325" i="3"/>
  <c r="C309" i="3"/>
  <c r="C320" i="3"/>
  <c r="C304" i="3"/>
  <c r="C327" i="3"/>
  <c r="C311" i="3"/>
  <c r="C322" i="3"/>
  <c r="C306" i="3"/>
  <c r="C321" i="3"/>
  <c r="C305" i="3"/>
  <c r="C316" i="3"/>
  <c r="J407" i="3"/>
  <c r="G379" i="3"/>
  <c r="A380" i="3" s="1"/>
  <c r="G301" i="3"/>
  <c r="G328" i="3"/>
  <c r="G312" i="3"/>
  <c r="G327" i="3"/>
  <c r="G311" i="3"/>
  <c r="G322" i="3"/>
  <c r="G306" i="3"/>
  <c r="G317" i="3"/>
  <c r="G314" i="3"/>
  <c r="G309" i="3"/>
  <c r="G300" i="3"/>
  <c r="G315" i="3"/>
  <c r="G310" i="3"/>
  <c r="G305" i="3"/>
  <c r="G324" i="3"/>
  <c r="G308" i="3"/>
  <c r="G323" i="3"/>
  <c r="G307" i="3"/>
  <c r="G318" i="3"/>
  <c r="G302" i="3"/>
  <c r="G313" i="3"/>
  <c r="G303" i="3"/>
  <c r="G325" i="3"/>
  <c r="G316" i="3"/>
  <c r="G326" i="3"/>
  <c r="G321" i="3"/>
  <c r="G320" i="3"/>
  <c r="G304" i="3"/>
  <c r="G319" i="3"/>
  <c r="L729" i="3"/>
  <c r="J729" i="3"/>
  <c r="J327" i="3"/>
  <c r="J303" i="3"/>
  <c r="J316" i="3"/>
  <c r="J328" i="3"/>
  <c r="J312" i="3"/>
  <c r="J423" i="3"/>
  <c r="J401" i="3"/>
  <c r="J302" i="3"/>
  <c r="J427" i="3"/>
  <c r="J308" i="3"/>
  <c r="J425" i="3"/>
  <c r="J321" i="3"/>
  <c r="J419" i="3"/>
  <c r="J402" i="3"/>
  <c r="J411" i="3"/>
  <c r="J426" i="3"/>
  <c r="J306" i="3"/>
  <c r="J325" i="3"/>
  <c r="J304" i="3"/>
  <c r="J322" i="3"/>
  <c r="J317" i="3"/>
  <c r="J315" i="3"/>
  <c r="J326" i="3"/>
  <c r="J418" i="3"/>
  <c r="J309" i="3"/>
  <c r="J403" i="3"/>
  <c r="J318" i="3"/>
  <c r="J300" i="3"/>
  <c r="J415" i="3"/>
  <c r="J324" i="3"/>
  <c r="J414" i="3"/>
  <c r="J409" i="3"/>
  <c r="J406" i="3"/>
  <c r="J417" i="3"/>
  <c r="J408" i="3"/>
  <c r="J424" i="3"/>
  <c r="J405" i="3"/>
  <c r="J310" i="3"/>
  <c r="J410" i="3"/>
  <c r="J311" i="3"/>
  <c r="F729" i="3"/>
  <c r="J404" i="3"/>
  <c r="J421" i="3"/>
  <c r="J412" i="3"/>
  <c r="J428" i="3"/>
  <c r="J320" i="3"/>
  <c r="J420" i="3"/>
  <c r="J413" i="3"/>
  <c r="J313" i="3"/>
  <c r="J305" i="3"/>
  <c r="J314" i="3"/>
  <c r="J319" i="3"/>
  <c r="J416" i="3"/>
  <c r="J422" i="3"/>
  <c r="J307" i="3"/>
  <c r="J301" i="3"/>
  <c r="D428" i="3"/>
  <c r="K428" i="3" s="1"/>
  <c r="D404" i="3"/>
  <c r="K404" i="3" s="1"/>
  <c r="D411" i="3"/>
  <c r="K411" i="3" s="1"/>
  <c r="D407" i="3"/>
  <c r="K407" i="3" s="1"/>
  <c r="H420" i="3"/>
  <c r="H410" i="3"/>
  <c r="H529" i="3"/>
  <c r="D416" i="3"/>
  <c r="K416" i="3" s="1"/>
  <c r="D420" i="3"/>
  <c r="K420" i="3" s="1"/>
  <c r="D417" i="3"/>
  <c r="K417" i="3" s="1"/>
  <c r="D421" i="3"/>
  <c r="K421" i="3" s="1"/>
  <c r="D414" i="3"/>
  <c r="K414" i="3" s="1"/>
  <c r="H404" i="3"/>
  <c r="D422" i="3"/>
  <c r="K422" i="3" s="1"/>
  <c r="L529" i="3"/>
  <c r="D409" i="3"/>
  <c r="K409" i="3" s="1"/>
  <c r="D413" i="3"/>
  <c r="K413" i="3" s="1"/>
  <c r="H417" i="3"/>
  <c r="D423" i="3"/>
  <c r="K423" i="3" s="1"/>
  <c r="D403" i="3"/>
  <c r="K403" i="3" s="1"/>
  <c r="D415" i="3"/>
  <c r="K415" i="3" s="1"/>
  <c r="D424" i="3"/>
  <c r="K424" i="3" s="1"/>
  <c r="D427" i="3"/>
  <c r="K427" i="3" s="1"/>
  <c r="D425" i="3"/>
  <c r="K425" i="3" s="1"/>
  <c r="D410" i="3"/>
  <c r="K410" i="3" s="1"/>
  <c r="D405" i="3"/>
  <c r="K405" i="3" s="1"/>
  <c r="D419" i="3"/>
  <c r="K419" i="3" s="1"/>
  <c r="C179" i="3"/>
  <c r="I152" i="3"/>
  <c r="I151" i="3"/>
  <c r="G152" i="3"/>
  <c r="G151" i="3"/>
  <c r="E152" i="3"/>
  <c r="E151" i="3"/>
  <c r="CV58" i="5"/>
  <c r="CQ58" i="5"/>
  <c r="I200" i="3" s="1" a="1"/>
  <c r="CP51" i="5"/>
  <c r="BY54" i="1"/>
  <c r="BT60" i="1"/>
  <c r="BT89" i="1" s="1"/>
  <c r="BU59" i="1"/>
  <c r="BU89" i="1" s="1"/>
  <c r="H413" i="3" l="1"/>
  <c r="D402" i="3"/>
  <c r="K402" i="3" s="1"/>
  <c r="D418" i="3"/>
  <c r="K418" i="3" s="1"/>
  <c r="D401" i="3"/>
  <c r="K401" i="3" s="1"/>
  <c r="D426" i="3"/>
  <c r="K426" i="3" s="1"/>
  <c r="D412" i="3"/>
  <c r="K412" i="3" s="1"/>
  <c r="D400" i="3"/>
  <c r="H425" i="3"/>
  <c r="H415" i="3"/>
  <c r="H409" i="3"/>
  <c r="H426" i="3"/>
  <c r="L426" i="3" s="1"/>
  <c r="H419" i="3"/>
  <c r="L419" i="3" s="1"/>
  <c r="H414" i="3"/>
  <c r="H407" i="3"/>
  <c r="L407" i="3" s="1"/>
  <c r="H422" i="3"/>
  <c r="L422" i="3" s="1"/>
  <c r="L423" i="3"/>
  <c r="H418" i="3"/>
  <c r="H411" i="3"/>
  <c r="L411" i="3" s="1"/>
  <c r="H400" i="3"/>
  <c r="H412" i="3"/>
  <c r="L412" i="3" s="1"/>
  <c r="H402" i="3"/>
  <c r="H401" i="3"/>
  <c r="L401" i="3" s="1"/>
  <c r="H421" i="3"/>
  <c r="L421" i="3" s="1"/>
  <c r="H424" i="3"/>
  <c r="H428" i="3"/>
  <c r="A430" i="3"/>
  <c r="H406" i="3"/>
  <c r="L406" i="3" s="1"/>
  <c r="H408" i="3"/>
  <c r="L408" i="3" s="1"/>
  <c r="H403" i="3"/>
  <c r="H405" i="3"/>
  <c r="H416" i="3"/>
  <c r="L416" i="3" s="1"/>
  <c r="H427" i="3"/>
  <c r="L427" i="3" s="1"/>
  <c r="H371" i="3"/>
  <c r="L371" i="3" s="1"/>
  <c r="D408" i="3"/>
  <c r="K408" i="3" s="1"/>
  <c r="H361" i="3"/>
  <c r="L361" i="3" s="1"/>
  <c r="H351" i="3"/>
  <c r="L351" i="3" s="1"/>
  <c r="BY89" i="1"/>
  <c r="N283" i="3"/>
  <c r="L405" i="3"/>
  <c r="H357" i="3"/>
  <c r="L357" i="3" s="1"/>
  <c r="H356" i="3"/>
  <c r="L356" i="3" s="1"/>
  <c r="L415" i="3"/>
  <c r="H369" i="3"/>
  <c r="L369" i="3" s="1"/>
  <c r="C329" i="3"/>
  <c r="D319" i="3" s="1"/>
  <c r="K319" i="3" s="1"/>
  <c r="G329" i="3"/>
  <c r="H301" i="3" s="1"/>
  <c r="L301" i="3" s="1"/>
  <c r="L418" i="3"/>
  <c r="I250" i="3" a="1"/>
  <c r="I251" i="3" s="1"/>
  <c r="N284" i="3"/>
  <c r="H364" i="3"/>
  <c r="L364" i="3" s="1"/>
  <c r="H370" i="3"/>
  <c r="L370" i="3" s="1"/>
  <c r="H353" i="3"/>
  <c r="L353" i="3" s="1"/>
  <c r="H355" i="3"/>
  <c r="L355" i="3" s="1"/>
  <c r="H368" i="3"/>
  <c r="L368" i="3" s="1"/>
  <c r="H350" i="3"/>
  <c r="H367" i="3"/>
  <c r="L367" i="3" s="1"/>
  <c r="H359" i="3"/>
  <c r="L359" i="3" s="1"/>
  <c r="H352" i="3"/>
  <c r="L352" i="3" s="1"/>
  <c r="H366" i="3"/>
  <c r="L366" i="3" s="1"/>
  <c r="H354" i="3"/>
  <c r="L354" i="3" s="1"/>
  <c r="H360" i="3"/>
  <c r="L360" i="3" s="1"/>
  <c r="H373" i="3"/>
  <c r="L373" i="3" s="1"/>
  <c r="H363" i="3"/>
  <c r="L363" i="3" s="1"/>
  <c r="H374" i="3"/>
  <c r="L374" i="3" s="1"/>
  <c r="H376" i="3"/>
  <c r="L376" i="3" s="1"/>
  <c r="H372" i="3"/>
  <c r="L372" i="3" s="1"/>
  <c r="H377" i="3"/>
  <c r="L377" i="3" s="1"/>
  <c r="H365" i="3"/>
  <c r="L365" i="3" s="1"/>
  <c r="H375" i="3"/>
  <c r="L375" i="3" s="1"/>
  <c r="H362" i="3"/>
  <c r="L362" i="3" s="1"/>
  <c r="H378" i="3"/>
  <c r="L378" i="3" s="1"/>
  <c r="H358" i="3"/>
  <c r="L358" i="3" s="1"/>
  <c r="G200" i="3" a="1"/>
  <c r="G201" i="3" s="1"/>
  <c r="N232" i="3"/>
  <c r="C250" i="3" a="1"/>
  <c r="C264" i="3" s="1"/>
  <c r="C200" i="3" a="1"/>
  <c r="C216" i="3" s="1"/>
  <c r="N231" i="3"/>
  <c r="L402" i="3"/>
  <c r="L414" i="3"/>
  <c r="L425" i="3"/>
  <c r="L417" i="3"/>
  <c r="L403" i="3"/>
  <c r="L409" i="3"/>
  <c r="J329" i="3"/>
  <c r="L413" i="3"/>
  <c r="J429" i="3"/>
  <c r="L424" i="3"/>
  <c r="L428" i="3"/>
  <c r="L410" i="3"/>
  <c r="L420" i="3"/>
  <c r="E200" i="3" a="1"/>
  <c r="L404" i="3"/>
  <c r="I200" i="3"/>
  <c r="I214" i="3"/>
  <c r="I226" i="3"/>
  <c r="I205" i="3"/>
  <c r="I215" i="3"/>
  <c r="I227" i="3"/>
  <c r="I206" i="3"/>
  <c r="I219" i="3"/>
  <c r="I209" i="3"/>
  <c r="I222" i="3"/>
  <c r="I221" i="3"/>
  <c r="I210" i="3"/>
  <c r="I218" i="3"/>
  <c r="I228" i="3"/>
  <c r="I212" i="3"/>
  <c r="I201" i="3"/>
  <c r="I225" i="3"/>
  <c r="I207" i="3"/>
  <c r="I220" i="3"/>
  <c r="I217" i="3"/>
  <c r="I223" i="3"/>
  <c r="I216" i="3"/>
  <c r="I211" i="3"/>
  <c r="I203" i="3"/>
  <c r="I213" i="3"/>
  <c r="I224" i="3"/>
  <c r="I208" i="3"/>
  <c r="I204" i="3"/>
  <c r="I202" i="3"/>
  <c r="I179" i="3"/>
  <c r="G179" i="3"/>
  <c r="E179" i="3"/>
  <c r="K152" i="3"/>
  <c r="K151" i="3"/>
  <c r="BD41" i="5"/>
  <c r="K429" i="3" l="1"/>
  <c r="D429" i="3"/>
  <c r="H429" i="3"/>
  <c r="L379" i="3"/>
  <c r="I265" i="3"/>
  <c r="L151" i="3"/>
  <c r="I276" i="3"/>
  <c r="C218" i="3"/>
  <c r="I229" i="3"/>
  <c r="J221" i="3" s="1"/>
  <c r="I258" i="3"/>
  <c r="I267" i="3"/>
  <c r="I263" i="3"/>
  <c r="I255" i="3"/>
  <c r="I266" i="3"/>
  <c r="I274" i="3"/>
  <c r="I272" i="3"/>
  <c r="I257" i="3"/>
  <c r="I275" i="3"/>
  <c r="I268" i="3"/>
  <c r="I252" i="3"/>
  <c r="I253" i="3"/>
  <c r="I278" i="3"/>
  <c r="I260" i="3"/>
  <c r="I261" i="3"/>
  <c r="I250" i="3"/>
  <c r="I264" i="3"/>
  <c r="I256" i="3"/>
  <c r="I270" i="3"/>
  <c r="I259" i="3"/>
  <c r="I262" i="3"/>
  <c r="I269" i="3"/>
  <c r="I273" i="3"/>
  <c r="I271" i="3"/>
  <c r="I277" i="3"/>
  <c r="I254" i="3"/>
  <c r="G206" i="3"/>
  <c r="G228" i="3"/>
  <c r="H379" i="3"/>
  <c r="G205" i="3"/>
  <c r="C221" i="3"/>
  <c r="G207" i="3"/>
  <c r="G200" i="3"/>
  <c r="C209" i="3"/>
  <c r="C211" i="3"/>
  <c r="G213" i="3"/>
  <c r="G208" i="3"/>
  <c r="G227" i="3"/>
  <c r="G203" i="3"/>
  <c r="G210" i="3"/>
  <c r="C219" i="3"/>
  <c r="C212" i="3"/>
  <c r="G202" i="3"/>
  <c r="G217" i="3"/>
  <c r="G212" i="3"/>
  <c r="G219" i="3"/>
  <c r="G215" i="3"/>
  <c r="C223" i="3"/>
  <c r="C226" i="3"/>
  <c r="G204" i="3"/>
  <c r="G223" i="3"/>
  <c r="G222" i="3"/>
  <c r="G214" i="3"/>
  <c r="G221" i="3"/>
  <c r="G216" i="3"/>
  <c r="C202" i="3"/>
  <c r="C206" i="3"/>
  <c r="C204" i="3"/>
  <c r="C201" i="3"/>
  <c r="G225" i="3"/>
  <c r="G218" i="3"/>
  <c r="G224" i="3"/>
  <c r="G211" i="3"/>
  <c r="G209" i="3"/>
  <c r="G220" i="3"/>
  <c r="G226" i="3"/>
  <c r="C213" i="3"/>
  <c r="C224" i="3"/>
  <c r="C225" i="3"/>
  <c r="C200" i="3"/>
  <c r="C261" i="3"/>
  <c r="C271" i="3"/>
  <c r="C257" i="3"/>
  <c r="C256" i="3"/>
  <c r="C258" i="3"/>
  <c r="C214" i="3"/>
  <c r="C208" i="3"/>
  <c r="C222" i="3"/>
  <c r="C228" i="3"/>
  <c r="C205" i="3"/>
  <c r="C215" i="3"/>
  <c r="C268" i="3"/>
  <c r="C276" i="3"/>
  <c r="C254" i="3"/>
  <c r="C266" i="3"/>
  <c r="C272" i="3"/>
  <c r="C274" i="3"/>
  <c r="C253" i="3"/>
  <c r="C263" i="3"/>
  <c r="C255" i="3"/>
  <c r="C251" i="3"/>
  <c r="C259" i="3"/>
  <c r="C269" i="3"/>
  <c r="C220" i="3"/>
  <c r="C207" i="3"/>
  <c r="C217" i="3"/>
  <c r="C227" i="3"/>
  <c r="C203" i="3"/>
  <c r="C210" i="3"/>
  <c r="C273" i="3"/>
  <c r="C270" i="3"/>
  <c r="C252" i="3"/>
  <c r="C260" i="3"/>
  <c r="C267" i="3"/>
  <c r="C277" i="3"/>
  <c r="C275" i="3"/>
  <c r="C250" i="3"/>
  <c r="C278" i="3"/>
  <c r="C262" i="3"/>
  <c r="C265" i="3"/>
  <c r="H325" i="3"/>
  <c r="L325" i="3" s="1"/>
  <c r="H302" i="3"/>
  <c r="L302" i="3" s="1"/>
  <c r="D309" i="3"/>
  <c r="K309" i="3" s="1"/>
  <c r="H309" i="3"/>
  <c r="L309" i="3" s="1"/>
  <c r="H305" i="3"/>
  <c r="L305" i="3" s="1"/>
  <c r="L429" i="3"/>
  <c r="E200" i="3"/>
  <c r="E217" i="3"/>
  <c r="E211" i="3"/>
  <c r="E203" i="3"/>
  <c r="E213" i="3"/>
  <c r="E224" i="3"/>
  <c r="E208" i="3"/>
  <c r="E205" i="3"/>
  <c r="E227" i="3"/>
  <c r="E226" i="3"/>
  <c r="E221" i="3"/>
  <c r="E206" i="3"/>
  <c r="E201" i="3"/>
  <c r="E225" i="3"/>
  <c r="E219" i="3"/>
  <c r="E207" i="3"/>
  <c r="E220" i="3"/>
  <c r="E204" i="3"/>
  <c r="E215" i="3"/>
  <c r="E210" i="3"/>
  <c r="E214" i="3"/>
  <c r="E223" i="3"/>
  <c r="E202" i="3"/>
  <c r="E216" i="3"/>
  <c r="E222" i="3"/>
  <c r="E209" i="3"/>
  <c r="E218" i="3"/>
  <c r="E228" i="3"/>
  <c r="E212" i="3"/>
  <c r="D318" i="3"/>
  <c r="K318" i="3" s="1"/>
  <c r="D304" i="3"/>
  <c r="K304" i="3" s="1"/>
  <c r="D306" i="3"/>
  <c r="K306" i="3" s="1"/>
  <c r="D322" i="3"/>
  <c r="K322" i="3" s="1"/>
  <c r="D321" i="3"/>
  <c r="K321" i="3" s="1"/>
  <c r="D307" i="3"/>
  <c r="K307" i="3" s="1"/>
  <c r="D313" i="3"/>
  <c r="K313" i="3" s="1"/>
  <c r="D323" i="3"/>
  <c r="K323" i="3" s="1"/>
  <c r="D316" i="3"/>
  <c r="K316" i="3" s="1"/>
  <c r="D312" i="3"/>
  <c r="K312" i="3" s="1"/>
  <c r="D315" i="3"/>
  <c r="K315" i="3" s="1"/>
  <c r="D314" i="3"/>
  <c r="K314" i="3" s="1"/>
  <c r="D327" i="3"/>
  <c r="K327" i="3" s="1"/>
  <c r="D311" i="3"/>
  <c r="K311" i="3" s="1"/>
  <c r="D300" i="3"/>
  <c r="K300" i="3" s="1"/>
  <c r="D310" i="3"/>
  <c r="K310" i="3" s="1"/>
  <c r="D328" i="3"/>
  <c r="K328" i="3" s="1"/>
  <c r="D301" i="3"/>
  <c r="K301" i="3" s="1"/>
  <c r="H317" i="3"/>
  <c r="L317" i="3" s="1"/>
  <c r="H310" i="3"/>
  <c r="L310" i="3" s="1"/>
  <c r="H303" i="3"/>
  <c r="L303" i="3" s="1"/>
  <c r="H312" i="3"/>
  <c r="L312" i="3" s="1"/>
  <c r="H318" i="3"/>
  <c r="L318" i="3" s="1"/>
  <c r="H315" i="3"/>
  <c r="L315" i="3" s="1"/>
  <c r="H322" i="3"/>
  <c r="L322" i="3" s="1"/>
  <c r="H314" i="3"/>
  <c r="L314" i="3" s="1"/>
  <c r="H319" i="3"/>
  <c r="L319" i="3" s="1"/>
  <c r="D324" i="3"/>
  <c r="K324" i="3" s="1"/>
  <c r="H321" i="3"/>
  <c r="L321" i="3" s="1"/>
  <c r="D308" i="3"/>
  <c r="K308" i="3" s="1"/>
  <c r="H306" i="3"/>
  <c r="L306" i="3" s="1"/>
  <c r="H323" i="3"/>
  <c r="L323" i="3" s="1"/>
  <c r="H311" i="3"/>
  <c r="L311" i="3" s="1"/>
  <c r="D317" i="3"/>
  <c r="K317" i="3" s="1"/>
  <c r="A330" i="3"/>
  <c r="H328" i="3"/>
  <c r="L328" i="3" s="1"/>
  <c r="D320" i="3"/>
  <c r="K320" i="3" s="1"/>
  <c r="H316" i="3"/>
  <c r="L316" i="3" s="1"/>
  <c r="H327" i="3"/>
  <c r="L327" i="3" s="1"/>
  <c r="D305" i="3"/>
  <c r="K305" i="3" s="1"/>
  <c r="H308" i="3"/>
  <c r="L308" i="3" s="1"/>
  <c r="H320" i="3"/>
  <c r="L320" i="3" s="1"/>
  <c r="D325" i="3"/>
  <c r="K325" i="3" s="1"/>
  <c r="D326" i="3"/>
  <c r="K326" i="3" s="1"/>
  <c r="H307" i="3"/>
  <c r="L307" i="3" s="1"/>
  <c r="D302" i="3"/>
  <c r="K302" i="3" s="1"/>
  <c r="H326" i="3"/>
  <c r="L326" i="3" s="1"/>
  <c r="H324" i="3"/>
  <c r="L324" i="3" s="1"/>
  <c r="H313" i="3"/>
  <c r="L313" i="3" s="1"/>
  <c r="H300" i="3"/>
  <c r="L300" i="3" s="1"/>
  <c r="H304" i="3"/>
  <c r="L304" i="3" s="1"/>
  <c r="D303" i="3"/>
  <c r="K303" i="3" s="1"/>
  <c r="A180" i="3"/>
  <c r="K179" i="3"/>
  <c r="L173" i="3"/>
  <c r="L171" i="3"/>
  <c r="L174" i="3"/>
  <c r="L169" i="3"/>
  <c r="L167" i="3"/>
  <c r="L172" i="3"/>
  <c r="L166" i="3"/>
  <c r="L168" i="3"/>
  <c r="L170" i="3"/>
  <c r="L162" i="3"/>
  <c r="L165" i="3"/>
  <c r="L164" i="3"/>
  <c r="L163" i="3"/>
  <c r="L161" i="3"/>
  <c r="L158" i="3"/>
  <c r="L155" i="3"/>
  <c r="L152" i="3"/>
  <c r="E51" i="3" a="1"/>
  <c r="E51" i="3" s="1"/>
  <c r="C51" i="3" a="1"/>
  <c r="C51" i="3" s="1"/>
  <c r="G229" i="3" l="1"/>
  <c r="H228" i="3" s="1"/>
  <c r="E229" i="3"/>
  <c r="F200" i="3" s="1"/>
  <c r="C229" i="3"/>
  <c r="D219" i="3" s="1"/>
  <c r="C279" i="3"/>
  <c r="D264" i="3" s="1"/>
  <c r="K264" i="3" s="1"/>
  <c r="I279" i="3"/>
  <c r="J257" i="3" s="1"/>
  <c r="L257" i="3" s="1"/>
  <c r="K329" i="3"/>
  <c r="J224" i="3"/>
  <c r="J226" i="3"/>
  <c r="J222" i="3"/>
  <c r="J211" i="3"/>
  <c r="J201" i="3"/>
  <c r="J225" i="3"/>
  <c r="J228" i="3"/>
  <c r="J206" i="3"/>
  <c r="J208" i="3"/>
  <c r="J205" i="3"/>
  <c r="J217" i="3"/>
  <c r="J215" i="3"/>
  <c r="J223" i="3"/>
  <c r="J214" i="3"/>
  <c r="J207" i="3"/>
  <c r="J212" i="3"/>
  <c r="J219" i="3"/>
  <c r="J203" i="3"/>
  <c r="J209" i="3"/>
  <c r="J213" i="3"/>
  <c r="J227" i="3"/>
  <c r="J216" i="3"/>
  <c r="J271" i="3"/>
  <c r="L271" i="3" s="1"/>
  <c r="J220" i="3"/>
  <c r="J210" i="3"/>
  <c r="J204" i="3"/>
  <c r="J200" i="3"/>
  <c r="J218" i="3"/>
  <c r="J202" i="3"/>
  <c r="L329" i="3"/>
  <c r="D329" i="3"/>
  <c r="H329" i="3"/>
  <c r="E78" i="3"/>
  <c r="E74" i="3"/>
  <c r="E70" i="3"/>
  <c r="E66" i="3"/>
  <c r="E62" i="3"/>
  <c r="E58" i="3"/>
  <c r="E54" i="3"/>
  <c r="E77" i="3"/>
  <c r="E69" i="3"/>
  <c r="E61" i="3"/>
  <c r="E57" i="3"/>
  <c r="E76" i="3"/>
  <c r="E72" i="3"/>
  <c r="E68" i="3"/>
  <c r="E64" i="3"/>
  <c r="E60" i="3"/>
  <c r="E56" i="3"/>
  <c r="E52" i="3"/>
  <c r="E73" i="3"/>
  <c r="E65" i="3"/>
  <c r="E53" i="3"/>
  <c r="E79" i="3"/>
  <c r="E75" i="3"/>
  <c r="E71" i="3"/>
  <c r="E67" i="3"/>
  <c r="E63" i="3"/>
  <c r="E59" i="3"/>
  <c r="E55" i="3"/>
  <c r="C78" i="3"/>
  <c r="C74" i="3"/>
  <c r="C70" i="3"/>
  <c r="C66" i="3"/>
  <c r="C62" i="3"/>
  <c r="C58" i="3"/>
  <c r="C54" i="3"/>
  <c r="C77" i="3"/>
  <c r="C73" i="3"/>
  <c r="C69" i="3"/>
  <c r="C65" i="3"/>
  <c r="C61" i="3"/>
  <c r="C57" i="3"/>
  <c r="C53" i="3"/>
  <c r="C76" i="3"/>
  <c r="C72" i="3"/>
  <c r="C68" i="3"/>
  <c r="C64" i="3"/>
  <c r="C60" i="3"/>
  <c r="C56" i="3"/>
  <c r="C52" i="3"/>
  <c r="C79" i="3"/>
  <c r="C75" i="3"/>
  <c r="C71" i="3"/>
  <c r="C67" i="3"/>
  <c r="C63" i="3"/>
  <c r="C59" i="3"/>
  <c r="C55" i="3"/>
  <c r="J267" i="3" l="1"/>
  <c r="L267" i="3" s="1"/>
  <c r="H204" i="3"/>
  <c r="L204" i="3" s="1"/>
  <c r="J260" i="3"/>
  <c r="L260" i="3" s="1"/>
  <c r="J262" i="3"/>
  <c r="L262" i="3" s="1"/>
  <c r="J253" i="3"/>
  <c r="L253" i="3" s="1"/>
  <c r="H227" i="3"/>
  <c r="L227" i="3" s="1"/>
  <c r="J264" i="3"/>
  <c r="L264" i="3" s="1"/>
  <c r="J276" i="3"/>
  <c r="L276" i="3" s="1"/>
  <c r="J274" i="3"/>
  <c r="L274" i="3" s="1"/>
  <c r="J250" i="3"/>
  <c r="L250" i="3" s="1"/>
  <c r="J255" i="3"/>
  <c r="L255" i="3" s="1"/>
  <c r="J259" i="3"/>
  <c r="L259" i="3" s="1"/>
  <c r="J277" i="3"/>
  <c r="L277" i="3" s="1"/>
  <c r="E80" i="3"/>
  <c r="F51" i="3" s="1"/>
  <c r="C80" i="3"/>
  <c r="J258" i="3"/>
  <c r="L258" i="3" s="1"/>
  <c r="J252" i="3"/>
  <c r="L252" i="3" s="1"/>
  <c r="J254" i="3"/>
  <c r="L254" i="3" s="1"/>
  <c r="J270" i="3"/>
  <c r="L270" i="3" s="1"/>
  <c r="D204" i="3"/>
  <c r="J256" i="3"/>
  <c r="L256" i="3" s="1"/>
  <c r="J251" i="3"/>
  <c r="L251" i="3" s="1"/>
  <c r="J269" i="3"/>
  <c r="L269" i="3" s="1"/>
  <c r="J273" i="3"/>
  <c r="L273" i="3" s="1"/>
  <c r="J261" i="3"/>
  <c r="L261" i="3" s="1"/>
  <c r="J265" i="3"/>
  <c r="L265" i="3" s="1"/>
  <c r="J268" i="3"/>
  <c r="L268" i="3" s="1"/>
  <c r="J266" i="3"/>
  <c r="L266" i="3" s="1"/>
  <c r="J263" i="3"/>
  <c r="L263" i="3" s="1"/>
  <c r="H214" i="3"/>
  <c r="L214" i="3" s="1"/>
  <c r="J275" i="3"/>
  <c r="L275" i="3" s="1"/>
  <c r="J272" i="3"/>
  <c r="L272" i="3" s="1"/>
  <c r="J278" i="3"/>
  <c r="L278" i="3" s="1"/>
  <c r="H224" i="3"/>
  <c r="L224" i="3" s="1"/>
  <c r="H209" i="3"/>
  <c r="L209" i="3" s="1"/>
  <c r="H212" i="3"/>
  <c r="L212" i="3" s="1"/>
  <c r="H213" i="3"/>
  <c r="L213" i="3" s="1"/>
  <c r="H201" i="3"/>
  <c r="L201" i="3" s="1"/>
  <c r="D212" i="3"/>
  <c r="H207" i="3"/>
  <c r="L207" i="3" s="1"/>
  <c r="H223" i="3"/>
  <c r="L223" i="3" s="1"/>
  <c r="H200" i="3"/>
  <c r="H215" i="3"/>
  <c r="L215" i="3" s="1"/>
  <c r="H203" i="3"/>
  <c r="L203" i="3" s="1"/>
  <c r="H221" i="3"/>
  <c r="L221" i="3" s="1"/>
  <c r="H208" i="3"/>
  <c r="L208" i="3" s="1"/>
  <c r="L228" i="3"/>
  <c r="H206" i="3"/>
  <c r="L206" i="3" s="1"/>
  <c r="H205" i="3"/>
  <c r="L205" i="3" s="1"/>
  <c r="H222" i="3"/>
  <c r="L222" i="3" s="1"/>
  <c r="H210" i="3"/>
  <c r="L210" i="3" s="1"/>
  <c r="H219" i="3"/>
  <c r="L219" i="3" s="1"/>
  <c r="H202" i="3"/>
  <c r="L202" i="3" s="1"/>
  <c r="H216" i="3"/>
  <c r="L216" i="3" s="1"/>
  <c r="H217" i="3"/>
  <c r="L217" i="3" s="1"/>
  <c r="H211" i="3"/>
  <c r="L211" i="3" s="1"/>
  <c r="H220" i="3"/>
  <c r="L220" i="3" s="1"/>
  <c r="H225" i="3"/>
  <c r="L225" i="3" s="1"/>
  <c r="H218" i="3"/>
  <c r="L218" i="3" s="1"/>
  <c r="D263" i="3"/>
  <c r="K263" i="3" s="1"/>
  <c r="D256" i="3"/>
  <c r="K256" i="3" s="1"/>
  <c r="D261" i="3"/>
  <c r="K261" i="3" s="1"/>
  <c r="D258" i="3"/>
  <c r="K258" i="3" s="1"/>
  <c r="D268" i="3"/>
  <c r="K268" i="3" s="1"/>
  <c r="D250" i="3"/>
  <c r="K250" i="3" s="1"/>
  <c r="D272" i="3"/>
  <c r="K272" i="3" s="1"/>
  <c r="D274" i="3"/>
  <c r="K274" i="3" s="1"/>
  <c r="D270" i="3"/>
  <c r="K270" i="3" s="1"/>
  <c r="H226" i="3"/>
  <c r="L226" i="3" s="1"/>
  <c r="D273" i="3"/>
  <c r="K273" i="3" s="1"/>
  <c r="D257" i="3"/>
  <c r="K257" i="3" s="1"/>
  <c r="D262" i="3"/>
  <c r="K262" i="3" s="1"/>
  <c r="D223" i="3"/>
  <c r="D216" i="3"/>
  <c r="D208" i="3"/>
  <c r="D206" i="3"/>
  <c r="D200" i="3"/>
  <c r="K200" i="3" s="1"/>
  <c r="D202" i="3"/>
  <c r="D221" i="3"/>
  <c r="D207" i="3"/>
  <c r="D205" i="3"/>
  <c r="D228" i="3"/>
  <c r="D266" i="3"/>
  <c r="K266" i="3" s="1"/>
  <c r="D252" i="3"/>
  <c r="K252" i="3" s="1"/>
  <c r="D276" i="3"/>
  <c r="K276" i="3" s="1"/>
  <c r="D255" i="3"/>
  <c r="K255" i="3" s="1"/>
  <c r="D260" i="3"/>
  <c r="K260" i="3" s="1"/>
  <c r="D278" i="3"/>
  <c r="K278" i="3" s="1"/>
  <c r="D251" i="3"/>
  <c r="K251" i="3" s="1"/>
  <c r="D267" i="3"/>
  <c r="K267" i="3" s="1"/>
  <c r="D265" i="3"/>
  <c r="K265" i="3" s="1"/>
  <c r="D203" i="3"/>
  <c r="D275" i="3"/>
  <c r="K275" i="3" s="1"/>
  <c r="D271" i="3"/>
  <c r="K271" i="3" s="1"/>
  <c r="D253" i="3"/>
  <c r="K253" i="3" s="1"/>
  <c r="D269" i="3"/>
  <c r="K269" i="3" s="1"/>
  <c r="A280" i="3"/>
  <c r="D277" i="3"/>
  <c r="K277" i="3" s="1"/>
  <c r="D259" i="3"/>
  <c r="K259" i="3" s="1"/>
  <c r="D254" i="3"/>
  <c r="K254" i="3" s="1"/>
  <c r="D227" i="3"/>
  <c r="D209" i="3"/>
  <c r="D215" i="3"/>
  <c r="D220" i="3"/>
  <c r="D222" i="3"/>
  <c r="D226" i="3"/>
  <c r="D217" i="3"/>
  <c r="D224" i="3"/>
  <c r="D225" i="3"/>
  <c r="D214" i="3"/>
  <c r="D211" i="3"/>
  <c r="D213" i="3"/>
  <c r="D210" i="3"/>
  <c r="D218" i="3"/>
  <c r="D201" i="3"/>
  <c r="A230" i="3"/>
  <c r="F225" i="3"/>
  <c r="F219" i="3"/>
  <c r="K219" i="3" s="1"/>
  <c r="F211" i="3"/>
  <c r="F206" i="3"/>
  <c r="F221" i="3"/>
  <c r="F210" i="3"/>
  <c r="F215" i="3"/>
  <c r="F209" i="3"/>
  <c r="F203" i="3"/>
  <c r="F213" i="3"/>
  <c r="F218" i="3"/>
  <c r="F204" i="3"/>
  <c r="K204" i="3" s="1"/>
  <c r="F216" i="3"/>
  <c r="F227" i="3"/>
  <c r="F217" i="3"/>
  <c r="J229" i="3"/>
  <c r="F208" i="3"/>
  <c r="F202" i="3"/>
  <c r="F224" i="3"/>
  <c r="F205" i="3"/>
  <c r="F228" i="3"/>
  <c r="F214" i="3"/>
  <c r="F226" i="3"/>
  <c r="F222" i="3"/>
  <c r="F207" i="3"/>
  <c r="F201" i="3"/>
  <c r="F212" i="3"/>
  <c r="F223" i="3"/>
  <c r="F220" i="3"/>
  <c r="G51" i="3" a="1"/>
  <c r="D121" i="3"/>
  <c r="J104" i="3"/>
  <c r="F123" i="3"/>
  <c r="H101" i="3"/>
  <c r="K213" i="3" l="1"/>
  <c r="I80" i="3"/>
  <c r="J51" i="3" s="1"/>
  <c r="K223" i="3"/>
  <c r="K201" i="3"/>
  <c r="K208" i="3"/>
  <c r="K221" i="3"/>
  <c r="K217" i="3"/>
  <c r="K225" i="3"/>
  <c r="L279" i="3"/>
  <c r="K212" i="3"/>
  <c r="J279" i="3"/>
  <c r="K209" i="3"/>
  <c r="K222" i="3"/>
  <c r="H229" i="3"/>
  <c r="K220" i="3"/>
  <c r="L200" i="3"/>
  <c r="L229" i="3" s="1"/>
  <c r="K205" i="3"/>
  <c r="K202" i="3"/>
  <c r="K211" i="3"/>
  <c r="K216" i="3"/>
  <c r="K207" i="3"/>
  <c r="K227" i="3"/>
  <c r="K215" i="3"/>
  <c r="K206" i="3"/>
  <c r="K228" i="3"/>
  <c r="K279" i="3"/>
  <c r="D229" i="3"/>
  <c r="K210" i="3"/>
  <c r="D279" i="3"/>
  <c r="K203" i="3"/>
  <c r="K214" i="3"/>
  <c r="K226" i="3"/>
  <c r="K224" i="3"/>
  <c r="K218" i="3"/>
  <c r="F229" i="3"/>
  <c r="G51" i="3"/>
  <c r="G77" i="3"/>
  <c r="G61" i="3"/>
  <c r="G72" i="3"/>
  <c r="G56" i="3"/>
  <c r="G70" i="3"/>
  <c r="G54" i="3"/>
  <c r="G67" i="3"/>
  <c r="G57" i="3"/>
  <c r="G63" i="3"/>
  <c r="G69" i="3"/>
  <c r="G53" i="3"/>
  <c r="G64" i="3"/>
  <c r="G78" i="3"/>
  <c r="G62" i="3"/>
  <c r="G75" i="3"/>
  <c r="G59" i="3"/>
  <c r="G65" i="3"/>
  <c r="G76" i="3"/>
  <c r="G60" i="3"/>
  <c r="G74" i="3"/>
  <c r="G58" i="3"/>
  <c r="G71" i="3"/>
  <c r="G55" i="3"/>
  <c r="G73" i="3"/>
  <c r="G68" i="3"/>
  <c r="G52" i="3"/>
  <c r="G66" i="3"/>
  <c r="G79" i="3"/>
  <c r="F109" i="3"/>
  <c r="F127" i="3"/>
  <c r="F105" i="3"/>
  <c r="F122" i="3"/>
  <c r="F114" i="3"/>
  <c r="F110" i="3"/>
  <c r="F128" i="3"/>
  <c r="F104" i="3"/>
  <c r="F117" i="3"/>
  <c r="F129" i="3"/>
  <c r="J106" i="3"/>
  <c r="F115" i="3"/>
  <c r="J112" i="3"/>
  <c r="J128" i="3"/>
  <c r="H117" i="3"/>
  <c r="F107" i="3"/>
  <c r="J110" i="3"/>
  <c r="J118" i="3"/>
  <c r="J109" i="3"/>
  <c r="J108" i="3"/>
  <c r="H124" i="3"/>
  <c r="H120" i="3"/>
  <c r="H116" i="3"/>
  <c r="H109" i="3"/>
  <c r="H108" i="3"/>
  <c r="D129" i="3"/>
  <c r="H128" i="3"/>
  <c r="H125" i="3"/>
  <c r="F119" i="3"/>
  <c r="D125" i="3"/>
  <c r="H105" i="3"/>
  <c r="H113" i="3"/>
  <c r="D114" i="3"/>
  <c r="H112" i="3"/>
  <c r="H121" i="3"/>
  <c r="D110" i="3"/>
  <c r="D118" i="3"/>
  <c r="D122" i="3"/>
  <c r="F116" i="3"/>
  <c r="D103" i="3"/>
  <c r="D116" i="3"/>
  <c r="F112" i="3"/>
  <c r="F120" i="3"/>
  <c r="D108" i="3"/>
  <c r="D126" i="3"/>
  <c r="F101" i="3"/>
  <c r="F121" i="3"/>
  <c r="F126" i="3"/>
  <c r="F106" i="3"/>
  <c r="F111" i="3"/>
  <c r="D111" i="3"/>
  <c r="F108" i="3"/>
  <c r="F124" i="3"/>
  <c r="F113" i="3"/>
  <c r="F102" i="3"/>
  <c r="F118" i="3"/>
  <c r="F125" i="3"/>
  <c r="F103" i="3"/>
  <c r="J120" i="3"/>
  <c r="J122" i="3"/>
  <c r="D127" i="3"/>
  <c r="D106" i="3"/>
  <c r="J113" i="3"/>
  <c r="J102" i="3"/>
  <c r="D123" i="3"/>
  <c r="D102" i="3"/>
  <c r="J101" i="3"/>
  <c r="D119" i="3"/>
  <c r="H104" i="3"/>
  <c r="J123" i="3"/>
  <c r="J111" i="3"/>
  <c r="J119" i="3"/>
  <c r="J107" i="3"/>
  <c r="J127" i="3"/>
  <c r="J126" i="3"/>
  <c r="J103" i="3"/>
  <c r="J115" i="3"/>
  <c r="J114" i="3"/>
  <c r="J116" i="3"/>
  <c r="J129" i="3"/>
  <c r="J121" i="3"/>
  <c r="D113" i="3"/>
  <c r="D105" i="3"/>
  <c r="A131" i="3"/>
  <c r="D128" i="3"/>
  <c r="D124" i="3"/>
  <c r="D112" i="3"/>
  <c r="D104" i="3"/>
  <c r="D109" i="3"/>
  <c r="D120" i="3"/>
  <c r="D101" i="3"/>
  <c r="J125" i="3"/>
  <c r="D107" i="3"/>
  <c r="J124" i="3"/>
  <c r="J117" i="3"/>
  <c r="D117" i="3"/>
  <c r="J105" i="3"/>
  <c r="D115" i="3"/>
  <c r="H111" i="3"/>
  <c r="H123" i="3"/>
  <c r="H126" i="3"/>
  <c r="H103" i="3"/>
  <c r="H122" i="3"/>
  <c r="H115" i="3"/>
  <c r="H119" i="3"/>
  <c r="H106" i="3"/>
  <c r="H129" i="3"/>
  <c r="H102" i="3"/>
  <c r="H127" i="3"/>
  <c r="H114" i="3"/>
  <c r="H107" i="3"/>
  <c r="H110" i="3"/>
  <c r="H118" i="3"/>
  <c r="F58" i="3"/>
  <c r="D52" i="3"/>
  <c r="D56" i="3"/>
  <c r="D60" i="3"/>
  <c r="D64" i="3"/>
  <c r="D68" i="3"/>
  <c r="D72" i="3"/>
  <c r="D76" i="3"/>
  <c r="D54" i="3"/>
  <c r="D66" i="3"/>
  <c r="D74" i="3"/>
  <c r="D55" i="3"/>
  <c r="D63" i="3"/>
  <c r="D71" i="3"/>
  <c r="D79" i="3"/>
  <c r="D53" i="3"/>
  <c r="D57" i="3"/>
  <c r="D61" i="3"/>
  <c r="D65" i="3"/>
  <c r="D69" i="3"/>
  <c r="D73" i="3"/>
  <c r="D77" i="3"/>
  <c r="D58" i="3"/>
  <c r="D62" i="3"/>
  <c r="D70" i="3"/>
  <c r="D78" i="3"/>
  <c r="D51" i="3"/>
  <c r="D59" i="3"/>
  <c r="D67" i="3"/>
  <c r="D75" i="3"/>
  <c r="F62" i="3"/>
  <c r="F54" i="3"/>
  <c r="F70" i="3"/>
  <c r="F77" i="3"/>
  <c r="F73" i="3"/>
  <c r="F69" i="3"/>
  <c r="F65" i="3"/>
  <c r="F61" i="3"/>
  <c r="F57" i="3"/>
  <c r="F53" i="3"/>
  <c r="F67" i="3"/>
  <c r="F68" i="3"/>
  <c r="F59" i="3"/>
  <c r="F78" i="3"/>
  <c r="F76" i="3"/>
  <c r="F60" i="3"/>
  <c r="F56" i="3"/>
  <c r="F72" i="3"/>
  <c r="F79" i="3"/>
  <c r="F64" i="3"/>
  <c r="F55" i="3"/>
  <c r="F52" i="3"/>
  <c r="F75" i="3"/>
  <c r="F63" i="3"/>
  <c r="F71" i="3"/>
  <c r="F74" i="3"/>
  <c r="F66" i="3"/>
  <c r="F130" i="3" l="1"/>
  <c r="G80" i="3"/>
  <c r="J130" i="3"/>
  <c r="K229" i="3"/>
  <c r="J59" i="3"/>
  <c r="J72" i="3"/>
  <c r="J78" i="3"/>
  <c r="J57" i="3"/>
  <c r="J70" i="3"/>
  <c r="J65" i="3"/>
  <c r="J75" i="3"/>
  <c r="J53" i="3"/>
  <c r="J55" i="3"/>
  <c r="J54" i="3"/>
  <c r="J56" i="3"/>
  <c r="J69" i="3"/>
  <c r="J61" i="3"/>
  <c r="J74" i="3"/>
  <c r="J67" i="3"/>
  <c r="J79" i="3"/>
  <c r="J64" i="3"/>
  <c r="J52" i="3"/>
  <c r="J76" i="3"/>
  <c r="J62" i="3"/>
  <c r="J63" i="3"/>
  <c r="J68" i="3"/>
  <c r="J77" i="3"/>
  <c r="J73" i="3"/>
  <c r="J58" i="3"/>
  <c r="J60" i="3"/>
  <c r="J66" i="3"/>
  <c r="J71" i="3"/>
  <c r="H130" i="3"/>
  <c r="D130" i="3"/>
  <c r="F80" i="3"/>
  <c r="D80" i="3"/>
  <c r="U29" i="3"/>
  <c r="J80" i="3" l="1"/>
  <c r="H58" i="3"/>
  <c r="H76" i="3"/>
  <c r="H56" i="3"/>
  <c r="H78" i="3"/>
  <c r="H59" i="3"/>
  <c r="H69" i="3"/>
  <c r="H64" i="3"/>
  <c r="H65" i="3"/>
  <c r="H73" i="3"/>
  <c r="H62" i="3"/>
  <c r="H53" i="3"/>
  <c r="H54" i="3"/>
  <c r="H71" i="3"/>
  <c r="H79" i="3"/>
  <c r="H52" i="3"/>
  <c r="H67" i="3"/>
  <c r="H55" i="3"/>
  <c r="H66" i="3"/>
  <c r="A81" i="3"/>
  <c r="H51" i="3"/>
  <c r="H57" i="3"/>
  <c r="H68" i="3"/>
  <c r="H61" i="3"/>
  <c r="H74" i="3"/>
  <c r="H63" i="3"/>
  <c r="H77" i="3"/>
  <c r="H72" i="3"/>
  <c r="H75" i="3"/>
  <c r="H60" i="3"/>
  <c r="H70" i="3"/>
  <c r="G3" i="3" a="1"/>
  <c r="H80" i="3" l="1"/>
  <c r="G4" i="3"/>
  <c r="G7" i="3"/>
  <c r="G30" i="3"/>
  <c r="G27" i="3"/>
  <c r="G29" i="3"/>
  <c r="G13" i="3"/>
  <c r="G24" i="3"/>
  <c r="G8" i="3"/>
  <c r="G31" i="3"/>
  <c r="G26" i="3"/>
  <c r="G22" i="3"/>
  <c r="G19" i="3"/>
  <c r="G25" i="3"/>
  <c r="G9" i="3"/>
  <c r="G20" i="3"/>
  <c r="G23" i="3"/>
  <c r="G18" i="3"/>
  <c r="G14" i="3"/>
  <c r="G11" i="3"/>
  <c r="G21" i="3"/>
  <c r="G5" i="3"/>
  <c r="G16" i="3"/>
  <c r="G15" i="3"/>
  <c r="G10" i="3"/>
  <c r="G6" i="3"/>
  <c r="G3" i="3"/>
  <c r="G17" i="3"/>
  <c r="G28" i="3"/>
  <c r="G12" i="3"/>
  <c r="J34" i="1"/>
  <c r="I3" i="3" l="1" a="1"/>
  <c r="I15" i="3" s="1"/>
  <c r="U30" i="3"/>
  <c r="G32" i="3"/>
  <c r="H8" i="3" s="1"/>
  <c r="I8" i="3" l="1"/>
  <c r="I3" i="3"/>
  <c r="I22" i="3"/>
  <c r="I21" i="3"/>
  <c r="I20" i="3"/>
  <c r="I31" i="3"/>
  <c r="I24" i="3"/>
  <c r="I12" i="3"/>
  <c r="I7" i="3"/>
  <c r="I10" i="3"/>
  <c r="I25" i="3"/>
  <c r="I4" i="3"/>
  <c r="I29" i="3"/>
  <c r="I28" i="3"/>
  <c r="I23" i="3"/>
  <c r="I11" i="3"/>
  <c r="I14" i="3"/>
  <c r="I18" i="3"/>
  <c r="I17" i="3"/>
  <c r="I5" i="3"/>
  <c r="I27" i="3"/>
  <c r="I30" i="3"/>
  <c r="I13" i="3"/>
  <c r="I19" i="3"/>
  <c r="I6" i="3"/>
  <c r="I16" i="3"/>
  <c r="I26" i="3"/>
  <c r="I9" i="3"/>
  <c r="H22" i="3"/>
  <c r="H18" i="3"/>
  <c r="H31" i="3"/>
  <c r="H5" i="3"/>
  <c r="H14" i="3"/>
  <c r="H29" i="3"/>
  <c r="H7" i="3"/>
  <c r="H13" i="3"/>
  <c r="H21" i="3"/>
  <c r="H16" i="3"/>
  <c r="H4" i="3"/>
  <c r="H6" i="3"/>
  <c r="H3" i="3"/>
  <c r="H9" i="3"/>
  <c r="H12" i="3"/>
  <c r="H25" i="3"/>
  <c r="H15" i="3"/>
  <c r="H20" i="3"/>
  <c r="H19" i="3"/>
  <c r="H11" i="3"/>
  <c r="H23" i="3"/>
  <c r="H24" i="3"/>
  <c r="H17" i="3"/>
  <c r="H10" i="3"/>
  <c r="I32" i="3" l="1"/>
  <c r="J13" i="3" s="1"/>
  <c r="J18" i="1"/>
  <c r="AQ17" i="1"/>
  <c r="J17" i="1"/>
  <c r="AQ16" i="1"/>
  <c r="AA12" i="11" s="1"/>
  <c r="C1150" i="3" l="1" a="1"/>
  <c r="C1154" i="3" s="1"/>
  <c r="J14" i="3"/>
  <c r="J16" i="3"/>
  <c r="J9" i="3"/>
  <c r="J19" i="3"/>
  <c r="J31" i="3"/>
  <c r="J24" i="3"/>
  <c r="J12" i="3"/>
  <c r="J20" i="3"/>
  <c r="J4" i="3"/>
  <c r="J23" i="3"/>
  <c r="J8" i="3"/>
  <c r="J10" i="3"/>
  <c r="J17" i="3"/>
  <c r="J15" i="3"/>
  <c r="J18" i="3"/>
  <c r="J5" i="3"/>
  <c r="J21" i="3"/>
  <c r="J25" i="3"/>
  <c r="J3" i="3"/>
  <c r="J22" i="3"/>
  <c r="J6" i="3"/>
  <c r="J7" i="3"/>
  <c r="J11" i="3"/>
  <c r="C1163" i="3" l="1"/>
  <c r="C1173" i="3"/>
  <c r="C1167" i="3"/>
  <c r="C1162" i="3"/>
  <c r="C1165" i="3"/>
  <c r="C1153" i="3"/>
  <c r="C1152" i="3"/>
  <c r="C1158" i="3"/>
  <c r="C1156" i="3"/>
  <c r="C1155" i="3"/>
  <c r="C1166" i="3"/>
  <c r="C1169" i="3"/>
  <c r="C1168" i="3"/>
  <c r="C1174" i="3"/>
  <c r="C1161" i="3"/>
  <c r="C1171" i="3"/>
  <c r="C1159" i="3"/>
  <c r="C1170" i="3"/>
  <c r="C1157" i="3"/>
  <c r="C1150" i="3"/>
  <c r="C1177" i="3"/>
  <c r="C1160" i="3"/>
  <c r="C1164" i="3"/>
  <c r="C1151" i="3"/>
  <c r="C1172" i="3"/>
  <c r="C1178" i="3"/>
  <c r="C1176" i="3"/>
  <c r="C1175" i="3"/>
  <c r="J55" i="1"/>
  <c r="C1179" i="3" l="1"/>
  <c r="D1152" i="3" s="1"/>
  <c r="J15" i="1"/>
  <c r="U27" i="3" s="1"/>
  <c r="D1173" i="3" l="1"/>
  <c r="D1158" i="3"/>
  <c r="D1162" i="3"/>
  <c r="A1180" i="3"/>
  <c r="D1169" i="3"/>
  <c r="D1150" i="3"/>
  <c r="D1151" i="3"/>
  <c r="D1161" i="3"/>
  <c r="D1159" i="3"/>
  <c r="D1156" i="3"/>
  <c r="D1153" i="3"/>
  <c r="D1176" i="3"/>
  <c r="D1163" i="3"/>
  <c r="D1155" i="3"/>
  <c r="D1157" i="3"/>
  <c r="D1164" i="3"/>
  <c r="D1168" i="3"/>
  <c r="D1160" i="3"/>
  <c r="D1170" i="3"/>
  <c r="D1172" i="3"/>
  <c r="D1171" i="3"/>
  <c r="D1166" i="3"/>
  <c r="D1165" i="3"/>
  <c r="D1167" i="3"/>
  <c r="D1154" i="3"/>
  <c r="D1174" i="3"/>
  <c r="D1177" i="3"/>
  <c r="D1175" i="3"/>
  <c r="D1178" i="3"/>
  <c r="D1179" i="3" l="1"/>
  <c r="J60" i="1"/>
  <c r="J46" i="1" l="1"/>
  <c r="J59" i="1" l="1"/>
  <c r="J35" i="1" l="1"/>
  <c r="E3" i="3" l="1" a="1"/>
  <c r="E26" i="3" s="1"/>
  <c r="U28" i="3"/>
  <c r="E25" i="3" l="1"/>
  <c r="E31" i="3"/>
  <c r="E29" i="3"/>
  <c r="E12" i="3"/>
  <c r="E22" i="3"/>
  <c r="E5" i="3"/>
  <c r="E11" i="3"/>
  <c r="E14" i="3"/>
  <c r="E8" i="3"/>
  <c r="E18" i="3"/>
  <c r="E28" i="3"/>
  <c r="E7" i="3"/>
  <c r="E21" i="3"/>
  <c r="E27" i="3"/>
  <c r="E20" i="3"/>
  <c r="E30" i="3"/>
  <c r="E24" i="3"/>
  <c r="E3" i="3"/>
  <c r="E17" i="3"/>
  <c r="E23" i="3"/>
  <c r="E10" i="3"/>
  <c r="E4" i="3"/>
  <c r="E9" i="3"/>
  <c r="E15" i="3"/>
  <c r="E13" i="3"/>
  <c r="E19" i="3"/>
  <c r="E6" i="3"/>
  <c r="E16" i="3"/>
  <c r="E32" i="3" l="1"/>
  <c r="F14" i="3" s="1"/>
  <c r="C3" i="3" a="1"/>
  <c r="C3" i="3" s="1"/>
  <c r="F11" i="3" l="1"/>
  <c r="F6" i="3"/>
  <c r="F12" i="3"/>
  <c r="F31" i="3"/>
  <c r="F21" i="3"/>
  <c r="F8" i="3"/>
  <c r="F10" i="3"/>
  <c r="F25" i="3"/>
  <c r="F17" i="3"/>
  <c r="F20" i="3"/>
  <c r="F15" i="3"/>
  <c r="F13" i="3"/>
  <c r="C10" i="3"/>
  <c r="C9" i="3"/>
  <c r="F3" i="3"/>
  <c r="F22" i="3"/>
  <c r="F23" i="3"/>
  <c r="F18" i="3"/>
  <c r="F16" i="3"/>
  <c r="C15" i="3"/>
  <c r="F5" i="3"/>
  <c r="F19" i="3"/>
  <c r="F7" i="3"/>
  <c r="F9" i="3"/>
  <c r="F24" i="3"/>
  <c r="C5" i="3"/>
  <c r="F4" i="3"/>
  <c r="C26" i="3"/>
  <c r="C29" i="3"/>
  <c r="C20" i="3"/>
  <c r="C21" i="3"/>
  <c r="C30" i="3"/>
  <c r="C25" i="3"/>
  <c r="C11" i="3"/>
  <c r="C16" i="3"/>
  <c r="C31" i="3"/>
  <c r="C22" i="3"/>
  <c r="C8" i="3"/>
  <c r="C7" i="3"/>
  <c r="C12" i="3"/>
  <c r="C27" i="3"/>
  <c r="C6" i="3"/>
  <c r="C17" i="3"/>
  <c r="C18" i="3"/>
  <c r="C19" i="3"/>
  <c r="C24" i="3"/>
  <c r="C23" i="3"/>
  <c r="C28" i="3"/>
  <c r="C13" i="3"/>
  <c r="C14" i="3"/>
  <c r="C4" i="3"/>
  <c r="Y23" i="1" l="1"/>
  <c r="X23" i="1"/>
  <c r="W23" i="1"/>
  <c r="AA23" i="1" s="1"/>
  <c r="Z23" i="1" l="1"/>
  <c r="Y21" i="1" l="1"/>
  <c r="Y54" i="1"/>
  <c r="Y57" i="1"/>
  <c r="I17" i="11" s="1"/>
  <c r="Y58" i="1"/>
  <c r="I16" i="11" s="1"/>
  <c r="X58" i="1"/>
  <c r="H16" i="11" s="1"/>
  <c r="X57" i="1"/>
  <c r="H17" i="11" s="1"/>
  <c r="X54" i="1"/>
  <c r="X21" i="1"/>
  <c r="W58" i="1"/>
  <c r="W57" i="1"/>
  <c r="W54" i="1"/>
  <c r="AA54" i="1" s="1"/>
  <c r="W21" i="1"/>
  <c r="AA21" i="1" s="1"/>
  <c r="AA57" i="1" l="1"/>
  <c r="K17" i="11" s="1"/>
  <c r="G17" i="11"/>
  <c r="AA58" i="1"/>
  <c r="K16" i="11" s="1"/>
  <c r="G16" i="11"/>
  <c r="Z21" i="1"/>
  <c r="Z54" i="1"/>
  <c r="Z57" i="1"/>
  <c r="J17" i="11" s="1"/>
  <c r="Z58" i="1"/>
  <c r="J16" i="11" s="1"/>
  <c r="AM58" i="1"/>
  <c r="W16" i="11" s="1"/>
  <c r="AM57" i="1"/>
  <c r="V61" i="1"/>
  <c r="AR61" i="1"/>
  <c r="AA89" i="1" l="1"/>
  <c r="E1300" i="3" a="1"/>
  <c r="E1324" i="3" s="1"/>
  <c r="W17" i="11"/>
  <c r="AM89" i="1"/>
  <c r="Z80" i="1"/>
  <c r="Z89" i="1"/>
  <c r="E1350" i="3" a="1"/>
  <c r="E1360" i="3" s="1"/>
  <c r="AN58" i="1"/>
  <c r="AN89" i="1" s="1"/>
  <c r="AC17" i="11"/>
  <c r="AR56" i="1"/>
  <c r="AH58" i="1"/>
  <c r="R16" i="11" s="1"/>
  <c r="AR54" i="1"/>
  <c r="E1328" i="3" l="1"/>
  <c r="E1313" i="3"/>
  <c r="E1300" i="3"/>
  <c r="E1322" i="3"/>
  <c r="E1320" i="3"/>
  <c r="E1319" i="3"/>
  <c r="E1316" i="3"/>
  <c r="E1301" i="3"/>
  <c r="E1326" i="3"/>
  <c r="E1310" i="3"/>
  <c r="E1307" i="3"/>
  <c r="E1304" i="3"/>
  <c r="E1309" i="3"/>
  <c r="E1302" i="3"/>
  <c r="E1306" i="3"/>
  <c r="E1305" i="3"/>
  <c r="E1325" i="3"/>
  <c r="E1311" i="3"/>
  <c r="E1315" i="3"/>
  <c r="E1314" i="3"/>
  <c r="E1312" i="3"/>
  <c r="E1318" i="3"/>
  <c r="E1317" i="3"/>
  <c r="E1327" i="3"/>
  <c r="E1321" i="3"/>
  <c r="E1308" i="3"/>
  <c r="E1303" i="3"/>
  <c r="E1323" i="3"/>
  <c r="X16" i="11"/>
  <c r="AS58" i="1"/>
  <c r="E1352" i="3"/>
  <c r="E1372" i="3"/>
  <c r="E1365" i="3"/>
  <c r="E1353" i="3"/>
  <c r="E1366" i="3"/>
  <c r="E1376" i="3"/>
  <c r="E1359" i="3"/>
  <c r="E1378" i="3"/>
  <c r="E1357" i="3"/>
  <c r="E1364" i="3"/>
  <c r="E1367" i="3"/>
  <c r="E1377" i="3"/>
  <c r="E1371" i="3"/>
  <c r="E1350" i="3"/>
  <c r="E1358" i="3"/>
  <c r="E1370" i="3"/>
  <c r="E1362" i="3"/>
  <c r="E1368" i="3"/>
  <c r="E1351" i="3"/>
  <c r="E1361" i="3"/>
  <c r="E1355" i="3"/>
  <c r="E1374" i="3"/>
  <c r="E1375" i="3"/>
  <c r="E1363" i="3"/>
  <c r="E1373" i="3"/>
  <c r="E1369" i="3"/>
  <c r="E1356" i="3"/>
  <c r="E1354" i="3"/>
  <c r="AI58" i="1"/>
  <c r="S16" i="11" s="1"/>
  <c r="AR74" i="1"/>
  <c r="AC16" i="11" l="1"/>
  <c r="E1329" i="3"/>
  <c r="F1312" i="3" s="1"/>
  <c r="AR58" i="1"/>
  <c r="AB16" i="11" s="1"/>
  <c r="E1379" i="3"/>
  <c r="F1361" i="3" s="1"/>
  <c r="F1320" i="3"/>
  <c r="F1303" i="3"/>
  <c r="E1250" i="3" a="1"/>
  <c r="E1274" i="3" s="1"/>
  <c r="N1229" i="3"/>
  <c r="E1200" i="3" a="1"/>
  <c r="F1318" i="3"/>
  <c r="F1319" i="3"/>
  <c r="F1323" i="3"/>
  <c r="F1314" i="3"/>
  <c r="F1300" i="3"/>
  <c r="F1311" i="3"/>
  <c r="F1325" i="3"/>
  <c r="F1301" i="3"/>
  <c r="C32" i="3"/>
  <c r="F1308" i="3" l="1"/>
  <c r="F1321" i="3"/>
  <c r="F1317" i="3"/>
  <c r="F1322" i="3"/>
  <c r="F1327" i="3"/>
  <c r="F1307" i="3"/>
  <c r="F1328" i="3"/>
  <c r="F1305" i="3"/>
  <c r="F1324" i="3"/>
  <c r="F1315" i="3"/>
  <c r="F1313" i="3"/>
  <c r="F1302" i="3"/>
  <c r="F1316" i="3"/>
  <c r="F1310" i="3"/>
  <c r="F1309" i="3"/>
  <c r="F1326" i="3"/>
  <c r="F1306" i="3"/>
  <c r="A1330" i="3"/>
  <c r="F1304" i="3"/>
  <c r="AR89" i="1"/>
  <c r="F1356" i="3"/>
  <c r="F1374" i="3"/>
  <c r="F1359" i="3"/>
  <c r="F1352" i="3"/>
  <c r="F1367" i="3"/>
  <c r="F1375" i="3"/>
  <c r="F1370" i="3"/>
  <c r="F1350" i="3"/>
  <c r="F1363" i="3"/>
  <c r="F1354" i="3"/>
  <c r="F1351" i="3"/>
  <c r="F1378" i="3"/>
  <c r="F1358" i="3"/>
  <c r="F1377" i="3"/>
  <c r="F1376" i="3"/>
  <c r="F1373" i="3"/>
  <c r="F1360" i="3"/>
  <c r="F1366" i="3"/>
  <c r="F1362" i="3"/>
  <c r="F1357" i="3"/>
  <c r="F1355" i="3"/>
  <c r="F1371" i="3"/>
  <c r="F1353" i="3"/>
  <c r="F1372" i="3"/>
  <c r="F1368" i="3"/>
  <c r="F1369" i="3"/>
  <c r="F1365" i="3"/>
  <c r="F1364" i="3"/>
  <c r="A1380" i="3"/>
  <c r="E1258" i="3"/>
  <c r="E1262" i="3"/>
  <c r="E1278" i="3"/>
  <c r="E1251" i="3"/>
  <c r="E1252" i="3"/>
  <c r="E1256" i="3"/>
  <c r="E1255" i="3"/>
  <c r="E1275" i="3"/>
  <c r="E1268" i="3"/>
  <c r="E1272" i="3"/>
  <c r="E1276" i="3"/>
  <c r="E1253" i="3"/>
  <c r="E1273" i="3"/>
  <c r="E1270" i="3"/>
  <c r="E1265" i="3"/>
  <c r="E1269" i="3"/>
  <c r="E1263" i="3"/>
  <c r="E1254" i="3"/>
  <c r="E1261" i="3"/>
  <c r="E1260" i="3"/>
  <c r="E1259" i="3"/>
  <c r="E1266" i="3"/>
  <c r="E1257" i="3"/>
  <c r="E1267" i="3"/>
  <c r="E1277" i="3"/>
  <c r="E1271" i="3"/>
  <c r="E1250" i="3"/>
  <c r="E1264" i="3"/>
  <c r="E1201" i="3"/>
  <c r="E1220" i="3"/>
  <c r="E1204" i="3"/>
  <c r="E1219" i="3"/>
  <c r="E1203" i="3"/>
  <c r="E1214" i="3"/>
  <c r="E1225" i="3"/>
  <c r="E1209" i="3"/>
  <c r="E1216" i="3"/>
  <c r="E1200" i="3"/>
  <c r="E1215" i="3"/>
  <c r="E1226" i="3"/>
  <c r="E1210" i="3"/>
  <c r="E1221" i="3"/>
  <c r="E1205" i="3"/>
  <c r="E1228" i="3"/>
  <c r="E1212" i="3"/>
  <c r="E1227" i="3"/>
  <c r="E1211" i="3"/>
  <c r="E1222" i="3"/>
  <c r="E1206" i="3"/>
  <c r="E1217" i="3"/>
  <c r="E1224" i="3"/>
  <c r="E1208" i="3"/>
  <c r="E1223" i="3"/>
  <c r="E1207" i="3"/>
  <c r="E1218" i="3"/>
  <c r="E1202" i="3"/>
  <c r="E1213" i="3"/>
  <c r="D14" i="3"/>
  <c r="A33" i="3"/>
  <c r="D21" i="3"/>
  <c r="D17" i="3"/>
  <c r="D29" i="3"/>
  <c r="D12" i="3"/>
  <c r="D13" i="3"/>
  <c r="D28" i="3"/>
  <c r="D23" i="3"/>
  <c r="H26" i="3"/>
  <c r="D26" i="3"/>
  <c r="D8" i="3"/>
  <c r="D6" i="3"/>
  <c r="D24" i="3"/>
  <c r="D16" i="3"/>
  <c r="J27" i="3"/>
  <c r="H30" i="3"/>
  <c r="F30" i="3"/>
  <c r="J26" i="3"/>
  <c r="D11" i="3"/>
  <c r="D25" i="3"/>
  <c r="D30" i="3"/>
  <c r="H28" i="3"/>
  <c r="H27" i="3"/>
  <c r="D27" i="3"/>
  <c r="F26" i="3"/>
  <c r="D20" i="3"/>
  <c r="D15" i="3"/>
  <c r="D19" i="3"/>
  <c r="D3" i="3"/>
  <c r="D22" i="3"/>
  <c r="D7" i="3"/>
  <c r="F27" i="3"/>
  <c r="J28" i="3"/>
  <c r="F28" i="3"/>
  <c r="J29" i="3"/>
  <c r="J30" i="3"/>
  <c r="D4" i="3"/>
  <c r="F29" i="3"/>
  <c r="D18" i="3"/>
  <c r="D5" i="3"/>
  <c r="D31" i="3"/>
  <c r="D10" i="3"/>
  <c r="D9" i="3"/>
  <c r="F1329" i="3" l="1"/>
  <c r="F1379" i="3"/>
  <c r="E1279" i="3"/>
  <c r="F1264" i="3" s="1"/>
  <c r="E1229" i="3"/>
  <c r="F1208" i="3" s="1"/>
  <c r="J32" i="3"/>
  <c r="F32" i="3"/>
  <c r="H32" i="3"/>
  <c r="D32" i="3"/>
  <c r="F1260" i="3" l="1"/>
  <c r="F1278" i="3"/>
  <c r="F1265" i="3"/>
  <c r="F1253" i="3"/>
  <c r="F1268" i="3"/>
  <c r="F1271" i="3"/>
  <c r="F1254" i="3"/>
  <c r="F1275" i="3"/>
  <c r="F1259" i="3"/>
  <c r="F1273" i="3"/>
  <c r="F1256" i="3"/>
  <c r="F1257" i="3"/>
  <c r="F1250" i="3"/>
  <c r="F1266" i="3"/>
  <c r="F1255" i="3"/>
  <c r="F1258" i="3"/>
  <c r="F1261" i="3"/>
  <c r="F1277" i="3"/>
  <c r="F1276" i="3"/>
  <c r="F1270" i="3"/>
  <c r="F1262" i="3"/>
  <c r="F1252" i="3"/>
  <c r="F1267" i="3"/>
  <c r="F1272" i="3"/>
  <c r="A1280" i="3"/>
  <c r="F1274" i="3"/>
  <c r="F1269" i="3"/>
  <c r="F1251" i="3"/>
  <c r="F1263" i="3"/>
  <c r="F1209" i="3"/>
  <c r="F1203" i="3"/>
  <c r="F1215" i="3"/>
  <c r="F1218" i="3"/>
  <c r="F1206" i="3"/>
  <c r="F1217" i="3"/>
  <c r="A1230" i="3"/>
  <c r="F1226" i="3"/>
  <c r="F1202" i="3"/>
  <c r="F1205" i="3"/>
  <c r="F1216" i="3"/>
  <c r="F1223" i="3"/>
  <c r="F1220" i="3"/>
  <c r="F1221" i="3"/>
  <c r="F1228" i="3"/>
  <c r="F1204" i="3"/>
  <c r="F1211" i="3"/>
  <c r="F1210" i="3"/>
  <c r="F1213" i="3"/>
  <c r="F1214" i="3"/>
  <c r="F1227" i="3"/>
  <c r="F1219" i="3"/>
  <c r="F1222" i="3"/>
  <c r="F1225" i="3"/>
  <c r="F1224" i="3"/>
  <c r="F1201" i="3"/>
  <c r="F1212" i="3"/>
  <c r="F1200" i="3"/>
  <c r="F1207" i="3"/>
  <c r="F857" i="3"/>
  <c r="K857" i="3" s="1"/>
  <c r="F1279" i="3" l="1"/>
  <c r="F1229" i="3"/>
  <c r="F862" i="3"/>
  <c r="K862" i="3" s="1"/>
  <c r="F864" i="3"/>
  <c r="K864" i="3" s="1"/>
  <c r="F863" i="3"/>
  <c r="K863" i="3" s="1"/>
  <c r="F853" i="3"/>
  <c r="K853" i="3" s="1"/>
  <c r="F870" i="3"/>
  <c r="K870" i="3" s="1"/>
  <c r="F859" i="3"/>
  <c r="K859" i="3" s="1"/>
  <c r="F877" i="3"/>
  <c r="K877" i="3" s="1"/>
  <c r="F869" i="3"/>
  <c r="K869" i="3" s="1"/>
  <c r="F867" i="3"/>
  <c r="K867" i="3" s="1"/>
  <c r="F873" i="3"/>
  <c r="K873" i="3" s="1"/>
  <c r="F852" i="3"/>
  <c r="K852" i="3" s="1"/>
  <c r="F875" i="3"/>
  <c r="K875" i="3" s="1"/>
  <c r="F876" i="3"/>
  <c r="K876" i="3" s="1"/>
  <c r="F861" i="3"/>
  <c r="K861" i="3" s="1"/>
  <c r="F874" i="3"/>
  <c r="K874" i="3" s="1"/>
  <c r="F866" i="3"/>
  <c r="K866" i="3" s="1"/>
  <c r="F865" i="3"/>
  <c r="K865" i="3" s="1"/>
  <c r="F856" i="3"/>
  <c r="K856" i="3" s="1"/>
  <c r="F854" i="3"/>
  <c r="K854" i="3" s="1"/>
  <c r="F860" i="3"/>
  <c r="K860" i="3" s="1"/>
  <c r="F850" i="3"/>
  <c r="A880" i="3"/>
  <c r="F878" i="3"/>
  <c r="K878" i="3" s="1"/>
  <c r="F855" i="3"/>
  <c r="K855" i="3" s="1"/>
  <c r="F868" i="3"/>
  <c r="K868" i="3" s="1"/>
  <c r="F872" i="3"/>
  <c r="K872" i="3" s="1"/>
  <c r="F858" i="3"/>
  <c r="K858" i="3" s="1"/>
  <c r="F871" i="3"/>
  <c r="K871" i="3" s="1"/>
  <c r="F851" i="3"/>
  <c r="K851" i="3" s="1"/>
  <c r="H1018" i="3"/>
  <c r="L1018" i="3" s="1"/>
  <c r="K879" i="3" l="1"/>
  <c r="F879" i="3"/>
  <c r="H1019" i="3"/>
  <c r="L1019" i="3" s="1"/>
  <c r="H1009" i="3"/>
  <c r="L1009" i="3" s="1"/>
  <c r="H1025" i="3"/>
  <c r="L1025" i="3" s="1"/>
  <c r="H1007" i="3"/>
  <c r="L1007" i="3" s="1"/>
  <c r="H1024" i="3"/>
  <c r="L1024" i="3" s="1"/>
  <c r="H1001" i="3"/>
  <c r="L1001" i="3" s="1"/>
  <c r="H1021" i="3"/>
  <c r="L1021" i="3" s="1"/>
  <c r="H1003" i="3"/>
  <c r="L1003" i="3" s="1"/>
  <c r="H1010" i="3"/>
  <c r="L1010" i="3" s="1"/>
  <c r="H1017" i="3"/>
  <c r="L1017" i="3" s="1"/>
  <c r="H1015" i="3"/>
  <c r="L1015" i="3" s="1"/>
  <c r="H1000" i="3"/>
  <c r="H1026" i="3"/>
  <c r="L1026" i="3" s="1"/>
  <c r="H1013" i="3"/>
  <c r="L1013" i="3" s="1"/>
  <c r="H1016" i="3"/>
  <c r="L1016" i="3" s="1"/>
  <c r="H1023" i="3"/>
  <c r="L1023" i="3" s="1"/>
  <c r="H1012" i="3"/>
  <c r="L1012" i="3" s="1"/>
  <c r="H1008" i="3"/>
  <c r="L1008" i="3" s="1"/>
  <c r="H1020" i="3"/>
  <c r="L1020" i="3" s="1"/>
  <c r="H1002" i="3"/>
  <c r="L1002" i="3" s="1"/>
  <c r="H1027" i="3"/>
  <c r="L1027" i="3" s="1"/>
  <c r="H1022" i="3"/>
  <c r="L1022" i="3" s="1"/>
  <c r="H1004" i="3"/>
  <c r="L1004" i="3" s="1"/>
  <c r="H1006" i="3"/>
  <c r="L1006" i="3" s="1"/>
  <c r="H1011" i="3"/>
  <c r="L1011" i="3" s="1"/>
  <c r="H1028" i="3"/>
  <c r="L1028" i="3" s="1"/>
  <c r="H1005" i="3"/>
  <c r="L1005" i="3" s="1"/>
  <c r="H1014" i="3"/>
  <c r="L1014" i="3" s="1"/>
  <c r="F1002" i="3"/>
  <c r="K1002" i="3" s="1"/>
  <c r="H1029" i="3" l="1"/>
  <c r="L1029" i="3"/>
  <c r="F1018" i="3"/>
  <c r="K1018" i="3" s="1"/>
  <c r="F1027" i="3"/>
  <c r="K1027" i="3" s="1"/>
  <c r="F1006" i="3"/>
  <c r="K1006" i="3" s="1"/>
  <c r="F1000" i="3"/>
  <c r="F1025" i="3"/>
  <c r="K1025" i="3" s="1"/>
  <c r="F1017" i="3"/>
  <c r="K1017" i="3" s="1"/>
  <c r="F1020" i="3"/>
  <c r="K1020" i="3" s="1"/>
  <c r="F1023" i="3"/>
  <c r="K1023" i="3" s="1"/>
  <c r="A1030" i="3"/>
  <c r="F1012" i="3"/>
  <c r="K1012" i="3" s="1"/>
  <c r="F1003" i="3"/>
  <c r="K1003" i="3" s="1"/>
  <c r="F1014" i="3"/>
  <c r="K1014" i="3" s="1"/>
  <c r="F1004" i="3"/>
  <c r="K1004" i="3" s="1"/>
  <c r="F1007" i="3"/>
  <c r="K1007" i="3" s="1"/>
  <c r="F1013" i="3"/>
  <c r="K1013" i="3" s="1"/>
  <c r="F1010" i="3"/>
  <c r="K1010" i="3" s="1"/>
  <c r="F1026" i="3"/>
  <c r="K1026" i="3" s="1"/>
  <c r="F1005" i="3"/>
  <c r="K1005" i="3" s="1"/>
  <c r="F1019" i="3"/>
  <c r="K1019" i="3" s="1"/>
  <c r="F1016" i="3"/>
  <c r="K1016" i="3" s="1"/>
  <c r="F1024" i="3"/>
  <c r="K1024" i="3" s="1"/>
  <c r="F1021" i="3"/>
  <c r="K1021" i="3" s="1"/>
  <c r="F1022" i="3"/>
  <c r="K1022" i="3" s="1"/>
  <c r="F1011" i="3"/>
  <c r="K1011" i="3" s="1"/>
  <c r="F1008" i="3"/>
  <c r="K1008" i="3" s="1"/>
  <c r="F1001" i="3"/>
  <c r="K1001" i="3" s="1"/>
  <c r="F1015" i="3"/>
  <c r="K1015" i="3" s="1"/>
  <c r="F1009" i="3"/>
  <c r="K1009" i="3" s="1"/>
  <c r="F1028" i="3"/>
  <c r="K1028" i="3" s="1"/>
  <c r="K1029" i="3" l="1"/>
  <c r="F1029" i="3"/>
  <c r="J1052" i="3"/>
  <c r="L1052" i="3" s="1"/>
  <c r="J1061" i="3" l="1"/>
  <c r="L1061" i="3" s="1"/>
  <c r="A1080" i="3"/>
  <c r="J1076" i="3"/>
  <c r="L1076" i="3" s="1"/>
  <c r="J1077" i="3"/>
  <c r="L1077" i="3" s="1"/>
  <c r="J1054" i="3"/>
  <c r="L1054" i="3" s="1"/>
  <c r="J1050" i="3"/>
  <c r="J1071" i="3"/>
  <c r="L1071" i="3" s="1"/>
  <c r="J1074" i="3"/>
  <c r="L1074" i="3" s="1"/>
  <c r="J1066" i="3"/>
  <c r="L1066" i="3" s="1"/>
  <c r="J1053" i="3"/>
  <c r="L1053" i="3" s="1"/>
  <c r="J1073" i="3"/>
  <c r="L1073" i="3" s="1"/>
  <c r="J1064" i="3"/>
  <c r="L1064" i="3" s="1"/>
  <c r="J1051" i="3"/>
  <c r="L1051" i="3" s="1"/>
  <c r="J1072" i="3"/>
  <c r="L1072" i="3" s="1"/>
  <c r="J1055" i="3"/>
  <c r="L1055" i="3" s="1"/>
  <c r="J1060" i="3"/>
  <c r="L1060" i="3" s="1"/>
  <c r="J1078" i="3"/>
  <c r="L1078" i="3" s="1"/>
  <c r="J1056" i="3"/>
  <c r="L1056" i="3" s="1"/>
  <c r="J1069" i="3"/>
  <c r="L1069" i="3" s="1"/>
  <c r="J1059" i="3"/>
  <c r="L1059" i="3" s="1"/>
  <c r="J1062" i="3"/>
  <c r="L1062" i="3" s="1"/>
  <c r="J1075" i="3"/>
  <c r="L1075" i="3" s="1"/>
  <c r="J1063" i="3"/>
  <c r="L1063" i="3" s="1"/>
  <c r="J1065" i="3"/>
  <c r="L1065" i="3" s="1"/>
  <c r="J1058" i="3"/>
  <c r="L1058" i="3" s="1"/>
  <c r="J1068" i="3"/>
  <c r="L1068" i="3" s="1"/>
  <c r="J1057" i="3"/>
  <c r="L1057" i="3" s="1"/>
  <c r="J1070" i="3"/>
  <c r="L1070" i="3" s="1"/>
  <c r="J1067" i="3"/>
  <c r="L1067" i="3" s="1"/>
  <c r="H1122" i="3"/>
  <c r="L1122" i="3" s="1"/>
  <c r="J1079" i="3" l="1"/>
  <c r="L1079" i="3"/>
  <c r="H1103" i="3"/>
  <c r="L1103" i="3" s="1"/>
  <c r="H1106" i="3"/>
  <c r="L1106" i="3" s="1"/>
  <c r="H1127" i="3"/>
  <c r="L1127" i="3" s="1"/>
  <c r="H1113" i="3"/>
  <c r="L1113" i="3" s="1"/>
  <c r="H1114" i="3"/>
  <c r="L1114" i="3" s="1"/>
  <c r="H1124" i="3"/>
  <c r="L1124" i="3" s="1"/>
  <c r="H1120" i="3"/>
  <c r="L1120" i="3" s="1"/>
  <c r="H1108" i="3"/>
  <c r="L1108" i="3" s="1"/>
  <c r="H1112" i="3"/>
  <c r="L1112" i="3" s="1"/>
  <c r="H1126" i="3"/>
  <c r="L1126" i="3" s="1"/>
  <c r="H1116" i="3"/>
  <c r="L1116" i="3" s="1"/>
  <c r="H1104" i="3"/>
  <c r="L1104" i="3" s="1"/>
  <c r="H1105" i="3"/>
  <c r="L1105" i="3" s="1"/>
  <c r="H1119" i="3"/>
  <c r="L1119" i="3" s="1"/>
  <c r="H1115" i="3"/>
  <c r="L1115" i="3" s="1"/>
  <c r="A1130" i="3"/>
  <c r="H1109" i="3"/>
  <c r="L1109" i="3" s="1"/>
  <c r="H1123" i="3"/>
  <c r="L1123" i="3" s="1"/>
  <c r="H1118" i="3"/>
  <c r="L1118" i="3" s="1"/>
  <c r="H1117" i="3"/>
  <c r="L1117" i="3" s="1"/>
  <c r="H1110" i="3"/>
  <c r="L1110" i="3" s="1"/>
  <c r="H1100" i="3"/>
  <c r="H1107" i="3"/>
  <c r="L1107" i="3" s="1"/>
  <c r="H1102" i="3"/>
  <c r="L1102" i="3" s="1"/>
  <c r="H1121" i="3"/>
  <c r="L1121" i="3" s="1"/>
  <c r="H1125" i="3"/>
  <c r="L1125" i="3" s="1"/>
  <c r="H1111" i="3"/>
  <c r="L1111" i="3" s="1"/>
  <c r="H1128" i="3"/>
  <c r="L1128" i="3" s="1"/>
  <c r="H1101" i="3"/>
  <c r="L1101" i="3" s="1"/>
  <c r="H1129" i="3" l="1"/>
  <c r="L1129" i="3"/>
  <c r="D1526" i="3"/>
  <c r="D1523" i="3"/>
  <c r="D1521" i="3"/>
  <c r="D1527" i="3"/>
  <c r="D1522" i="3"/>
  <c r="D1525" i="3"/>
  <c r="D1520" i="3"/>
  <c r="D1524" i="3"/>
  <c r="A1530" i="3"/>
  <c r="D1528" i="3"/>
  <c r="D1529" i="3" l="1"/>
  <c r="J1990" i="3" l="1"/>
  <c r="J2032" i="3"/>
  <c r="J2033" i="3"/>
  <c r="J2036" i="3"/>
  <c r="J1985" i="3"/>
  <c r="J1983" i="3"/>
  <c r="J2035" i="3"/>
  <c r="J1989" i="3"/>
  <c r="J2040" i="3"/>
  <c r="J1986" i="3"/>
  <c r="J2034" i="3"/>
  <c r="J1982" i="3"/>
  <c r="J2038" i="3"/>
  <c r="J2039" i="3"/>
  <c r="J1988" i="3"/>
  <c r="J1987" i="3"/>
  <c r="J2037" i="3"/>
  <c r="J1984" i="3"/>
  <c r="J2066" i="3"/>
  <c r="J2067" i="3"/>
  <c r="J2076" i="3"/>
  <c r="J2070" i="3"/>
  <c r="J2087" i="3"/>
  <c r="J2078" i="3"/>
  <c r="J2069" i="3"/>
  <c r="A2093" i="3"/>
  <c r="H2091" i="3" s="1"/>
  <c r="J2083" i="3"/>
  <c r="J2089" i="3"/>
  <c r="J2057" i="3"/>
  <c r="D2091" i="3"/>
  <c r="D2088" i="3"/>
  <c r="H2088" i="3"/>
  <c r="J2086" i="3"/>
  <c r="H2087" i="3"/>
  <c r="H2086" i="3"/>
  <c r="J2056" i="3"/>
  <c r="J2062" i="3"/>
  <c r="J2065" i="3"/>
  <c r="J2084" i="3"/>
  <c r="J2060" i="3"/>
  <c r="J2063" i="3"/>
  <c r="J2058" i="3"/>
  <c r="J2081" i="3"/>
  <c r="J2090" i="3"/>
  <c r="H2090" i="3"/>
  <c r="J2091" i="3"/>
  <c r="H2089" i="3"/>
  <c r="J2074" i="3"/>
  <c r="J2064" i="3"/>
  <c r="J2061" i="3"/>
  <c r="J2059" i="3"/>
  <c r="J2073" i="3"/>
  <c r="J2082" i="3"/>
  <c r="J2080" i="3"/>
  <c r="J2085" i="3"/>
  <c r="J2088" i="3"/>
  <c r="H2085" i="3"/>
  <c r="J2079" i="3"/>
  <c r="J2075" i="3"/>
  <c r="J2071" i="3"/>
  <c r="J2068" i="3"/>
  <c r="J2077" i="3"/>
  <c r="J2072" i="3"/>
  <c r="J2092" i="3" l="1"/>
  <c r="H2092" i="3"/>
  <c r="J1991" i="3"/>
  <c r="J2041" i="3"/>
  <c r="F2091" i="3"/>
  <c r="D2090" i="3"/>
  <c r="D2085" i="3"/>
  <c r="D2087" i="3"/>
  <c r="F2085" i="3"/>
  <c r="D2089" i="3"/>
  <c r="F2090" i="3"/>
  <c r="F2088" i="3"/>
  <c r="F2089" i="3"/>
  <c r="F2087" i="3"/>
  <c r="F2086" i="3"/>
  <c r="D2086" i="3"/>
  <c r="D2092" i="3" l="1"/>
  <c r="F2092" i="3"/>
</calcChain>
</file>

<file path=xl/comments1.xml><?xml version="1.0" encoding="utf-8"?>
<comments xmlns="http://schemas.openxmlformats.org/spreadsheetml/2006/main">
  <authors>
    <author>Author</author>
  </authors>
  <commentList>
    <comment ref="BE2" authorId="0" shapeId="0">
      <text>
        <r>
          <rPr>
            <b/>
            <sz val="9"/>
            <color indexed="81"/>
            <rFont val="Tahoma"/>
            <family val="2"/>
          </rPr>
          <t>Author:</t>
        </r>
        <r>
          <rPr>
            <sz val="9"/>
            <color indexed="81"/>
            <rFont val="Tahoma"/>
            <family val="2"/>
          </rPr>
          <t xml:space="preserve">
Operating System</t>
        </r>
      </text>
    </comment>
    <comment ref="BF2" authorId="0" shapeId="0">
      <text>
        <r>
          <rPr>
            <b/>
            <sz val="9"/>
            <color indexed="81"/>
            <rFont val="Tahoma"/>
            <family val="2"/>
          </rPr>
          <t>Author:</t>
        </r>
        <r>
          <rPr>
            <sz val="9"/>
            <color indexed="81"/>
            <rFont val="Tahoma"/>
            <family val="2"/>
          </rPr>
          <t xml:space="preserve">
Programming
Environment</t>
        </r>
      </text>
    </comment>
    <comment ref="BJ2" authorId="0" shapeId="0">
      <text>
        <r>
          <rPr>
            <b/>
            <sz val="9"/>
            <color indexed="81"/>
            <rFont val="Tahoma"/>
            <family val="2"/>
          </rPr>
          <t>Author:</t>
        </r>
        <r>
          <rPr>
            <sz val="9"/>
            <color indexed="81"/>
            <rFont val="Tahoma"/>
            <family val="2"/>
          </rPr>
          <t xml:space="preserve">
Carrier frequency</t>
        </r>
      </text>
    </comment>
    <comment ref="BK2" authorId="0" shapeId="0">
      <text>
        <r>
          <rPr>
            <b/>
            <sz val="9"/>
            <color indexed="81"/>
            <rFont val="Tahoma"/>
            <family val="2"/>
          </rPr>
          <t>Author:</t>
        </r>
        <r>
          <rPr>
            <sz val="9"/>
            <color indexed="81"/>
            <rFont val="Tahoma"/>
            <family val="2"/>
          </rPr>
          <t xml:space="preserve">
Modulation scheme</t>
        </r>
      </text>
    </comment>
    <comment ref="BL2" authorId="0" shapeId="0">
      <text>
        <r>
          <rPr>
            <b/>
            <sz val="9"/>
            <color indexed="81"/>
            <rFont val="Tahoma"/>
            <family val="2"/>
          </rPr>
          <t>Author:</t>
        </r>
        <r>
          <rPr>
            <sz val="9"/>
            <color indexed="81"/>
            <rFont val="Tahoma"/>
            <family val="2"/>
          </rPr>
          <t xml:space="preserve">
Receiver sensitivity in dBm</t>
        </r>
      </text>
    </comment>
    <comment ref="BM2" authorId="0" shapeId="0">
      <text>
        <r>
          <rPr>
            <b/>
            <sz val="9"/>
            <color indexed="81"/>
            <rFont val="Tahoma"/>
            <family val="2"/>
          </rPr>
          <t>Author:</t>
        </r>
        <r>
          <rPr>
            <sz val="9"/>
            <color indexed="81"/>
            <rFont val="Tahoma"/>
            <family val="2"/>
          </rPr>
          <t xml:space="preserve">
Maximum transmitted
Power</t>
        </r>
      </text>
    </comment>
    <comment ref="AQ9" authorId="0" shapeId="0">
      <text>
        <r>
          <rPr>
            <b/>
            <sz val="9"/>
            <color indexed="81"/>
            <rFont val="Tahoma"/>
            <family val="2"/>
          </rPr>
          <t>Author:</t>
        </r>
        <r>
          <rPr>
            <sz val="9"/>
            <color indexed="81"/>
            <rFont val="Tahoma"/>
            <family val="2"/>
          </rPr>
          <t xml:space="preserve">
It depends to the sensor selection</t>
        </r>
      </text>
    </comment>
    <comment ref="V10" authorId="0" shapeId="0">
      <text>
        <r>
          <rPr>
            <b/>
            <sz val="9"/>
            <color indexed="81"/>
            <rFont val="Tahoma"/>
            <family val="2"/>
          </rPr>
          <t>Author:</t>
        </r>
        <r>
          <rPr>
            <sz val="9"/>
            <color indexed="81"/>
            <rFont val="Tahoma"/>
            <family val="2"/>
          </rPr>
          <t xml:space="preserve">
Includes Shimmer 3</t>
        </r>
      </text>
    </comment>
    <comment ref="N21" authorId="0" shapeId="0">
      <text>
        <r>
          <rPr>
            <b/>
            <sz val="9"/>
            <color indexed="81"/>
            <rFont val="Tahoma"/>
            <family val="2"/>
          </rPr>
          <t>Author:</t>
        </r>
        <r>
          <rPr>
            <sz val="9"/>
            <color indexed="81"/>
            <rFont val="Tahoma"/>
            <family val="2"/>
          </rPr>
          <t xml:space="preserve">
Some must be used with a data acquisation circuit</t>
        </r>
      </text>
    </comment>
    <comment ref="Q32" authorId="0" shapeId="0">
      <text>
        <r>
          <rPr>
            <b/>
            <sz val="9"/>
            <color indexed="81"/>
            <rFont val="Tahoma"/>
            <family val="2"/>
          </rPr>
          <t>Author:</t>
        </r>
        <r>
          <rPr>
            <sz val="9"/>
            <color indexed="81"/>
            <rFont val="Tahoma"/>
            <family val="2"/>
          </rPr>
          <t xml:space="preserve">
One ADC is used fully differential with a 4to1 MUX</t>
        </r>
      </text>
    </comment>
    <comment ref="T32" authorId="0" shapeId="0">
      <text>
        <r>
          <rPr>
            <b/>
            <sz val="9"/>
            <color indexed="81"/>
            <rFont val="Tahoma"/>
            <family val="2"/>
          </rPr>
          <t>Author:</t>
        </r>
        <r>
          <rPr>
            <sz val="9"/>
            <color indexed="81"/>
            <rFont val="Tahoma"/>
            <family val="2"/>
          </rPr>
          <t xml:space="preserve">
One ADC is used fully differential with a 4to1 MUX</t>
        </r>
      </text>
    </comment>
    <comment ref="U32" authorId="0" shapeId="0">
      <text>
        <r>
          <rPr>
            <b/>
            <sz val="9"/>
            <color indexed="81"/>
            <rFont val="Tahoma"/>
            <family val="2"/>
          </rPr>
          <t>Author:</t>
        </r>
        <r>
          <rPr>
            <sz val="9"/>
            <color indexed="81"/>
            <rFont val="Tahoma"/>
            <family val="2"/>
          </rPr>
          <t xml:space="preserve">
One ADC is used fully differential with a 4to1 MUX</t>
        </r>
      </text>
    </comment>
  </commentList>
</comments>
</file>

<file path=xl/comments2.xml><?xml version="1.0" encoding="utf-8"?>
<comments xmlns="http://schemas.openxmlformats.org/spreadsheetml/2006/main">
  <authors>
    <author>Author</author>
  </authors>
  <commentList>
    <comment ref="CA2" authorId="0" shapeId="0">
      <text>
        <r>
          <rPr>
            <b/>
            <sz val="9"/>
            <color indexed="81"/>
            <rFont val="Tahoma"/>
            <family val="2"/>
          </rPr>
          <t>Author:</t>
        </r>
        <r>
          <rPr>
            <sz val="9"/>
            <color indexed="81"/>
            <rFont val="Tahoma"/>
            <family val="2"/>
          </rPr>
          <t xml:space="preserve">
Operating System</t>
        </r>
      </text>
    </comment>
    <comment ref="CB2" authorId="0" shapeId="0">
      <text>
        <r>
          <rPr>
            <b/>
            <sz val="9"/>
            <color indexed="81"/>
            <rFont val="Tahoma"/>
            <family val="2"/>
          </rPr>
          <t>Author:</t>
        </r>
        <r>
          <rPr>
            <sz val="9"/>
            <color indexed="81"/>
            <rFont val="Tahoma"/>
            <family val="2"/>
          </rPr>
          <t xml:space="preserve">
Programming
Environment</t>
        </r>
      </text>
    </comment>
    <comment ref="CG2" authorId="0" shapeId="0">
      <text>
        <r>
          <rPr>
            <b/>
            <sz val="9"/>
            <color indexed="81"/>
            <rFont val="Tahoma"/>
            <family val="2"/>
          </rPr>
          <t>Author:</t>
        </r>
        <r>
          <rPr>
            <sz val="9"/>
            <color indexed="81"/>
            <rFont val="Tahoma"/>
            <family val="2"/>
          </rPr>
          <t xml:space="preserve">
Receiver sensitivity in dBm</t>
        </r>
      </text>
    </comment>
    <comment ref="CH2" authorId="0" shapeId="0">
      <text>
        <r>
          <rPr>
            <b/>
            <sz val="9"/>
            <color indexed="81"/>
            <rFont val="Tahoma"/>
            <family val="2"/>
          </rPr>
          <t>Author:</t>
        </r>
        <r>
          <rPr>
            <sz val="9"/>
            <color indexed="81"/>
            <rFont val="Tahoma"/>
            <family val="2"/>
          </rPr>
          <t xml:space="preserve">
Maximum transmitted
Power</t>
        </r>
      </text>
    </comment>
  </commentList>
</comments>
</file>

<file path=xl/comments3.xml><?xml version="1.0" encoding="utf-8"?>
<comments xmlns="http://schemas.openxmlformats.org/spreadsheetml/2006/main">
  <authors>
    <author>Author</author>
  </authors>
  <commentList>
    <comment ref="AO2" authorId="0" shapeId="0">
      <text>
        <r>
          <rPr>
            <b/>
            <sz val="9"/>
            <color indexed="81"/>
            <rFont val="Tahoma"/>
            <family val="2"/>
          </rPr>
          <t>Author:</t>
        </r>
        <r>
          <rPr>
            <sz val="9"/>
            <color indexed="81"/>
            <rFont val="Tahoma"/>
            <family val="2"/>
          </rPr>
          <t xml:space="preserve">
Operating System</t>
        </r>
      </text>
    </comment>
    <comment ref="AP2" authorId="0" shapeId="0">
      <text>
        <r>
          <rPr>
            <b/>
            <sz val="9"/>
            <color indexed="81"/>
            <rFont val="Tahoma"/>
            <family val="2"/>
          </rPr>
          <t>Author:</t>
        </r>
        <r>
          <rPr>
            <sz val="9"/>
            <color indexed="81"/>
            <rFont val="Tahoma"/>
            <family val="2"/>
          </rPr>
          <t xml:space="preserve">
Programming
Environment</t>
        </r>
      </text>
    </comment>
    <comment ref="AT2" authorId="0" shapeId="0">
      <text>
        <r>
          <rPr>
            <b/>
            <sz val="9"/>
            <color indexed="81"/>
            <rFont val="Tahoma"/>
            <family val="2"/>
          </rPr>
          <t>Author:</t>
        </r>
        <r>
          <rPr>
            <sz val="9"/>
            <color indexed="81"/>
            <rFont val="Tahoma"/>
            <family val="2"/>
          </rPr>
          <t xml:space="preserve">
Carrier frequency</t>
        </r>
      </text>
    </comment>
    <comment ref="AU2" authorId="0" shapeId="0">
      <text>
        <r>
          <rPr>
            <b/>
            <sz val="9"/>
            <color indexed="81"/>
            <rFont val="Tahoma"/>
            <family val="2"/>
          </rPr>
          <t>Author:</t>
        </r>
        <r>
          <rPr>
            <sz val="9"/>
            <color indexed="81"/>
            <rFont val="Tahoma"/>
            <family val="2"/>
          </rPr>
          <t xml:space="preserve">
Modulation scheme</t>
        </r>
      </text>
    </comment>
    <comment ref="AV2" authorId="0" shapeId="0">
      <text>
        <r>
          <rPr>
            <b/>
            <sz val="9"/>
            <color indexed="81"/>
            <rFont val="Tahoma"/>
            <family val="2"/>
          </rPr>
          <t>Author:</t>
        </r>
        <r>
          <rPr>
            <sz val="9"/>
            <color indexed="81"/>
            <rFont val="Tahoma"/>
            <family val="2"/>
          </rPr>
          <t xml:space="preserve">
Receiver sensitivity in dBm</t>
        </r>
      </text>
    </comment>
    <comment ref="AW2" authorId="0" shapeId="0">
      <text>
        <r>
          <rPr>
            <b/>
            <sz val="9"/>
            <color indexed="81"/>
            <rFont val="Tahoma"/>
            <family val="2"/>
          </rPr>
          <t>Author:</t>
        </r>
        <r>
          <rPr>
            <sz val="9"/>
            <color indexed="81"/>
            <rFont val="Tahoma"/>
            <family val="2"/>
          </rPr>
          <t xml:space="preserve">
Maximum transmitted
Power</t>
        </r>
      </text>
    </comment>
    <comment ref="BP31" authorId="0" shapeId="0">
      <text>
        <r>
          <rPr>
            <b/>
            <sz val="9"/>
            <color indexed="81"/>
            <rFont val="Tahoma"/>
            <family val="2"/>
          </rPr>
          <t>Author:</t>
        </r>
        <r>
          <rPr>
            <sz val="9"/>
            <color indexed="81"/>
            <rFont val="Tahoma"/>
            <family val="2"/>
          </rPr>
          <t xml:space="preserve">
Operating System</t>
        </r>
      </text>
    </comment>
    <comment ref="BQ31" authorId="0" shapeId="0">
      <text>
        <r>
          <rPr>
            <b/>
            <sz val="9"/>
            <color indexed="81"/>
            <rFont val="Tahoma"/>
            <family val="2"/>
          </rPr>
          <t>Author:</t>
        </r>
        <r>
          <rPr>
            <sz val="9"/>
            <color indexed="81"/>
            <rFont val="Tahoma"/>
            <family val="2"/>
          </rPr>
          <t xml:space="preserve">
Programming
Environment</t>
        </r>
      </text>
    </comment>
    <comment ref="BV31" authorId="0" shapeId="0">
      <text>
        <r>
          <rPr>
            <b/>
            <sz val="9"/>
            <color indexed="81"/>
            <rFont val="Tahoma"/>
            <family val="2"/>
          </rPr>
          <t>Author:</t>
        </r>
        <r>
          <rPr>
            <sz val="9"/>
            <color indexed="81"/>
            <rFont val="Tahoma"/>
            <family val="2"/>
          </rPr>
          <t xml:space="preserve">
Receiver sensitivity in dBm</t>
        </r>
      </text>
    </comment>
    <comment ref="BW31" authorId="0" shapeId="0">
      <text>
        <r>
          <rPr>
            <b/>
            <sz val="9"/>
            <color indexed="81"/>
            <rFont val="Tahoma"/>
            <family val="2"/>
          </rPr>
          <t>Author:</t>
        </r>
        <r>
          <rPr>
            <sz val="9"/>
            <color indexed="81"/>
            <rFont val="Tahoma"/>
            <family val="2"/>
          </rPr>
          <t xml:space="preserve">
Maximum transmitted
Power</t>
        </r>
      </text>
    </comment>
  </commentList>
</comments>
</file>

<file path=xl/sharedStrings.xml><?xml version="1.0" encoding="utf-8"?>
<sst xmlns="http://schemas.openxmlformats.org/spreadsheetml/2006/main" count="13625" uniqueCount="1017">
  <si>
    <t>Mica2/Micaz</t>
  </si>
  <si>
    <t>IRIS</t>
  </si>
  <si>
    <t>Sun SPOT</t>
  </si>
  <si>
    <t>Sun Microsystems</t>
  </si>
  <si>
    <t>EZ430-RF2480</t>
  </si>
  <si>
    <t>EZ430-RF2500T</t>
  </si>
  <si>
    <t>Waspmotes</t>
  </si>
  <si>
    <t>BTNode motes</t>
  </si>
  <si>
    <t>Intel</t>
  </si>
  <si>
    <t>WEARABLE</t>
  </si>
  <si>
    <t>Gear II</t>
  </si>
  <si>
    <t>Samsung</t>
  </si>
  <si>
    <t>Package</t>
  </si>
  <si>
    <t>YES</t>
  </si>
  <si>
    <t>One</t>
  </si>
  <si>
    <t>Fitbit</t>
  </si>
  <si>
    <t>NailO</t>
  </si>
  <si>
    <t>Wahoo</t>
  </si>
  <si>
    <t>CR2032 battery</t>
  </si>
  <si>
    <t>iON</t>
  </si>
  <si>
    <t>Imote2</t>
  </si>
  <si>
    <t>Galileo</t>
  </si>
  <si>
    <t>CR2025 battery</t>
  </si>
  <si>
    <t>Xbee</t>
  </si>
  <si>
    <t>Vendor</t>
  </si>
  <si>
    <t>What</t>
  </si>
  <si>
    <t>Width
(mm)</t>
  </si>
  <si>
    <t>Height
(mm)</t>
  </si>
  <si>
    <t>Weight
(gr)</t>
  </si>
  <si>
    <t>Battery
Cap (A*h)</t>
  </si>
  <si>
    <t>Battery
Cap (J)</t>
  </si>
  <si>
    <t>Recharg
able</t>
  </si>
  <si>
    <t>Price
(US$)</t>
  </si>
  <si>
    <t>Bits</t>
  </si>
  <si>
    <t>RAM
(kB)</t>
  </si>
  <si>
    <t>Flash
(kB)</t>
  </si>
  <si>
    <t>E2PROM
(kB)</t>
  </si>
  <si>
    <t>Pwr (W),
Duty Cycl</t>
  </si>
  <si>
    <t>Micro
controller</t>
  </si>
  <si>
    <t>Active
Pwr(W)</t>
  </si>
  <si>
    <t>Sleep
Pwr(W)</t>
  </si>
  <si>
    <t>Timer
(bits)</t>
  </si>
  <si>
    <t># of
ADCs</t>
  </si>
  <si>
    <t># of Analog
Channels</t>
  </si>
  <si>
    <t>On-board
sensors</t>
  </si>
  <si>
    <t>Additional
Sensors</t>
  </si>
  <si>
    <t>OS</t>
  </si>
  <si>
    <t>Prog
Env</t>
  </si>
  <si>
    <t>Radio
Type</t>
  </si>
  <si>
    <t>Radio
Module
Chip</t>
  </si>
  <si>
    <t>Data
rate
(bps)</t>
  </si>
  <si>
    <t>fC
(MHz)</t>
  </si>
  <si>
    <t>Modulation</t>
  </si>
  <si>
    <t>Sensitivity
(dBm)</t>
  </si>
  <si>
    <t>Max Trans
Pwr (dBm)</t>
  </si>
  <si>
    <t>Notes &amp;
Uniqueness</t>
  </si>
  <si>
    <t>Name</t>
  </si>
  <si>
    <t>Smartwatch</t>
  </si>
  <si>
    <t>On-chip
Radio</t>
  </si>
  <si>
    <t>Type</t>
  </si>
  <si>
    <t>Lnk
1</t>
  </si>
  <si>
    <t>Lnk
2</t>
  </si>
  <si>
    <t>Lnk
3</t>
  </si>
  <si>
    <t>Lnk
4</t>
  </si>
  <si>
    <t>Lnk
5</t>
  </si>
  <si>
    <t>Lnk</t>
  </si>
  <si>
    <t>Physical</t>
  </si>
  <si>
    <t>Mixed-Mode</t>
  </si>
  <si>
    <t>Power                        Power                        Power                        Power</t>
  </si>
  <si>
    <t>TelosB
Tmote Sky</t>
  </si>
  <si>
    <t>Beaglebone
black</t>
  </si>
  <si>
    <t>Digital                  Digital</t>
  </si>
  <si>
    <t>Programming</t>
  </si>
  <si>
    <t>RF                    RF                    RF                    RF                    RF                    RF</t>
  </si>
  <si>
    <t>Thickness
(mm)</t>
  </si>
  <si>
    <t>Max
Dimension
(mm)</t>
  </si>
  <si>
    <t>open source hardware
and software sensor
platform</t>
  </si>
  <si>
    <t>chip - system in package
(CPU+DRAM+Flash)</t>
  </si>
  <si>
    <t>No. of
Gates
(kGate)</t>
  </si>
  <si>
    <t>Washington University
in St. Louis</t>
  </si>
  <si>
    <t>Activity tracker</t>
  </si>
  <si>
    <t>Emergency caller</t>
  </si>
  <si>
    <t>No</t>
  </si>
  <si>
    <t>Raplac
abel</t>
  </si>
  <si>
    <t>Yes</t>
  </si>
  <si>
    <t>Chest-worn heart
rate monitor</t>
  </si>
  <si>
    <t>Heart Rate</t>
  </si>
  <si>
    <t>Lifelogging camera</t>
  </si>
  <si>
    <t>MIT</t>
  </si>
  <si>
    <t>Trackpad on a nail</t>
  </si>
  <si>
    <t>Prospeckz</t>
  </si>
  <si>
    <t>General</t>
  </si>
  <si>
    <t>ILC 2000</t>
  </si>
  <si>
    <t>MEMSIC Inc
(UCBerkeley)</t>
  </si>
  <si>
    <t>Real-time
Technologies</t>
  </si>
  <si>
    <t>Libelium
Comunications</t>
  </si>
  <si>
    <t>Anav200</t>
  </si>
  <si>
    <t>Positioning
system</t>
  </si>
  <si>
    <t>Nav440</t>
  </si>
  <si>
    <t>VG440</t>
  </si>
  <si>
    <t>Vertical Gyroscope</t>
  </si>
  <si>
    <t>VG700M</t>
  </si>
  <si>
    <t>Motion and
altitude sensing</t>
  </si>
  <si>
    <t>Other</t>
  </si>
  <si>
    <t>Atmega
128L</t>
  </si>
  <si>
    <t>General purpose</t>
  </si>
  <si>
    <t>No sensor</t>
  </si>
  <si>
    <t>MTS 420/400</t>
  </si>
  <si>
    <t>MDA 300</t>
  </si>
  <si>
    <t>MTS 310</t>
  </si>
  <si>
    <t>MTS 300</t>
  </si>
  <si>
    <t>MDA 100</t>
  </si>
  <si>
    <t>Light
Temprature
Acoustic</t>
  </si>
  <si>
    <t>Dual axis accelerometer
Dual axis magnetometer
Light
Temprature
Acoustic</t>
  </si>
  <si>
    <t>Temprature
Light</t>
  </si>
  <si>
    <t>ADC</t>
  </si>
  <si>
    <t>Platform for research</t>
  </si>
  <si>
    <t># DACs</t>
  </si>
  <si>
    <t>ADC
Res
(bits)</t>
  </si>
  <si>
    <t>DAC
Res
(bits)</t>
  </si>
  <si>
    <t>Temprature, SHT11, -40~123.8, res 0.01 oC, accuracy ±0.5 oC
Humidity, SHT11, 0~100%, res 0.03%, accuracy ±3.5 %
Light S1087, 320~730 nm</t>
  </si>
  <si>
    <t>Shimmer 3</t>
  </si>
  <si>
    <t>Sensor selection</t>
  </si>
  <si>
    <t>Shimmer3
GSR+ Unit</t>
  </si>
  <si>
    <t>PDF</t>
  </si>
  <si>
    <t>Sports
Health care
(Platform)</t>
  </si>
  <si>
    <t>ADC
BW
(kHz)</t>
  </si>
  <si>
    <t>Shimmer 3 Bridge
Amplifier + Unit</t>
  </si>
  <si>
    <t>Interface
Possiblities</t>
  </si>
  <si>
    <t>Excitation voltage
Amplifier, 183 ~ 551 v/v, 0~1 kHz,
 CM rejection &gt; 110 dB
Zin = 50 M Ohm
Resistanse Amplifier</t>
  </si>
  <si>
    <t>MSP 430</t>
  </si>
  <si>
    <t>Temprature (Philips 21091A)
Pressure (BMP 180),
Accelometer &amp; Gyroscope (MPU-9150, or LSM303DLHC, or kxrb5-2048)</t>
  </si>
  <si>
    <t>Shimmer3 EMG Unit</t>
  </si>
  <si>
    <t>Muscle contractions, assess nerve
conduction, etc.</t>
  </si>
  <si>
    <t>Revolar (Not 
Commercialized)</t>
  </si>
  <si>
    <t>Shimmer3 ECG
Unit</t>
  </si>
  <si>
    <t>No Batt</t>
  </si>
  <si>
    <t>Optional</t>
  </si>
  <si>
    <t>Shimmer Proto3
Mini expansion
board</t>
  </si>
  <si>
    <t>Shimmer Proto3
Deluxe Module</t>
  </si>
  <si>
    <t>Simillar to Mini except
the connections</t>
  </si>
  <si>
    <t>panStamps</t>
  </si>
  <si>
    <t>Atmega328p</t>
  </si>
  <si>
    <t>panStamps AVR</t>
  </si>
  <si>
    <t>panStamps NRG</t>
  </si>
  <si>
    <t>ISM Bands</t>
  </si>
  <si>
    <t>Categorizing Problems</t>
  </si>
  <si>
    <t>No ADC resolution has been mentioned and I only added the ADC specs of the microcontroller</t>
  </si>
  <si>
    <t>DIP 24</t>
  </si>
  <si>
    <t>Motion,
optinl humidity and temp</t>
  </si>
  <si>
    <t>This product is actually an alternative for the AVR, since it has all its specs but the same price.</t>
  </si>
  <si>
    <t>MSP4305137</t>
  </si>
  <si>
    <t>Dual Temprature and Humidity
(SI7021)</t>
  </si>
  <si>
    <t>power supply plus
sensors footprint</t>
  </si>
  <si>
    <t>TinyCircuits
(TinyDuino Products)</t>
  </si>
  <si>
    <t>TinyShield 9-
Axis IMU</t>
  </si>
  <si>
    <t>Max
Current
(mA)</t>
  </si>
  <si>
    <t>Accelerometer
plus temprature</t>
  </si>
  <si>
    <t>TinyShield
Compass</t>
  </si>
  <si>
    <t>Compass</t>
  </si>
  <si>
    <t>amplificaion
automatic degaussing strap drivers
offset cancellation</t>
  </si>
  <si>
    <t>TinyShield
Gyroscope</t>
  </si>
  <si>
    <t>Gyroscope</t>
  </si>
  <si>
    <t>3 Axis Gyroscope (ST L3G4200D)
250 dps, 500 dps, 2000 dps
Temprature (8 bits)</t>
  </si>
  <si>
    <t>High-pass/Low-pass
adjustable filters</t>
  </si>
  <si>
    <t>TinyShield
Ambient
light sensor</t>
  </si>
  <si>
    <t>Programmabel analog gain</t>
  </si>
  <si>
    <t>Ambient Light sensor</t>
  </si>
  <si>
    <t>WeIO</t>
  </si>
  <si>
    <t>Digital thermometer (LM75)</t>
  </si>
  <si>
    <t>Wi-Go Module</t>
  </si>
  <si>
    <t>Avnet</t>
  </si>
  <si>
    <t>Stand-alone mote</t>
  </si>
  <si>
    <t>LBWA1ZZVk7</t>
  </si>
  <si>
    <t>Youtube</t>
  </si>
  <si>
    <t>Yes
MAX
8856
USB batry
charger</t>
  </si>
  <si>
    <t>PDf</t>
  </si>
  <si>
    <t>Temprature -40~+85, accuracy 0.25 (DS3231SN, Maxim)
3-axis Accelerometer ±2g, ±4g, ±8g. (LIS3331LDH ST Microelectronics)
Accel low pwr 0.5 Hz, 1 Hz, 2 Hz, 5 Hz, 10 Hz
Accel normal pwr 50 Hz, 100 Hz, 400 Hz, 1000Hz</t>
  </si>
  <si>
    <t>Gases(18), Events(10), 
Smart Water(6), Smart Water
Ions(12), Smart cities(9), 
Smart parking(2), Agriculture(13),
Video Camera(4), Radiation(1),
Smart metering(10)</t>
  </si>
  <si>
    <t>YES
USB
or
solar</t>
  </si>
  <si>
    <t>FRDM-K64F</t>
  </si>
  <si>
    <t>Freescale</t>
  </si>
  <si>
    <t>mote</t>
  </si>
  <si>
    <t>3-Axis Accelerometer (FXOS8700CQ)
3-Axis Gyroscope (FXOS8700CQ)</t>
  </si>
  <si>
    <t>Z1</t>
  </si>
  <si>
    <t>Zolteria</t>
  </si>
  <si>
    <t>Mote</t>
  </si>
  <si>
    <t>XM1000</t>
  </si>
  <si>
    <t>new mote based on TelosB
technical specifications</t>
  </si>
  <si>
    <t>Light (S1087), 560 nm peak sesnsitivity wavelength
Light (S1087-01), 960 nm peak sensitivity wavelength
Temprature (SHT11), -10~123.8 oC, res ±0.01, accuracy ±0.4 oC
Humidity (SHT11), 0~100%, res 0.05, ±3%</t>
  </si>
  <si>
    <t>Two AA batteries</t>
  </si>
  <si>
    <t>Wimoto</t>
  </si>
  <si>
    <t>Temprature -25~85 oC, accuracy ±0.3 oC
Humidity 0~100%, accuray ±2%
Light, 0~60000 Lux</t>
  </si>
  <si>
    <t>Waspmote Runner</t>
  </si>
  <si>
    <t>Libelium
&amp;
IBM</t>
  </si>
  <si>
    <t xml:space="preserve">RasWIK </t>
  </si>
  <si>
    <t>Tempratrue
Light</t>
  </si>
  <si>
    <t>Ciseco</t>
  </si>
  <si>
    <t>Li-Ion battery
Successive Approximation Register ADCs, the reference voltage between 0 to 3.3 v 
On page 121 of Waspmote technical guide the The Power Breakdown Table has been presented in details.</t>
  </si>
  <si>
    <t>Espruino</t>
  </si>
  <si>
    <t>Microcontroller</t>
  </si>
  <si>
    <t>ADS7843 Touchscreen
ADXL335 Accelerometer
ADXL345 Accelerometer
BH I2C Light sensor
BMP085/BMP180 Pressure sensor
DHT11 Temprature and Humidity
DHT22/AM2302 Tempr and Humidity
DS18B20 Temprature sensor
HMC5883 Compass/ Magnetometer
HTU21D Temprature and humidity
MPU6050 Accelerometer and gyro
TSL2561 Luminosity sensor</t>
  </si>
  <si>
    <t>Tessel 2</t>
  </si>
  <si>
    <t>Tessel</t>
  </si>
  <si>
    <t>Development Platform</t>
  </si>
  <si>
    <t>GainSpan</t>
  </si>
  <si>
    <t>GS1500M</t>
  </si>
  <si>
    <t>Temprature &amp; Battery level, by the MCU</t>
  </si>
  <si>
    <t>4 *12-bit MAX 1363 Auxiliary
ADCs</t>
  </si>
  <si>
    <t>University of Edinburgh</t>
  </si>
  <si>
    <t xml:space="preserve"> Light, 
Temperature, RH, Barometric  
Pressure, Acceleration/Seismic, 
Acoustic, Magnetic</t>
  </si>
  <si>
    <t>MEMSIC Inc</t>
  </si>
  <si>
    <t>Digi International Inc</t>
  </si>
  <si>
    <t>Short Range Float Level Sensor (M-300/150), 0.1~2.1 m
Mid Range Float Level Sensor (M-300/95), 0.3~4 m</t>
  </si>
  <si>
    <t>Digi Connect Tank</t>
  </si>
  <si>
    <t>Watchport Sensors</t>
  </si>
  <si>
    <t>Distance/Proximity, 0.5~1.5 m, Max switch freq 100 Hz, Response&lt;5ms
Maximum reading rate 3 per second
OR
Humidity/Temprature, -40~10 oC, accuracy ±2 oC
-10~85 oC, ±0.5 oC, 0~90% accuracy ±5
Over 90% but noncondesing ±8%, RH Stability ±1%
Max reading rate 20 per second
OR
Temprature, -40~-10, accuracy ±2 oC, -10~85 oC, accuracy ±0.5 oC,
res 0.1 oC, Max reading rate 20 per second</t>
  </si>
  <si>
    <t>MIT and Cricket</t>
  </si>
  <si>
    <t>Temprature</t>
  </si>
  <si>
    <t>CrossBow
Technology
&amp;
MEMSIC</t>
  </si>
  <si>
    <t>Microphone
Light
Temprature</t>
  </si>
  <si>
    <t>ETHZ</t>
  </si>
  <si>
    <t>Beagleboard</t>
  </si>
  <si>
    <t>development Kit</t>
  </si>
  <si>
    <t>Temperature (TPS65217C)
3-Axis Accelerometer</t>
  </si>
  <si>
    <t>HDC1000</t>
  </si>
  <si>
    <t>Texas Instruments</t>
  </si>
  <si>
    <t>400 @ 8b
260 @ 11b
154 @14b</t>
  </si>
  <si>
    <t>TMP112</t>
  </si>
  <si>
    <t>Temperature Sensor</t>
  </si>
  <si>
    <t>Humidity and Temprature
Sensor</t>
  </si>
  <si>
    <t>Temperature, Accuracy ±0.5 ~ ±1.0 oC, Resolution 0.0625 oC, Range -40~+125
3 pF input capacitance</t>
  </si>
  <si>
    <t>0.00025,
0.001,
0.004,
0.008</t>
  </si>
  <si>
    <t xml:space="preserve">FDC1004 </t>
  </si>
  <si>
    <t>4 Channel Capacirance to
Digital Converter</t>
  </si>
  <si>
    <t>0.1,
0.2,
0.4</t>
  </si>
  <si>
    <t>Proximity Sensor
Gesture Recognition
Automotive Door / Kick Sensors
Automative Rain Sensor
Remote and Direct Liguid Level Sensor
High resolution Metal Profiling
Rain, Fog, Ice, Snow Sensor
Material Size detection,
Merial Stack height</t>
  </si>
  <si>
    <t>Maximum Input Offset Capcitance 
100 pF</t>
  </si>
  <si>
    <t>SparkFun</t>
  </si>
  <si>
    <t>Motion Sensing</t>
  </si>
  <si>
    <t>Photon IMU
Shield</t>
  </si>
  <si>
    <t>The data rate of the accelerometer and the gyroscope are always the same. On the other hand, we can turn on both of them or only the
accelerometer but it is not specified if they are sharing ADCs or not.
Power consumption of the gyroscope and the accelerometer in the specified frequencies:
Output Data Rate (Low Power):
14.9 Hz, 1.9 mA current consumption
59.5 Hz, 2.4 mA current consumption
119 Hz, 3.1 mA current consumption
Ouput Data Rate (Normal Mode):
238 Hz, 4.3 mA current consumption
476 Hz, 4.3 mA current consumption
952 Hz, 4.3 mA current consumption</t>
  </si>
  <si>
    <t>To measure the sensitivity, to
inputs apply to the ADC and the
output is then saved. Then, the
sensitivity is defined as the differeence
between the output codes (LSB)
divided by the difference between the
applied voltages.
The power consumption versus
frequency is not linear in gysoscope.
The frequency of the magnetometer
is not specified. 
The magnetometer uses one ADC and uses multiplexing to measure all three axis</t>
  </si>
  <si>
    <t>Bin</t>
  </si>
  <si>
    <t>CC2640</t>
  </si>
  <si>
    <t>Ultra-low power wireless MCU for bluetooth smart</t>
  </si>
  <si>
    <t>ARM
Cortex-M3</t>
  </si>
  <si>
    <t>Core
Clock
(MHz)</t>
  </si>
  <si>
    <t>QFN32
(10GPIOs)</t>
  </si>
  <si>
    <t>Mode</t>
  </si>
  <si>
    <t>Single-ended
or
Differential</t>
  </si>
  <si>
    <t>8*16b
4*32b</t>
  </si>
  <si>
    <t>Max
RX
(mA)</t>
  </si>
  <si>
    <t>Max
TX
(mA)</t>
  </si>
  <si>
    <t>Max
Digital
(mA)</t>
  </si>
  <si>
    <t>Timing</t>
  </si>
  <si>
    <t>Shutdown
2active
(μs)</t>
  </si>
  <si>
    <t>Idle
2active
(μs)</t>
  </si>
  <si>
    <t>ADC
DNL
(LSB)</t>
  </si>
  <si>
    <t>ADC
INL
(LSB)</t>
  </si>
  <si>
    <r>
      <rPr>
        <sz val="11"/>
        <color theme="1"/>
        <rFont val="Calibri"/>
        <family val="2"/>
      </rPr>
      <t>±</t>
    </r>
    <r>
      <rPr>
        <sz val="11"/>
        <color theme="1"/>
        <rFont val="Times New Roman"/>
        <family val="1"/>
      </rPr>
      <t>3</t>
    </r>
  </si>
  <si>
    <t>ADC
ENOB
(bits)</t>
  </si>
  <si>
    <t>ADC
SNDR
(dB)</t>
  </si>
  <si>
    <r>
      <t xml:space="preserve">Temperature, -40~85, res 4 oC, accuracy </t>
    </r>
    <r>
      <rPr>
        <sz val="11"/>
        <color theme="1"/>
        <rFont val="Calibri"/>
        <family val="2"/>
      </rPr>
      <t>±</t>
    </r>
    <r>
      <rPr>
        <sz val="11"/>
        <color theme="1"/>
        <rFont val="Times New Roman"/>
        <family val="1"/>
      </rPr>
      <t>5 oC
Battery mnito, 1.8~3.8, res 50 mV, accuracy 13 mV</t>
    </r>
  </si>
  <si>
    <t>Up to 8
Analog and Digital
Sensor Connectors</t>
  </si>
  <si>
    <t>N.S</t>
  </si>
  <si>
    <t xml:space="preserve">DC
2
DC
Cnvrtr
</t>
  </si>
  <si>
    <t>Standby
Current
(μA)</t>
  </si>
  <si>
    <t>Idle
Current
(μA)</t>
  </si>
  <si>
    <t>CC2650</t>
  </si>
  <si>
    <t>DevPacks</t>
  </si>
  <si>
    <t>TMP007</t>
  </si>
  <si>
    <t>OTP3001</t>
  </si>
  <si>
    <t>Can be powered by coin cell battery, or energy harvesting</t>
  </si>
  <si>
    <t>Can be powered by coin cell battery, or energy harvesting
Sensors can work in standby mode or can wake up the chip</t>
  </si>
  <si>
    <t>RF                    RF                    RF</t>
  </si>
  <si>
    <t>iBeacon</t>
  </si>
  <si>
    <t>CC2650
SensorTag</t>
  </si>
  <si>
    <t>CC2620</t>
  </si>
  <si>
    <t>CC2630</t>
  </si>
  <si>
    <t>Reserved</t>
  </si>
  <si>
    <t>CC3200</t>
  </si>
  <si>
    <t>Bluetooth,
ZigBee,
6LoWPAN,
ZigBee
RF4CE</t>
  </si>
  <si>
    <t>4*32</t>
  </si>
  <si>
    <t>Shared
Interface
&amp; ADC</t>
  </si>
  <si>
    <t>ARM
Cortex-M4</t>
  </si>
  <si>
    <t>Bluetooth Smart
(Bluetooth low energy),
ZigBee,
ZigBee RF4CE,
6LoWPAN,
802.15.4 MAC</t>
  </si>
  <si>
    <t>Bluetooth Smart
(Bluetooth low energy)</t>
  </si>
  <si>
    <t>±3</t>
  </si>
  <si>
    <t>Ultra-low power MCU targeting for Bluetooth Smart, ZigBee and 6LoWPAN, and ZigBee RF4CE</t>
  </si>
  <si>
    <t>Ultra-low power MCU targeting ZigBee®RF4CE remote control applications</t>
  </si>
  <si>
    <t>ZigBeeRF4CE</t>
  </si>
  <si>
    <t>ZigBee / 6LoWPAN</t>
  </si>
  <si>
    <t>ARM
Cortex-M2</t>
  </si>
  <si>
    <t>Kinetis KL03</t>
  </si>
  <si>
    <t>Cortex M0</t>
  </si>
  <si>
    <t>90nm CMOS Technology</t>
  </si>
  <si>
    <t>WLCSP</t>
  </si>
  <si>
    <t>Coin
Cell
Battery</t>
  </si>
  <si>
    <t>On-Chip
Energy
Harvst</t>
  </si>
  <si>
    <t>Ultra Low Power
Microcontroller</t>
  </si>
  <si>
    <t>Kinetis KL02</t>
  </si>
  <si>
    <t>ADC
inp
cap
(pF)</t>
  </si>
  <si>
    <t>500~9000</t>
  </si>
  <si>
    <t>QFN (FK)</t>
  </si>
  <si>
    <t>90nm TFS Technology</t>
  </si>
  <si>
    <t>Kinetis KL04
MKL04Z32VFK4</t>
  </si>
  <si>
    <t>Kinetis KL05
MKL05Z32VFK4</t>
  </si>
  <si>
    <t>500~9001</t>
  </si>
  <si>
    <t>Quick
Logic</t>
  </si>
  <si>
    <t xml:space="preserve">ArcticLink 3 S2 </t>
  </si>
  <si>
    <t>Sensor Hub for
Smartphones &amp; Wearables</t>
  </si>
  <si>
    <t>Gyroscope, Magnetometer, Accelerometer, Pressure,
Humidity, Ambient Light, Proximity, Gesture
Heart Rate, Temperature, UV, Gas,</t>
  </si>
  <si>
    <t>Wireline Communication</t>
  </si>
  <si>
    <t>Ytp</t>
  </si>
  <si>
    <t>EOS S3</t>
  </si>
  <si>
    <t>Sensor processing platform</t>
  </si>
  <si>
    <t>Microphone</t>
  </si>
  <si>
    <t>Activité Pop</t>
  </si>
  <si>
    <t>Withings</t>
  </si>
  <si>
    <t>3-Axis accelerometer</t>
  </si>
  <si>
    <t>Activité</t>
  </si>
  <si>
    <t>Wireless
Blood Pressure Monitor</t>
  </si>
  <si>
    <t>4*AAA alkaline battery (LR3)</t>
  </si>
  <si>
    <t>Healthcare Usage</t>
  </si>
  <si>
    <t>Silicon
Labs</t>
  </si>
  <si>
    <t>Texas
Instruments</t>
  </si>
  <si>
    <t>Arm
Cortex M0+</t>
  </si>
  <si>
    <t>Arm
Cortex M3</t>
  </si>
  <si>
    <t>Arm
Cortex M4</t>
  </si>
  <si>
    <t>MCU
MCU
MCU
MCU
MCU
MCU
MCU
MCU
MCU
MCU
MCU
MCU
MCU</t>
  </si>
  <si>
    <t>LGA-24L</t>
  </si>
  <si>
    <t>QFN</t>
  </si>
  <si>
    <t>Other models could be found in Lnk4 column</t>
  </si>
  <si>
    <t>Can work in sunlight, Can work under dark glass cover
The LED current decreases as it detected something, to save power
The ADC resolution changes when the overflow happens.
The IR light also influences ambient light sensor. So the data of the IR sensor also uses for the ambient light to cancell the effect of IR on it.</t>
  </si>
  <si>
    <t>sensors</t>
  </si>
  <si>
    <t>Sensor
Interface
Possiblities</t>
  </si>
  <si>
    <r>
      <t>Shutdown
Current
(</t>
    </r>
    <r>
      <rPr>
        <b/>
        <sz val="10"/>
        <rFont val="Calibri"/>
        <family val="2"/>
      </rPr>
      <t>μ</t>
    </r>
    <r>
      <rPr>
        <b/>
        <sz val="10"/>
        <rFont val="Times New Roman"/>
        <family val="1"/>
      </rPr>
      <t>A)</t>
    </r>
  </si>
  <si>
    <r>
      <t>Power
(</t>
    </r>
    <r>
      <rPr>
        <b/>
        <sz val="10"/>
        <rFont val="Calibri"/>
        <family val="2"/>
      </rPr>
      <t>μ</t>
    </r>
    <r>
      <rPr>
        <b/>
        <sz val="10"/>
        <rFont val="Cambria"/>
        <family val="1"/>
        <scheme val="major"/>
      </rPr>
      <t>W)</t>
    </r>
  </si>
  <si>
    <r>
      <t>Standby
2active
(</t>
    </r>
    <r>
      <rPr>
        <b/>
        <sz val="10"/>
        <rFont val="Calibri"/>
        <family val="2"/>
      </rPr>
      <t>μ</t>
    </r>
    <r>
      <rPr>
        <b/>
        <sz val="10"/>
        <rFont val="Times New Roman"/>
        <family val="1"/>
      </rPr>
      <t>s)</t>
    </r>
  </si>
  <si>
    <t>Off-Chip
Sensors</t>
  </si>
  <si>
    <t>Si1145/46/47</t>
  </si>
  <si>
    <t>UV
Infrared Proximity, 1~50 cm, up to 128 kLux, Sensitivity 1uW/cm2
for this range, it works as dual port and can detect static things
for rang &gt;50 cm, it works as singel port and just can identify moving things
Ambient Light 1~128 kLux (Using two ADC range),
100 mLux res (@ 3.28 ms integration time), uses IR correction algorithm</t>
  </si>
  <si>
    <t>Useful information about power</t>
  </si>
  <si>
    <t>Temp
Infrared Proximity, 1~200 cm, up to 128 kLux, Sensitivity 1uW/cm2
for this range, it works as dual port and can detect static things
for rang &gt;50 cm, it works as singel port and just can identify moving things
Ambient Light 1~128 kLux (Using two ADC range),
100 mLux res (@ 3.28 ms integration time), uses IR correction algorithm</t>
  </si>
  <si>
    <t>Si1141/42/43</t>
  </si>
  <si>
    <t>Si1147-M01-GMR</t>
  </si>
  <si>
    <t>Infrared Proximity, 1~50 cm, up to 128 kLux, Sensitivity 1uW/cm2
for this range, it works as dual port and can detect static things
UV
1~128 kLux (Using two ADC range),
100 mLux res (@ 3.28 ms integration time), uses IR correction algorithm</t>
  </si>
  <si>
    <t>Power, excluding the power consumption of the LEDs</t>
  </si>
  <si>
    <t>Proximity and Ambient
Light Sensor IC</t>
  </si>
  <si>
    <t>Proximity, UV,  and Ambient
Light Sensor</t>
  </si>
  <si>
    <t>Proximitym, UV and Ambient
Light Sensor</t>
  </si>
  <si>
    <t>Si7006-A20-IM</t>
  </si>
  <si>
    <t>N.S.</t>
  </si>
  <si>
    <t>DFN</t>
  </si>
  <si>
    <t>Si7013-A20-GM</t>
  </si>
  <si>
    <t>Humidity and Two Zone Temprature
Sensor</t>
  </si>
  <si>
    <t>Temperature</t>
  </si>
  <si>
    <t>Designed for Temp</t>
  </si>
  <si>
    <t>Power excluding the heater</t>
  </si>
  <si>
    <t>Si7053</t>
  </si>
  <si>
    <t>EFM8SB20F64G</t>
  </si>
  <si>
    <t>4*16</t>
  </si>
  <si>
    <t>QFN24</t>
  </si>
  <si>
    <t>ADC
Res2
(bits)</t>
  </si>
  <si>
    <t>ADC
Res3
(bits)</t>
  </si>
  <si>
    <t>ADC
Res4
(bits)</t>
  </si>
  <si>
    <t>ADC
Type</t>
  </si>
  <si>
    <t>SAR</t>
  </si>
  <si>
    <t>Sigma
Delta</t>
  </si>
  <si>
    <t>ADC
Res5
(bits)</t>
  </si>
  <si>
    <t>ADC
Res6
(bits)</t>
  </si>
  <si>
    <t>ADC
Res7
(bits)</t>
  </si>
  <si>
    <t>ADC
Res8
(bits)</t>
  </si>
  <si>
    <t>Good explanations in the datasheet on page 9 about the ADC</t>
  </si>
  <si>
    <t>ADC conversion time, 13 clocks</t>
  </si>
  <si>
    <t>Power Efficeint 8051 based Microcontroller</t>
  </si>
  <si>
    <t>Happy Gecko USB-enabled Microcontroller</t>
  </si>
  <si>
    <t>EFM32HG110F64-QFN24</t>
  </si>
  <si>
    <t>3*16
1*24</t>
  </si>
  <si>
    <t>Rx/Tx power has been organized in the RX column</t>
  </si>
  <si>
    <t>QFN25</t>
  </si>
  <si>
    <t>EFM32TG110F32-QFN24</t>
  </si>
  <si>
    <t>Tiny Gecko 32-bit Microcontroller</t>
  </si>
  <si>
    <t>EFM32WG232F256-QFP64</t>
  </si>
  <si>
    <t>Wonder Gecko 32-bit ARM® Cortex®-M4 Microcontroller</t>
  </si>
  <si>
    <t>EZR32WG230F
256R67G</t>
  </si>
  <si>
    <t>Wireless MCU family with ARM Cortex-M4 CPU
and sub-GHz Radio</t>
  </si>
  <si>
    <t>Curie</t>
  </si>
  <si>
    <t>ARTIK 1</t>
  </si>
  <si>
    <t>ARTIK 5</t>
  </si>
  <si>
    <t>ARTIK 10</t>
  </si>
  <si>
    <t>Marvell</t>
  </si>
  <si>
    <t>88MC200</t>
  </si>
  <si>
    <t>88MB300</t>
  </si>
  <si>
    <t>Qualcomm</t>
  </si>
  <si>
    <t>Sum</t>
  </si>
  <si>
    <t>No.</t>
  </si>
  <si>
    <t>Motes</t>
  </si>
  <si>
    <t>MCU</t>
  </si>
  <si>
    <t>Wearable</t>
  </si>
  <si>
    <t>Prices</t>
  </si>
  <si>
    <t>RAM</t>
  </si>
  <si>
    <t>Max
Inter
face
(mA)</t>
  </si>
  <si>
    <t>Max
ADC
(mA)</t>
  </si>
  <si>
    <t>Pi chart of the current consumption of the ICs</t>
  </si>
  <si>
    <t>3 Axis Accelerometer (MMA8652FFC)
Temperature</t>
  </si>
  <si>
    <t>Avlbe
Yes(1)
No(0)</t>
  </si>
  <si>
    <t>Res
(bits)</t>
  </si>
  <si>
    <t>acc
(bits)</t>
  </si>
  <si>
    <t>On-Board Temperature</t>
  </si>
  <si>
    <t>On-Board Humidity</t>
  </si>
  <si>
    <t>rng
from
(oC)</t>
  </si>
  <si>
    <t>rng
to
(oC)</t>
  </si>
  <si>
    <t>rng
from
(%)</t>
  </si>
  <si>
    <t>rng
to
(%)</t>
  </si>
  <si>
    <t>Sensor Type</t>
  </si>
  <si>
    <t>On-Board
Sensor Usage</t>
  </si>
  <si>
    <t>Humidity</t>
  </si>
  <si>
    <t>Altimeter</t>
  </si>
  <si>
    <t>Heartrate</t>
  </si>
  <si>
    <t>Battery Level</t>
  </si>
  <si>
    <t>Camera</t>
  </si>
  <si>
    <t>Gesture</t>
  </si>
  <si>
    <t>Gas</t>
  </si>
  <si>
    <t>UV</t>
  </si>
  <si>
    <t>Float Level</t>
  </si>
  <si>
    <t>Capacitive</t>
  </si>
  <si>
    <t>GSR</t>
  </si>
  <si>
    <t>Loadcell</t>
  </si>
  <si>
    <t>Wearable, Average=</t>
  </si>
  <si>
    <t>Motes, Average=</t>
  </si>
  <si>
    <t>MCU, Average=</t>
  </si>
  <si>
    <t>SensHub, Average=</t>
  </si>
  <si>
    <t>Accelerometer</t>
  </si>
  <si>
    <t>2-Axis
Avlbe
Yes(1)
No(0)</t>
  </si>
  <si>
    <t>3-Axis
Avlbe
Yes(1)
No(0)</t>
  </si>
  <si>
    <t>Best
Res
(bit)</t>
  </si>
  <si>
    <t>Best
Acc
(bit)</t>
  </si>
  <si>
    <r>
      <t>Mode
1
Range
(</t>
    </r>
    <r>
      <rPr>
        <b/>
        <sz val="11"/>
        <color theme="1"/>
        <rFont val="Calibri"/>
        <family val="2"/>
      </rPr>
      <t>±</t>
    </r>
    <r>
      <rPr>
        <b/>
        <sz val="11"/>
        <color theme="1"/>
        <rFont val="Cambria"/>
        <family val="1"/>
        <scheme val="major"/>
      </rPr>
      <t xml:space="preserve"> g)</t>
    </r>
  </si>
  <si>
    <t>Mode
2
Range
(± g)</t>
  </si>
  <si>
    <t>Mode
3
Range
(± g)</t>
  </si>
  <si>
    <t>Mode
4
Range
(± g)</t>
  </si>
  <si>
    <t>Mode
5
Range
(± g)</t>
  </si>
  <si>
    <t>Mode
6
Range
(± g)</t>
  </si>
  <si>
    <t>Mode
7
Range
(± g)</t>
  </si>
  <si>
    <t>Ambient Light (OPT30001), 
Temperature (TMP007), 
Humidity and Temperature (HDC1000), 
3-Axis Accelerometer (MPU9250)
3-Axis Gyroscope (MPU9250)
3-Axis Magnetometer (MPU9250)
Pressure (BMP280)
Microphone (SPK0833)</t>
  </si>
  <si>
    <t>3-Axis Accelerometer
Altimeter</t>
  </si>
  <si>
    <r>
      <t>Mode
1
Range
(</t>
    </r>
    <r>
      <rPr>
        <b/>
        <sz val="11"/>
        <color theme="1"/>
        <rFont val="Calibri"/>
        <family val="2"/>
      </rPr>
      <t>±</t>
    </r>
    <r>
      <rPr>
        <b/>
        <sz val="11"/>
        <color theme="1"/>
        <rFont val="Cambria"/>
        <family val="1"/>
        <scheme val="major"/>
      </rPr>
      <t xml:space="preserve"> o/s)</t>
    </r>
  </si>
  <si>
    <t>Mode
2
Range
(± o/s)</t>
  </si>
  <si>
    <t>Mode
3
Range
(± o/s)</t>
  </si>
  <si>
    <t>Mode
4
Range
(± o/s)</t>
  </si>
  <si>
    <t>Mode
5
Range
(± o/s)</t>
  </si>
  <si>
    <t>Mode
6
Range
(± o/s)</t>
  </si>
  <si>
    <t>Mode
7
Range
(± o/s)</t>
  </si>
  <si>
    <t>Magnetometer</t>
  </si>
  <si>
    <r>
      <t>Mode
1
Range
(</t>
    </r>
    <r>
      <rPr>
        <b/>
        <sz val="11"/>
        <color theme="1"/>
        <rFont val="Calibri"/>
        <family val="2"/>
      </rPr>
      <t>±</t>
    </r>
    <r>
      <rPr>
        <b/>
        <sz val="11"/>
        <color theme="1"/>
        <rFont val="Cambria"/>
        <family val="1"/>
        <scheme val="major"/>
      </rPr>
      <t xml:space="preserve"> G)</t>
    </r>
  </si>
  <si>
    <t>Mode
2
Range
(± G)</t>
  </si>
  <si>
    <t>Mode
3
Range
(± G)</t>
  </si>
  <si>
    <t>Mode
4
Range
(± G)</t>
  </si>
  <si>
    <t>Mode
5
Range
(± G)</t>
  </si>
  <si>
    <t>Mode
6
Range
(± G)</t>
  </si>
  <si>
    <t>Mode
7
Range
(± G)</t>
  </si>
  <si>
    <r>
      <t xml:space="preserve">3-Axis, Accelerometer (MMA7361), </t>
    </r>
    <r>
      <rPr>
        <sz val="11"/>
        <color theme="1"/>
        <rFont val="Calibri"/>
        <family val="2"/>
      </rPr>
      <t>±</t>
    </r>
    <r>
      <rPr>
        <sz val="11"/>
        <color theme="1"/>
        <rFont val="Times New Roman"/>
        <family val="1"/>
      </rPr>
      <t>1.5 g , ±6 g</t>
    </r>
    <r>
      <rPr>
        <sz val="11"/>
        <color theme="1"/>
        <rFont val="Cambria"/>
        <family val="1"/>
        <scheme val="major"/>
      </rPr>
      <t xml:space="preserve">
3-Axis, Gyroscope,
3-Axis, Magnetometer,
Altimeter</t>
    </r>
  </si>
  <si>
    <t>High Resolution 3-Axis Accelerometer (ADXL345), 13-bit, ±2g, ±4g, ±8g, ±16g
Thermometer (TMP102), -40~125 oC, res 0.0625 oC, accuracy ±0.5 oC</t>
  </si>
  <si>
    <t>rng
from
(Pa)</t>
  </si>
  <si>
    <t>rng
to
(Pa)</t>
  </si>
  <si>
    <t>Temprature ±0.5 oC, -18~60 oC
Humidity (0 ~ 100%)
3-Axis Acceleration (0~16g)
Light threshuld detector ~20 Lux
Pressure 78000~102000 Pa</t>
  </si>
  <si>
    <t>rng
from
(beats/
min)</t>
  </si>
  <si>
    <t>rng
to
(beats/
min)</t>
  </si>
  <si>
    <t>Light</t>
  </si>
  <si>
    <t>rng
to
(Lux)</t>
  </si>
  <si>
    <t>rng
from
(Lux)</t>
  </si>
  <si>
    <t>?</t>
  </si>
  <si>
    <t>rng
from
(kLux)</t>
  </si>
  <si>
    <t>rng
to
(kLux)</t>
  </si>
  <si>
    <t>rng
from
()</t>
  </si>
  <si>
    <t>rng
to
()</t>
  </si>
  <si>
    <t>rng
from
(mV)</t>
  </si>
  <si>
    <t>rng
to
(mV)</t>
  </si>
  <si>
    <t>Temperature, -40~125, accuracy ± 0.3 oC
Noise 0.01 oC RMS, 10.8 ms response time</t>
  </si>
  <si>
    <t>Ambient light sensor (TAOS TSL2572), Integrating ADCs
45e6:1 DR, 10000 lux maximum,
60000 lux in sunlight (low gain situation)
Magnetometer Wide magnetic field range ±8 G</t>
  </si>
  <si>
    <t>Infrared Proximity</t>
  </si>
  <si>
    <t>rng
from
(cm)</t>
  </si>
  <si>
    <t>rng
to
(cm)</t>
  </si>
  <si>
    <t>rng
from
(m)</t>
  </si>
  <si>
    <t>rng
to
(m)</t>
  </si>
  <si>
    <t>0.3~4</t>
  </si>
  <si>
    <t>rng
from
(pF)</t>
  </si>
  <si>
    <t>rng
to
(pF)</t>
  </si>
  <si>
    <t>Rank</t>
  </si>
  <si>
    <t>Duration
(bit)</t>
  </si>
  <si>
    <t>Res (b)
Discrete</t>
  </si>
  <si>
    <t>Acc (b)
Discrete</t>
  </si>
  <si>
    <t>Acc (b)
IC</t>
  </si>
  <si>
    <t>Res (b)
IC</t>
  </si>
  <si>
    <t>Resolution
(bits)
Abun</t>
  </si>
  <si>
    <t>Accuracy
(bits)
Abun</t>
  </si>
  <si>
    <t>Magnerometer</t>
  </si>
  <si>
    <t>Altimeter
(Pressure)</t>
  </si>
  <si>
    <t>Battery Monitoring</t>
  </si>
  <si>
    <t>Capacitor</t>
  </si>
  <si>
    <t>3-Axis Accelerometer
3-Axis Gyroscope
3-Axis Magnetometer</t>
  </si>
  <si>
    <t>Dual Core</t>
  </si>
  <si>
    <t>Nucleus OS</t>
  </si>
  <si>
    <t>Bluetooth Low Energy 4.0</t>
  </si>
  <si>
    <t>ARM A7</t>
  </si>
  <si>
    <t>WiFi,
Bluetooth
Bluetooth low energy,
Zigbee</t>
  </si>
  <si>
    <t>512 MB LPDDR3 and 4 GB eMMC memories. I do not understand if they are categorized as Flash or RAM, etc.</t>
  </si>
  <si>
    <t>Yocto 1.6 OS (Fedora)</t>
  </si>
  <si>
    <t>ARM A15x4
Plus
ARM A7x4</t>
  </si>
  <si>
    <t>2 GB LPDDR3 and 16 GB eMMC memories. I do not understand if they are categorized as Flash or RAM, etc.</t>
  </si>
  <si>
    <t>WiFi Microcontroller Platform</t>
  </si>
  <si>
    <t>IoT Plarform</t>
  </si>
  <si>
    <t>On-Board
Radio</t>
  </si>
  <si>
    <t>WiFi SoCs
Bluetooth Smart,
AigBee, Zwave</t>
  </si>
  <si>
    <t>Duty Cycle=</t>
  </si>
  <si>
    <t>Real Lifetime
@ Duty Cycle
(Hours)</t>
  </si>
  <si>
    <t>Supply
(V)
From</t>
  </si>
  <si>
    <t>Supply
(V)
To</t>
  </si>
  <si>
    <t>Bluetooth low energy</t>
  </si>
  <si>
    <t>3-Axis Accelerometer
3-Axis Gyroscope</t>
  </si>
  <si>
    <t>Intel Quark</t>
  </si>
  <si>
    <t>Could be powered by a coin cell battery</t>
  </si>
  <si>
    <t>Mote to be used in wearable devices</t>
  </si>
  <si>
    <t>Real
Lifetime (h)
@ Duty
Cycle</t>
  </si>
  <si>
    <t>Power (mW)
@ Duty
Cycle
@3 V</t>
  </si>
  <si>
    <t>Lifetime
@ Duty Cycle
if Coin Cell</t>
  </si>
  <si>
    <t>Lifetime
(Hours)
By vendor</t>
  </si>
  <si>
    <t>Lifetime
(h)
by Vendor</t>
  </si>
  <si>
    <t>Flash</t>
  </si>
  <si>
    <t>SensHub</t>
  </si>
  <si>
    <t>Lifetime by Vendor</t>
  </si>
  <si>
    <t>Lifetime by specified battery</t>
  </si>
  <si>
    <t>Lifetime by CR2032 battery</t>
  </si>
  <si>
    <t>Maximum Dimention</t>
  </si>
  <si>
    <t>Cortex-M0</t>
  </si>
  <si>
    <t>Cortex-M0+</t>
  </si>
  <si>
    <t>Cortex-M1</t>
  </si>
  <si>
    <t>Cortex-M3</t>
  </si>
  <si>
    <t>Cortex-M4</t>
  </si>
  <si>
    <t>Cortex-M7</t>
  </si>
  <si>
    <t>ARM</t>
  </si>
  <si>
    <t>Average=</t>
  </si>
  <si>
    <t>Res</t>
  </si>
  <si>
    <t>Acc</t>
  </si>
  <si>
    <t>MCUs</t>
  </si>
  <si>
    <t>Cam</t>
  </si>
  <si>
    <t>Y</t>
  </si>
  <si>
    <t>Bluetooth
4.0</t>
  </si>
  <si>
    <t>Linux</t>
  </si>
  <si>
    <t>Samsung Tizen Weaeable Platform</t>
  </si>
  <si>
    <t>2x ARM Cortex-A7 Mpcore</t>
  </si>
  <si>
    <t>USB2</t>
  </si>
  <si>
    <t>Neither power consumption Nor Lifetime has been mentioned.</t>
  </si>
  <si>
    <t>Bluetooth 4.0</t>
  </si>
  <si>
    <t>USB</t>
  </si>
  <si>
    <t>Wireline
Interface</t>
  </si>
  <si>
    <t>N</t>
  </si>
  <si>
    <t>Revolar</t>
  </si>
  <si>
    <t>Bluetooth
ANT+</t>
  </si>
  <si>
    <t>TICKR X</t>
  </si>
  <si>
    <t>SnapCam</t>
  </si>
  <si>
    <t>Lifetime by vendors refers to continuous working</t>
  </si>
  <si>
    <t>WiFi</t>
  </si>
  <si>
    <t>MicroSD</t>
  </si>
  <si>
    <t>Power consumption was not mentioned</t>
  </si>
  <si>
    <t>capacitance sensor</t>
  </si>
  <si>
    <t>N.s</t>
  </si>
  <si>
    <t>Extrnl
Memry</t>
  </si>
  <si>
    <t>MSP430</t>
  </si>
  <si>
    <t>ECG
EMG
GSR</t>
  </si>
  <si>
    <t>Bluetooth 2</t>
  </si>
  <si>
    <t>JTAG
UART
SPI
I2C
USB</t>
  </si>
  <si>
    <t>Shimmer 3
BSL</t>
  </si>
  <si>
    <t>RN-42</t>
  </si>
  <si>
    <t>Blutetooth 2</t>
  </si>
  <si>
    <t>I2C</t>
  </si>
  <si>
    <t>Reconfigureable gain 1, 2, 3, 4, 6, 8, 12
800 mV diff input (for 6x gain)</t>
  </si>
  <si>
    <t>ECG (ADS1292R)</t>
  </si>
  <si>
    <t>UART
I2C
SPI</t>
  </si>
  <si>
    <t>Pulse Ox</t>
  </si>
  <si>
    <t>Optoelectronics sensor (Heart rate &amp; SpO2 measurement)
3-Axis accelerometer</t>
  </si>
  <si>
    <t>Bluetooth 2
Bluetooth Low Energy</t>
  </si>
  <si>
    <t>Bluetooth
Bluetooth
Low
Energy</t>
  </si>
  <si>
    <t>ECG (Electrocardiography)</t>
  </si>
  <si>
    <t>315
433
868
916</t>
  </si>
  <si>
    <t>I2C
SPI
UART</t>
  </si>
  <si>
    <t>Tiny OS</t>
  </si>
  <si>
    <t>850
900
1850
1900</t>
  </si>
  <si>
    <t>SD Card</t>
  </si>
  <si>
    <t>IEEE 802.15.4</t>
  </si>
  <si>
    <t>250 kbps for the radio</t>
  </si>
  <si>
    <t>Light
Temperature
Humidity
Barometric Pressure
Acceleration/Seismic
Acoustic
Magnetic</t>
  </si>
  <si>
    <t>Atmega1281</t>
  </si>
  <si>
    <t>Power
Digital &amp; Mixed
(W)</t>
  </si>
  <si>
    <t>Power
TX + RX
(W)</t>
  </si>
  <si>
    <t>GPS</t>
  </si>
  <si>
    <t>GSM
GPRS
GPS</t>
  </si>
  <si>
    <t>Gyroscope Range 300 o/s
Accelerometer Range 4g
Magnetometer Range 2.5 G</t>
  </si>
  <si>
    <t>RS-232</t>
  </si>
  <si>
    <t>IP66 
compliant</t>
  </si>
  <si>
    <t>Analog Output Option</t>
  </si>
  <si>
    <t>Auxiliary Interface for 
Shimmer 3,
Embeded in a Shimmer 3</t>
  </si>
  <si>
    <t>Fits Into Shimmer 3
package</t>
  </si>
  <si>
    <t>3-Axis Accelerometer ±4 g, ±10 g, 25 Hz B.W.
3-Axis Gyroscope 25 Hz B.W.
3-Axis Magnetometer</t>
  </si>
  <si>
    <t>3-Axis Gyroscope, 40 Hz B.W.
3-Axis Accelerometer, ±4g range, 15 Hz B.W.</t>
  </si>
  <si>
    <t>Just for 420</t>
  </si>
  <si>
    <t>Individual power control for each sensor</t>
  </si>
  <si>
    <t>Humidity
Temprature</t>
  </si>
  <si>
    <t>Includes 2.5 V, 3.3 V, 5 V sensor excitation and low-power moode</t>
  </si>
  <si>
    <t>TI CC1101</t>
  </si>
  <si>
    <t>N.A</t>
  </si>
  <si>
    <t>JTAG
USB
UART</t>
  </si>
  <si>
    <t>Optional input voltage:
2.7 V~ 13.2 V (MCP1702 LDO)
0.8 V~ 3.3 V (MAX1724)</t>
  </si>
  <si>
    <t>NTC Temperature Sensor
Sl7021 humidity/temperature
BMP180 Pressure/temperature
lSM9DSo accelerometer/
gyroscope/magnetometer</t>
  </si>
  <si>
    <t>Uses InvenSense MPU-9150 which is the world's first 9-Axis motion tracking device.
It is a System in Package (SiP) combining two chips MPU-6050 (accelerometer and gyroscope) and AK8975 which is a digital compass.</t>
  </si>
  <si>
    <t>Full load power consumption of the sensors and their correspondence:    Gyro (3.6 mA), Accel (0.2 mA), Compass (0.45 mA)
Low power mode ot the Accel: 10 uA @ 1 Hz, 20 uA @ 5 Hz, 70 uA @ 20 Hz, 140 uA @ 40 Hz</t>
  </si>
  <si>
    <t>3 Axis Compass (HMC5883L)
2 mG resolution @ ±8 G
1 to 2 degrees compass accuracy</t>
  </si>
  <si>
    <t>16 bit-rate data value, what does it mean?</t>
  </si>
  <si>
    <t>Bandwidth can be adjusted by user.</t>
  </si>
  <si>
    <t>Optional you may choose amoung additional sensors link.</t>
  </si>
  <si>
    <t>Approximates Human Eye Response
Accurate Ambient Light sensor measurements, resulting by use of TAOS' patented dual-diode technology and the UV rejection filter</t>
  </si>
  <si>
    <t>Data is being read from the ambient light sensor 10 times per second</t>
  </si>
  <si>
    <r>
      <t xml:space="preserve">Categorizing Problems </t>
    </r>
    <r>
      <rPr>
        <b/>
        <sz val="11"/>
        <color theme="4"/>
        <rFont val="Cambria"/>
        <family val="1"/>
        <scheme val="major"/>
      </rPr>
      <t>and other specifications not mentioned in the main columns</t>
    </r>
  </si>
  <si>
    <t>AR9331
+
ARM Cortex-M0</t>
  </si>
  <si>
    <t>6 * PWM, 16 bit precision</t>
  </si>
  <si>
    <t>Wi-Fi
802.11 bgn</t>
  </si>
  <si>
    <t>RAM is DDR2
ARM Cortex-M0 is used for analog I/O and additional real-time HW interfaces
Micro USB (μUSB) is serial to USB adaptor
The wireless is integrated into the AP microcontroller</t>
  </si>
  <si>
    <t>Java
Paython
CSS
HTML5</t>
  </si>
  <si>
    <t>OpenWrt Linux kernel 3.10.28</t>
  </si>
  <si>
    <t>Data Rate (bps)</t>
  </si>
  <si>
    <t>CPU Max Clock Freq (MHz)</t>
  </si>
  <si>
    <t>AP9331</t>
  </si>
  <si>
    <t>SPI
SDA</t>
  </si>
  <si>
    <t>Composed of two distinct boards
Microcontroller wakes up 50 times a second
Freescale price has not been considered</t>
  </si>
  <si>
    <t>Bluetooth
RF Module</t>
  </si>
  <si>
    <t>JY-MCU BT board V1.05 BT
nRF24L01+ Nordic</t>
  </si>
  <si>
    <t>CMSIS-DAP</t>
  </si>
  <si>
    <t>MK64FN1M0VLL12
+
Kinetis K20</t>
  </si>
  <si>
    <t>MCU can work down to 1.71 V to reduce power
ADC resolution is reconfigurable
4 timers + 1 low power timer</t>
  </si>
  <si>
    <t>Ethernet
Lpower USB
JTAG
I2C
UART
SPI
I2S
SDHC
FlexCAN
FlexBUS</t>
  </si>
  <si>
    <t>RF and Bluetooth are add-on modules which both of them can work simaltaneously
USB connection is provided by OpenSDAv2, cortex is used for the OpenSDAv2 and does not provide any other application
One UART supporting RS232 with flow control, RS485, and ISO7816
Four UARTs support RS232 with flow control and RS485
I2S:  Inter-IC Sound serial interface for audio system interfacing
Maximum speed by ethernet</t>
  </si>
  <si>
    <t>MSP430F2617
(second generation)</t>
  </si>
  <si>
    <t>CC2420</t>
  </si>
  <si>
    <t>C</t>
  </si>
  <si>
    <t>TinyOS
Contiki</t>
  </si>
  <si>
    <t>IEEE 802.15.4
(ZigBee)</t>
  </si>
  <si>
    <t>USB
USCI
UART
SPI
I2C
JTAG</t>
  </si>
  <si>
    <t>Bluetooth</t>
  </si>
  <si>
    <t>Bluetooth 4.0
Wi-Fi (optionl)</t>
  </si>
  <si>
    <t>4 GB SD card</t>
  </si>
  <si>
    <t>XinoRF</t>
  </si>
  <si>
    <t>Sensor Board</t>
  </si>
  <si>
    <t>Java</t>
  </si>
  <si>
    <t>World's first Java based MCU</t>
  </si>
  <si>
    <t>STM32F103RCT6
(ARM Cortex M3)</t>
  </si>
  <si>
    <t>HC-05</t>
  </si>
  <si>
    <t>Micro USB
SPI
USART
I2C</t>
  </si>
  <si>
    <t>MT7620n
&amp;
Atmel SAMD21</t>
  </si>
  <si>
    <t>Wi-Fi
(802.011bgn)</t>
  </si>
  <si>
    <t>USB
Ethernet
Micro USB</t>
  </si>
  <si>
    <t>JavaScript
Paython
Rust</t>
  </si>
  <si>
    <t>3-Axis Accelerometer, MMA8452Q
±2g, ±4g, ±8g, res 12-bit
Light and Sound, both threshold detctr
(ATTX4)
Temprature and Humidity (SI7005),
0~70 oC, accuracy ±1 oC, 0~80%
RGB Color sensor (TCS34725)
Gesture sensor, detect swiping motion
no specs or name
Motion detector (PIR), infrared based
Proximity sensor (HCSR04),
11 cm range
Proximity sensor (SEN10737p)
Pulse Sensor (Heart rate)</t>
  </si>
  <si>
    <t>Evaluation borads for 
Wi-Fi modules</t>
  </si>
  <si>
    <t>Wi-Fi</t>
  </si>
  <si>
    <t>Light
Temprature</t>
  </si>
  <si>
    <t>GS2011MIxx</t>
  </si>
  <si>
    <t>UART
SPI
SDIO
I2C
JTAG
USB</t>
  </si>
  <si>
    <t>12b resolutions are also provided</t>
  </si>
  <si>
    <t>802.11b/g/n</t>
  </si>
  <si>
    <t>UART
SPI</t>
  </si>
  <si>
    <t>Wi-Fi rate is up to 72.2 Mbps</t>
  </si>
  <si>
    <t>802.115.4</t>
  </si>
  <si>
    <t>Sensors are optional</t>
  </si>
  <si>
    <t>I2C
SPI
UART
USB</t>
  </si>
  <si>
    <t>TI MSP430F1611</t>
  </si>
  <si>
    <t>Tiny OS
Contiki</t>
  </si>
  <si>
    <t>2*AA batteries
250 kbps transfer rate of the RF module</t>
  </si>
  <si>
    <t>Flash
1 MB</t>
  </si>
  <si>
    <t>TI MSP430F2618</t>
  </si>
  <si>
    <t>802.15.4</t>
  </si>
  <si>
    <t>ARM 920T</t>
  </si>
  <si>
    <t>SPI
USB
I2C
USART</t>
  </si>
  <si>
    <t>The software part is complicated, sb with this expert needs to study that.
Two orthogonal gyroscopes have been used to implemet a three axis gyroscope.
Two gyroscopes has been used without mentioning any reason.
Power consumption of the digital, analog, and RF part has been calculated in one column.</t>
  </si>
  <si>
    <t>ATmega1281</t>
  </si>
  <si>
    <t>GSM
3G
GPRS
LoRaWAN
LoRa (SX1272)
Sigfox
868 MHz
900 MHz
ZigBee
802.15.4
WiFi
6LoWPAN
(AT86RF231)
(AT86RF212)
RFID
NFC
Bluetooth 4.0
(BLE112)</t>
  </si>
  <si>
    <t>Linux
Windows
Mac</t>
  </si>
  <si>
    <t>SD memory: 2 GB
It has been supposed that ZigBee module has been used
There are lots of frequency bands, each for the related Radio Type. One should refer to the datasheet for more information.</t>
  </si>
  <si>
    <t>Java
C#</t>
  </si>
  <si>
    <t>UART
I2C
SPI
USB
Ethernet</t>
  </si>
  <si>
    <t>AT86RF231</t>
  </si>
  <si>
    <t>Run-Time Platform for WSN</t>
  </si>
  <si>
    <t>No information about pwr consumption of  RF circuit has not been declared, so I suppose it to be 50 mW during transmition</t>
  </si>
  <si>
    <t>Sensor
Hub
Sensor
Hub
Sensor
Hub
Sensor
Hub
Sensor
Hub
Sensor
Hub
Sensor
Hub
Sensor
Hub
Sensor
Hub
Sensor
Hub</t>
  </si>
  <si>
    <t>PXA271 Xscale</t>
  </si>
  <si>
    <t>ZigBee
802.15.4</t>
  </si>
  <si>
    <t>TI CC2420</t>
  </si>
  <si>
    <t>TinyOS
TinyOS 2</t>
  </si>
  <si>
    <t>C
Java</t>
  </si>
  <si>
    <t>Mini USB
RS232
JTAG
UART
SPI
SDIO</t>
  </si>
  <si>
    <t>OmniVision video camera chip (Omniversion OV7670)
250 kb/s data rate on the RF link
Power consumption of the digital section has been calculated according to 104 MHz frequency</t>
  </si>
  <si>
    <t>CY8C29666</t>
  </si>
  <si>
    <t>ZigBee</t>
  </si>
  <si>
    <t>64 MB Serial Flash</t>
  </si>
  <si>
    <t>USB
SPI
I2C
I2S</t>
  </si>
  <si>
    <t>Light, Temperature, RH, Barometric, Acceleration/Siesmic, Acoustic, Magnetic</t>
  </si>
  <si>
    <t>Cortex M3
(LPC1758)</t>
  </si>
  <si>
    <t>RF231</t>
  </si>
  <si>
    <r>
      <t xml:space="preserve">Max
</t>
    </r>
    <r>
      <rPr>
        <b/>
        <sz val="11"/>
        <color theme="4"/>
        <rFont val="Cambria"/>
        <family val="1"/>
        <scheme val="major"/>
      </rPr>
      <t>Dig+Mixed</t>
    </r>
    <r>
      <rPr>
        <b/>
        <sz val="11"/>
        <color theme="1"/>
        <rFont val="Cambria"/>
        <family val="1"/>
        <scheme val="major"/>
      </rPr>
      <t xml:space="preserve">
Current
(mA)</t>
    </r>
  </si>
  <si>
    <t>RTOS</t>
  </si>
  <si>
    <t>WSN Product</t>
  </si>
  <si>
    <t>UART</t>
  </si>
  <si>
    <t>251 kbps for the radio
900 MHz is also available for long-range deployment</t>
  </si>
  <si>
    <t>Multipoint Wireless Networking RF Module</t>
  </si>
  <si>
    <t>Cellular-Enabled Tank Monitoring Solution</t>
  </si>
  <si>
    <t>Sensors are ultrasonic</t>
  </si>
  <si>
    <t>GSM
GPS
Glonass</t>
  </si>
  <si>
    <t>Current consumption for the Proximity is 70 mA, for the two others is 15 mA</t>
  </si>
  <si>
    <t>Windows</t>
  </si>
  <si>
    <t>USB Environment Monitoring Solutions</t>
  </si>
  <si>
    <t>Indoor Location System for Pervasive and Sensor-Based Computing Environments</t>
  </si>
  <si>
    <t>Tiny OS
V 1.1.6</t>
  </si>
  <si>
    <t>Two Standard AA Batteries</t>
  </si>
  <si>
    <t>RS 232</t>
  </si>
  <si>
    <t>DC-DC Charge Pump</t>
  </si>
  <si>
    <t>Two ADCs are 16b and two other are 10b</t>
  </si>
  <si>
    <t>EZ-Connect</t>
  </si>
  <si>
    <t>QSPI
SSP
SPI
I2S
UART
JTAG</t>
  </si>
  <si>
    <t>88W8801
88W877
88W8787
88W8782</t>
  </si>
  <si>
    <t>Atmega 128L</t>
  </si>
  <si>
    <t>433~915 MHz center frequency (ISM Band)</t>
  </si>
  <si>
    <t>Btnut
Tiny OS</t>
  </si>
  <si>
    <t>Zeevo ZV4002
&amp;
CC1000</t>
  </si>
  <si>
    <t>autonomous wireless communication and computing platform</t>
  </si>
  <si>
    <t>IEEE 802.15.4 MAC</t>
  </si>
  <si>
    <t>Digital                  Digital                  Digital                  Digital                  Digital                  Digital</t>
  </si>
  <si>
    <t xml:space="preserve"> cJTAG
 JTAG
UART
SPI
I2C
I2S</t>
  </si>
  <si>
    <t>cJTAG
JTAG
UART
SPI
I2C
I2S</t>
  </si>
  <si>
    <t>SimpleLink ultra-low power wireless MCU for 2.4-GHz IEEE 802.15.4-based RF Protocols</t>
  </si>
  <si>
    <t>EnergyTrace-ing CC2650sensortag</t>
  </si>
  <si>
    <t>±4</t>
  </si>
  <si>
    <t>ADC Resolution</t>
  </si>
  <si>
    <t>RF Sensitivity</t>
  </si>
  <si>
    <t>clock of micro</t>
  </si>
  <si>
    <t>minimum supply voltage</t>
  </si>
  <si>
    <t>DAC Resolution</t>
  </si>
  <si>
    <t>RF Carrier Frequency</t>
  </si>
  <si>
    <t>Volume
(mm3)</t>
  </si>
  <si>
    <t>Valume (mm3)</t>
  </si>
  <si>
    <t>Area
mm2</t>
  </si>
  <si>
    <t>Area (mm2)</t>
  </si>
  <si>
    <t>maximum supply voltage</t>
  </si>
  <si>
    <t>Current
(mA)
Active</t>
  </si>
  <si>
    <t>Current
(uA)
Standby</t>
  </si>
  <si>
    <t>Standby Current</t>
  </si>
  <si>
    <t>Idle 2 Active</t>
  </si>
  <si>
    <t>Discrete</t>
  </si>
  <si>
    <t>IP66 compliant</t>
  </si>
  <si>
    <t>IC</t>
  </si>
  <si>
    <t>FreeScale</t>
  </si>
  <si>
    <t>(All prices for 10000 Except for Tax)</t>
  </si>
  <si>
    <t>Relaeae Month</t>
  </si>
  <si>
    <t>Release Year</t>
  </si>
  <si>
    <t>I2C
UART
SPI</t>
  </si>
  <si>
    <r>
      <t>Standby
2active
(</t>
    </r>
    <r>
      <rPr>
        <b/>
        <sz val="10"/>
        <color theme="4"/>
        <rFont val="Calibri"/>
        <family val="2"/>
      </rPr>
      <t>μ</t>
    </r>
    <r>
      <rPr>
        <b/>
        <sz val="10"/>
        <color theme="4"/>
        <rFont val="Times New Roman"/>
        <family val="1"/>
      </rPr>
      <t>s)</t>
    </r>
  </si>
  <si>
    <t xml:space="preserve"> N.S</t>
  </si>
  <si>
    <t>UART
SPI
I2C</t>
  </si>
  <si>
    <t>Temperture sensor
Capacitive sensor</t>
  </si>
  <si>
    <t>2'16
1'24</t>
  </si>
  <si>
    <t>USART
LEUART
UART
I2C
I2S</t>
  </si>
  <si>
    <t>USART
LEUART
LEnergy USB
I2C
SPI</t>
  </si>
  <si>
    <t>Available</t>
  </si>
  <si>
    <t>USART
LEUART
UART
USB
I2C</t>
  </si>
  <si>
    <t xml:space="preserve">Power                        Power                        Power                        Power                        Power                         Power                         Power                         Power                         Power </t>
  </si>
  <si>
    <t>possible</t>
  </si>
  <si>
    <t>4'16
1'16
1'24</t>
  </si>
  <si>
    <t>Arm Cortex M4</t>
  </si>
  <si>
    <t>USART
SPI
LEUART
I2C</t>
  </si>
  <si>
    <t>IEEE 802.15.4g compliant</t>
  </si>
  <si>
    <t>QFN64</t>
  </si>
  <si>
    <t>142-1050</t>
  </si>
  <si>
    <t>(G)FSK, 4(G)FSK, (G)MSK, OOK</t>
  </si>
  <si>
    <t>Temperture sensor</t>
  </si>
  <si>
    <t>yes</t>
  </si>
  <si>
    <t>4'16
1'16
1'25</t>
  </si>
  <si>
    <t>Opamps also exist in the circcuit</t>
  </si>
  <si>
    <t>CPU fabricated in  22 nm CMOS</t>
  </si>
  <si>
    <t>Arm Cortex M3</t>
  </si>
  <si>
    <t>N.</t>
  </si>
  <si>
    <t>SDM</t>
  </si>
  <si>
    <t>4'32</t>
  </si>
  <si>
    <t>UBS2.0
UART
I2C
SPI
I2S
JTAG
QSPI
SSP</t>
  </si>
  <si>
    <t>Temperature
Battery Monitor</t>
  </si>
  <si>
    <t>Bluetooth Microcontroller</t>
  </si>
  <si>
    <t>Bluetooth 4.1</t>
  </si>
  <si>
    <t>Wi Fi Microcontroller</t>
  </si>
  <si>
    <t>Arm Cortex-M4F</t>
  </si>
  <si>
    <t>802.11 b/g/n Wi-Fi</t>
  </si>
  <si>
    <t>Gateways: Connecting IR, sub-Gig or Legacy RF, Bluetooth Smart, ZigBee, ZWave and other radios to Wi-Fi/IP network</t>
  </si>
  <si>
    <t>88MW300</t>
  </si>
  <si>
    <t>Two-Step</t>
  </si>
  <si>
    <t>Temperature sensor
Battery Monitor</t>
  </si>
  <si>
    <t>QCA4002</t>
  </si>
  <si>
    <t>QCA4004</t>
  </si>
  <si>
    <t>IEEE 802.11n</t>
  </si>
  <si>
    <t>AllJoyn</t>
  </si>
  <si>
    <t>SPI
UART
USB2.0
JTAG
I2S
I2C</t>
  </si>
  <si>
    <t>Connectivity platform</t>
  </si>
  <si>
    <t>QCA4010</t>
  </si>
  <si>
    <t>QCA4012</t>
  </si>
  <si>
    <t>IEEE 802.11a/b/g/n</t>
  </si>
  <si>
    <t>Intelligent Wi-Fi platform</t>
  </si>
  <si>
    <t>HSUART
JTAG
I2S
I2C
UART
SPI</t>
  </si>
  <si>
    <t>JTAG</t>
  </si>
  <si>
    <t>IP core</t>
  </si>
  <si>
    <t>The most power efficient processor of cortex class
90LP process</t>
  </si>
  <si>
    <t xml:space="preserve">40nm technology </t>
  </si>
  <si>
    <t xml:space="preserve">SPI 
I2C </t>
  </si>
  <si>
    <t>Cortex M4F</t>
  </si>
  <si>
    <t>SPI
I2C
UART
I2S</t>
  </si>
  <si>
    <t>SOT563</t>
  </si>
  <si>
    <t>I2C
TWI</t>
  </si>
  <si>
    <t>IR &amp; Probe Temperature Sensors</t>
  </si>
  <si>
    <t>Temperature, ±1°C (max) from 0°C to +60°C
±1.5°C (max) from –40°C to +125°C</t>
  </si>
  <si>
    <t>DSBGA</t>
  </si>
  <si>
    <t>WSON</t>
  </si>
  <si>
    <t>Ambient Light Sensor</t>
  </si>
  <si>
    <t>USON
TWI</t>
  </si>
  <si>
    <t>Range: 0.01 - 83 k Lux
Resolution 0.01 Lux</t>
  </si>
  <si>
    <t>Single-Chip Wireless MCU</t>
  </si>
  <si>
    <t>ARM Cortex-M4</t>
  </si>
  <si>
    <t>I2S
UART
SPI
I2C
JTAG</t>
  </si>
  <si>
    <t>I2C
SPI</t>
  </si>
  <si>
    <t>ARM Cortex M3</t>
  </si>
  <si>
    <t xml:space="preserve">I2C
</t>
  </si>
  <si>
    <t>Silicon
Labs
Silicon
Labs
Silicon
Labs
Silicon
Labs</t>
  </si>
  <si>
    <t>N .S</t>
  </si>
  <si>
    <t>bluetooth-sensor-motes</t>
  </si>
  <si>
    <t>CC2480</t>
  </si>
  <si>
    <t>USB
SPI</t>
  </si>
  <si>
    <t>MSP40</t>
  </si>
  <si>
    <t>CC2500</t>
  </si>
  <si>
    <t>Wireline Interface</t>
  </si>
  <si>
    <t>SPI</t>
  </si>
  <si>
    <t>USART</t>
  </si>
  <si>
    <t>μUSB</t>
  </si>
  <si>
    <t>Ethernet</t>
  </si>
  <si>
    <t>SDA</t>
  </si>
  <si>
    <t>LPUSB</t>
  </si>
  <si>
    <t>RS232</t>
  </si>
  <si>
    <t>SDHC</t>
  </si>
  <si>
    <t>FlexCAN</t>
  </si>
  <si>
    <t>FlexBUS</t>
  </si>
  <si>
    <t>RS485</t>
  </si>
  <si>
    <t>Modbus</t>
  </si>
  <si>
    <t>CAN Bus</t>
  </si>
  <si>
    <t>RS-232
RS-485
Modbus
CAN Bus
UART
I2C
SPI
USB</t>
  </si>
  <si>
    <t>mUSB</t>
  </si>
  <si>
    <t>QSPI</t>
  </si>
  <si>
    <t>SSP</t>
  </si>
  <si>
    <t>ISP
JTAG
UART
SPI
I2C</t>
  </si>
  <si>
    <t>I2S</t>
  </si>
  <si>
    <t>USCI</t>
  </si>
  <si>
    <t>SDIO</t>
  </si>
  <si>
    <t>cJTAG</t>
  </si>
  <si>
    <t>I2S
I2C
UART
SSP
SSI</t>
  </si>
  <si>
    <t>SSI</t>
  </si>
  <si>
    <t>SPI
I2C
UART
I2S
USB  2</t>
  </si>
  <si>
    <t>LE
UART</t>
  </si>
  <si>
    <t>HS
UART</t>
  </si>
  <si>
    <t>TWI</t>
  </si>
  <si>
    <t>Wireline Interfaces</t>
  </si>
  <si>
    <t>All JTAGs</t>
  </si>
  <si>
    <t>All UARTs</t>
  </si>
  <si>
    <t>All USBs</t>
  </si>
  <si>
    <t>Wearable Ave</t>
  </si>
  <si>
    <t>Mote  Ave</t>
  </si>
  <si>
    <t>MCU  Ave</t>
  </si>
  <si>
    <t>Sens Hub  Ave</t>
  </si>
  <si>
    <t>Pwr (mW),
Duty Cycl</t>
  </si>
  <si>
    <t>n.s</t>
  </si>
  <si>
    <t>mean</t>
  </si>
  <si>
    <t>=</t>
  </si>
  <si>
    <t>2400
5000</t>
  </si>
  <si>
    <t>HSDPA DL 14.4 Mbps, UL 5.76 Mbps
EDGE DL 237 kbps, UL 237 Mbps
GPRS DL 85.6 kbps, 85.6 kbps
Sensivity (dBm) explains the GPS specifications, for the Glonass this quantity is -158 dBm. The snesitivty of receivers for the positioning system was not of interest in the paper, so the sensitivity has been ommited.</t>
  </si>
  <si>
    <t>Discrete Motes
Discrete Motes
Discrete Motes
Discrete Motes
Discrete Motes
Discrete Motes
Discrete Motes
Discrete Motes</t>
  </si>
  <si>
    <t>Bin'</t>
  </si>
  <si>
    <t>Adafruit</t>
  </si>
  <si>
    <t>Adafruit Feather M0 with RFM95 LoRa Radio - 900MHz</t>
  </si>
  <si>
    <t>cortex</t>
  </si>
  <si>
    <t>ARM Cortex-M0</t>
  </si>
  <si>
    <t>Histogram of the Prices</t>
  </si>
  <si>
    <t>Histogram of RAMs</t>
  </si>
  <si>
    <t>Histogram of the Flashs</t>
  </si>
  <si>
    <t>Histogram of Sensor Usage</t>
  </si>
  <si>
    <t>Humidity Sensor</t>
  </si>
  <si>
    <t>Lifetimes @1% Duty Cycle with the Specified Battery</t>
  </si>
  <si>
    <t>Accelerometer Sensor</t>
  </si>
  <si>
    <t>Gyroscope Sensor</t>
  </si>
  <si>
    <t>Magnetometer Sensor</t>
  </si>
  <si>
    <t>Altimeter (Pressure) Sensor</t>
  </si>
  <si>
    <t>Heartrate Sensor</t>
  </si>
  <si>
    <t>Light Sensor</t>
  </si>
  <si>
    <t>Microphone Sensor</t>
  </si>
  <si>
    <t>Battery Monitoring Sensor</t>
  </si>
  <si>
    <t>Infrared Proximity Sensor</t>
  </si>
  <si>
    <t>Gesture Sensor</t>
  </si>
  <si>
    <t>Gas Sensor</t>
  </si>
  <si>
    <t>UV Sensor</t>
  </si>
  <si>
    <t>Float Level Sensor</t>
  </si>
  <si>
    <t>Capacitor Sensor</t>
  </si>
  <si>
    <t>GSR Sensor</t>
  </si>
  <si>
    <t>Loadcell Sensor</t>
  </si>
  <si>
    <t>Lifetime provided by vendor</t>
  </si>
  <si>
    <t>Lifetimes @1% Duty Cycle if CR2032 battery is used</t>
  </si>
  <si>
    <t>Maximum Dimension of the Device</t>
  </si>
  <si>
    <t>ADC Resolutions</t>
  </si>
  <si>
    <t>DAC Resolutions</t>
  </si>
  <si>
    <t>Clock Frequency of Microprocessor</t>
  </si>
  <si>
    <t>Minimum Supply Voltage</t>
  </si>
  <si>
    <t>Maximum Supply Voltage</t>
  </si>
  <si>
    <t>Stanby Current</t>
  </si>
  <si>
    <t>temperature</t>
  </si>
  <si>
    <t>humidity</t>
  </si>
  <si>
    <t>2-axis accelerometer</t>
  </si>
  <si>
    <t>3-axis accelerometer</t>
  </si>
  <si>
    <t>all accelerometers</t>
  </si>
  <si>
    <t>2-axis gyroscope</t>
  </si>
  <si>
    <t>3-axis gyroscope</t>
  </si>
  <si>
    <t>all gyroscopes</t>
  </si>
  <si>
    <t>2-axis magnetometer</t>
  </si>
  <si>
    <t>3-axis magnetometer</t>
  </si>
  <si>
    <t>all magnetometers</t>
  </si>
  <si>
    <t>altimeter</t>
  </si>
  <si>
    <t>heartrate</t>
  </si>
  <si>
    <t>light</t>
  </si>
  <si>
    <t>microphone</t>
  </si>
  <si>
    <t>battery monitor</t>
  </si>
  <si>
    <t>infrared proximity</t>
  </si>
  <si>
    <t>gesture</t>
  </si>
  <si>
    <t>gas</t>
  </si>
  <si>
    <t>float level</t>
  </si>
  <si>
    <t>capacitive</t>
  </si>
  <si>
    <t>loadcell</t>
  </si>
  <si>
    <t>Occur</t>
  </si>
  <si>
    <t>Mote (on PCB)</t>
  </si>
  <si>
    <t>Sensor Hub (Integrated Circuit)</t>
  </si>
  <si>
    <t>MCU (Integrated Circuit)</t>
  </si>
  <si>
    <t>Accuracy
(bits)</t>
  </si>
  <si>
    <t>Resolution
(bits)</t>
  </si>
  <si>
    <t xml:space="preserve">Resolution
(bits)
</t>
  </si>
  <si>
    <t xml:space="preserve">Accuracy
(bits)
</t>
  </si>
  <si>
    <t>LEUART</t>
  </si>
  <si>
    <t>HSUART</t>
  </si>
  <si>
    <r>
      <t>Shutdown
Current
(</t>
    </r>
    <r>
      <rPr>
        <b/>
        <sz val="10"/>
        <color theme="1"/>
        <rFont val="Calibri"/>
        <family val="2"/>
      </rPr>
      <t>μ</t>
    </r>
    <r>
      <rPr>
        <b/>
        <sz val="10"/>
        <color theme="1"/>
        <rFont val="Times New Roman"/>
        <family val="1"/>
      </rPr>
      <t>A)</t>
    </r>
  </si>
  <si>
    <r>
      <t>Power
(</t>
    </r>
    <r>
      <rPr>
        <b/>
        <sz val="10"/>
        <color theme="1"/>
        <rFont val="Calibri"/>
        <family val="2"/>
      </rPr>
      <t>μ</t>
    </r>
    <r>
      <rPr>
        <b/>
        <sz val="10"/>
        <color theme="1"/>
        <rFont val="Cambria"/>
        <family val="1"/>
        <scheme val="major"/>
      </rPr>
      <t>W)</t>
    </r>
  </si>
  <si>
    <r>
      <t>Standby
2active
(</t>
    </r>
    <r>
      <rPr>
        <b/>
        <sz val="10"/>
        <color theme="1"/>
        <rFont val="Calibri"/>
        <family val="2"/>
      </rPr>
      <t>μ</t>
    </r>
    <r>
      <rPr>
        <b/>
        <sz val="10"/>
        <color theme="1"/>
        <rFont val="Times New Roman"/>
        <family val="1"/>
      </rPr>
      <t>s)</t>
    </r>
  </si>
  <si>
    <t>Multiple power modes provided and the appellation
does not clarify which is sleep, idle, or shut down
(All prices for 10000 Except for Tax)</t>
  </si>
  <si>
    <t>Temperature
Capacitive Sensor</t>
  </si>
  <si>
    <t>Microphone
Heartrate</t>
  </si>
  <si>
    <t>40 nm CMOS Technology
Multi-core architecture
Always on voice processing</t>
  </si>
  <si>
    <r>
      <t xml:space="preserve">Power consumption has been calculated in 1MHz. It is rate dependent as 50 </t>
    </r>
    <r>
      <rPr>
        <sz val="11"/>
        <color theme="1"/>
        <rFont val="Calibri"/>
        <family val="2"/>
      </rPr>
      <t>μ</t>
    </r>
    <r>
      <rPr>
        <sz val="11"/>
        <color theme="1"/>
        <rFont val="Times New Roman"/>
        <family val="1"/>
      </rPr>
      <t>W/MHz and 
100 μW/MHz, which the former represents the power consumption of μDSP and the latter
represents the power consumption of the ARM Cortex M4F.
The Hardware of the ARM Cortex has not been included in the digital part.
10 uW @ 155 MIPS</t>
    </r>
  </si>
  <si>
    <r>
      <t xml:space="preserve">Humidity, Accuracy </t>
    </r>
    <r>
      <rPr>
        <sz val="11"/>
        <color theme="1"/>
        <rFont val="Calibri"/>
        <family val="2"/>
      </rPr>
      <t>±</t>
    </r>
    <r>
      <rPr>
        <sz val="11"/>
        <color theme="1"/>
        <rFont val="Times New Roman"/>
        <family val="1"/>
      </rPr>
      <t xml:space="preserve">3%, Range 0~100%, Response Time of sensor (t63%) 15 s
Conversion time @8b 2.50 ms, @11b 3.85 ms, @14b 6.50 ms
Temperature, accuracy Typical </t>
    </r>
    <r>
      <rPr>
        <sz val="11"/>
        <color theme="1"/>
        <rFont val="Calibri"/>
        <family val="2"/>
      </rPr>
      <t>±</t>
    </r>
    <r>
      <rPr>
        <sz val="11"/>
        <color theme="1"/>
        <rFont val="Times New Roman"/>
        <family val="1"/>
      </rPr>
      <t>0.2oC, MAX ±0.4oC, range -40~125 oC
Conversion Time @11b 3.65ms, @14b 6.35ms</t>
    </r>
  </si>
  <si>
    <r>
      <t xml:space="preserve">Capacitive
Conversion Frequency 100/200/400 Hz
Excitation Frequency of the capacitance 25 kHz 
</t>
    </r>
    <r>
      <rPr>
        <sz val="11"/>
        <color theme="1"/>
        <rFont val="Times New Roman"/>
        <family val="1"/>
      </rPr>
      <t xml:space="preserve">Error </t>
    </r>
    <r>
      <rPr>
        <sz val="11"/>
        <color theme="1"/>
        <rFont val="Calibri"/>
        <family val="2"/>
      </rPr>
      <t>±</t>
    </r>
    <r>
      <rPr>
        <sz val="11"/>
        <color theme="1"/>
        <rFont val="Times New Roman"/>
        <family val="1"/>
      </rPr>
      <t xml:space="preserve">6 fF
Range </t>
    </r>
    <r>
      <rPr>
        <sz val="11"/>
        <color theme="1"/>
        <rFont val="Calibri"/>
        <family val="2"/>
      </rPr>
      <t>±</t>
    </r>
    <r>
      <rPr>
        <sz val="11"/>
        <color theme="1"/>
        <rFont val="Times New Roman"/>
        <family val="1"/>
      </rPr>
      <t>15 pF
Output Noise 33.2 aF/√Hz
Offset Deviation Over Temperature 46 fF
Gain Error 0.2 %</t>
    </r>
  </si>
  <si>
    <r>
      <t xml:space="preserve">Temperature -40~85, 16 LSB/oC sensitivity
Gyro off, Refresh rate 50 Hz
Gyro on, Refresh rate 59.5 Hz
3-Axis accelerometer (LSM9DS1) 
</t>
    </r>
    <r>
      <rPr>
        <sz val="11"/>
        <color theme="1"/>
        <rFont val="Calibri"/>
        <family val="2"/>
      </rPr>
      <t>±</t>
    </r>
    <r>
      <rPr>
        <sz val="11"/>
        <color theme="1"/>
        <rFont val="Times New Roman"/>
        <family val="1"/>
      </rPr>
      <t xml:space="preserve">2g, 0.061 mg/LSB sensitivity
±4g, 0.122mg/LSB sensitivity
±8g, 0.244 mg/LSB sensitivity
±16g, 0.732 mg/LSB sensitivity
</t>
    </r>
    <r>
      <rPr>
        <sz val="11"/>
        <color theme="1"/>
        <rFont val="Cambria"/>
        <family val="1"/>
        <scheme val="major"/>
      </rPr>
      <t xml:space="preserve">
3-Axis gyroscope (LSM9DS1) 
±245 o/s (dps), 8.75 mdps/LSB sensitivity
±500 o/s (dps), 17.50 mdps/LSB sensitivity
±2000 o/s (dps), 70 mdps/LSB sensitivity
3-Axis magnetometer (LSM9DS1)
±4G, 0.14 mG/LSB
±8G, 0.29 mG/LSB
±12G, 0.43 mG/LSB
±16G, 0.58 mG/LSB</t>
    </r>
  </si>
  <si>
    <r>
      <t xml:space="preserve">Relative humidity, 0~90%, accuracy ± 5 %,
Noise 0.025% RH RMS @12b ADC, 12 ms response time
Temperature, -10~85 oC, accuracy </t>
    </r>
    <r>
      <rPr>
        <sz val="11"/>
        <color theme="1"/>
        <rFont val="Calibri"/>
        <family val="2"/>
      </rPr>
      <t>±</t>
    </r>
    <r>
      <rPr>
        <sz val="11"/>
        <color theme="1"/>
        <rFont val="Times New Roman"/>
        <family val="1"/>
      </rPr>
      <t xml:space="preserve"> 1.0 oC,
Noise 0.01 oC RMS @14b, 10.8 ms response time</t>
    </r>
  </si>
  <si>
    <r>
      <t xml:space="preserve">Relative humidity, 0~80%, accuracy ± 3 %
Noise 0.025 RH RMS @12b, 12 ms response time
Two-Zone Temperature, -10~85 oC, accuracy </t>
    </r>
    <r>
      <rPr>
        <sz val="11"/>
        <color theme="1"/>
        <rFont val="Calibri"/>
        <family val="2"/>
      </rPr>
      <t>±</t>
    </r>
    <r>
      <rPr>
        <sz val="11"/>
        <color theme="1"/>
        <rFont val="Times New Roman"/>
        <family val="1"/>
      </rPr>
      <t xml:space="preserve"> 0.4 oC
Noise 0.01 oC @ 14b, 10.8 ms response time</t>
    </r>
  </si>
  <si>
    <t>Auxiliary Interface for 
Shimmer 3
Embeded in a Shimmer 3</t>
  </si>
  <si>
    <t>Healthcare Usage
Compatible with
shimmer 3
Embeded in a Shimmer 3</t>
  </si>
  <si>
    <t>Healthcare Compatible with shimmer 3
Embeded in a Shimmer 3</t>
  </si>
  <si>
    <t>Environmental Sensor Board
To be used with IRIS, MICAz, MICA2</t>
  </si>
  <si>
    <r>
      <t>Environmental Sensor Board
To be used with IRIS, MICAz, MICA3</t>
    </r>
    <r>
      <rPr>
        <sz val="11"/>
        <color theme="1"/>
        <rFont val="Calibri"/>
        <family val="2"/>
        <charset val="178"/>
        <scheme val="minor"/>
      </rPr>
      <t/>
    </r>
  </si>
  <si>
    <r>
      <t>Environmental Sensor Board
To be used with IRIS, MICAz, MICA4</t>
    </r>
    <r>
      <rPr>
        <sz val="11"/>
        <color theme="1"/>
        <rFont val="Calibri"/>
        <family val="2"/>
        <charset val="178"/>
        <scheme val="minor"/>
      </rPr>
      <t/>
    </r>
  </si>
  <si>
    <t>Mote Data Acquisation Board
To be used with LOTUS, TelosB, IRIS, MICA</t>
  </si>
  <si>
    <t>Minibat
Battery-board</t>
  </si>
  <si>
    <t>Innertial Measurement Unit (IMU)</t>
  </si>
  <si>
    <t>Web of Things Platform (System on Module)</t>
  </si>
  <si>
    <t>Wireless Development
Tool (Dongle)</t>
  </si>
  <si>
    <t>Lotus
(LPR2400)</t>
  </si>
  <si>
    <t>Cricket V2</t>
  </si>
  <si>
    <t>Max
Dig+Mixed
Current
(mA)</t>
  </si>
  <si>
    <t>Categorizing Problems and other specifications not mentioned in the main columns</t>
  </si>
  <si>
    <t>Accelerometer
Compass
Gyroscope
Heart Rate
Microphone</t>
  </si>
  <si>
    <r>
      <t xml:space="preserve">Wide-range accelerometer (LSM303DLHC), 3-Axis
</t>
    </r>
    <r>
      <rPr>
        <sz val="11"/>
        <color theme="1"/>
        <rFont val="Calibri"/>
        <family val="2"/>
      </rPr>
      <t>±</t>
    </r>
    <r>
      <rPr>
        <sz val="11"/>
        <color theme="1"/>
        <rFont val="Times New Roman"/>
        <family val="1"/>
      </rPr>
      <t xml:space="preserve">2.0g 1000 LSB/g senstvty, ±4.0g 500 LSB/g senstvty, ±8.0g 250 LSB/g senstvty, ±16g 83.3LSB/g senstvty
Sampling Freq: 10.24 Hz, 51.2 Hz, 256 Hz, 1024 Hz
</t>
    </r>
    <r>
      <rPr>
        <sz val="11"/>
        <color theme="1"/>
        <rFont val="Cambria"/>
        <family val="1"/>
        <scheme val="major"/>
      </rPr>
      <t xml:space="preserve">
Low-noise accelerometer (KXRBF-2042), 3-Axis, ±2.0 g
600 mV/g sensitivity, Sampling Freq: 51.2 Hz, 1024 Hz
Gyroscope, 3-Axis, ± 250o/s 131 LSB/(o/s) senstvty, ± 500 o/s 65.5 LSB/(o/s) senstvty,
± 1000o/s 32.8 LSB/(o/s) senstvty, ± 2000o/s 16.4 LSB/(o/s) senstvty
Sampling Freq: 51.2 Hz, 256 Hz, 10.24 Hz 
Magnetometer (LSM303DHLC), 3-Axis, ± 1.3 G 1100 LSB/G senstvty, 
± 1.9 G 855 LSB/(G) senstvty, ± 2.5 G 670 LSB/(G) senstvty,
± 4.0 G 450 LSB/(G) senstvty, ± 4.7 G 400 LSB/(G) senstvty,
± 5.6 G 330 LSB/(G) senstvty, ± 8.1 G 230 LSB/(G) senstvty
Sampling Freq: 51.2 Hz, 256 Hz, 10.24 Hz 
Altimeter (Pressure sonsor), MMP18
Temperator Sensor
Sampling Freq: 51.2 Hz, 256 Hz, 10.24 Hz</t>
    </r>
  </si>
  <si>
    <r>
      <t xml:space="preserve">GSR (Galvanic Skin Response) sensor
10 k~ 4.7 M ohm </t>
    </r>
    <r>
      <rPr>
        <sz val="11"/>
        <color theme="1"/>
        <rFont val="Calibri"/>
        <family val="2"/>
      </rPr>
      <t>±</t>
    </r>
    <r>
      <rPr>
        <sz val="11"/>
        <color theme="1"/>
        <rFont val="Times New Roman"/>
        <family val="1"/>
      </rPr>
      <t xml:space="preserve">10%. 22k~ 680 k ohm </t>
    </r>
    <r>
      <rPr>
        <sz val="11"/>
        <color theme="1"/>
        <rFont val="Calibri"/>
        <family val="2"/>
      </rPr>
      <t>±</t>
    </r>
    <r>
      <rPr>
        <sz val="11"/>
        <color theme="1"/>
        <rFont val="Times New Roman"/>
        <family val="1"/>
      </rPr>
      <t>3%
Ssmpling Frequency: DC~15.9 Hz</t>
    </r>
    <r>
      <rPr>
        <sz val="11"/>
        <color theme="1"/>
        <rFont val="Cambria"/>
        <family val="1"/>
        <scheme val="major"/>
      </rPr>
      <t xml:space="preserve">
2 Ananlog channels with preamp</t>
    </r>
  </si>
  <si>
    <t>Load cells to measuere: weight, force, torque, pressure
Resistance measurement for GSR, etc.
Sampling Freq: DC~1 kHz</t>
  </si>
  <si>
    <t>The difference between prices of Activite and Activite Pop is because of the watch itself which the Activite has been designed in Switzerland!</t>
  </si>
  <si>
    <r>
      <t xml:space="preserve">Pressure, 0~37996 Pa, accuracy </t>
    </r>
    <r>
      <rPr>
        <sz val="11"/>
        <color theme="1"/>
        <rFont val="Calibri"/>
        <family val="2"/>
      </rPr>
      <t>±</t>
    </r>
    <r>
      <rPr>
        <sz val="11"/>
        <color theme="1"/>
        <rFont val="Times New Roman"/>
        <family val="1"/>
      </rPr>
      <t>400 Pa or 2% of reading
Heartrate 40~180 beats/min. accuracy 5% of reading</t>
    </r>
  </si>
  <si>
    <t>Photocell (MTS101CA, MTS300CA, MTS310CA)
Thermistor (MTS101CA, MTS300CA, MTS310CA)
Microphone (MTS300CA, MTS310CA)
Magnetic (MTS310CA)
Acceleration (MTS310CA)</t>
  </si>
  <si>
    <r>
      <t xml:space="preserve">3-Axis Accelerometer </t>
    </r>
    <r>
      <rPr>
        <sz val="11"/>
        <color theme="1"/>
        <rFont val="Calibri"/>
        <family val="2"/>
      </rPr>
      <t>±4 g, ±10 g
3-Axis Gyroscope
3-Axis Magnetometer</t>
    </r>
  </si>
  <si>
    <t>Dual Axis Accelerometer, ADXL202JE, 2 mg resolution, ±2 g range, 60 Hz
Barometric Pressure, MS5534AM, 30000~110000 Pa,1000 Pa res, ±1.5% accuracy
Light, TSL2550D, spectral resolution 400~1000 nm
(visible and near infrared light)
Relarive humidity &amp; temp., SHT11, 0~100%, -10~60 oC, 0.03% res, ±3.5% accuracy, ±0.5 oC accuracy</t>
  </si>
  <si>
    <t>3 Axis Gyroscope, MPU-9150 (MPU-6050), Sensitivity 131 LSBs/dps, full-scale ±250 ±500 ±1000 ±2000 dps
3 Axis Accelerometer, MPU-9150 (MPU-6050), full-scale ±2g ±4g ±8g ±16g,  1 kHz Sample rate (typical)
3 Axis Compass, MPU-9150 (AK8975), full-scale ±12 G, 8 Hz Sample rate (typical)</t>
  </si>
  <si>
    <t>3 Axis Accelerometer, BMA250, resolution 10 bit, 3.9mg,
±2g, 256 LSB/g, ±4g, 128 LSB/g, ±8g, 64 LSB/g, ±16g, 32 LSB/g, BW 1000 ~8 Hz, Low Power in 2 kHz data rate
Temprature</t>
  </si>
  <si>
    <r>
      <t xml:space="preserve">UART
I2C
SPI
USB
</t>
    </r>
    <r>
      <rPr>
        <sz val="11"/>
        <color theme="1"/>
        <rFont val="Calibri"/>
        <family val="2"/>
      </rPr>
      <t>μ</t>
    </r>
    <r>
      <rPr>
        <sz val="11"/>
        <color theme="1"/>
        <rFont val="Cambria"/>
        <family val="1"/>
        <scheme val="major"/>
      </rPr>
      <t>USB
Ethernet
JTAG</t>
    </r>
  </si>
  <si>
    <t>3-Axis Accelerometer (MMA8451Q)
3-Axis Magnetometer (MAG3110), 5 degrees precision
Altimeter for elevation monitoring (MPL3115A2), 1m resolution
Air Pressure monitoring (MPL3115A2)
Temprature monitureing (MPL3115A2)
MAX8625A for battery monitoring
Buffered Ambient Light  Level monituring (TEMT6200)
Capacitive touch sensor</t>
  </si>
  <si>
    <t>KL25Z128VLK4 Cortex M0</t>
  </si>
  <si>
    <t>Wi-Fi
Bluetooth</t>
  </si>
  <si>
    <t>Part no. AES-KL-WIGO2-KIT-G
Since there are two microcontrollers and one memory chip (25FL016 Spansion), sum of their memory capacity is provided here.</t>
  </si>
  <si>
    <r>
      <t>ZIG001 Temprature-Humidity Sensor
(SHT1x/7x), -40~123.8 oC, 0~100%
ZIG002 Light Sensor, 0.1~40000 Lux
ZIG003 Barometric Sensor (BMP085),
300~1100 hPa, accuracy 0.25 m,
accuracy 0.03 hPa, 2 μ</t>
    </r>
    <r>
      <rPr>
        <sz val="9.35"/>
        <color theme="1"/>
        <rFont val="Cambria"/>
        <family val="1"/>
        <scheme val="major"/>
      </rPr>
      <t>A pwr
Infrared motion sensor (MS-320LP), 90 o Wide angle, ~10m detection
Infrared distance adaptor (GP2D12), 10cm~80cm</t>
    </r>
  </si>
  <si>
    <r>
      <t xml:space="preserve">2*AA battery OR 2*AAA battery or coin-cell battery
</t>
    </r>
    <r>
      <rPr>
        <b/>
        <u/>
        <sz val="11"/>
        <color theme="1"/>
        <rFont val="Cambria"/>
        <family val="1"/>
        <scheme val="major"/>
      </rPr>
      <t>(Two AA Batteries has been supposed to have be used)</t>
    </r>
    <r>
      <rPr>
        <sz val="11"/>
        <color theme="1"/>
        <rFont val="Cambria"/>
        <family val="1"/>
        <scheme val="major"/>
      </rPr>
      <t xml:space="preserve">
Radio module integarated with the MCU
Maximum data rate of the wireless module: 250 kbps
Current consumption of the barometric sensor is 2 </t>
    </r>
    <r>
      <rPr>
        <sz val="11"/>
        <color theme="1"/>
        <rFont val="Calibri"/>
        <family val="2"/>
      </rPr>
      <t>μ</t>
    </r>
    <r>
      <rPr>
        <sz val="11"/>
        <color theme="1"/>
        <rFont val="Cambria"/>
        <family val="1"/>
        <scheme val="major"/>
      </rPr>
      <t>A</t>
    </r>
  </si>
  <si>
    <t>2*CR2032 battery
There are four types of this product: Secrimote, Climote, Growmote, Thermote each of them for a special application but all of them have the listed specs</t>
  </si>
  <si>
    <t>Each sensor has its own price and the  price of the main module is apart.
Camera is an option that can be connected via USB</t>
  </si>
  <si>
    <t>3-Axis Accelerometer (LIS3L02AQ) ±2g, ±4g, ±8g
(Old version, MMA7455L)
3-Axis Gyroscope (IDG-300), 2mV/deg/sec resolution
2-Axis Compass (KMZ10A), 0.1o resolution, 3~4o accuracy
Temperature Sensor
Light Sensor</t>
  </si>
  <si>
    <t>Temprature (DS3231SN), -40~85 oC, res 0.25 oC, 10-bit two's complement output
3-Axis Accelerometer (LIS3331LDH), ±2g, ±4g, ±8g, 0.5, 1, 2, 5, 10, 50, 100, 400, 1000 Hz</t>
  </si>
  <si>
    <t>Temperature and Humidity (Sensirion SHT15)
Temperature (TI TMP175)
Light Sensor for Visible &amp; IR Light (TAOS TSL2651)
3-Axis Accelerometer (ST Micro LIS02DQ)
Microphone ()</t>
  </si>
  <si>
    <t>CORTEX M3
(88MC200)</t>
  </si>
  <si>
    <t>Discrete Mote</t>
  </si>
  <si>
    <t>Sens Hub</t>
  </si>
  <si>
    <t>Shutdown
2active</t>
  </si>
  <si>
    <t>Lifetime with the specified batt</t>
  </si>
  <si>
    <t>TinyShield
Accelerometer</t>
  </si>
  <si>
    <t>Power Modes
Idle: Core Halted
Suspend: Core and digital peripherals are halted and internal oscilarot is disabled
Sleep: Most internal power nets shut down but RAMs are in retain state</t>
  </si>
  <si>
    <t>Sleep2active</t>
  </si>
  <si>
    <t>Standby
(sleep)
Current
(μA)</t>
  </si>
  <si>
    <t>Idle Current</t>
  </si>
  <si>
    <t>Shutdown Current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</si>
</sst>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
    <numFmt numFmtId="166" formatCode="0.000"/>
    <numFmt numFmtId="167" formatCode="0.0000"/>
  </numFmts>
  <fonts count="54">
    <font>
      <sz val="11"/>
      <color theme="1"/>
      <name val="Calibri"/>
      <family val="2"/>
      <scheme val="minor"/>
    </font>
    <font>
      <sz val="11"/>
      <color theme="1"/>
      <name val="Calibri"/>
      <family val="2"/>
      <charset val="178"/>
      <scheme val="minor"/>
    </font>
    <font>
      <u/>
      <sz val="11"/>
      <color theme="10"/>
      <name val="Calibri"/>
      <family val="2"/>
      <scheme val="minor"/>
    </font>
    <font>
      <sz val="9"/>
      <color indexed="81"/>
      <name val="Tahoma"/>
      <family val="2"/>
    </font>
    <font>
      <b/>
      <sz val="9"/>
      <color indexed="81"/>
      <name val="Tahoma"/>
      <family val="2"/>
    </font>
    <font>
      <b/>
      <sz val="12"/>
      <color theme="1"/>
      <name val="Cambria"/>
      <family val="1"/>
      <scheme val="major"/>
    </font>
    <font>
      <b/>
      <sz val="14"/>
      <name val="Cambria"/>
      <family val="1"/>
      <scheme val="major"/>
    </font>
    <font>
      <sz val="11"/>
      <color theme="1"/>
      <name val="Cambria"/>
      <family val="1"/>
      <scheme val="major"/>
    </font>
    <font>
      <sz val="9.35"/>
      <color theme="1"/>
      <name val="Cambria"/>
      <family val="1"/>
      <scheme val="major"/>
    </font>
    <font>
      <sz val="11"/>
      <name val="Cambria"/>
      <family val="1"/>
      <scheme val="major"/>
    </font>
    <font>
      <b/>
      <sz val="11"/>
      <name val="Cambria"/>
      <family val="1"/>
      <scheme val="major"/>
    </font>
    <font>
      <b/>
      <sz val="11"/>
      <color theme="1"/>
      <name val="Cambria"/>
      <family val="1"/>
      <scheme val="major"/>
    </font>
    <font>
      <u/>
      <sz val="11"/>
      <color theme="10"/>
      <name val="Cambria"/>
      <family val="1"/>
      <scheme val="major"/>
    </font>
    <font>
      <sz val="11"/>
      <color theme="1"/>
      <name val="Calibri"/>
      <family val="2"/>
    </font>
    <font>
      <sz val="11"/>
      <color theme="1"/>
      <name val="Times New Roman"/>
      <family val="1"/>
    </font>
    <font>
      <sz val="11"/>
      <color theme="10"/>
      <name val="Calibri"/>
      <family val="2"/>
      <scheme val="minor"/>
    </font>
    <font>
      <b/>
      <sz val="10"/>
      <name val="Cambria"/>
      <family val="1"/>
      <scheme val="major"/>
    </font>
    <font>
      <b/>
      <sz val="12"/>
      <color rgb="FFFF0000"/>
      <name val="Cambria"/>
      <family val="1"/>
      <scheme val="major"/>
    </font>
    <font>
      <sz val="9"/>
      <color theme="1"/>
      <name val="Cambria"/>
      <family val="1"/>
      <scheme val="major"/>
    </font>
    <font>
      <sz val="8"/>
      <color theme="1"/>
      <name val="Cambria"/>
      <family val="1"/>
      <scheme val="major"/>
    </font>
    <font>
      <b/>
      <sz val="10"/>
      <name val="Calibri"/>
      <family val="2"/>
    </font>
    <font>
      <b/>
      <sz val="10"/>
      <name val="Times New Roman"/>
      <family val="1"/>
    </font>
    <font>
      <sz val="10"/>
      <name val="Cambria"/>
      <family val="1"/>
      <scheme val="major"/>
    </font>
    <font>
      <b/>
      <sz val="8"/>
      <color theme="1"/>
      <name val="Calibri"/>
      <family val="2"/>
      <scheme val="minor"/>
    </font>
    <font>
      <sz val="8"/>
      <color theme="1"/>
      <name val="Calibri"/>
      <family val="2"/>
      <scheme val="minor"/>
    </font>
    <font>
      <b/>
      <sz val="7"/>
      <color theme="1"/>
      <name val="Calibri"/>
      <family val="2"/>
      <scheme val="minor"/>
    </font>
    <font>
      <sz val="20"/>
      <color theme="1"/>
      <name val="Calibri"/>
      <family val="2"/>
      <scheme val="minor"/>
    </font>
    <font>
      <b/>
      <sz val="16"/>
      <color theme="1"/>
      <name val="Calibri"/>
      <family val="2"/>
      <scheme val="minor"/>
    </font>
    <font>
      <u/>
      <sz val="11"/>
      <name val="Calibri"/>
      <family val="2"/>
      <scheme val="minor"/>
    </font>
    <font>
      <b/>
      <sz val="11"/>
      <color theme="1"/>
      <name val="Calibri"/>
      <family val="2"/>
    </font>
    <font>
      <b/>
      <sz val="10"/>
      <color theme="1"/>
      <name val="Calibri"/>
      <family val="2"/>
      <scheme val="minor"/>
    </font>
    <font>
      <b/>
      <sz val="11"/>
      <color theme="1"/>
      <name val="Calibri"/>
      <family val="2"/>
      <scheme val="minor"/>
    </font>
    <font>
      <sz val="11"/>
      <color rgb="FFFF0000"/>
      <name val="Cambria"/>
      <family val="1"/>
      <scheme val="major"/>
    </font>
    <font>
      <sz val="11"/>
      <color theme="4"/>
      <name val="Cambria"/>
      <family val="1"/>
      <scheme val="major"/>
    </font>
    <font>
      <b/>
      <sz val="11"/>
      <color theme="4"/>
      <name val="Cambria"/>
      <family val="1"/>
      <scheme val="major"/>
    </font>
    <font>
      <b/>
      <sz val="12"/>
      <color theme="4"/>
      <name val="Cambria"/>
      <family val="1"/>
      <scheme val="major"/>
    </font>
    <font>
      <sz val="11"/>
      <color rgb="FF0070C0"/>
      <name val="Cambria"/>
      <family val="1"/>
      <scheme val="major"/>
    </font>
    <font>
      <b/>
      <sz val="11"/>
      <color rgb="FF0070C0"/>
      <name val="Cambria"/>
      <family val="1"/>
      <scheme val="major"/>
    </font>
    <font>
      <sz val="7"/>
      <color theme="1"/>
      <name val="Cambria"/>
      <family val="1"/>
      <scheme val="major"/>
    </font>
    <font>
      <b/>
      <sz val="10"/>
      <color rgb="FF0070C0"/>
      <name val="Cambria"/>
      <family val="1"/>
      <scheme val="major"/>
    </font>
    <font>
      <b/>
      <sz val="10"/>
      <color theme="4"/>
      <name val="Cambria"/>
      <family val="1"/>
      <scheme val="major"/>
    </font>
    <font>
      <b/>
      <sz val="10"/>
      <color theme="4"/>
      <name val="Calibri"/>
      <family val="2"/>
    </font>
    <font>
      <b/>
      <sz val="10"/>
      <color theme="4"/>
      <name val="Times New Roman"/>
      <family val="1"/>
    </font>
    <font>
      <u/>
      <sz val="11"/>
      <color rgb="FF0070C0"/>
      <name val="Calibri"/>
      <family val="2"/>
      <scheme val="minor"/>
    </font>
    <font>
      <u/>
      <sz val="11"/>
      <color rgb="FF0070C0"/>
      <name val="Cambria"/>
      <family val="1"/>
      <scheme val="major"/>
    </font>
    <font>
      <b/>
      <sz val="11"/>
      <color rgb="FF00B0F0"/>
      <name val="Cambria"/>
      <family val="1"/>
      <scheme val="major"/>
    </font>
    <font>
      <b/>
      <sz val="10"/>
      <color theme="1"/>
      <name val="Cambria"/>
      <family val="1"/>
      <scheme val="major"/>
    </font>
    <font>
      <b/>
      <sz val="10"/>
      <color theme="1"/>
      <name val="Calibri"/>
      <family val="2"/>
    </font>
    <font>
      <b/>
      <sz val="10"/>
      <color theme="1"/>
      <name val="Times New Roman"/>
      <family val="1"/>
    </font>
    <font>
      <sz val="10"/>
      <color theme="1"/>
      <name val="Cambria"/>
      <family val="1"/>
      <scheme val="major"/>
    </font>
    <font>
      <b/>
      <sz val="14"/>
      <color theme="1"/>
      <name val="Cambria"/>
      <family val="1"/>
      <scheme val="major"/>
    </font>
    <font>
      <u/>
      <sz val="11"/>
      <color theme="1"/>
      <name val="Cambria"/>
      <family val="1"/>
      <scheme val="major"/>
    </font>
    <font>
      <b/>
      <u/>
      <sz val="11"/>
      <color theme="1"/>
      <name val="Cambria"/>
      <family val="1"/>
      <scheme val="major"/>
    </font>
    <font>
      <sz val="20"/>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0" tint="-0.14999847407452621"/>
        <bgColor indexed="64"/>
      </patternFill>
    </fill>
  </fills>
  <borders count="69">
    <border>
      <left/>
      <right/>
      <top/>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top/>
      <bottom style="medium">
        <color auto="1"/>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style="thin">
        <color indexed="64"/>
      </left>
      <right style="medium">
        <color indexed="64"/>
      </right>
      <top style="thin">
        <color indexed="64"/>
      </top>
      <bottom style="medium">
        <color auto="1"/>
      </bottom>
      <diagonal/>
    </border>
    <border>
      <left style="medium">
        <color indexed="64"/>
      </left>
      <right style="thin">
        <color indexed="64"/>
      </right>
      <top style="thin">
        <color indexed="64"/>
      </top>
      <bottom style="medium">
        <color auto="1"/>
      </bottom>
      <diagonal/>
    </border>
    <border>
      <left/>
      <right style="thin">
        <color indexed="64"/>
      </right>
      <top style="thin">
        <color indexed="64"/>
      </top>
      <bottom style="medium">
        <color auto="1"/>
      </bottom>
      <diagonal/>
    </border>
    <border>
      <left style="thin">
        <color indexed="64"/>
      </left>
      <right style="medium">
        <color indexed="64"/>
      </right>
      <top style="medium">
        <color auto="1"/>
      </top>
      <bottom style="thin">
        <color indexed="64"/>
      </bottom>
      <diagonal/>
    </border>
    <border>
      <left style="medium">
        <color indexed="64"/>
      </left>
      <right style="thin">
        <color indexed="64"/>
      </right>
      <top style="medium">
        <color auto="1"/>
      </top>
      <bottom style="thin">
        <color indexed="64"/>
      </bottom>
      <diagonal/>
    </border>
    <border>
      <left style="thin">
        <color auto="1"/>
      </left>
      <right style="thin">
        <color indexed="64"/>
      </right>
      <top style="medium">
        <color auto="1"/>
      </top>
      <bottom style="thin">
        <color indexed="64"/>
      </bottom>
      <diagonal/>
    </border>
    <border>
      <left style="thin">
        <color auto="1"/>
      </left>
      <right style="thin">
        <color indexed="64"/>
      </right>
      <top style="medium">
        <color auto="1"/>
      </top>
      <bottom/>
      <diagonal/>
    </border>
    <border>
      <left style="thin">
        <color auto="1"/>
      </left>
      <right style="thin">
        <color indexed="64"/>
      </right>
      <top/>
      <bottom/>
      <diagonal/>
    </border>
    <border>
      <left style="thin">
        <color auto="1"/>
      </left>
      <right/>
      <top style="medium">
        <color auto="1"/>
      </top>
      <bottom style="thin">
        <color indexed="64"/>
      </bottom>
      <diagonal/>
    </border>
    <border>
      <left/>
      <right style="thin">
        <color indexed="64"/>
      </right>
      <top style="medium">
        <color auto="1"/>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medium">
        <color auto="1"/>
      </bottom>
      <diagonal/>
    </border>
    <border>
      <left/>
      <right/>
      <top style="medium">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medium">
        <color auto="1"/>
      </top>
      <bottom/>
      <diagonal/>
    </border>
    <border>
      <left style="thin">
        <color indexed="64"/>
      </left>
      <right style="medium">
        <color indexed="64"/>
      </right>
      <top style="medium">
        <color auto="1"/>
      </top>
      <bottom/>
      <diagonal/>
    </border>
    <border>
      <left style="thin">
        <color indexed="64"/>
      </left>
      <right/>
      <top/>
      <bottom/>
      <diagonal/>
    </border>
    <border>
      <left/>
      <right style="thin">
        <color indexed="64"/>
      </right>
      <top style="medium">
        <color indexed="64"/>
      </top>
      <bottom style="medium">
        <color auto="1"/>
      </bottom>
      <diagonal/>
    </border>
    <border>
      <left style="medium">
        <color indexed="64"/>
      </left>
      <right/>
      <top style="medium">
        <color auto="1"/>
      </top>
      <bottom style="thin">
        <color indexed="64"/>
      </bottom>
      <diagonal/>
    </border>
    <border>
      <left style="thin">
        <color auto="1"/>
      </left>
      <right/>
      <top style="medium">
        <color auto="1"/>
      </top>
      <bottom style="medium">
        <color auto="1"/>
      </bottom>
      <diagonal/>
    </border>
    <border>
      <left style="medium">
        <color indexed="64"/>
      </left>
      <right/>
      <top/>
      <bottom style="thin">
        <color indexed="64"/>
      </bottom>
      <diagonal/>
    </border>
    <border>
      <left style="thin">
        <color indexed="64"/>
      </left>
      <right style="medium">
        <color indexed="64"/>
      </right>
      <top/>
      <bottom style="medium">
        <color auto="1"/>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auto="1"/>
      </bottom>
      <diagonal/>
    </border>
  </borders>
  <cellStyleXfs count="2">
    <xf numFmtId="0" fontId="0" fillId="0" borderId="0"/>
    <xf numFmtId="0" fontId="2" fillId="0" borderId="0" applyNumberFormat="0" applyFill="0" applyBorder="0" applyAlignment="0" applyProtection="0"/>
  </cellStyleXfs>
  <cellXfs count="856">
    <xf numFmtId="0" fontId="0" fillId="0" borderId="0" xfId="0"/>
    <xf numFmtId="0" fontId="6" fillId="0" borderId="0" xfId="0" applyFont="1" applyAlignment="1">
      <alignment horizontal="center" vertical="center" readingOrder="1"/>
    </xf>
    <xf numFmtId="0" fontId="5" fillId="0" borderId="0" xfId="0" applyFont="1" applyAlignment="1">
      <alignment horizontal="center" vertical="center" readingOrder="1"/>
    </xf>
    <xf numFmtId="0" fontId="7" fillId="0" borderId="15" xfId="0" applyFont="1" applyBorder="1" applyAlignment="1">
      <alignment horizontal="center" vertical="center" wrapText="1" readingOrder="1"/>
    </xf>
    <xf numFmtId="0" fontId="7" fillId="0" borderId="15" xfId="0" applyFont="1" applyBorder="1" applyAlignment="1">
      <alignment horizontal="center" vertical="center" readingOrder="1"/>
    </xf>
    <xf numFmtId="0" fontId="7" fillId="0" borderId="26" xfId="0" applyFont="1" applyBorder="1" applyAlignment="1">
      <alignment horizontal="center" vertical="center" readingOrder="1"/>
    </xf>
    <xf numFmtId="0" fontId="7" fillId="0" borderId="19" xfId="0" applyFont="1" applyBorder="1" applyAlignment="1">
      <alignment horizontal="center" vertical="center" readingOrder="1"/>
    </xf>
    <xf numFmtId="0" fontId="7" fillId="0" borderId="19" xfId="0" applyFont="1" applyBorder="1" applyAlignment="1">
      <alignment horizontal="center" vertical="center" wrapText="1" readingOrder="1"/>
    </xf>
    <xf numFmtId="0" fontId="7" fillId="0" borderId="17" xfId="0" applyFont="1" applyBorder="1" applyAlignment="1">
      <alignment horizontal="center" vertical="center" wrapText="1" readingOrder="1"/>
    </xf>
    <xf numFmtId="0" fontId="7" fillId="0" borderId="0" xfId="0" applyFont="1" applyAlignment="1">
      <alignment horizontal="center" vertical="center"/>
    </xf>
    <xf numFmtId="0" fontId="7" fillId="0" borderId="8" xfId="0" applyFont="1" applyBorder="1" applyAlignment="1">
      <alignment horizontal="center" vertical="center" readingOrder="1"/>
    </xf>
    <xf numFmtId="0" fontId="9" fillId="0" borderId="8" xfId="0" applyFont="1" applyBorder="1" applyAlignment="1">
      <alignment horizontal="center" vertical="center" readingOrder="1"/>
    </xf>
    <xf numFmtId="0" fontId="7" fillId="0" borderId="23" xfId="0" applyFont="1" applyBorder="1" applyAlignment="1">
      <alignment horizontal="center" vertical="center" readingOrder="1"/>
    </xf>
    <xf numFmtId="0" fontId="7" fillId="0" borderId="8" xfId="0" applyFont="1" applyBorder="1" applyAlignment="1">
      <alignment horizontal="center" vertical="center" wrapText="1" readingOrder="1"/>
    </xf>
    <xf numFmtId="0" fontId="7" fillId="0" borderId="0" xfId="0" applyFont="1" applyAlignment="1">
      <alignment horizontal="center" vertical="center" readingOrder="1"/>
    </xf>
    <xf numFmtId="0" fontId="7" fillId="0" borderId="8" xfId="0" applyFont="1" applyFill="1" applyBorder="1" applyAlignment="1">
      <alignment horizontal="center" vertical="center" readingOrder="1"/>
    </xf>
    <xf numFmtId="0" fontId="7" fillId="0" borderId="15" xfId="0" applyFont="1" applyFill="1" applyBorder="1" applyAlignment="1">
      <alignment horizontal="center" vertical="center" readingOrder="1"/>
    </xf>
    <xf numFmtId="0" fontId="7" fillId="0" borderId="8" xfId="0" applyFont="1" applyFill="1" applyBorder="1" applyAlignment="1">
      <alignment horizontal="center" vertical="center" wrapText="1" readingOrder="1"/>
    </xf>
    <xf numFmtId="0" fontId="7" fillId="0" borderId="15" xfId="0" applyFont="1" applyFill="1" applyBorder="1" applyAlignment="1">
      <alignment horizontal="center" vertical="center" wrapText="1" readingOrder="1"/>
    </xf>
    <xf numFmtId="0" fontId="7" fillId="0" borderId="7" xfId="0" applyFont="1" applyBorder="1" applyAlignment="1">
      <alignment horizontal="center" vertical="center" wrapText="1" readingOrder="1"/>
    </xf>
    <xf numFmtId="0" fontId="7" fillId="0" borderId="7" xfId="0" applyFont="1" applyFill="1" applyBorder="1" applyAlignment="1">
      <alignment horizontal="center" vertical="center" wrapText="1" readingOrder="1"/>
    </xf>
    <xf numFmtId="0" fontId="7" fillId="0" borderId="27" xfId="0" applyFont="1" applyBorder="1" applyAlignment="1">
      <alignment horizontal="center" vertical="center" readingOrder="1"/>
    </xf>
    <xf numFmtId="0" fontId="7" fillId="0" borderId="10" xfId="0" applyFont="1" applyBorder="1" applyAlignment="1">
      <alignment horizontal="center" vertical="center" wrapText="1" readingOrder="1"/>
    </xf>
    <xf numFmtId="0" fontId="7" fillId="0" borderId="7" xfId="0" applyFont="1" applyFill="1" applyBorder="1" applyAlignment="1">
      <alignment horizontal="center" vertical="center" readingOrder="1"/>
    </xf>
    <xf numFmtId="0" fontId="7" fillId="4" borderId="15" xfId="0" applyFont="1" applyFill="1" applyBorder="1" applyAlignment="1">
      <alignment horizontal="center" vertical="center" wrapText="1" readingOrder="1"/>
    </xf>
    <xf numFmtId="0" fontId="7" fillId="4" borderId="7" xfId="0" applyFont="1" applyFill="1" applyBorder="1" applyAlignment="1">
      <alignment horizontal="center" vertical="center" wrapText="1" readingOrder="1"/>
    </xf>
    <xf numFmtId="0" fontId="5" fillId="3" borderId="16" xfId="0" applyFont="1" applyFill="1" applyBorder="1" applyAlignment="1">
      <alignment horizontal="left" vertical="top" readingOrder="1"/>
    </xf>
    <xf numFmtId="0" fontId="11" fillId="2" borderId="8" xfId="0" applyFont="1" applyFill="1" applyBorder="1" applyAlignment="1">
      <alignment horizontal="center" vertical="center" wrapText="1" readingOrder="1"/>
    </xf>
    <xf numFmtId="1" fontId="11" fillId="2" borderId="16" xfId="0" applyNumberFormat="1" applyFont="1" applyFill="1" applyBorder="1" applyAlignment="1">
      <alignment horizontal="center" vertical="center" wrapText="1" readingOrder="1"/>
    </xf>
    <xf numFmtId="0" fontId="11" fillId="3" borderId="15" xfId="0" applyFont="1" applyFill="1" applyBorder="1" applyAlignment="1">
      <alignment horizontal="center" vertical="center" wrapText="1" readingOrder="1"/>
    </xf>
    <xf numFmtId="0" fontId="11" fillId="3" borderId="8" xfId="0" applyFont="1" applyFill="1" applyBorder="1" applyAlignment="1">
      <alignment horizontal="center" vertical="center" wrapText="1" readingOrder="1"/>
    </xf>
    <xf numFmtId="0" fontId="11" fillId="3" borderId="16" xfId="0" applyFont="1" applyFill="1" applyBorder="1" applyAlignment="1">
      <alignment horizontal="center" vertical="center" wrapText="1" readingOrder="1"/>
    </xf>
    <xf numFmtId="0" fontId="11" fillId="2" borderId="15" xfId="0" applyFont="1" applyFill="1" applyBorder="1" applyAlignment="1">
      <alignment horizontal="center" vertical="center" wrapText="1" readingOrder="1"/>
    </xf>
    <xf numFmtId="0" fontId="11" fillId="3" borderId="16" xfId="0" applyFont="1" applyFill="1" applyBorder="1" applyAlignment="1">
      <alignment horizontal="center" vertical="center" readingOrder="1"/>
    </xf>
    <xf numFmtId="0" fontId="11" fillId="3" borderId="0" xfId="0" applyFont="1" applyFill="1" applyAlignment="1">
      <alignment horizontal="center" vertical="center" readingOrder="1"/>
    </xf>
    <xf numFmtId="0" fontId="7" fillId="4" borderId="8" xfId="0" applyFont="1" applyFill="1" applyBorder="1" applyAlignment="1">
      <alignment horizontal="center" vertical="center" readingOrder="1"/>
    </xf>
    <xf numFmtId="0" fontId="7" fillId="4" borderId="7" xfId="0" applyFont="1" applyFill="1" applyBorder="1" applyAlignment="1">
      <alignment horizontal="center" vertical="center" readingOrder="1"/>
    </xf>
    <xf numFmtId="0" fontId="7" fillId="0" borderId="9" xfId="0" applyFont="1" applyBorder="1" applyAlignment="1">
      <alignment horizontal="center" vertical="center" readingOrder="1"/>
    </xf>
    <xf numFmtId="0" fontId="7" fillId="0" borderId="9" xfId="0" applyFont="1" applyBorder="1" applyAlignment="1">
      <alignment horizontal="center" vertical="center"/>
    </xf>
    <xf numFmtId="0" fontId="12" fillId="0" borderId="8" xfId="1" applyFont="1" applyBorder="1" applyAlignment="1">
      <alignment horizontal="center" vertical="center" readingOrder="1"/>
    </xf>
    <xf numFmtId="0" fontId="7" fillId="0" borderId="16" xfId="0" applyFont="1" applyBorder="1" applyAlignment="1">
      <alignment horizontal="center" vertical="center" readingOrder="1"/>
    </xf>
    <xf numFmtId="0" fontId="7" fillId="0" borderId="8" xfId="0" applyFont="1" applyBorder="1" applyAlignment="1">
      <alignment horizontal="center" vertical="center"/>
    </xf>
    <xf numFmtId="11" fontId="7" fillId="0" borderId="8" xfId="0" applyNumberFormat="1" applyFont="1" applyBorder="1" applyAlignment="1">
      <alignment horizontal="center" vertical="center" readingOrder="1"/>
    </xf>
    <xf numFmtId="0" fontId="7" fillId="0" borderId="9" xfId="0" applyFont="1" applyBorder="1" applyAlignment="1">
      <alignment horizontal="center" vertical="center" wrapText="1"/>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2" fillId="0" borderId="8" xfId="1" applyFont="1" applyFill="1" applyBorder="1" applyAlignment="1">
      <alignment horizontal="center" vertical="center" readingOrder="1"/>
    </xf>
    <xf numFmtId="0" fontId="9" fillId="0" borderId="8" xfId="0" applyFont="1" applyFill="1" applyBorder="1" applyAlignment="1">
      <alignment horizontal="center" vertical="center" readingOrder="1"/>
    </xf>
    <xf numFmtId="0" fontId="7" fillId="0" borderId="16" xfId="0" applyFont="1" applyFill="1" applyBorder="1" applyAlignment="1">
      <alignment horizontal="center" vertical="center" readingOrder="1"/>
    </xf>
    <xf numFmtId="0" fontId="7" fillId="0" borderId="8" xfId="0" applyFont="1" applyFill="1" applyBorder="1" applyAlignment="1">
      <alignment horizontal="center" vertical="center"/>
    </xf>
    <xf numFmtId="0" fontId="7" fillId="0" borderId="3" xfId="0" applyFont="1" applyFill="1" applyBorder="1" applyAlignment="1">
      <alignment horizontal="center" vertical="center" readingOrder="1"/>
    </xf>
    <xf numFmtId="11" fontId="7" fillId="0" borderId="8" xfId="0" applyNumberFormat="1" applyFont="1" applyFill="1" applyBorder="1" applyAlignment="1">
      <alignment horizontal="center" vertical="center" readingOrder="1"/>
    </xf>
    <xf numFmtId="0" fontId="12" fillId="4" borderId="8" xfId="1" applyFont="1" applyFill="1" applyBorder="1" applyAlignment="1">
      <alignment horizontal="center" vertical="center" readingOrder="1"/>
    </xf>
    <xf numFmtId="0" fontId="7" fillId="4" borderId="8" xfId="0" applyFont="1" applyFill="1" applyBorder="1" applyAlignment="1">
      <alignment horizontal="center" vertical="center" wrapText="1" readingOrder="1"/>
    </xf>
    <xf numFmtId="0" fontId="7" fillId="4" borderId="16" xfId="0" applyFont="1" applyFill="1" applyBorder="1" applyAlignment="1">
      <alignment horizontal="center" vertical="center" readingOrder="1"/>
    </xf>
    <xf numFmtId="0" fontId="7" fillId="4" borderId="15" xfId="0" applyFont="1" applyFill="1" applyBorder="1" applyAlignment="1">
      <alignment horizontal="center" vertical="center" readingOrder="1"/>
    </xf>
    <xf numFmtId="11" fontId="7" fillId="4" borderId="8" xfId="0" applyNumberFormat="1" applyFont="1" applyFill="1" applyBorder="1" applyAlignment="1">
      <alignment horizontal="center" vertical="center" readingOrder="1"/>
    </xf>
    <xf numFmtId="0" fontId="7" fillId="4" borderId="0" xfId="0" applyFont="1" applyFill="1" applyBorder="1" applyAlignment="1">
      <alignment horizontal="center" vertical="center" readingOrder="1"/>
    </xf>
    <xf numFmtId="0" fontId="7" fillId="0" borderId="0" xfId="0" applyFont="1" applyFill="1" applyBorder="1" applyAlignment="1">
      <alignment horizontal="center" vertical="center" readingOrder="1"/>
    </xf>
    <xf numFmtId="0" fontId="7" fillId="0" borderId="25" xfId="0" applyFont="1" applyBorder="1" applyAlignment="1">
      <alignment horizontal="center" vertical="center" readingOrder="1"/>
    </xf>
    <xf numFmtId="0" fontId="7" fillId="0" borderId="22" xfId="0" applyFont="1" applyBorder="1" applyAlignment="1">
      <alignment horizontal="center" vertical="center" readingOrder="1"/>
    </xf>
    <xf numFmtId="0" fontId="7" fillId="0" borderId="29" xfId="0" applyFont="1" applyBorder="1" applyAlignment="1">
      <alignment horizontal="center" vertical="center" readingOrder="1"/>
    </xf>
    <xf numFmtId="0" fontId="7" fillId="0" borderId="6" xfId="0" applyFont="1" applyBorder="1" applyAlignment="1">
      <alignment horizontal="center" vertical="center"/>
    </xf>
    <xf numFmtId="0" fontId="7" fillId="0" borderId="20" xfId="0" applyFont="1" applyBorder="1" applyAlignment="1">
      <alignment horizontal="center" vertical="center" readingOrder="1"/>
    </xf>
    <xf numFmtId="0" fontId="7" fillId="0" borderId="11" xfId="0" applyFont="1" applyBorder="1" applyAlignment="1">
      <alignment horizontal="center" vertical="center"/>
    </xf>
    <xf numFmtId="0" fontId="7" fillId="0" borderId="4" xfId="0" applyFont="1" applyBorder="1" applyAlignment="1">
      <alignment horizontal="center" vertical="center" readingOrder="1"/>
    </xf>
    <xf numFmtId="0" fontId="7" fillId="0" borderId="1" xfId="0" applyFont="1" applyBorder="1" applyAlignment="1">
      <alignment horizontal="center" vertical="center" readingOrder="1"/>
    </xf>
    <xf numFmtId="0" fontId="7" fillId="0" borderId="9" xfId="0" applyFont="1" applyFill="1" applyBorder="1" applyAlignment="1">
      <alignment horizontal="center" vertical="center" readingOrder="1"/>
    </xf>
    <xf numFmtId="0" fontId="7" fillId="0" borderId="2" xfId="0" applyFont="1" applyBorder="1" applyAlignment="1">
      <alignment horizontal="center" vertical="center" wrapText="1"/>
    </xf>
    <xf numFmtId="0" fontId="7" fillId="0" borderId="0" xfId="0" applyFont="1" applyBorder="1" applyAlignment="1">
      <alignment horizontal="center" vertical="center" readingOrder="1"/>
    </xf>
    <xf numFmtId="11" fontId="7" fillId="0" borderId="8" xfId="0" applyNumberFormat="1" applyFont="1" applyFill="1" applyBorder="1" applyAlignment="1">
      <alignment horizontal="center" vertical="center" wrapText="1" readingOrder="1"/>
    </xf>
    <xf numFmtId="0" fontId="7" fillId="0" borderId="8" xfId="0" applyFont="1" applyFill="1" applyBorder="1" applyAlignment="1">
      <alignment horizontal="center" vertical="center" textRotation="180" readingOrder="1"/>
    </xf>
    <xf numFmtId="11" fontId="7" fillId="4" borderId="8" xfId="0" applyNumberFormat="1" applyFont="1" applyFill="1" applyBorder="1" applyAlignment="1">
      <alignment horizontal="center" vertical="center" wrapText="1" readingOrder="1"/>
    </xf>
    <xf numFmtId="0" fontId="7" fillId="4" borderId="0" xfId="0" applyFont="1" applyFill="1" applyAlignment="1">
      <alignment horizontal="center" vertical="center" readingOrder="1"/>
    </xf>
    <xf numFmtId="0" fontId="7" fillId="0" borderId="0" xfId="0" applyFont="1" applyAlignment="1">
      <alignment horizontal="left" vertical="top" readingOrder="1"/>
    </xf>
    <xf numFmtId="0" fontId="2" fillId="4" borderId="8" xfId="1" applyFill="1" applyBorder="1" applyAlignment="1">
      <alignment horizontal="center" vertical="center" readingOrder="1"/>
    </xf>
    <xf numFmtId="0" fontId="5" fillId="3" borderId="15" xfId="0" applyFont="1" applyFill="1" applyBorder="1" applyAlignment="1">
      <alignment horizontal="center" vertical="center" readingOrder="1"/>
    </xf>
    <xf numFmtId="0" fontId="2" fillId="0" borderId="8" xfId="1" applyBorder="1" applyAlignment="1">
      <alignment horizontal="center" vertical="center" readingOrder="1"/>
    </xf>
    <xf numFmtId="0" fontId="0" fillId="0" borderId="0" xfId="0" applyAlignment="1">
      <alignment horizontal="center" vertical="center"/>
    </xf>
    <xf numFmtId="0" fontId="7" fillId="0" borderId="0" xfId="0" applyFont="1" applyAlignment="1">
      <alignment horizontal="center" vertical="center" wrapText="1" readingOrder="1"/>
    </xf>
    <xf numFmtId="0" fontId="0" fillId="0" borderId="0" xfId="0" applyAlignment="1">
      <alignment horizontal="center" vertical="center" readingOrder="1"/>
    </xf>
    <xf numFmtId="0" fontId="2" fillId="0" borderId="32" xfId="1" applyBorder="1" applyAlignment="1">
      <alignment horizontal="center" vertical="center"/>
    </xf>
    <xf numFmtId="1" fontId="5" fillId="0" borderId="4" xfId="0" applyNumberFormat="1" applyFont="1" applyBorder="1" applyAlignment="1">
      <alignment horizontal="center" vertical="center" readingOrder="1"/>
    </xf>
    <xf numFmtId="1" fontId="5" fillId="0" borderId="3" xfId="0" applyNumberFormat="1" applyFont="1" applyBorder="1" applyAlignment="1">
      <alignment horizontal="center" vertical="center" readingOrder="1"/>
    </xf>
    <xf numFmtId="0" fontId="16" fillId="0" borderId="35" xfId="0" applyFont="1" applyFill="1" applyBorder="1" applyAlignment="1">
      <alignment horizontal="center" vertical="center" readingOrder="1"/>
    </xf>
    <xf numFmtId="0" fontId="7" fillId="0" borderId="32" xfId="0" applyFont="1" applyBorder="1" applyAlignment="1">
      <alignment horizontal="center" vertical="center"/>
    </xf>
    <xf numFmtId="0" fontId="7" fillId="0" borderId="40" xfId="0" applyFont="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 xfId="0" applyFont="1" applyBorder="1" applyAlignment="1">
      <alignment horizontal="center" vertical="center"/>
    </xf>
    <xf numFmtId="0" fontId="7" fillId="0" borderId="41" xfId="0" applyFont="1" applyBorder="1" applyAlignment="1">
      <alignment horizontal="center" vertical="center"/>
    </xf>
    <xf numFmtId="0" fontId="7" fillId="0" borderId="20" xfId="0" applyFont="1" applyBorder="1" applyAlignment="1">
      <alignment horizontal="center" vertical="center"/>
    </xf>
    <xf numFmtId="0" fontId="7" fillId="0" borderId="13" xfId="0" applyFont="1" applyBorder="1" applyAlignment="1">
      <alignment horizontal="center" vertical="center"/>
    </xf>
    <xf numFmtId="0" fontId="7" fillId="0" borderId="32" xfId="0" applyFont="1" applyBorder="1" applyAlignment="1">
      <alignment horizontal="center" vertical="center" wrapText="1"/>
    </xf>
    <xf numFmtId="0" fontId="2" fillId="0" borderId="6" xfId="1" applyBorder="1" applyAlignment="1">
      <alignment horizontal="center" vertical="center"/>
    </xf>
    <xf numFmtId="0" fontId="7" fillId="0" borderId="15" xfId="0" applyFont="1" applyBorder="1" applyAlignment="1">
      <alignment horizontal="center" vertical="center" wrapText="1"/>
    </xf>
    <xf numFmtId="0" fontId="2" fillId="0" borderId="8" xfId="1" applyBorder="1" applyAlignment="1">
      <alignment horizontal="center" vertical="center"/>
    </xf>
    <xf numFmtId="0" fontId="7" fillId="0" borderId="38" xfId="0" applyFont="1" applyBorder="1" applyAlignment="1">
      <alignment horizontal="center" vertical="center" wrapText="1"/>
    </xf>
    <xf numFmtId="0" fontId="7" fillId="0" borderId="6" xfId="0" applyFont="1" applyBorder="1" applyAlignment="1">
      <alignment horizontal="center" vertical="center" wrapText="1"/>
    </xf>
    <xf numFmtId="0" fontId="14" fillId="0" borderId="6" xfId="0" applyFont="1" applyBorder="1" applyAlignment="1">
      <alignment horizontal="center" vertical="center"/>
    </xf>
    <xf numFmtId="0" fontId="7" fillId="0" borderId="8"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2" xfId="0" applyFont="1" applyBorder="1" applyAlignment="1">
      <alignment horizontal="center" vertical="center" wrapText="1"/>
    </xf>
    <xf numFmtId="0" fontId="13" fillId="0" borderId="6" xfId="0" applyFont="1" applyBorder="1" applyAlignment="1">
      <alignment horizontal="center" vertical="center"/>
    </xf>
    <xf numFmtId="0" fontId="7" fillId="0" borderId="6" xfId="0" applyFont="1" applyBorder="1" applyAlignment="1">
      <alignment horizontal="center" vertical="center" readingOrder="1"/>
    </xf>
    <xf numFmtId="0" fontId="18" fillId="0" borderId="41" xfId="0" applyFont="1" applyBorder="1" applyAlignment="1">
      <alignment horizontal="center" vertical="center" wrapText="1"/>
    </xf>
    <xf numFmtId="0" fontId="7" fillId="0" borderId="0" xfId="0" applyFont="1" applyBorder="1" applyAlignment="1">
      <alignment horizontal="center" vertical="center"/>
    </xf>
    <xf numFmtId="0" fontId="16" fillId="3" borderId="27" xfId="0" applyFont="1" applyFill="1" applyBorder="1" applyAlignment="1">
      <alignment horizontal="center" vertical="center" wrapText="1" readingOrder="1"/>
    </xf>
    <xf numFmtId="0" fontId="16" fillId="2" borderId="43" xfId="0" applyFont="1" applyFill="1" applyBorder="1" applyAlignment="1">
      <alignment horizontal="center" vertical="center" readingOrder="1"/>
    </xf>
    <xf numFmtId="0" fontId="16" fillId="2" borderId="23" xfId="0" applyFont="1" applyFill="1" applyBorder="1" applyAlignment="1">
      <alignment horizontal="center" vertical="center" wrapText="1" readingOrder="1"/>
    </xf>
    <xf numFmtId="0" fontId="16" fillId="3" borderId="23" xfId="0" applyFont="1" applyFill="1" applyBorder="1" applyAlignment="1">
      <alignment horizontal="center" vertical="center" wrapText="1" readingOrder="1"/>
    </xf>
    <xf numFmtId="0" fontId="16" fillId="3" borderId="25" xfId="0" applyFont="1" applyFill="1" applyBorder="1" applyAlignment="1">
      <alignment horizontal="center" vertical="center" wrapText="1" readingOrder="1"/>
    </xf>
    <xf numFmtId="0" fontId="16" fillId="3" borderId="24" xfId="0" applyFont="1" applyFill="1" applyBorder="1" applyAlignment="1">
      <alignment horizontal="center" vertical="center" wrapText="1" readingOrder="1"/>
    </xf>
    <xf numFmtId="164" fontId="16" fillId="3" borderId="24" xfId="0" applyNumberFormat="1" applyFont="1" applyFill="1" applyBorder="1" applyAlignment="1">
      <alignment horizontal="center" vertical="center" wrapText="1" readingOrder="1"/>
    </xf>
    <xf numFmtId="0" fontId="16" fillId="2" borderId="24" xfId="0" applyFont="1" applyFill="1" applyBorder="1" applyAlignment="1">
      <alignment horizontal="center" vertical="center" wrapText="1" readingOrder="1"/>
    </xf>
    <xf numFmtId="0" fontId="16" fillId="2" borderId="25" xfId="0" applyFont="1" applyFill="1" applyBorder="1" applyAlignment="1">
      <alignment horizontal="center" vertical="center" readingOrder="1"/>
    </xf>
    <xf numFmtId="0" fontId="16" fillId="2" borderId="27" xfId="0" applyFont="1" applyFill="1" applyBorder="1" applyAlignment="1">
      <alignment horizontal="center" vertical="center" wrapText="1" readingOrder="1"/>
    </xf>
    <xf numFmtId="0" fontId="16" fillId="2" borderId="23" xfId="0" applyFont="1" applyFill="1" applyBorder="1" applyAlignment="1">
      <alignment horizontal="center" vertical="center" readingOrder="1"/>
    </xf>
    <xf numFmtId="0" fontId="16" fillId="3" borderId="27" xfId="0" applyFont="1" applyFill="1" applyBorder="1" applyAlignment="1">
      <alignment horizontal="center" vertical="center" readingOrder="1"/>
    </xf>
    <xf numFmtId="0" fontId="22" fillId="0" borderId="0" xfId="0" applyFont="1" applyAlignment="1">
      <alignment horizontal="center" vertical="center"/>
    </xf>
    <xf numFmtId="0" fontId="7" fillId="0" borderId="1" xfId="0" applyFont="1" applyBorder="1" applyAlignment="1">
      <alignment horizontal="center" vertical="center" wrapText="1"/>
    </xf>
    <xf numFmtId="2" fontId="7" fillId="0" borderId="16" xfId="0" applyNumberFormat="1" applyFont="1" applyBorder="1" applyAlignment="1">
      <alignment horizontal="center" vertical="center" readingOrder="1"/>
    </xf>
    <xf numFmtId="2" fontId="7" fillId="0" borderId="6" xfId="0" applyNumberFormat="1" applyFont="1" applyBorder="1" applyAlignment="1">
      <alignment horizontal="center" vertical="center"/>
    </xf>
    <xf numFmtId="2" fontId="7" fillId="0" borderId="16" xfId="0" applyNumberFormat="1" applyFont="1" applyBorder="1" applyAlignment="1">
      <alignment horizontal="center" vertical="center"/>
    </xf>
    <xf numFmtId="2" fontId="7" fillId="0" borderId="32" xfId="0" applyNumberFormat="1" applyFont="1" applyBorder="1" applyAlignment="1">
      <alignment horizontal="center" vertical="center"/>
    </xf>
    <xf numFmtId="2" fontId="7" fillId="0" borderId="0" xfId="0" applyNumberFormat="1" applyFont="1" applyAlignment="1">
      <alignment horizontal="center" vertical="center"/>
    </xf>
    <xf numFmtId="2" fontId="16" fillId="3" borderId="27" xfId="0" applyNumberFormat="1" applyFont="1" applyFill="1" applyBorder="1" applyAlignment="1">
      <alignment horizontal="center" vertical="center" wrapText="1" readingOrder="1"/>
    </xf>
    <xf numFmtId="2" fontId="7" fillId="0" borderId="8" xfId="0" applyNumberFormat="1" applyFont="1" applyBorder="1" applyAlignment="1">
      <alignment horizontal="center" vertical="center"/>
    </xf>
    <xf numFmtId="2" fontId="7" fillId="0" borderId="8" xfId="0" applyNumberFormat="1" applyFont="1" applyBorder="1" applyAlignment="1">
      <alignment horizontal="center" vertical="center" readingOrder="1"/>
    </xf>
    <xf numFmtId="1" fontId="7" fillId="0" borderId="16" xfId="0" applyNumberFormat="1" applyFont="1" applyBorder="1" applyAlignment="1">
      <alignment horizontal="center" vertical="center"/>
    </xf>
    <xf numFmtId="1" fontId="7" fillId="0" borderId="0" xfId="0" applyNumberFormat="1" applyFont="1" applyAlignment="1">
      <alignment horizontal="center" vertical="center"/>
    </xf>
    <xf numFmtId="0" fontId="2" fillId="0" borderId="6" xfId="1" applyBorder="1" applyAlignment="1">
      <alignment horizontal="center" vertical="center"/>
    </xf>
    <xf numFmtId="0" fontId="2" fillId="0" borderId="32" xfId="1" applyBorder="1" applyAlignment="1">
      <alignment horizontal="center" vertical="center"/>
    </xf>
    <xf numFmtId="0" fontId="2" fillId="0" borderId="6" xfId="1" applyBorder="1" applyAlignment="1">
      <alignment horizontal="center" vertical="center"/>
    </xf>
    <xf numFmtId="0" fontId="9" fillId="0" borderId="6" xfId="0" applyFont="1" applyBorder="1" applyAlignment="1">
      <alignment horizontal="center" vertical="center"/>
    </xf>
    <xf numFmtId="0" fontId="9" fillId="0" borderId="1" xfId="0" applyFont="1" applyBorder="1" applyAlignment="1">
      <alignment horizontal="center" vertical="center"/>
    </xf>
    <xf numFmtId="0" fontId="7" fillId="0" borderId="11" xfId="0" applyFont="1" applyBorder="1" applyAlignment="1">
      <alignment horizontal="center" vertical="center" wrapText="1"/>
    </xf>
    <xf numFmtId="0" fontId="7" fillId="0" borderId="0" xfId="0" applyFont="1" applyAlignment="1">
      <alignment horizontal="center" vertical="center" wrapText="1"/>
    </xf>
    <xf numFmtId="0" fontId="7" fillId="0" borderId="41" xfId="0" applyFont="1" applyBorder="1" applyAlignment="1">
      <alignment horizontal="center" vertical="center" wrapText="1"/>
    </xf>
    <xf numFmtId="2" fontId="0" fillId="0" borderId="0" xfId="0" applyNumberFormat="1" applyAlignment="1">
      <alignment horizontal="center" vertical="center" readingOrder="1"/>
    </xf>
    <xf numFmtId="2" fontId="0" fillId="0" borderId="0" xfId="0" applyNumberFormat="1" applyAlignment="1">
      <alignment horizontal="right" vertical="center" readingOrder="1"/>
    </xf>
    <xf numFmtId="0" fontId="23" fillId="0" borderId="45" xfId="0" applyFont="1" applyFill="1" applyBorder="1" applyAlignment="1">
      <alignment horizontal="center" vertical="center" readingOrder="1"/>
    </xf>
    <xf numFmtId="0" fontId="23" fillId="0" borderId="31" xfId="0" applyFont="1" applyFill="1" applyBorder="1" applyAlignment="1">
      <alignment horizontal="center" vertical="center" wrapText="1" readingOrder="1"/>
    </xf>
    <xf numFmtId="0" fontId="23" fillId="2" borderId="31" xfId="0" applyFont="1" applyFill="1" applyBorder="1" applyAlignment="1">
      <alignment horizontal="center" vertical="center" wrapText="1" readingOrder="1"/>
    </xf>
    <xf numFmtId="2" fontId="23" fillId="2" borderId="53" xfId="0" applyNumberFormat="1" applyFont="1" applyFill="1" applyBorder="1" applyAlignment="1">
      <alignment horizontal="right" vertical="center" wrapText="1" readingOrder="1"/>
    </xf>
    <xf numFmtId="0" fontId="23" fillId="3" borderId="54" xfId="0" applyFont="1" applyFill="1" applyBorder="1" applyAlignment="1">
      <alignment horizontal="center" vertical="center" wrapText="1" readingOrder="1"/>
    </xf>
    <xf numFmtId="2" fontId="23" fillId="3" borderId="54" xfId="0" applyNumberFormat="1" applyFont="1" applyFill="1" applyBorder="1" applyAlignment="1">
      <alignment horizontal="right" vertical="center" wrapText="1" readingOrder="1"/>
    </xf>
    <xf numFmtId="0" fontId="23" fillId="2" borderId="54" xfId="0" applyFont="1" applyFill="1" applyBorder="1" applyAlignment="1">
      <alignment horizontal="center" vertical="center" wrapText="1" readingOrder="1"/>
    </xf>
    <xf numFmtId="2" fontId="23" fillId="2" borderId="54" xfId="0" applyNumberFormat="1" applyFont="1" applyFill="1" applyBorder="1" applyAlignment="1">
      <alignment horizontal="center" vertical="center" wrapText="1" readingOrder="1"/>
    </xf>
    <xf numFmtId="0" fontId="19" fillId="5" borderId="29" xfId="0" applyFont="1" applyFill="1" applyBorder="1" applyAlignment="1">
      <alignment horizontal="center" vertical="center" readingOrder="1"/>
    </xf>
    <xf numFmtId="0" fontId="24" fillId="5" borderId="30" xfId="0" applyFont="1" applyFill="1" applyBorder="1" applyAlignment="1">
      <alignment horizontal="center" vertical="center" readingOrder="1"/>
    </xf>
    <xf numFmtId="2" fontId="23" fillId="5" borderId="30" xfId="0" applyNumberFormat="1" applyFont="1" applyFill="1" applyBorder="1" applyAlignment="1">
      <alignment horizontal="right" vertical="center" readingOrder="1"/>
    </xf>
    <xf numFmtId="0" fontId="19" fillId="0" borderId="15" xfId="0" applyFont="1" applyBorder="1" applyAlignment="1">
      <alignment horizontal="center" vertical="center" readingOrder="1"/>
    </xf>
    <xf numFmtId="0" fontId="24" fillId="0" borderId="8" xfId="0" applyFont="1" applyBorder="1" applyAlignment="1">
      <alignment horizontal="center" vertical="center" readingOrder="1"/>
    </xf>
    <xf numFmtId="2" fontId="23" fillId="0" borderId="8" xfId="0" applyNumberFormat="1" applyFont="1" applyBorder="1" applyAlignment="1">
      <alignment horizontal="right" vertical="center" readingOrder="1"/>
    </xf>
    <xf numFmtId="0" fontId="24" fillId="5" borderId="8" xfId="0" applyFont="1" applyFill="1" applyBorder="1" applyAlignment="1">
      <alignment horizontal="center" vertical="center" readingOrder="1"/>
    </xf>
    <xf numFmtId="2" fontId="23" fillId="5" borderId="8" xfId="0" applyNumberFormat="1" applyFont="1" applyFill="1" applyBorder="1" applyAlignment="1">
      <alignment horizontal="right" vertical="center" readingOrder="1"/>
    </xf>
    <xf numFmtId="2" fontId="23" fillId="5" borderId="11" xfId="0" applyNumberFormat="1" applyFont="1" applyFill="1" applyBorder="1" applyAlignment="1">
      <alignment horizontal="right" vertical="center" readingOrder="1"/>
    </xf>
    <xf numFmtId="0" fontId="24" fillId="5" borderId="11" xfId="0" applyFont="1" applyFill="1" applyBorder="1" applyAlignment="1">
      <alignment horizontal="center" vertical="center" readingOrder="1"/>
    </xf>
    <xf numFmtId="0" fontId="19" fillId="5" borderId="26" xfId="0" applyFont="1" applyFill="1" applyBorder="1" applyAlignment="1">
      <alignment horizontal="center" vertical="center" readingOrder="1"/>
    </xf>
    <xf numFmtId="0" fontId="24" fillId="5" borderId="23" xfId="0" applyFont="1" applyFill="1" applyBorder="1" applyAlignment="1">
      <alignment horizontal="center" vertical="center" readingOrder="1"/>
    </xf>
    <xf numFmtId="0" fontId="24" fillId="0" borderId="37" xfId="0" applyFont="1" applyBorder="1" applyAlignment="1">
      <alignment horizontal="center" vertical="center" readingOrder="1"/>
    </xf>
    <xf numFmtId="0" fontId="24" fillId="0" borderId="35" xfId="0" applyFont="1" applyBorder="1" applyAlignment="1">
      <alignment horizontal="center" vertical="center" readingOrder="1"/>
    </xf>
    <xf numFmtId="2" fontId="25" fillId="0" borderId="35" xfId="0" applyNumberFormat="1" applyFont="1" applyBorder="1" applyAlignment="1">
      <alignment horizontal="right" vertical="center" readingOrder="1"/>
    </xf>
    <xf numFmtId="0" fontId="27" fillId="0" borderId="0" xfId="0" applyFont="1" applyAlignment="1">
      <alignment vertical="center" readingOrder="1"/>
    </xf>
    <xf numFmtId="0" fontId="27" fillId="0" borderId="0" xfId="0" applyFont="1" applyAlignment="1">
      <alignment horizontal="center" vertical="center" readingOrder="1"/>
    </xf>
    <xf numFmtId="0" fontId="0" fillId="0" borderId="0" xfId="0" applyAlignment="1">
      <alignment vertical="center" readingOrder="1"/>
    </xf>
    <xf numFmtId="0" fontId="26" fillId="0" borderId="0" xfId="0" applyFont="1" applyAlignment="1">
      <alignment vertical="center" wrapText="1" readingOrder="1"/>
    </xf>
    <xf numFmtId="2" fontId="25" fillId="5" borderId="11" xfId="0" applyNumberFormat="1" applyFont="1" applyFill="1" applyBorder="1" applyAlignment="1">
      <alignment horizontal="right" vertical="center" readingOrder="1"/>
    </xf>
    <xf numFmtId="0" fontId="7" fillId="0" borderId="9" xfId="0" applyFont="1" applyBorder="1" applyAlignment="1">
      <alignment horizontal="left" vertical="top" readingOrder="1"/>
    </xf>
    <xf numFmtId="0" fontId="7" fillId="0" borderId="9" xfId="0" applyFont="1" applyFill="1" applyBorder="1" applyAlignment="1">
      <alignment horizontal="left" vertical="top" readingOrder="1"/>
    </xf>
    <xf numFmtId="0" fontId="7" fillId="4" borderId="9" xfId="0" applyFont="1" applyFill="1" applyBorder="1" applyAlignment="1">
      <alignment horizontal="left" vertical="top" readingOrder="1"/>
    </xf>
    <xf numFmtId="0" fontId="7" fillId="0" borderId="24" xfId="0" applyFont="1" applyBorder="1" applyAlignment="1">
      <alignment horizontal="left" vertical="top" readingOrder="1"/>
    </xf>
    <xf numFmtId="0" fontId="7" fillId="0" borderId="2" xfId="0" applyFont="1" applyBorder="1" applyAlignment="1">
      <alignment horizontal="left" vertical="top" readingOrder="1"/>
    </xf>
    <xf numFmtId="0" fontId="7" fillId="4" borderId="9" xfId="0" applyFont="1" applyFill="1" applyBorder="1" applyAlignment="1">
      <alignment horizontal="left" vertical="top" wrapText="1" readingOrder="1"/>
    </xf>
    <xf numFmtId="0" fontId="7" fillId="0" borderId="4" xfId="0" applyFont="1" applyBorder="1" applyAlignment="1">
      <alignment horizontal="left" vertical="top" readingOrder="1"/>
    </xf>
    <xf numFmtId="2" fontId="7" fillId="0" borderId="0" xfId="0" applyNumberFormat="1" applyFont="1" applyAlignment="1">
      <alignment horizontal="center" vertical="center" readingOrder="1"/>
    </xf>
    <xf numFmtId="2" fontId="7" fillId="0" borderId="8" xfId="0" applyNumberFormat="1" applyFont="1" applyFill="1" applyBorder="1" applyAlignment="1">
      <alignment horizontal="center" vertical="center" readingOrder="1"/>
    </xf>
    <xf numFmtId="2" fontId="7" fillId="4" borderId="8" xfId="0" applyNumberFormat="1" applyFont="1" applyFill="1" applyBorder="1" applyAlignment="1">
      <alignment horizontal="center" vertical="center" readingOrder="1"/>
    </xf>
    <xf numFmtId="0" fontId="11" fillId="2" borderId="16" xfId="0" applyFont="1" applyFill="1" applyBorder="1" applyAlignment="1">
      <alignment horizontal="center" vertical="center" wrapText="1" readingOrder="1"/>
    </xf>
    <xf numFmtId="2" fontId="11" fillId="2" borderId="8" xfId="0" applyNumberFormat="1" applyFont="1" applyFill="1" applyBorder="1" applyAlignment="1">
      <alignment horizontal="center" vertical="center" wrapText="1" readingOrder="1"/>
    </xf>
    <xf numFmtId="2" fontId="11" fillId="3" borderId="8" xfId="0" applyNumberFormat="1" applyFont="1" applyFill="1" applyBorder="1" applyAlignment="1">
      <alignment horizontal="center" vertical="center" wrapText="1" readingOrder="1"/>
    </xf>
    <xf numFmtId="1" fontId="11" fillId="3" borderId="15" xfId="0" applyNumberFormat="1" applyFont="1" applyFill="1" applyBorder="1" applyAlignment="1">
      <alignment horizontal="center" vertical="center" wrapText="1" readingOrder="1"/>
    </xf>
    <xf numFmtId="1" fontId="7" fillId="0" borderId="8" xfId="0" applyNumberFormat="1" applyFont="1" applyBorder="1" applyAlignment="1">
      <alignment horizontal="center" vertical="center"/>
    </xf>
    <xf numFmtId="1" fontId="7" fillId="0" borderId="7" xfId="0" applyNumberFormat="1" applyFont="1" applyBorder="1" applyAlignment="1">
      <alignment horizontal="center" vertical="center"/>
    </xf>
    <xf numFmtId="1" fontId="11" fillId="3" borderId="8" xfId="0" applyNumberFormat="1" applyFont="1" applyFill="1" applyBorder="1" applyAlignment="1">
      <alignment horizontal="center" vertical="center" wrapText="1" readingOrder="1"/>
    </xf>
    <xf numFmtId="1" fontId="11" fillId="3" borderId="16" xfId="0" applyNumberFormat="1" applyFont="1" applyFill="1" applyBorder="1" applyAlignment="1">
      <alignment horizontal="center" vertical="center" wrapText="1" readingOrder="1"/>
    </xf>
    <xf numFmtId="1" fontId="11" fillId="2" borderId="15" xfId="0" applyNumberFormat="1" applyFont="1" applyFill="1" applyBorder="1" applyAlignment="1">
      <alignment horizontal="center" vertical="center" wrapText="1" readingOrder="1"/>
    </xf>
    <xf numFmtId="1" fontId="11" fillId="2" borderId="8" xfId="0" applyNumberFormat="1" applyFont="1" applyFill="1" applyBorder="1" applyAlignment="1">
      <alignment horizontal="center" vertical="center" wrapText="1" readingOrder="1"/>
    </xf>
    <xf numFmtId="1" fontId="0" fillId="0" borderId="0" xfId="0" applyNumberFormat="1" applyAlignment="1">
      <alignment horizontal="center" vertical="center" readingOrder="1"/>
    </xf>
    <xf numFmtId="0" fontId="9" fillId="0" borderId="0" xfId="0" applyFont="1" applyFill="1" applyAlignment="1">
      <alignment horizontal="center" vertical="center" readingOrder="1"/>
    </xf>
    <xf numFmtId="0" fontId="9" fillId="0" borderId="0" xfId="0" applyFont="1" applyAlignment="1">
      <alignment horizontal="center" vertical="center" readingOrder="1"/>
    </xf>
    <xf numFmtId="2" fontId="7" fillId="0" borderId="16" xfId="0" applyNumberFormat="1" applyFont="1" applyFill="1" applyBorder="1" applyAlignment="1">
      <alignment horizontal="center" vertical="center" readingOrder="1"/>
    </xf>
    <xf numFmtId="2" fontId="7" fillId="4" borderId="16" xfId="0" applyNumberFormat="1" applyFont="1" applyFill="1" applyBorder="1" applyAlignment="1">
      <alignment horizontal="center" vertical="center" readingOrder="1"/>
    </xf>
    <xf numFmtId="2" fontId="7" fillId="0" borderId="23" xfId="0" applyNumberFormat="1" applyFont="1" applyBorder="1" applyAlignment="1">
      <alignment horizontal="center" vertical="center" readingOrder="1"/>
    </xf>
    <xf numFmtId="2" fontId="7" fillId="0" borderId="25" xfId="0" applyNumberFormat="1" applyFont="1" applyBorder="1" applyAlignment="1">
      <alignment horizontal="center" vertical="center" readingOrder="1"/>
    </xf>
    <xf numFmtId="2" fontId="11" fillId="3" borderId="16" xfId="0" applyNumberFormat="1" applyFont="1" applyFill="1" applyBorder="1" applyAlignment="1">
      <alignment horizontal="center" vertical="center" wrapText="1" readingOrder="1"/>
    </xf>
    <xf numFmtId="2" fontId="11" fillId="2" borderId="16" xfId="0" applyNumberFormat="1" applyFont="1" applyFill="1" applyBorder="1" applyAlignment="1">
      <alignment horizontal="center" vertical="center" wrapText="1" readingOrder="1"/>
    </xf>
    <xf numFmtId="0" fontId="0" fillId="5" borderId="16" xfId="0" applyFill="1" applyBorder="1" applyAlignment="1">
      <alignment horizontal="center" vertical="center" readingOrder="1"/>
    </xf>
    <xf numFmtId="0" fontId="0" fillId="4" borderId="16" xfId="0" applyFill="1" applyBorder="1" applyAlignment="1">
      <alignment horizontal="center" vertical="center" readingOrder="1"/>
    </xf>
    <xf numFmtId="0" fontId="0" fillId="4" borderId="25" xfId="0" applyFill="1" applyBorder="1" applyAlignment="1">
      <alignment horizontal="center" vertical="center" readingOrder="1"/>
    </xf>
    <xf numFmtId="0" fontId="0" fillId="5" borderId="9" xfId="0" applyFill="1" applyBorder="1" applyAlignment="1">
      <alignment horizontal="center" vertical="center" readingOrder="1"/>
    </xf>
    <xf numFmtId="0" fontId="0" fillId="4" borderId="9" xfId="0" applyFill="1" applyBorder="1" applyAlignment="1">
      <alignment horizontal="center" vertical="center" readingOrder="1"/>
    </xf>
    <xf numFmtId="0" fontId="0" fillId="0" borderId="40" xfId="0" applyBorder="1" applyAlignment="1">
      <alignment horizontal="center" vertical="center" readingOrder="1"/>
    </xf>
    <xf numFmtId="0" fontId="0" fillId="0" borderId="63" xfId="0" applyBorder="1" applyAlignment="1">
      <alignment horizontal="center" vertical="center" readingOrder="1"/>
    </xf>
    <xf numFmtId="0" fontId="0" fillId="5" borderId="40" xfId="0" applyFill="1" applyBorder="1" applyAlignment="1">
      <alignment horizontal="center" vertical="center" readingOrder="1"/>
    </xf>
    <xf numFmtId="0" fontId="0" fillId="4" borderId="40" xfId="0" applyFill="1" applyBorder="1" applyAlignment="1">
      <alignment horizontal="center" vertical="center" readingOrder="1"/>
    </xf>
    <xf numFmtId="0" fontId="0" fillId="4" borderId="33" xfId="0" applyFill="1" applyBorder="1" applyAlignment="1">
      <alignment horizontal="center" vertical="center" readingOrder="1"/>
    </xf>
    <xf numFmtId="0" fontId="0" fillId="4" borderId="41" xfId="0" applyFill="1" applyBorder="1" applyAlignment="1">
      <alignment horizontal="center" vertical="center" readingOrder="1"/>
    </xf>
    <xf numFmtId="2" fontId="23" fillId="3" borderId="53" xfId="0" applyNumberFormat="1" applyFont="1" applyFill="1" applyBorder="1" applyAlignment="1">
      <alignment horizontal="center" vertical="center" wrapText="1" readingOrder="1"/>
    </xf>
    <xf numFmtId="2" fontId="23" fillId="5" borderId="33" xfId="0" applyNumberFormat="1" applyFont="1" applyFill="1" applyBorder="1" applyAlignment="1">
      <alignment horizontal="right" vertical="center" readingOrder="1"/>
    </xf>
    <xf numFmtId="2" fontId="23" fillId="0" borderId="9" xfId="0" applyNumberFormat="1" applyFont="1" applyBorder="1" applyAlignment="1">
      <alignment horizontal="right" vertical="center" readingOrder="1"/>
    </xf>
    <xf numFmtId="2" fontId="23" fillId="5" borderId="9" xfId="0" applyNumberFormat="1" applyFont="1" applyFill="1" applyBorder="1" applyAlignment="1">
      <alignment horizontal="right" vertical="center" readingOrder="1"/>
    </xf>
    <xf numFmtId="2" fontId="23" fillId="5" borderId="4" xfId="0" applyNumberFormat="1" applyFont="1" applyFill="1" applyBorder="1" applyAlignment="1">
      <alignment horizontal="right" vertical="center" readingOrder="1"/>
    </xf>
    <xf numFmtId="2" fontId="23" fillId="5" borderId="24" xfId="0" applyNumberFormat="1" applyFont="1" applyFill="1" applyBorder="1" applyAlignment="1">
      <alignment horizontal="right" vertical="center" readingOrder="1"/>
    </xf>
    <xf numFmtId="2" fontId="0" fillId="0" borderId="8" xfId="0" applyNumberFormat="1" applyBorder="1" applyAlignment="1">
      <alignment horizontal="center" vertical="center" readingOrder="1"/>
    </xf>
    <xf numFmtId="2" fontId="0" fillId="0" borderId="16" xfId="0" applyNumberFormat="1" applyBorder="1" applyAlignment="1">
      <alignment horizontal="center" vertical="center" readingOrder="1"/>
    </xf>
    <xf numFmtId="2" fontId="0" fillId="0" borderId="25" xfId="0" applyNumberFormat="1" applyBorder="1" applyAlignment="1">
      <alignment horizontal="center" vertical="center" readingOrder="1"/>
    </xf>
    <xf numFmtId="0" fontId="19" fillId="4" borderId="15" xfId="0" applyFont="1" applyFill="1" applyBorder="1" applyAlignment="1">
      <alignment horizontal="center" vertical="center" readingOrder="1"/>
    </xf>
    <xf numFmtId="0" fontId="24" fillId="4" borderId="8" xfId="0" applyFont="1" applyFill="1" applyBorder="1" applyAlignment="1">
      <alignment horizontal="center" vertical="center" readingOrder="1"/>
    </xf>
    <xf numFmtId="2" fontId="23" fillId="4" borderId="11" xfId="0" applyNumberFormat="1" applyFont="1" applyFill="1" applyBorder="1" applyAlignment="1">
      <alignment horizontal="right" vertical="center" readingOrder="1"/>
    </xf>
    <xf numFmtId="0" fontId="24" fillId="4" borderId="11" xfId="0" applyFont="1" applyFill="1" applyBorder="1" applyAlignment="1">
      <alignment horizontal="center" vertical="center" readingOrder="1"/>
    </xf>
    <xf numFmtId="2" fontId="23" fillId="4" borderId="4" xfId="0" applyNumberFormat="1" applyFont="1" applyFill="1" applyBorder="1" applyAlignment="1">
      <alignment horizontal="right" vertical="center" readingOrder="1"/>
    </xf>
    <xf numFmtId="2" fontId="0" fillId="5" borderId="8" xfId="0" applyNumberFormat="1" applyFill="1" applyBorder="1" applyAlignment="1">
      <alignment horizontal="center" vertical="center" readingOrder="1"/>
    </xf>
    <xf numFmtId="2" fontId="0" fillId="5" borderId="16" xfId="0" applyNumberFormat="1" applyFill="1" applyBorder="1" applyAlignment="1">
      <alignment horizontal="center" vertical="center" readingOrder="1"/>
    </xf>
    <xf numFmtId="2" fontId="0" fillId="5" borderId="6" xfId="0" applyNumberFormat="1" applyFill="1" applyBorder="1" applyAlignment="1">
      <alignment horizontal="center" vertical="center" readingOrder="1"/>
    </xf>
    <xf numFmtId="2" fontId="0" fillId="5" borderId="20" xfId="0" applyNumberFormat="1" applyFill="1" applyBorder="1" applyAlignment="1">
      <alignment horizontal="center" vertical="center" readingOrder="1"/>
    </xf>
    <xf numFmtId="2" fontId="0" fillId="0" borderId="27" xfId="0" applyNumberFormat="1" applyBorder="1" applyAlignment="1">
      <alignment horizontal="center" vertical="center" readingOrder="1"/>
    </xf>
    <xf numFmtId="0" fontId="25" fillId="0" borderId="35" xfId="0" applyNumberFormat="1" applyFont="1" applyBorder="1" applyAlignment="1">
      <alignment horizontal="right" vertical="center" readingOrder="1"/>
    </xf>
    <xf numFmtId="2" fontId="24" fillId="0" borderId="37" xfId="0" applyNumberFormat="1" applyFont="1" applyBorder="1" applyAlignment="1">
      <alignment horizontal="center" vertical="center" readingOrder="1"/>
    </xf>
    <xf numFmtId="1" fontId="24" fillId="0" borderId="37" xfId="0" applyNumberFormat="1" applyFont="1" applyBorder="1" applyAlignment="1">
      <alignment horizontal="center" vertical="center" readingOrder="1"/>
    </xf>
    <xf numFmtId="0" fontId="5" fillId="3" borderId="13" xfId="0" applyFont="1" applyFill="1" applyBorder="1" applyAlignment="1">
      <alignment horizontal="right" vertical="center" readingOrder="1"/>
    </xf>
    <xf numFmtId="0" fontId="5" fillId="3" borderId="13" xfId="0" applyFont="1" applyFill="1" applyBorder="1" applyAlignment="1">
      <alignment horizontal="center" vertical="center" readingOrder="1"/>
    </xf>
    <xf numFmtId="2" fontId="7" fillId="4" borderId="15" xfId="0" applyNumberFormat="1" applyFont="1" applyFill="1" applyBorder="1" applyAlignment="1">
      <alignment horizontal="center" vertical="center" readingOrder="1"/>
    </xf>
    <xf numFmtId="2" fontId="7" fillId="0" borderId="15" xfId="0" applyNumberFormat="1" applyFont="1" applyFill="1" applyBorder="1" applyAlignment="1">
      <alignment horizontal="center" vertical="center" readingOrder="1"/>
    </xf>
    <xf numFmtId="2" fontId="7" fillId="0" borderId="29" xfId="0" applyNumberFormat="1" applyFont="1" applyBorder="1" applyAlignment="1">
      <alignment horizontal="center" vertical="center" readingOrder="1"/>
    </xf>
    <xf numFmtId="2" fontId="7" fillId="0" borderId="15" xfId="0" applyNumberFormat="1" applyFont="1" applyBorder="1" applyAlignment="1">
      <alignment horizontal="center" vertical="center" readingOrder="1"/>
    </xf>
    <xf numFmtId="2" fontId="7" fillId="0" borderId="15" xfId="0" applyNumberFormat="1" applyFont="1" applyFill="1" applyBorder="1" applyAlignment="1">
      <alignment horizontal="center" vertical="center" wrapText="1" readingOrder="1"/>
    </xf>
    <xf numFmtId="4" fontId="7" fillId="0" borderId="8" xfId="0" applyNumberFormat="1" applyFont="1" applyBorder="1" applyAlignment="1">
      <alignment horizontal="center" vertical="center" readingOrder="1"/>
    </xf>
    <xf numFmtId="4" fontId="5" fillId="3" borderId="13" xfId="0" applyNumberFormat="1" applyFont="1" applyFill="1" applyBorder="1" applyAlignment="1">
      <alignment horizontal="left" vertical="center" readingOrder="1"/>
    </xf>
    <xf numFmtId="4" fontId="7" fillId="0" borderId="0" xfId="0" applyNumberFormat="1" applyFont="1" applyAlignment="1">
      <alignment horizontal="center" vertical="center" readingOrder="1"/>
    </xf>
    <xf numFmtId="0" fontId="5" fillId="3" borderId="7" xfId="0" applyFont="1" applyFill="1" applyBorder="1" applyAlignment="1">
      <alignment horizontal="left" vertical="center" readingOrder="1"/>
    </xf>
    <xf numFmtId="2" fontId="16" fillId="3" borderId="23" xfId="0" applyNumberFormat="1" applyFont="1" applyFill="1" applyBorder="1" applyAlignment="1">
      <alignment horizontal="center" vertical="center" wrapText="1" readingOrder="1"/>
    </xf>
    <xf numFmtId="2" fontId="16" fillId="3" borderId="24" xfId="0" applyNumberFormat="1" applyFont="1" applyFill="1" applyBorder="1" applyAlignment="1">
      <alignment horizontal="center" vertical="center" wrapText="1" readingOrder="1"/>
    </xf>
    <xf numFmtId="0" fontId="5" fillId="3" borderId="9" xfId="0" applyFont="1" applyFill="1" applyBorder="1" applyAlignment="1">
      <alignment horizontal="right" vertical="center" readingOrder="1"/>
    </xf>
    <xf numFmtId="11" fontId="24" fillId="0" borderId="8" xfId="0" applyNumberFormat="1" applyFont="1" applyBorder="1" applyAlignment="1">
      <alignment horizontal="center" vertical="center" readingOrder="1"/>
    </xf>
    <xf numFmtId="11" fontId="24" fillId="5" borderId="8" xfId="0" applyNumberFormat="1" applyFont="1" applyFill="1" applyBorder="1" applyAlignment="1">
      <alignment horizontal="center" vertical="center" readingOrder="1"/>
    </xf>
    <xf numFmtId="11" fontId="24" fillId="5" borderId="23" xfId="0" applyNumberFormat="1" applyFont="1" applyFill="1" applyBorder="1" applyAlignment="1">
      <alignment horizontal="center" vertical="center" readingOrder="1"/>
    </xf>
    <xf numFmtId="0" fontId="2" fillId="0" borderId="6" xfId="1" applyBorder="1" applyAlignment="1">
      <alignment horizontal="center" vertical="center"/>
    </xf>
    <xf numFmtId="0" fontId="7" fillId="0" borderId="6" xfId="0" applyFont="1" applyBorder="1" applyAlignment="1">
      <alignment horizontal="center" vertical="center"/>
    </xf>
    <xf numFmtId="0" fontId="0" fillId="0" borderId="0" xfId="0" applyAlignment="1">
      <alignment horizontal="center" vertical="center" readingOrder="1"/>
    </xf>
    <xf numFmtId="0" fontId="23" fillId="0" borderId="45" xfId="0" applyFont="1" applyFill="1" applyBorder="1" applyAlignment="1">
      <alignment horizontal="center" vertical="center" readingOrder="1"/>
    </xf>
    <xf numFmtId="0" fontId="23" fillId="2" borderId="31" xfId="0" applyFont="1" applyFill="1" applyBorder="1" applyAlignment="1">
      <alignment horizontal="center" vertical="center" wrapText="1" readingOrder="1"/>
    </xf>
    <xf numFmtId="2" fontId="23" fillId="2" borderId="53" xfId="0" applyNumberFormat="1" applyFont="1" applyFill="1" applyBorder="1" applyAlignment="1">
      <alignment horizontal="right" vertical="center" wrapText="1" readingOrder="1"/>
    </xf>
    <xf numFmtId="0" fontId="23" fillId="3" borderId="54" xfId="0" applyFont="1" applyFill="1" applyBorder="1" applyAlignment="1">
      <alignment horizontal="center" vertical="center" wrapText="1" readingOrder="1"/>
    </xf>
    <xf numFmtId="2" fontId="23" fillId="3" borderId="54" xfId="0" applyNumberFormat="1" applyFont="1" applyFill="1" applyBorder="1" applyAlignment="1">
      <alignment horizontal="right" vertical="center" wrapText="1" readingOrder="1"/>
    </xf>
    <xf numFmtId="0" fontId="23" fillId="2" borderId="54" xfId="0" applyFont="1" applyFill="1" applyBorder="1" applyAlignment="1">
      <alignment horizontal="center" vertical="center" wrapText="1" readingOrder="1"/>
    </xf>
    <xf numFmtId="2" fontId="23" fillId="2" borderId="54" xfId="0" applyNumberFormat="1" applyFont="1" applyFill="1" applyBorder="1" applyAlignment="1">
      <alignment horizontal="center" vertical="center" wrapText="1" readingOrder="1"/>
    </xf>
    <xf numFmtId="2" fontId="23" fillId="3" borderId="54" xfId="0" applyNumberFormat="1" applyFont="1" applyFill="1" applyBorder="1" applyAlignment="1">
      <alignment horizontal="center" vertical="center" wrapText="1" readingOrder="1"/>
    </xf>
    <xf numFmtId="0" fontId="19" fillId="5" borderId="29" xfId="0" applyFont="1" applyFill="1" applyBorder="1" applyAlignment="1">
      <alignment horizontal="center" vertical="center" readingOrder="1"/>
    </xf>
    <xf numFmtId="0" fontId="24" fillId="5" borderId="30" xfId="0" applyFont="1" applyFill="1" applyBorder="1" applyAlignment="1">
      <alignment horizontal="center" vertical="center" readingOrder="1"/>
    </xf>
    <xf numFmtId="2" fontId="23" fillId="5" borderId="30" xfId="0" applyNumberFormat="1" applyFont="1" applyFill="1" applyBorder="1" applyAlignment="1">
      <alignment horizontal="right" vertical="center" readingOrder="1"/>
    </xf>
    <xf numFmtId="2" fontId="23" fillId="5" borderId="28" xfId="0" applyNumberFormat="1" applyFont="1" applyFill="1" applyBorder="1" applyAlignment="1">
      <alignment horizontal="right" vertical="center" readingOrder="1"/>
    </xf>
    <xf numFmtId="0" fontId="19" fillId="0" borderId="15" xfId="0" applyFont="1" applyBorder="1" applyAlignment="1">
      <alignment horizontal="center" vertical="center" readingOrder="1"/>
    </xf>
    <xf numFmtId="0" fontId="24" fillId="0" borderId="8" xfId="0" applyFont="1" applyBorder="1" applyAlignment="1">
      <alignment horizontal="center" vertical="center" readingOrder="1"/>
    </xf>
    <xf numFmtId="2" fontId="23" fillId="0" borderId="8" xfId="0" applyNumberFormat="1" applyFont="1" applyBorder="1" applyAlignment="1">
      <alignment horizontal="right" vertical="center" readingOrder="1"/>
    </xf>
    <xf numFmtId="2" fontId="23" fillId="0" borderId="16" xfId="0" applyNumberFormat="1" applyFont="1" applyBorder="1" applyAlignment="1">
      <alignment horizontal="right" vertical="center" readingOrder="1"/>
    </xf>
    <xf numFmtId="0" fontId="19" fillId="5" borderId="15" xfId="0" applyFont="1" applyFill="1" applyBorder="1" applyAlignment="1">
      <alignment horizontal="center" vertical="center" readingOrder="1"/>
    </xf>
    <xf numFmtId="0" fontId="24" fillId="5" borderId="8" xfId="0" applyFont="1" applyFill="1" applyBorder="1" applyAlignment="1">
      <alignment horizontal="center" vertical="center" readingOrder="1"/>
    </xf>
    <xf numFmtId="2" fontId="23" fillId="5" borderId="8" xfId="0" applyNumberFormat="1" applyFont="1" applyFill="1" applyBorder="1" applyAlignment="1">
      <alignment horizontal="right" vertical="center" readingOrder="1"/>
    </xf>
    <xf numFmtId="2" fontId="23" fillId="5" borderId="16" xfId="0" applyNumberFormat="1" applyFont="1" applyFill="1" applyBorder="1" applyAlignment="1">
      <alignment horizontal="right" vertical="center" readingOrder="1"/>
    </xf>
    <xf numFmtId="2" fontId="23" fillId="5" borderId="11" xfId="0" applyNumberFormat="1" applyFont="1" applyFill="1" applyBorder="1" applyAlignment="1">
      <alignment horizontal="right" vertical="center" readingOrder="1"/>
    </xf>
    <xf numFmtId="0" fontId="24" fillId="5" borderId="11" xfId="0" applyFont="1" applyFill="1" applyBorder="1" applyAlignment="1">
      <alignment horizontal="center" vertical="center" readingOrder="1"/>
    </xf>
    <xf numFmtId="2" fontId="23" fillId="5" borderId="21" xfId="0" applyNumberFormat="1" applyFont="1" applyFill="1" applyBorder="1" applyAlignment="1">
      <alignment horizontal="right" vertical="center" readingOrder="1"/>
    </xf>
    <xf numFmtId="0" fontId="19" fillId="5" borderId="26" xfId="0" applyFont="1" applyFill="1" applyBorder="1" applyAlignment="1">
      <alignment horizontal="center" vertical="center" readingOrder="1"/>
    </xf>
    <xf numFmtId="0" fontId="24" fillId="5" borderId="23" xfId="0" applyFont="1" applyFill="1" applyBorder="1" applyAlignment="1">
      <alignment horizontal="center" vertical="center" readingOrder="1"/>
    </xf>
    <xf numFmtId="2" fontId="23" fillId="5" borderId="25" xfId="0" applyNumberFormat="1" applyFont="1" applyFill="1" applyBorder="1" applyAlignment="1">
      <alignment horizontal="right" vertical="center" readingOrder="1"/>
    </xf>
    <xf numFmtId="0" fontId="24" fillId="0" borderId="37" xfId="0" applyFont="1" applyBorder="1" applyAlignment="1">
      <alignment horizontal="center" vertical="center" readingOrder="1"/>
    </xf>
    <xf numFmtId="0" fontId="24" fillId="0" borderId="35" xfId="0" applyFont="1" applyBorder="1" applyAlignment="1">
      <alignment horizontal="center" vertical="center" readingOrder="1"/>
    </xf>
    <xf numFmtId="2" fontId="25" fillId="0" borderId="35" xfId="0" applyNumberFormat="1" applyFont="1" applyBorder="1" applyAlignment="1">
      <alignment horizontal="right" vertical="center" readingOrder="1"/>
    </xf>
    <xf numFmtId="2" fontId="25" fillId="5" borderId="11" xfId="0" applyNumberFormat="1" applyFont="1" applyFill="1" applyBorder="1" applyAlignment="1">
      <alignment horizontal="right" vertical="center" readingOrder="1"/>
    </xf>
    <xf numFmtId="2" fontId="23" fillId="4" borderId="21" xfId="0" applyNumberFormat="1" applyFont="1" applyFill="1" applyBorder="1" applyAlignment="1">
      <alignment horizontal="right" vertical="center" readingOrder="1"/>
    </xf>
    <xf numFmtId="11" fontId="7" fillId="0" borderId="0" xfId="0" applyNumberFormat="1" applyFont="1" applyAlignment="1">
      <alignment horizontal="center" vertical="center"/>
    </xf>
    <xf numFmtId="11" fontId="7" fillId="0" borderId="2" xfId="0" applyNumberFormat="1" applyFont="1" applyBorder="1" applyAlignment="1">
      <alignment horizontal="center" vertical="center"/>
    </xf>
    <xf numFmtId="165" fontId="19" fillId="0" borderId="15" xfId="0" applyNumberFormat="1" applyFont="1" applyBorder="1" applyAlignment="1">
      <alignment horizontal="center" vertical="center" readingOrder="1"/>
    </xf>
    <xf numFmtId="165" fontId="19" fillId="5" borderId="15" xfId="0" applyNumberFormat="1" applyFont="1" applyFill="1" applyBorder="1" applyAlignment="1">
      <alignment horizontal="center" vertical="center" readingOrder="1"/>
    </xf>
    <xf numFmtId="3" fontId="0" fillId="0" borderId="0" xfId="0" applyNumberFormat="1" applyAlignment="1">
      <alignment horizontal="center" vertical="center" readingOrder="1"/>
    </xf>
    <xf numFmtId="0" fontId="32" fillId="0" borderId="0" xfId="0" applyFont="1" applyAlignment="1">
      <alignment horizontal="center" vertical="center" readingOrder="1"/>
    </xf>
    <xf numFmtId="0" fontId="7" fillId="0" borderId="0" xfId="0" applyFont="1" applyBorder="1" applyAlignment="1">
      <alignment horizontal="center" vertical="center" wrapText="1" readingOrder="1"/>
    </xf>
    <xf numFmtId="0" fontId="9" fillId="0" borderId="0" xfId="0" applyFont="1" applyAlignment="1">
      <alignment horizontal="center" vertical="center"/>
    </xf>
    <xf numFmtId="0" fontId="7" fillId="0" borderId="2" xfId="0" applyFont="1" applyBorder="1" applyAlignment="1">
      <alignment horizontal="center" vertical="center" readingOrder="1"/>
    </xf>
    <xf numFmtId="0" fontId="7" fillId="0" borderId="11" xfId="0" applyFont="1" applyBorder="1" applyAlignment="1">
      <alignment horizontal="center" vertical="center" readingOrder="1"/>
    </xf>
    <xf numFmtId="0" fontId="34" fillId="3" borderId="15" xfId="0" applyFont="1" applyFill="1" applyBorder="1" applyAlignment="1">
      <alignment horizontal="center" vertical="center" wrapText="1" readingOrder="1"/>
    </xf>
    <xf numFmtId="2" fontId="34" fillId="3" borderId="8" xfId="0" applyNumberFormat="1" applyFont="1" applyFill="1" applyBorder="1" applyAlignment="1">
      <alignment horizontal="center" vertical="center" wrapText="1" readingOrder="1"/>
    </xf>
    <xf numFmtId="0" fontId="34" fillId="3" borderId="8" xfId="0" applyFont="1" applyFill="1" applyBorder="1" applyAlignment="1">
      <alignment horizontal="center" vertical="center" wrapText="1" readingOrder="1"/>
    </xf>
    <xf numFmtId="0" fontId="7" fillId="0" borderId="7" xfId="0" applyFont="1" applyBorder="1" applyAlignment="1">
      <alignment horizontal="center" vertical="center" readingOrder="1"/>
    </xf>
    <xf numFmtId="0" fontId="9" fillId="0" borderId="6" xfId="0" applyFont="1" applyBorder="1" applyAlignment="1">
      <alignment horizontal="center" vertical="center" readingOrder="1"/>
    </xf>
    <xf numFmtId="0" fontId="7" fillId="0" borderId="9" xfId="0" applyFont="1" applyBorder="1" applyAlignment="1">
      <alignment horizontal="left" vertical="top" wrapText="1" readingOrder="1"/>
    </xf>
    <xf numFmtId="1" fontId="5" fillId="3" borderId="13" xfId="0" applyNumberFormat="1" applyFont="1" applyFill="1" applyBorder="1" applyAlignment="1">
      <alignment vertical="center" readingOrder="1"/>
    </xf>
    <xf numFmtId="0" fontId="7" fillId="0" borderId="9" xfId="0" applyFont="1" applyFill="1" applyBorder="1" applyAlignment="1">
      <alignment horizontal="left" vertical="top" wrapText="1" readingOrder="1"/>
    </xf>
    <xf numFmtId="0" fontId="33" fillId="0" borderId="6" xfId="0" applyFont="1" applyBorder="1" applyAlignment="1">
      <alignment horizontal="center" vertical="center"/>
    </xf>
    <xf numFmtId="0" fontId="7" fillId="0" borderId="7" xfId="0" applyFont="1" applyBorder="1" applyAlignment="1">
      <alignment horizontal="center" vertical="center"/>
    </xf>
    <xf numFmtId="0" fontId="36" fillId="0" borderId="8" xfId="0" applyFont="1" applyBorder="1" applyAlignment="1">
      <alignment horizontal="center" vertical="center" readingOrder="1"/>
    </xf>
    <xf numFmtId="0" fontId="7" fillId="0" borderId="5" xfId="0" applyFont="1" applyBorder="1" applyAlignment="1">
      <alignment horizontal="center" vertical="center" textRotation="180"/>
    </xf>
    <xf numFmtId="0" fontId="7" fillId="0" borderId="12" xfId="0" applyFont="1" applyBorder="1" applyAlignment="1">
      <alignment horizontal="center" vertical="center" textRotation="180"/>
    </xf>
    <xf numFmtId="2" fontId="11" fillId="3" borderId="26" xfId="0" applyNumberFormat="1" applyFont="1" applyFill="1" applyBorder="1" applyAlignment="1">
      <alignment horizontal="center" vertical="center" wrapText="1" readingOrder="1"/>
    </xf>
    <xf numFmtId="2" fontId="11" fillId="3" borderId="27" xfId="0" applyNumberFormat="1" applyFont="1" applyFill="1" applyBorder="1" applyAlignment="1">
      <alignment horizontal="center" vertical="center" wrapText="1" readingOrder="1"/>
    </xf>
    <xf numFmtId="0" fontId="23" fillId="0" borderId="37" xfId="0" applyFont="1" applyBorder="1" applyAlignment="1">
      <alignment horizontal="center" vertical="center" readingOrder="1"/>
    </xf>
    <xf numFmtId="0" fontId="23" fillId="0" borderId="37" xfId="0" applyFont="1" applyBorder="1" applyAlignment="1">
      <alignment horizontal="center" vertical="center" readingOrder="1"/>
    </xf>
    <xf numFmtId="0" fontId="23" fillId="0" borderId="37" xfId="0" applyFont="1" applyBorder="1" applyAlignment="1">
      <alignment horizontal="center" vertical="center" readingOrder="1"/>
    </xf>
    <xf numFmtId="2" fontId="0" fillId="0" borderId="0" xfId="0" applyNumberFormat="1" applyAlignment="1">
      <alignment vertical="center" readingOrder="1"/>
    </xf>
    <xf numFmtId="1" fontId="7" fillId="4" borderId="9" xfId="0" applyNumberFormat="1" applyFont="1" applyFill="1" applyBorder="1" applyAlignment="1">
      <alignment horizontal="center" vertical="center" readingOrder="1"/>
    </xf>
    <xf numFmtId="1" fontId="7" fillId="0" borderId="0" xfId="0" applyNumberFormat="1" applyFont="1" applyBorder="1" applyAlignment="1">
      <alignment horizontal="center" vertical="center" readingOrder="1"/>
    </xf>
    <xf numFmtId="0" fontId="23" fillId="0" borderId="37" xfId="0" applyFont="1" applyBorder="1" applyAlignment="1">
      <alignment horizontal="center" vertical="center" readingOrder="1"/>
    </xf>
    <xf numFmtId="1" fontId="24" fillId="0" borderId="35" xfId="0" applyNumberFormat="1" applyFont="1" applyBorder="1" applyAlignment="1">
      <alignment horizontal="center" vertical="center" readingOrder="1"/>
    </xf>
    <xf numFmtId="165" fontId="39" fillId="2" borderId="24" xfId="0" applyNumberFormat="1" applyFont="1" applyFill="1" applyBorder="1" applyAlignment="1">
      <alignment horizontal="center" vertical="center" wrapText="1" readingOrder="1"/>
    </xf>
    <xf numFmtId="165" fontId="36" fillId="0" borderId="0" xfId="0" applyNumberFormat="1" applyFont="1" applyAlignment="1">
      <alignment horizontal="center" vertical="center"/>
    </xf>
    <xf numFmtId="0" fontId="23" fillId="0" borderId="37" xfId="0" applyFont="1" applyBorder="1" applyAlignment="1">
      <alignment horizontal="center" vertical="center" readingOrder="1"/>
    </xf>
    <xf numFmtId="0" fontId="7" fillId="0" borderId="12" xfId="0" applyFont="1" applyBorder="1" applyAlignment="1">
      <alignment horizontal="center" vertical="center"/>
    </xf>
    <xf numFmtId="0" fontId="16" fillId="6" borderId="11" xfId="0" applyFont="1" applyFill="1" applyBorder="1" applyAlignment="1">
      <alignment horizontal="center" vertical="center" wrapText="1" readingOrder="1"/>
    </xf>
    <xf numFmtId="1" fontId="16" fillId="6" borderId="21" xfId="0" applyNumberFormat="1" applyFont="1" applyFill="1" applyBorder="1" applyAlignment="1">
      <alignment horizontal="center" vertical="center" wrapText="1" readingOrder="1"/>
    </xf>
    <xf numFmtId="0" fontId="0" fillId="0" borderId="8" xfId="0" applyBorder="1" applyAlignment="1">
      <alignment horizontal="center" vertical="center"/>
    </xf>
    <xf numFmtId="0" fontId="0" fillId="0" borderId="8" xfId="0" applyBorder="1" applyAlignment="1">
      <alignment horizontal="center" vertical="center" wrapText="1"/>
    </xf>
    <xf numFmtId="0" fontId="0" fillId="0" borderId="8" xfId="0" applyBorder="1"/>
    <xf numFmtId="0" fontId="11" fillId="2" borderId="7" xfId="0" applyFont="1" applyFill="1" applyBorder="1" applyAlignment="1">
      <alignment horizontal="center" vertical="center" wrapText="1" readingOrder="1"/>
    </xf>
    <xf numFmtId="0" fontId="31" fillId="0" borderId="8" xfId="0" applyFont="1" applyBorder="1" applyAlignment="1">
      <alignment horizontal="center" vertical="center"/>
    </xf>
    <xf numFmtId="1" fontId="33" fillId="0" borderId="0" xfId="0" applyNumberFormat="1" applyFont="1" applyAlignment="1">
      <alignment horizontal="center" vertical="center"/>
    </xf>
    <xf numFmtId="2" fontId="40" fillId="6" borderId="26" xfId="0" applyNumberFormat="1" applyFont="1" applyFill="1" applyBorder="1" applyAlignment="1">
      <alignment horizontal="center" vertical="center" wrapText="1" readingOrder="1"/>
    </xf>
    <xf numFmtId="2" fontId="40" fillId="6" borderId="23" xfId="0" applyNumberFormat="1" applyFont="1" applyFill="1" applyBorder="1" applyAlignment="1">
      <alignment horizontal="center" vertical="center" wrapText="1" readingOrder="1"/>
    </xf>
    <xf numFmtId="2" fontId="40" fillId="6" borderId="25" xfId="0" applyNumberFormat="1" applyFont="1" applyFill="1" applyBorder="1" applyAlignment="1">
      <alignment horizontal="center" vertical="center" wrapText="1" readingOrder="1"/>
    </xf>
    <xf numFmtId="2" fontId="33" fillId="0" borderId="0" xfId="0" applyNumberFormat="1" applyFont="1" applyAlignment="1">
      <alignment horizontal="center" vertical="center"/>
    </xf>
    <xf numFmtId="0" fontId="33" fillId="0" borderId="1" xfId="0" applyFont="1" applyBorder="1" applyAlignment="1">
      <alignment horizontal="center" vertical="center"/>
    </xf>
    <xf numFmtId="0" fontId="2" fillId="0" borderId="6" xfId="1" applyBorder="1" applyAlignment="1">
      <alignment horizontal="center" vertical="center"/>
    </xf>
    <xf numFmtId="0" fontId="2" fillId="0" borderId="6" xfId="1" applyBorder="1" applyAlignment="1">
      <alignment horizontal="center" vertical="center"/>
    </xf>
    <xf numFmtId="0" fontId="7" fillId="0" borderId="5" xfId="0" applyFont="1" applyBorder="1" applyAlignment="1">
      <alignment horizontal="center" vertical="center"/>
    </xf>
    <xf numFmtId="0" fontId="5" fillId="3" borderId="42" xfId="0" applyFont="1" applyFill="1" applyBorder="1" applyAlignment="1">
      <alignment horizontal="left" vertical="center" readingOrder="1"/>
    </xf>
    <xf numFmtId="0" fontId="2" fillId="0" borderId="6" xfId="1" applyBorder="1" applyAlignment="1">
      <alignment horizontal="center" vertical="center"/>
    </xf>
    <xf numFmtId="0" fontId="16" fillId="2" borderId="24" xfId="0" applyNumberFormat="1" applyFont="1" applyFill="1" applyBorder="1" applyAlignment="1">
      <alignment horizontal="center" vertical="center" wrapText="1" readingOrder="1"/>
    </xf>
    <xf numFmtId="0" fontId="7" fillId="0" borderId="2" xfId="0" applyNumberFormat="1" applyFont="1" applyBorder="1" applyAlignment="1">
      <alignment horizontal="center" vertical="center"/>
    </xf>
    <xf numFmtId="0" fontId="7" fillId="0" borderId="9" xfId="0" applyNumberFormat="1" applyFont="1" applyBorder="1" applyAlignment="1">
      <alignment horizontal="center" vertical="center"/>
    </xf>
    <xf numFmtId="0" fontId="7" fillId="0" borderId="0" xfId="0" applyNumberFormat="1" applyFont="1" applyAlignment="1">
      <alignment horizontal="center" vertical="center"/>
    </xf>
    <xf numFmtId="0" fontId="2" fillId="0" borderId="6" xfId="1" applyBorder="1" applyAlignment="1">
      <alignment horizontal="center" vertical="center"/>
    </xf>
    <xf numFmtId="0" fontId="9" fillId="0" borderId="0" xfId="0" applyFont="1" applyBorder="1" applyAlignment="1">
      <alignment horizontal="center" vertical="center"/>
    </xf>
    <xf numFmtId="0" fontId="2" fillId="0" borderId="6" xfId="1" applyBorder="1" applyAlignment="1">
      <alignment horizontal="center" vertical="center"/>
    </xf>
    <xf numFmtId="0" fontId="9" fillId="0" borderId="8" xfId="0" applyFont="1" applyBorder="1" applyAlignment="1">
      <alignment horizontal="center" vertical="center"/>
    </xf>
    <xf numFmtId="0" fontId="2" fillId="0" borderId="6" xfId="1" applyBorder="1" applyAlignment="1">
      <alignment horizontal="center" vertical="center"/>
    </xf>
    <xf numFmtId="0" fontId="9" fillId="0" borderId="8" xfId="0" applyFont="1" applyBorder="1" applyAlignment="1">
      <alignment horizontal="center" vertical="center"/>
    </xf>
    <xf numFmtId="0" fontId="7" fillId="0" borderId="11" xfId="0" applyFont="1" applyBorder="1" applyAlignment="1">
      <alignment horizontal="center" vertical="center" wrapText="1" readingOrder="1"/>
    </xf>
    <xf numFmtId="0" fontId="33" fillId="0" borderId="0" xfId="0" applyFont="1" applyBorder="1" applyAlignment="1">
      <alignment horizontal="center" vertical="center"/>
    </xf>
    <xf numFmtId="0" fontId="7" fillId="0" borderId="7" xfId="0" applyFont="1" applyBorder="1" applyAlignment="1">
      <alignment horizontal="center" vertical="center" wrapText="1"/>
    </xf>
    <xf numFmtId="1" fontId="33" fillId="0" borderId="0" xfId="0" applyNumberFormat="1" applyFont="1" applyBorder="1" applyAlignment="1">
      <alignment horizontal="center" vertical="center"/>
    </xf>
    <xf numFmtId="2" fontId="7" fillId="0" borderId="8" xfId="0" applyNumberFormat="1" applyFont="1" applyBorder="1" applyAlignment="1">
      <alignment horizontal="center" vertical="center" wrapText="1" readingOrder="1"/>
    </xf>
    <xf numFmtId="2" fontId="7" fillId="0" borderId="8" xfId="0" applyNumberFormat="1" applyFont="1" applyBorder="1" applyAlignment="1">
      <alignment horizontal="center" vertical="center" wrapText="1"/>
    </xf>
    <xf numFmtId="0" fontId="7" fillId="0" borderId="16" xfId="0" applyFont="1" applyBorder="1" applyAlignment="1">
      <alignment horizontal="center" vertical="center" wrapText="1"/>
    </xf>
    <xf numFmtId="11" fontId="16" fillId="3" borderId="25" xfId="0" applyNumberFormat="1" applyFont="1" applyFill="1" applyBorder="1" applyAlignment="1">
      <alignment horizontal="center" vertical="center" wrapText="1" readingOrder="1"/>
    </xf>
    <xf numFmtId="0" fontId="34" fillId="2" borderId="11" xfId="0" applyFont="1" applyFill="1" applyBorder="1" applyAlignment="1">
      <alignment horizontal="center" vertical="center" wrapText="1" readingOrder="1"/>
    </xf>
    <xf numFmtId="0" fontId="34" fillId="2" borderId="21" xfId="0" applyFont="1" applyFill="1" applyBorder="1" applyAlignment="1">
      <alignment horizontal="center" vertical="center" wrapText="1" readingOrder="1"/>
    </xf>
    <xf numFmtId="2" fontId="7" fillId="0" borderId="11" xfId="0" applyNumberFormat="1" applyFont="1" applyBorder="1" applyAlignment="1">
      <alignment horizontal="center" vertical="center"/>
    </xf>
    <xf numFmtId="2" fontId="7" fillId="0" borderId="6" xfId="0" applyNumberFormat="1" applyFont="1" applyBorder="1" applyAlignment="1">
      <alignment horizontal="center" vertical="center" wrapText="1" readingOrder="1"/>
    </xf>
    <xf numFmtId="1" fontId="7" fillId="0" borderId="2" xfId="0" applyNumberFormat="1" applyFont="1" applyBorder="1" applyAlignment="1">
      <alignment horizontal="center" vertical="center" readingOrder="1"/>
    </xf>
    <xf numFmtId="0" fontId="7" fillId="0" borderId="5" xfId="0" applyFont="1" applyBorder="1" applyAlignment="1">
      <alignment horizontal="center" vertical="center" wrapText="1" readingOrder="1"/>
    </xf>
    <xf numFmtId="1" fontId="7" fillId="0" borderId="30" xfId="0" applyNumberFormat="1" applyFont="1" applyBorder="1" applyAlignment="1">
      <alignment horizontal="center" vertical="center" readingOrder="1"/>
    </xf>
    <xf numFmtId="1" fontId="7" fillId="0" borderId="8" xfId="0" applyNumberFormat="1" applyFont="1" applyBorder="1" applyAlignment="1">
      <alignment horizontal="center" vertical="center" readingOrder="1"/>
    </xf>
    <xf numFmtId="1" fontId="7" fillId="4" borderId="8" xfId="0" applyNumberFormat="1" applyFont="1" applyFill="1" applyBorder="1" applyAlignment="1">
      <alignment horizontal="center" vertical="center" readingOrder="1"/>
    </xf>
    <xf numFmtId="1" fontId="7" fillId="0" borderId="8" xfId="0" applyNumberFormat="1" applyFont="1" applyFill="1" applyBorder="1" applyAlignment="1">
      <alignment horizontal="center" vertical="center" readingOrder="1"/>
    </xf>
    <xf numFmtId="1" fontId="11" fillId="2" borderId="23" xfId="0" applyNumberFormat="1" applyFont="1" applyFill="1" applyBorder="1" applyAlignment="1">
      <alignment horizontal="center" vertical="center" wrapText="1" readingOrder="1"/>
    </xf>
    <xf numFmtId="0" fontId="11" fillId="2" borderId="11" xfId="0" applyFont="1" applyFill="1" applyBorder="1" applyAlignment="1">
      <alignment horizontal="center" vertical="center" wrapText="1" readingOrder="1"/>
    </xf>
    <xf numFmtId="2" fontId="11" fillId="3" borderId="12" xfId="0" applyNumberFormat="1" applyFont="1" applyFill="1" applyBorder="1" applyAlignment="1">
      <alignment horizontal="center" vertical="center" wrapText="1" readingOrder="1"/>
    </xf>
    <xf numFmtId="0" fontId="11" fillId="3" borderId="12" xfId="0" applyFont="1" applyFill="1" applyBorder="1" applyAlignment="1">
      <alignment horizontal="center" vertical="center" wrapText="1" readingOrder="1"/>
    </xf>
    <xf numFmtId="0" fontId="11" fillId="3" borderId="32" xfId="0" applyFont="1" applyFill="1" applyBorder="1" applyAlignment="1">
      <alignment horizontal="center" vertical="center" wrapText="1" readingOrder="1"/>
    </xf>
    <xf numFmtId="0" fontId="10" fillId="3" borderId="32" xfId="1" applyFont="1" applyFill="1" applyBorder="1" applyAlignment="1">
      <alignment horizontal="center" vertical="center" wrapText="1" readingOrder="1"/>
    </xf>
    <xf numFmtId="4" fontId="11" fillId="3" borderId="32" xfId="0" applyNumberFormat="1" applyFont="1" applyFill="1" applyBorder="1" applyAlignment="1">
      <alignment horizontal="center" vertical="center" wrapText="1" readingOrder="1"/>
    </xf>
    <xf numFmtId="11" fontId="11" fillId="3" borderId="55" xfId="0" applyNumberFormat="1" applyFont="1" applyFill="1" applyBorder="1" applyAlignment="1">
      <alignment horizontal="center" vertical="center" wrapText="1" readingOrder="1"/>
    </xf>
    <xf numFmtId="0" fontId="11" fillId="2" borderId="12" xfId="0" applyFont="1" applyFill="1" applyBorder="1" applyAlignment="1">
      <alignment horizontal="center" vertical="center" wrapText="1" readingOrder="1"/>
    </xf>
    <xf numFmtId="0" fontId="11" fillId="2" borderId="32" xfId="0" applyFont="1" applyFill="1" applyBorder="1" applyAlignment="1">
      <alignment horizontal="center" vertical="center" readingOrder="1"/>
    </xf>
    <xf numFmtId="0" fontId="11" fillId="2" borderId="32" xfId="0" applyFont="1" applyFill="1" applyBorder="1" applyAlignment="1">
      <alignment horizontal="center" vertical="center" wrapText="1" readingOrder="1"/>
    </xf>
    <xf numFmtId="0" fontId="34" fillId="2" borderId="55" xfId="0" applyFont="1" applyFill="1" applyBorder="1" applyAlignment="1">
      <alignment horizontal="center" vertical="center" wrapText="1" readingOrder="1"/>
    </xf>
    <xf numFmtId="1" fontId="34" fillId="2" borderId="55" xfId="0" applyNumberFormat="1" applyFont="1" applyFill="1" applyBorder="1" applyAlignment="1">
      <alignment horizontal="center" vertical="center" wrapText="1" readingOrder="1"/>
    </xf>
    <xf numFmtId="0" fontId="7" fillId="0" borderId="33" xfId="0" applyFont="1" applyBorder="1" applyAlignment="1">
      <alignment horizontal="center" vertical="center" readingOrder="1"/>
    </xf>
    <xf numFmtId="0" fontId="12" fillId="0" borderId="30" xfId="1" applyFont="1" applyBorder="1" applyAlignment="1">
      <alignment horizontal="center" vertical="center" readingOrder="1"/>
    </xf>
    <xf numFmtId="0" fontId="2" fillId="0" borderId="30" xfId="1" applyBorder="1" applyAlignment="1">
      <alignment horizontal="center" vertical="center" readingOrder="1"/>
    </xf>
    <xf numFmtId="0" fontId="7" fillId="0" borderId="30" xfId="0" applyFont="1" applyBorder="1" applyAlignment="1">
      <alignment horizontal="center" vertical="center"/>
    </xf>
    <xf numFmtId="0" fontId="7" fillId="0" borderId="30" xfId="0" applyFont="1" applyBorder="1" applyAlignment="1">
      <alignment horizontal="center" vertical="center" readingOrder="1"/>
    </xf>
    <xf numFmtId="3" fontId="7" fillId="0" borderId="30" xfId="0" applyNumberFormat="1" applyFont="1" applyBorder="1" applyAlignment="1">
      <alignment horizontal="center" vertical="center" readingOrder="1"/>
    </xf>
    <xf numFmtId="0" fontId="44" fillId="0" borderId="8" xfId="1" applyFont="1" applyFill="1" applyBorder="1" applyAlignment="1">
      <alignment horizontal="center" vertical="center" readingOrder="1"/>
    </xf>
    <xf numFmtId="0" fontId="7" fillId="4" borderId="9" xfId="0" applyFont="1" applyFill="1" applyBorder="1" applyAlignment="1">
      <alignment horizontal="center" vertical="center" readingOrder="1"/>
    </xf>
    <xf numFmtId="0" fontId="7" fillId="0" borderId="9" xfId="0" applyFont="1" applyFill="1" applyBorder="1" applyAlignment="1">
      <alignment horizontal="center" vertical="center" wrapText="1" readingOrder="1"/>
    </xf>
    <xf numFmtId="0" fontId="7" fillId="4" borderId="9" xfId="0" applyFont="1" applyFill="1" applyBorder="1" applyAlignment="1">
      <alignment horizontal="center" vertical="center" wrapText="1" readingOrder="1"/>
    </xf>
    <xf numFmtId="0" fontId="7" fillId="0" borderId="9" xfId="0" applyFont="1" applyBorder="1" applyAlignment="1">
      <alignment horizontal="center" vertical="center" wrapText="1" readingOrder="1"/>
    </xf>
    <xf numFmtId="0" fontId="7" fillId="0" borderId="8" xfId="0" applyFont="1" applyFill="1" applyBorder="1" applyAlignment="1">
      <alignment horizontal="center" vertical="center" wrapText="1"/>
    </xf>
    <xf numFmtId="0" fontId="2" fillId="0" borderId="8" xfId="1" applyFill="1" applyBorder="1" applyAlignment="1">
      <alignment horizontal="center" vertical="center" readingOrder="1"/>
    </xf>
    <xf numFmtId="0" fontId="12" fillId="0" borderId="8" xfId="1" applyFont="1" applyFill="1" applyBorder="1" applyAlignment="1">
      <alignment horizontal="center" vertical="center" textRotation="180" wrapText="1" readingOrder="1"/>
    </xf>
    <xf numFmtId="3" fontId="36" fillId="0" borderId="0" xfId="0" applyNumberFormat="1" applyFont="1" applyBorder="1" applyAlignment="1">
      <alignment horizontal="center" vertical="center"/>
    </xf>
    <xf numFmtId="1" fontId="11" fillId="3" borderId="65" xfId="0" applyNumberFormat="1" applyFont="1" applyFill="1" applyBorder="1" applyAlignment="1">
      <alignment horizontal="center" vertical="center" wrapText="1" readingOrder="1"/>
    </xf>
    <xf numFmtId="11" fontId="5" fillId="3" borderId="13" xfId="0" applyNumberFormat="1" applyFont="1" applyFill="1" applyBorder="1" applyAlignment="1">
      <alignment vertical="center" readingOrder="1"/>
    </xf>
    <xf numFmtId="2" fontId="7" fillId="0" borderId="30" xfId="0" applyNumberFormat="1" applyFont="1" applyBorder="1" applyAlignment="1">
      <alignment horizontal="center" vertical="center" readingOrder="1"/>
    </xf>
    <xf numFmtId="2" fontId="7" fillId="0" borderId="8" xfId="0" applyNumberFormat="1" applyFont="1" applyFill="1" applyBorder="1" applyAlignment="1">
      <alignment horizontal="center" vertical="center" wrapText="1" readingOrder="1"/>
    </xf>
    <xf numFmtId="3" fontId="37" fillId="2" borderId="11" xfId="0" applyNumberFormat="1" applyFont="1" applyFill="1" applyBorder="1" applyAlignment="1">
      <alignment horizontal="center" vertical="center" wrapText="1" readingOrder="1"/>
    </xf>
    <xf numFmtId="0" fontId="7" fillId="0" borderId="29" xfId="0" applyFont="1" applyBorder="1" applyAlignment="1">
      <alignment horizontal="center" vertical="center" wrapText="1" readingOrder="1"/>
    </xf>
    <xf numFmtId="0" fontId="11" fillId="2" borderId="10" xfId="0" applyFont="1" applyFill="1" applyBorder="1" applyAlignment="1">
      <alignment horizontal="center" vertical="center" wrapText="1" readingOrder="1"/>
    </xf>
    <xf numFmtId="0" fontId="11" fillId="3" borderId="26" xfId="0" applyFont="1" applyFill="1" applyBorder="1" applyAlignment="1">
      <alignment horizontal="center" vertical="center" wrapText="1" readingOrder="1"/>
    </xf>
    <xf numFmtId="0" fontId="11" fillId="3" borderId="23" xfId="0" applyFont="1" applyFill="1" applyBorder="1" applyAlignment="1">
      <alignment horizontal="center" vertical="center" wrapText="1" readingOrder="1"/>
    </xf>
    <xf numFmtId="0" fontId="11" fillId="3" borderId="25" xfId="0" applyFont="1" applyFill="1" applyBorder="1" applyAlignment="1">
      <alignment horizontal="center" vertical="center" wrapText="1" readingOrder="1"/>
    </xf>
    <xf numFmtId="0" fontId="11" fillId="2" borderId="23" xfId="0" applyFont="1" applyFill="1" applyBorder="1" applyAlignment="1">
      <alignment horizontal="center" vertical="center" readingOrder="1"/>
    </xf>
    <xf numFmtId="0" fontId="11" fillId="2" borderId="23" xfId="0" applyFont="1" applyFill="1" applyBorder="1" applyAlignment="1">
      <alignment horizontal="center" vertical="center" wrapText="1" readingOrder="1"/>
    </xf>
    <xf numFmtId="1" fontId="5" fillId="0" borderId="9" xfId="0" applyNumberFormat="1" applyFont="1" applyBorder="1" applyAlignment="1">
      <alignment vertical="center" readingOrder="1"/>
    </xf>
    <xf numFmtId="1" fontId="5" fillId="0" borderId="13" xfId="0" applyNumberFormat="1" applyFont="1" applyBorder="1" applyAlignment="1">
      <alignment vertical="center" readingOrder="1"/>
    </xf>
    <xf numFmtId="0" fontId="34" fillId="2" borderId="24" xfId="0" applyFont="1" applyFill="1" applyBorder="1" applyAlignment="1">
      <alignment horizontal="center" vertical="center" wrapText="1" readingOrder="1"/>
    </xf>
    <xf numFmtId="0" fontId="11" fillId="3" borderId="55" xfId="0" applyFont="1" applyFill="1" applyBorder="1" applyAlignment="1">
      <alignment horizontal="center" vertical="center" wrapText="1" readingOrder="1"/>
    </xf>
    <xf numFmtId="0" fontId="16" fillId="6" borderId="10" xfId="0" applyFont="1" applyFill="1" applyBorder="1" applyAlignment="1">
      <alignment horizontal="center" vertical="center" wrapText="1" readingOrder="1"/>
    </xf>
    <xf numFmtId="0" fontId="11" fillId="2" borderId="26" xfId="0" applyFont="1" applyFill="1" applyBorder="1" applyAlignment="1">
      <alignment horizontal="center" vertical="center" wrapText="1" readingOrder="1"/>
    </xf>
    <xf numFmtId="0" fontId="11" fillId="2" borderId="25" xfId="0" applyFont="1" applyFill="1" applyBorder="1" applyAlignment="1">
      <alignment horizontal="center" vertical="center" wrapText="1" readingOrder="1"/>
    </xf>
    <xf numFmtId="0" fontId="2" fillId="0" borderId="8" xfId="1" applyBorder="1" applyAlignment="1">
      <alignment horizontal="center" vertical="center" readingOrder="1"/>
    </xf>
    <xf numFmtId="0" fontId="34" fillId="3" borderId="9" xfId="0" applyFont="1" applyFill="1" applyBorder="1" applyAlignment="1">
      <alignment horizontal="center" vertical="center" wrapText="1" readingOrder="1"/>
    </xf>
    <xf numFmtId="0" fontId="11" fillId="2" borderId="9" xfId="0" applyFont="1" applyFill="1" applyBorder="1" applyAlignment="1">
      <alignment horizontal="center" vertical="center" wrapText="1" readingOrder="1"/>
    </xf>
    <xf numFmtId="0" fontId="45" fillId="3" borderId="8" xfId="0" applyFont="1" applyFill="1" applyBorder="1" applyAlignment="1">
      <alignment horizontal="center" vertical="center" wrapText="1" readingOrder="1"/>
    </xf>
    <xf numFmtId="0" fontId="0" fillId="0" borderId="0" xfId="0" applyAlignment="1">
      <alignment horizontal="center" vertical="center"/>
    </xf>
    <xf numFmtId="0" fontId="0" fillId="0" borderId="0" xfId="0" applyAlignment="1">
      <alignment horizontal="center" vertical="center"/>
    </xf>
    <xf numFmtId="0" fontId="5" fillId="2" borderId="0" xfId="0" applyFont="1" applyFill="1" applyBorder="1" applyAlignment="1">
      <alignment horizontal="center" vertical="center" readingOrder="1"/>
    </xf>
    <xf numFmtId="0" fontId="16" fillId="2" borderId="8" xfId="0" applyFont="1" applyFill="1" applyBorder="1" applyAlignment="1">
      <alignment horizontal="center" vertical="center" wrapText="1" readingOrder="1"/>
    </xf>
    <xf numFmtId="0" fontId="45" fillId="0" borderId="0" xfId="0" applyFont="1" applyFill="1" applyBorder="1" applyAlignment="1">
      <alignment horizontal="center" vertical="center"/>
    </xf>
    <xf numFmtId="0" fontId="45" fillId="0" borderId="0" xfId="0" applyFont="1" applyFill="1" applyBorder="1" applyAlignment="1">
      <alignment vertical="center"/>
    </xf>
    <xf numFmtId="0" fontId="45" fillId="3" borderId="15" xfId="0" applyFont="1" applyFill="1" applyBorder="1" applyAlignment="1">
      <alignment horizontal="center" vertical="center" readingOrder="1"/>
    </xf>
    <xf numFmtId="0" fontId="45" fillId="3" borderId="7" xfId="0" applyFont="1" applyFill="1" applyBorder="1" applyAlignment="1">
      <alignment horizontal="center" vertical="center" readingOrder="1"/>
    </xf>
    <xf numFmtId="0" fontId="45" fillId="3" borderId="8" xfId="0" applyFont="1" applyFill="1" applyBorder="1" applyAlignment="1">
      <alignment horizontal="center" vertical="center" readingOrder="1"/>
    </xf>
    <xf numFmtId="0" fontId="45" fillId="3" borderId="16" xfId="0" applyFont="1" applyFill="1" applyBorder="1" applyAlignment="1">
      <alignment horizontal="center" vertical="center" readingOrder="1"/>
    </xf>
    <xf numFmtId="0" fontId="5" fillId="3" borderId="15" xfId="0" applyFont="1" applyFill="1" applyBorder="1" applyAlignment="1">
      <alignment horizontal="center" vertical="center" readingOrder="1"/>
    </xf>
    <xf numFmtId="0" fontId="11" fillId="2" borderId="8" xfId="0" applyFont="1" applyFill="1" applyBorder="1" applyAlignment="1">
      <alignment horizontal="center" vertical="center" readingOrder="1"/>
    </xf>
    <xf numFmtId="0" fontId="0" fillId="0" borderId="0" xfId="0" applyAlignment="1">
      <alignment horizontal="center" vertical="center"/>
    </xf>
    <xf numFmtId="0" fontId="5" fillId="3" borderId="13" xfId="0" applyFont="1" applyFill="1" applyBorder="1" applyAlignment="1">
      <alignment horizontal="center" vertical="center" readingOrder="1"/>
    </xf>
    <xf numFmtId="0" fontId="5" fillId="2" borderId="0" xfId="0" applyFont="1" applyFill="1" applyBorder="1" applyAlignment="1">
      <alignment horizontal="center" vertical="center" readingOrder="1"/>
    </xf>
    <xf numFmtId="0" fontId="0" fillId="0" borderId="22" xfId="0" applyBorder="1" applyAlignment="1">
      <alignment horizontal="center" vertical="center"/>
    </xf>
    <xf numFmtId="0" fontId="0" fillId="7" borderId="0" xfId="0" applyFill="1" applyAlignment="1">
      <alignment horizontal="center" vertical="center"/>
    </xf>
    <xf numFmtId="0" fontId="0" fillId="7" borderId="22" xfId="0" applyFill="1" applyBorder="1" applyAlignment="1">
      <alignment horizontal="center" vertical="center"/>
    </xf>
    <xf numFmtId="0" fontId="0" fillId="8" borderId="0" xfId="0" applyFill="1" applyAlignment="1">
      <alignment horizontal="center" vertical="center"/>
    </xf>
    <xf numFmtId="0" fontId="0" fillId="8" borderId="22" xfId="0" applyFill="1" applyBorder="1" applyAlignment="1">
      <alignment horizontal="center" vertical="center"/>
    </xf>
    <xf numFmtId="3" fontId="5" fillId="3" borderId="13" xfId="0" applyNumberFormat="1" applyFont="1" applyFill="1" applyBorder="1" applyAlignment="1">
      <alignment vertical="center" readingOrder="1"/>
    </xf>
    <xf numFmtId="3" fontId="11" fillId="0" borderId="8" xfId="0" applyNumberFormat="1" applyFont="1" applyBorder="1" applyAlignment="1">
      <alignment horizontal="center" vertical="center" readingOrder="1"/>
    </xf>
    <xf numFmtId="3" fontId="11" fillId="0" borderId="16" xfId="0" applyNumberFormat="1" applyFont="1" applyBorder="1" applyAlignment="1">
      <alignment horizontal="center" vertical="center" readingOrder="1"/>
    </xf>
    <xf numFmtId="3" fontId="11" fillId="0" borderId="0" xfId="0" applyNumberFormat="1" applyFont="1" applyBorder="1" applyAlignment="1">
      <alignment horizontal="center" vertical="center" readingOrder="1"/>
    </xf>
    <xf numFmtId="11" fontId="5" fillId="3" borderId="13" xfId="0" applyNumberFormat="1" applyFont="1" applyFill="1" applyBorder="1" applyAlignment="1">
      <alignment horizontal="right" vertical="center" readingOrder="1"/>
    </xf>
    <xf numFmtId="11" fontId="7" fillId="0" borderId="0" xfId="0" applyNumberFormat="1" applyFont="1" applyAlignment="1">
      <alignment horizontal="center" vertical="center" readingOrder="1"/>
    </xf>
    <xf numFmtId="3" fontId="11" fillId="3" borderId="67" xfId="0" applyNumberFormat="1" applyFont="1" applyFill="1" applyBorder="1" applyAlignment="1">
      <alignment horizontal="center" vertical="center" wrapText="1" readingOrder="1"/>
    </xf>
    <xf numFmtId="3" fontId="11" fillId="3" borderId="23" xfId="0" applyNumberFormat="1" applyFont="1" applyFill="1" applyBorder="1" applyAlignment="1">
      <alignment horizontal="center" vertical="center" wrapText="1" readingOrder="1"/>
    </xf>
    <xf numFmtId="0" fontId="0" fillId="0" borderId="0" xfId="0" quotePrefix="1" applyAlignment="1">
      <alignment horizontal="center" vertical="center" readingOrder="1"/>
    </xf>
    <xf numFmtId="1" fontId="19" fillId="0" borderId="15" xfId="0" applyNumberFormat="1" applyFont="1" applyBorder="1" applyAlignment="1">
      <alignment horizontal="center" vertical="center" readingOrder="1"/>
    </xf>
    <xf numFmtId="1" fontId="19" fillId="5" borderId="15" xfId="0" applyNumberFormat="1" applyFont="1" applyFill="1" applyBorder="1" applyAlignment="1">
      <alignment horizontal="center" vertical="center" readingOrder="1"/>
    </xf>
    <xf numFmtId="165" fontId="19" fillId="0" borderId="17" xfId="0" applyNumberFormat="1" applyFont="1" applyBorder="1" applyAlignment="1">
      <alignment horizontal="center" vertical="center" readingOrder="1"/>
    </xf>
    <xf numFmtId="2" fontId="25" fillId="0" borderId="37" xfId="0" applyNumberFormat="1" applyFont="1" applyBorder="1" applyAlignment="1">
      <alignment horizontal="right" vertical="center" readingOrder="1"/>
    </xf>
    <xf numFmtId="165" fontId="19" fillId="0" borderId="23" xfId="0" applyNumberFormat="1" applyFont="1" applyBorder="1" applyAlignment="1">
      <alignment horizontal="center" vertical="center" readingOrder="1"/>
    </xf>
    <xf numFmtId="165" fontId="19" fillId="0" borderId="10" xfId="0" applyNumberFormat="1" applyFont="1" applyBorder="1" applyAlignment="1">
      <alignment horizontal="center" vertical="center" readingOrder="1"/>
    </xf>
    <xf numFmtId="165" fontId="19" fillId="0" borderId="8" xfId="0" applyNumberFormat="1" applyFont="1" applyBorder="1" applyAlignment="1">
      <alignment horizontal="center" vertical="center" readingOrder="1"/>
    </xf>
    <xf numFmtId="2" fontId="23" fillId="4" borderId="8" xfId="0" applyNumberFormat="1" applyFont="1" applyFill="1" applyBorder="1" applyAlignment="1">
      <alignment horizontal="right" vertical="center" readingOrder="1"/>
    </xf>
    <xf numFmtId="2" fontId="23" fillId="4" borderId="16" xfId="0" applyNumberFormat="1" applyFont="1" applyFill="1" applyBorder="1" applyAlignment="1">
      <alignment horizontal="right" vertical="center" readingOrder="1"/>
    </xf>
    <xf numFmtId="2" fontId="23" fillId="4" borderId="23" xfId="0" applyNumberFormat="1" applyFont="1" applyFill="1" applyBorder="1" applyAlignment="1">
      <alignment horizontal="right" vertical="center" readingOrder="1"/>
    </xf>
    <xf numFmtId="2" fontId="23" fillId="4" borderId="25" xfId="0" applyNumberFormat="1" applyFont="1" applyFill="1" applyBorder="1" applyAlignment="1">
      <alignment horizontal="right" vertical="center" readingOrder="1"/>
    </xf>
    <xf numFmtId="0" fontId="24" fillId="4" borderId="8" xfId="0" applyFont="1" applyFill="1" applyBorder="1" applyAlignment="1">
      <alignment horizontal="center" vertical="center" readingOrder="1"/>
    </xf>
    <xf numFmtId="0" fontId="19" fillId="5" borderId="68" xfId="0" applyFont="1" applyFill="1" applyBorder="1" applyAlignment="1">
      <alignment horizontal="center" vertical="center" readingOrder="1"/>
    </xf>
    <xf numFmtId="0" fontId="19" fillId="5" borderId="8" xfId="0" applyFont="1" applyFill="1" applyBorder="1" applyAlignment="1">
      <alignment horizontal="center" vertical="center" readingOrder="1"/>
    </xf>
    <xf numFmtId="165" fontId="38" fillId="5" borderId="8" xfId="0" applyNumberFormat="1" applyFont="1" applyFill="1" applyBorder="1" applyAlignment="1">
      <alignment horizontal="center" vertical="center" readingOrder="1"/>
    </xf>
    <xf numFmtId="0" fontId="2" fillId="0" borderId="8" xfId="1" applyBorder="1" applyAlignment="1">
      <alignment horizontal="center" vertical="center" readingOrder="1"/>
    </xf>
    <xf numFmtId="0" fontId="7" fillId="0" borderId="17" xfId="0" applyFont="1" applyBorder="1" applyAlignment="1">
      <alignment horizontal="center" vertical="center" readingOrder="1"/>
    </xf>
    <xf numFmtId="0" fontId="24" fillId="4" borderId="33" xfId="0" applyFont="1" applyFill="1" applyBorder="1" applyAlignment="1">
      <alignment vertical="center" readingOrder="1"/>
    </xf>
    <xf numFmtId="0" fontId="24" fillId="4" borderId="34" xfId="0" applyFont="1" applyFill="1" applyBorder="1" applyAlignment="1">
      <alignment vertical="center" readingOrder="1"/>
    </xf>
    <xf numFmtId="0" fontId="24" fillId="5" borderId="9" xfId="0" applyFont="1" applyFill="1" applyBorder="1" applyAlignment="1">
      <alignment vertical="center" readingOrder="1"/>
    </xf>
    <xf numFmtId="0" fontId="24" fillId="5" borderId="7" xfId="0" applyFont="1" applyFill="1" applyBorder="1" applyAlignment="1">
      <alignment vertical="center" readingOrder="1"/>
    </xf>
    <xf numFmtId="0" fontId="24" fillId="4" borderId="9" xfId="0" applyFont="1" applyFill="1" applyBorder="1" applyAlignment="1">
      <alignment vertical="center" readingOrder="1"/>
    </xf>
    <xf numFmtId="0" fontId="24" fillId="4" borderId="7" xfId="0" applyFont="1" applyFill="1" applyBorder="1" applyAlignment="1">
      <alignment vertical="center" readingOrder="1"/>
    </xf>
    <xf numFmtId="1" fontId="24" fillId="4" borderId="33" xfId="0" applyNumberFormat="1" applyFont="1" applyFill="1" applyBorder="1" applyAlignment="1">
      <alignment vertical="center" readingOrder="1"/>
    </xf>
    <xf numFmtId="0" fontId="24" fillId="4" borderId="49" xfId="0" applyFont="1" applyFill="1" applyBorder="1" applyAlignment="1">
      <alignment vertical="center" readingOrder="1"/>
    </xf>
    <xf numFmtId="1" fontId="24" fillId="5" borderId="9" xfId="0" applyNumberFormat="1" applyFont="1" applyFill="1" applyBorder="1" applyAlignment="1">
      <alignment vertical="center" readingOrder="1"/>
    </xf>
    <xf numFmtId="0" fontId="24" fillId="5" borderId="13" xfId="0" applyFont="1" applyFill="1" applyBorder="1" applyAlignment="1">
      <alignment vertical="center" readingOrder="1"/>
    </xf>
    <xf numFmtId="0" fontId="24" fillId="4" borderId="13" xfId="0" applyFont="1" applyFill="1" applyBorder="1" applyAlignment="1">
      <alignment vertical="center" readingOrder="1"/>
    </xf>
    <xf numFmtId="1" fontId="24" fillId="4" borderId="9" xfId="0" applyNumberFormat="1" applyFont="1" applyFill="1" applyBorder="1" applyAlignment="1">
      <alignment vertical="center" readingOrder="1"/>
    </xf>
    <xf numFmtId="0" fontId="0" fillId="2" borderId="0" xfId="0" applyFill="1" applyAlignment="1">
      <alignment horizontal="center" vertical="center" readingOrder="1"/>
    </xf>
    <xf numFmtId="0" fontId="7" fillId="0" borderId="4" xfId="0" applyFont="1" applyBorder="1" applyAlignment="1">
      <alignment horizontal="center" vertical="center"/>
    </xf>
    <xf numFmtId="0" fontId="7" fillId="0" borderId="55" xfId="0" applyFont="1" applyBorder="1" applyAlignment="1">
      <alignment horizontal="center" vertical="center"/>
    </xf>
    <xf numFmtId="0" fontId="7" fillId="0" borderId="2" xfId="0" applyFont="1" applyBorder="1" applyAlignment="1">
      <alignment horizontal="center" vertical="center"/>
    </xf>
    <xf numFmtId="0" fontId="7" fillId="4" borderId="8" xfId="0" applyFont="1" applyFill="1" applyBorder="1" applyAlignment="1">
      <alignment horizontal="center" vertical="center" wrapText="1"/>
    </xf>
    <xf numFmtId="0" fontId="7" fillId="4" borderId="8" xfId="0" applyFont="1" applyFill="1" applyBorder="1" applyAlignment="1">
      <alignment horizontal="center" vertical="center"/>
    </xf>
    <xf numFmtId="0" fontId="11" fillId="2" borderId="8" xfId="0" applyFont="1" applyFill="1" applyBorder="1" applyAlignment="1">
      <alignment horizontal="center" vertical="center" readingOrder="1"/>
    </xf>
    <xf numFmtId="0" fontId="7" fillId="0" borderId="19" xfId="0" applyFont="1" applyBorder="1" applyAlignment="1">
      <alignment horizontal="center" vertical="center" wrapText="1"/>
    </xf>
    <xf numFmtId="0" fontId="7" fillId="0" borderId="17" xfId="0" applyFont="1" applyBorder="1" applyAlignment="1">
      <alignment horizontal="center" vertical="center"/>
    </xf>
    <xf numFmtId="0" fontId="7" fillId="0" borderId="39" xfId="0" applyFont="1" applyBorder="1" applyAlignment="1">
      <alignment horizontal="center" vertical="center"/>
    </xf>
    <xf numFmtId="0" fontId="7" fillId="0" borderId="19" xfId="0" applyFont="1" applyBorder="1" applyAlignment="1">
      <alignment horizontal="center" vertical="center"/>
    </xf>
    <xf numFmtId="2" fontId="46" fillId="2" borderId="11" xfId="0" applyNumberFormat="1" applyFont="1" applyFill="1" applyBorder="1" applyAlignment="1">
      <alignment horizontal="center" vertical="center" wrapText="1" readingOrder="1"/>
    </xf>
    <xf numFmtId="1" fontId="46" fillId="2" borderId="11" xfId="0" applyNumberFormat="1" applyFont="1" applyFill="1" applyBorder="1" applyAlignment="1">
      <alignment horizontal="center" vertical="center" textRotation="180" wrapText="1" readingOrder="1"/>
    </xf>
    <xf numFmtId="1" fontId="46" fillId="2" borderId="21" xfId="0" applyNumberFormat="1" applyFont="1" applyFill="1" applyBorder="1" applyAlignment="1">
      <alignment horizontal="center" vertical="center" textRotation="180" wrapText="1" readingOrder="1"/>
    </xf>
    <xf numFmtId="0" fontId="46" fillId="3" borderId="27" xfId="0" applyFont="1" applyFill="1" applyBorder="1" applyAlignment="1">
      <alignment horizontal="center" vertical="center" wrapText="1" readingOrder="1"/>
    </xf>
    <xf numFmtId="0" fontId="46" fillId="3" borderId="23" xfId="0" applyFont="1" applyFill="1" applyBorder="1" applyAlignment="1">
      <alignment horizontal="center" vertical="center" wrapText="1" readingOrder="1"/>
    </xf>
    <xf numFmtId="0" fontId="46" fillId="3" borderId="24" xfId="0" applyFont="1" applyFill="1" applyBorder="1" applyAlignment="1">
      <alignment horizontal="center" vertical="center" wrapText="1" readingOrder="1"/>
    </xf>
    <xf numFmtId="164" fontId="46" fillId="3" borderId="24" xfId="0" applyNumberFormat="1" applyFont="1" applyFill="1" applyBorder="1" applyAlignment="1">
      <alignment horizontal="center" vertical="center" wrapText="1" readingOrder="1"/>
    </xf>
    <xf numFmtId="0" fontId="46" fillId="3" borderId="25" xfId="0" applyFont="1" applyFill="1" applyBorder="1" applyAlignment="1">
      <alignment horizontal="center" vertical="center" wrapText="1" readingOrder="1"/>
    </xf>
    <xf numFmtId="0" fontId="46" fillId="2" borderId="8" xfId="0" applyFont="1" applyFill="1" applyBorder="1" applyAlignment="1">
      <alignment horizontal="center" vertical="center" wrapText="1" readingOrder="1"/>
    </xf>
    <xf numFmtId="0" fontId="46" fillId="2" borderId="23" xfId="0" applyFont="1" applyFill="1" applyBorder="1" applyAlignment="1">
      <alignment horizontal="center" vertical="center" wrapText="1" readingOrder="1"/>
    </xf>
    <xf numFmtId="0" fontId="46" fillId="2" borderId="24" xfId="0" applyFont="1" applyFill="1" applyBorder="1" applyAlignment="1">
      <alignment horizontal="center" vertical="center" wrapText="1" readingOrder="1"/>
    </xf>
    <xf numFmtId="165" fontId="46" fillId="2" borderId="24" xfId="0" applyNumberFormat="1" applyFont="1" applyFill="1" applyBorder="1" applyAlignment="1">
      <alignment horizontal="center" vertical="center" wrapText="1" readingOrder="1"/>
    </xf>
    <xf numFmtId="0" fontId="46" fillId="2" borderId="25" xfId="0" applyFont="1" applyFill="1" applyBorder="1" applyAlignment="1">
      <alignment horizontal="center" vertical="center" readingOrder="1"/>
    </xf>
    <xf numFmtId="2" fontId="46" fillId="3" borderId="27" xfId="0" applyNumberFormat="1" applyFont="1" applyFill="1" applyBorder="1" applyAlignment="1">
      <alignment horizontal="center" vertical="center" wrapText="1" readingOrder="1"/>
    </xf>
    <xf numFmtId="2" fontId="46" fillId="3" borderId="23" xfId="0" applyNumberFormat="1" applyFont="1" applyFill="1" applyBorder="1" applyAlignment="1">
      <alignment horizontal="center" vertical="center" wrapText="1" readingOrder="1"/>
    </xf>
    <xf numFmtId="2" fontId="46" fillId="3" borderId="24" xfId="0" applyNumberFormat="1" applyFont="1" applyFill="1" applyBorder="1" applyAlignment="1">
      <alignment horizontal="center" vertical="center" wrapText="1" readingOrder="1"/>
    </xf>
    <xf numFmtId="11" fontId="46" fillId="3" borderId="25" xfId="0" applyNumberFormat="1" applyFont="1" applyFill="1" applyBorder="1" applyAlignment="1">
      <alignment horizontal="center" vertical="center" wrapText="1" readingOrder="1"/>
    </xf>
    <xf numFmtId="0" fontId="46" fillId="2" borderId="27" xfId="0" applyFont="1" applyFill="1" applyBorder="1" applyAlignment="1">
      <alignment horizontal="center" vertical="center" wrapText="1" readingOrder="1"/>
    </xf>
    <xf numFmtId="0" fontId="46" fillId="2" borderId="23" xfId="0" applyFont="1" applyFill="1" applyBorder="1" applyAlignment="1">
      <alignment horizontal="center" vertical="center" readingOrder="1"/>
    </xf>
    <xf numFmtId="0" fontId="46" fillId="2" borderId="24" xfId="0" applyNumberFormat="1" applyFont="1" applyFill="1" applyBorder="1" applyAlignment="1">
      <alignment horizontal="center" vertical="center" wrapText="1" readingOrder="1"/>
    </xf>
    <xf numFmtId="0" fontId="11" fillId="2" borderId="21" xfId="0" applyFont="1" applyFill="1" applyBorder="1" applyAlignment="1">
      <alignment horizontal="center" vertical="center" wrapText="1" readingOrder="1"/>
    </xf>
    <xf numFmtId="0" fontId="46" fillId="3" borderId="27" xfId="0" applyFont="1" applyFill="1" applyBorder="1" applyAlignment="1">
      <alignment horizontal="center" vertical="center" readingOrder="1"/>
    </xf>
    <xf numFmtId="2" fontId="46" fillId="6" borderId="26" xfId="0" applyNumberFormat="1" applyFont="1" applyFill="1" applyBorder="1" applyAlignment="1">
      <alignment horizontal="center" vertical="center" wrapText="1" readingOrder="1"/>
    </xf>
    <xf numFmtId="2" fontId="46" fillId="6" borderId="23" xfId="0" applyNumberFormat="1" applyFont="1" applyFill="1" applyBorder="1" applyAlignment="1">
      <alignment horizontal="center" vertical="center" wrapText="1" readingOrder="1"/>
    </xf>
    <xf numFmtId="2" fontId="46" fillId="6" borderId="25" xfId="0" applyNumberFormat="1" applyFont="1" applyFill="1" applyBorder="1" applyAlignment="1">
      <alignment horizontal="center" vertical="center" wrapText="1" readingOrder="1"/>
    </xf>
    <xf numFmtId="0" fontId="46" fillId="2" borderId="26" xfId="0" applyFont="1" applyFill="1" applyBorder="1" applyAlignment="1">
      <alignment horizontal="center" vertical="center" wrapText="1" readingOrder="1"/>
    </xf>
    <xf numFmtId="0" fontId="46" fillId="2" borderId="48" xfId="0" applyFont="1" applyFill="1" applyBorder="1" applyAlignment="1">
      <alignment horizontal="center" vertical="center" wrapText="1" readingOrder="1"/>
    </xf>
    <xf numFmtId="0" fontId="11" fillId="3" borderId="15" xfId="0" applyFont="1" applyFill="1" applyBorder="1" applyAlignment="1">
      <alignment horizontal="center" vertical="center" readingOrder="1"/>
    </xf>
    <xf numFmtId="0" fontId="11" fillId="3" borderId="7" xfId="0" applyFont="1" applyFill="1" applyBorder="1" applyAlignment="1">
      <alignment horizontal="center" vertical="center" readingOrder="1"/>
    </xf>
    <xf numFmtId="0" fontId="11" fillId="3" borderId="8" xfId="0" applyFont="1" applyFill="1" applyBorder="1" applyAlignment="1">
      <alignment horizontal="center" vertical="center" readingOrder="1"/>
    </xf>
    <xf numFmtId="2" fontId="7" fillId="0" borderId="30" xfId="0" applyNumberFormat="1" applyFont="1" applyBorder="1" applyAlignment="1">
      <alignment horizontal="center" vertical="center"/>
    </xf>
    <xf numFmtId="1" fontId="7" fillId="0" borderId="30" xfId="0" applyNumberFormat="1" applyFont="1" applyBorder="1" applyAlignment="1">
      <alignment horizontal="center" vertical="center"/>
    </xf>
    <xf numFmtId="1" fontId="7" fillId="0" borderId="28" xfId="0" applyNumberFormat="1" applyFont="1" applyBorder="1" applyAlignment="1">
      <alignment horizontal="center" vertical="center"/>
    </xf>
    <xf numFmtId="165" fontId="7" fillId="0" borderId="2" xfId="0" applyNumberFormat="1" applyFont="1" applyBorder="1" applyAlignment="1">
      <alignment horizontal="center" vertical="center"/>
    </xf>
    <xf numFmtId="0" fontId="7" fillId="0" borderId="28" xfId="0" applyFont="1" applyBorder="1" applyAlignment="1">
      <alignment horizontal="center" vertical="center" wrapText="1"/>
    </xf>
    <xf numFmtId="2" fontId="7" fillId="0" borderId="2" xfId="0" applyNumberFormat="1" applyFont="1" applyBorder="1" applyAlignment="1">
      <alignment horizontal="center" vertical="center"/>
    </xf>
    <xf numFmtId="0" fontId="7" fillId="0" borderId="28" xfId="0" applyFont="1" applyBorder="1" applyAlignment="1">
      <alignment horizontal="center" vertical="center"/>
    </xf>
    <xf numFmtId="2" fontId="7" fillId="0" borderId="19" xfId="0" applyNumberFormat="1" applyFont="1" applyBorder="1" applyAlignment="1">
      <alignment horizontal="center" vertical="center"/>
    </xf>
    <xf numFmtId="2" fontId="7" fillId="0" borderId="20" xfId="0" applyNumberFormat="1" applyFont="1" applyBorder="1" applyAlignment="1">
      <alignment horizontal="center" vertical="center"/>
    </xf>
    <xf numFmtId="0" fontId="49" fillId="0" borderId="15" xfId="0" applyFont="1" applyBorder="1" applyAlignment="1">
      <alignment horizontal="center" vertical="center"/>
    </xf>
    <xf numFmtId="11" fontId="7" fillId="0" borderId="16" xfId="0" applyNumberFormat="1" applyFont="1" applyBorder="1" applyAlignment="1">
      <alignment horizontal="center" vertical="center" wrapText="1"/>
    </xf>
    <xf numFmtId="11" fontId="7" fillId="0" borderId="8" xfId="0" applyNumberFormat="1" applyFont="1" applyBorder="1" applyAlignment="1">
      <alignment horizontal="center" vertical="center"/>
    </xf>
    <xf numFmtId="2" fontId="7" fillId="0" borderId="39" xfId="0" applyNumberFormat="1" applyFont="1" applyBorder="1" applyAlignment="1">
      <alignment horizontal="center" vertical="center"/>
    </xf>
    <xf numFmtId="2" fontId="7" fillId="0" borderId="36" xfId="0" applyNumberFormat="1" applyFont="1" applyBorder="1" applyAlignment="1">
      <alignment horizontal="center" vertical="center"/>
    </xf>
    <xf numFmtId="2" fontId="7" fillId="0" borderId="15" xfId="0" applyNumberFormat="1" applyFont="1" applyBorder="1" applyAlignment="1">
      <alignment horizontal="center" vertical="center"/>
    </xf>
    <xf numFmtId="1" fontId="7" fillId="0" borderId="11" xfId="0" applyNumberFormat="1" applyFont="1" applyBorder="1" applyAlignment="1">
      <alignment horizontal="center" vertical="center"/>
    </xf>
    <xf numFmtId="1" fontId="7" fillId="0" borderId="2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10" xfId="0" applyFont="1" applyBorder="1" applyAlignment="1">
      <alignment horizontal="center" vertical="center"/>
    </xf>
    <xf numFmtId="0" fontId="7" fillId="0" borderId="21" xfId="0" applyFont="1" applyBorder="1" applyAlignment="1">
      <alignment horizontal="center" vertical="center"/>
    </xf>
    <xf numFmtId="165" fontId="7" fillId="0" borderId="55" xfId="0" applyNumberFormat="1" applyFont="1" applyBorder="1" applyAlignment="1">
      <alignment horizontal="center" vertical="center"/>
    </xf>
    <xf numFmtId="0" fontId="7" fillId="0" borderId="4" xfId="0" applyNumberFormat="1" applyFont="1" applyBorder="1" applyAlignment="1">
      <alignment horizontal="center" vertical="center"/>
    </xf>
    <xf numFmtId="11" fontId="7" fillId="0" borderId="21" xfId="0" applyNumberFormat="1" applyFont="1" applyBorder="1" applyAlignment="1">
      <alignment horizontal="center" vertical="center" wrapText="1"/>
    </xf>
    <xf numFmtId="2" fontId="7" fillId="0" borderId="17" xfId="0" applyNumberFormat="1" applyFont="1" applyBorder="1" applyAlignment="1">
      <alignment horizontal="center" vertical="center"/>
    </xf>
    <xf numFmtId="2" fontId="7" fillId="0" borderId="21" xfId="0" applyNumberFormat="1" applyFont="1" applyBorder="1" applyAlignment="1">
      <alignment horizontal="center" vertical="center"/>
    </xf>
    <xf numFmtId="0" fontId="7" fillId="0" borderId="3" xfId="0" applyFont="1" applyBorder="1" applyAlignment="1">
      <alignment horizontal="center" vertical="center"/>
    </xf>
    <xf numFmtId="165" fontId="7" fillId="0" borderId="9" xfId="0" applyNumberFormat="1" applyFont="1" applyBorder="1" applyAlignment="1">
      <alignment horizontal="center" vertical="center"/>
    </xf>
    <xf numFmtId="1" fontId="7" fillId="0" borderId="6" xfId="0" applyNumberFormat="1" applyFont="1" applyBorder="1" applyAlignment="1">
      <alignment horizontal="center" vertical="center" wrapText="1" readingOrder="1"/>
    </xf>
    <xf numFmtId="1" fontId="7" fillId="0" borderId="20" xfId="0" applyNumberFormat="1" applyFont="1" applyBorder="1" applyAlignment="1">
      <alignment horizontal="center" vertical="center" wrapText="1" readingOrder="1"/>
    </xf>
    <xf numFmtId="165" fontId="7" fillId="0" borderId="6" xfId="0" applyNumberFormat="1" applyFont="1" applyBorder="1" applyAlignment="1">
      <alignment horizontal="center" vertical="center"/>
    </xf>
    <xf numFmtId="0" fontId="7" fillId="0" borderId="20" xfId="0" applyFont="1" applyBorder="1" applyAlignment="1">
      <alignment horizontal="center" vertical="center" wrapText="1"/>
    </xf>
    <xf numFmtId="1" fontId="7" fillId="0" borderId="8" xfId="0" applyNumberFormat="1" applyFont="1" applyBorder="1" applyAlignment="1">
      <alignment horizontal="center" vertical="center" wrapText="1" readingOrder="1"/>
    </xf>
    <xf numFmtId="1" fontId="7" fillId="0" borderId="16" xfId="0" applyNumberFormat="1" applyFont="1" applyBorder="1" applyAlignment="1">
      <alignment horizontal="center" vertical="center" wrapText="1" readingOrder="1"/>
    </xf>
    <xf numFmtId="1" fontId="7" fillId="0" borderId="8" xfId="0" applyNumberFormat="1" applyFont="1" applyBorder="1" applyAlignment="1">
      <alignment horizontal="center" vertical="center" wrapText="1"/>
    </xf>
    <xf numFmtId="1" fontId="7" fillId="0" borderId="16" xfId="0" applyNumberFormat="1" applyFont="1" applyBorder="1" applyAlignment="1">
      <alignment horizontal="center" vertical="center" wrapText="1"/>
    </xf>
    <xf numFmtId="2" fontId="7" fillId="0" borderId="1" xfId="0" applyNumberFormat="1" applyFont="1" applyBorder="1" applyAlignment="1">
      <alignment horizontal="center" vertical="center"/>
    </xf>
    <xf numFmtId="166" fontId="7" fillId="0" borderId="6" xfId="0" applyNumberFormat="1" applyFont="1" applyBorder="1" applyAlignment="1">
      <alignment horizontal="center" vertical="center"/>
    </xf>
    <xf numFmtId="1" fontId="7" fillId="0" borderId="16" xfId="0" applyNumberFormat="1" applyFont="1" applyBorder="1" applyAlignment="1">
      <alignment horizontal="center" vertical="center" readingOrder="1"/>
    </xf>
    <xf numFmtId="164" fontId="7" fillId="0" borderId="2" xfId="0" applyNumberFormat="1" applyFont="1" applyBorder="1" applyAlignment="1">
      <alignment horizontal="center" vertical="center" wrapText="1" readingOrder="1"/>
    </xf>
    <xf numFmtId="0" fontId="7" fillId="0" borderId="5" xfId="0" applyFont="1" applyBorder="1" applyAlignment="1">
      <alignment horizontal="center" vertical="center" readingOrder="1"/>
    </xf>
    <xf numFmtId="2" fontId="7" fillId="0" borderId="6" xfId="0" applyNumberFormat="1" applyFont="1" applyBorder="1" applyAlignment="1">
      <alignment horizontal="center" vertical="center" readingOrder="1"/>
    </xf>
    <xf numFmtId="164" fontId="7" fillId="0" borderId="9" xfId="0" applyNumberFormat="1" applyFont="1" applyBorder="1" applyAlignment="1">
      <alignment horizontal="center" vertical="center" wrapText="1" readingOrder="1"/>
    </xf>
    <xf numFmtId="0" fontId="19" fillId="0" borderId="8" xfId="0" applyFont="1" applyBorder="1" applyAlignment="1">
      <alignment horizontal="center" vertical="center" wrapText="1" readingOrder="1"/>
    </xf>
    <xf numFmtId="0" fontId="19" fillId="0" borderId="6" xfId="0" applyFont="1" applyBorder="1" applyAlignment="1">
      <alignment horizontal="center" vertical="center" wrapText="1" readingOrder="1"/>
    </xf>
    <xf numFmtId="167" fontId="7" fillId="0" borderId="8" xfId="0" applyNumberFormat="1" applyFont="1" applyBorder="1" applyAlignment="1">
      <alignment horizontal="center" vertical="center"/>
    </xf>
    <xf numFmtId="2" fontId="7" fillId="0" borderId="7" xfId="0" applyNumberFormat="1" applyFont="1" applyBorder="1" applyAlignment="1">
      <alignment horizontal="center" vertical="center"/>
    </xf>
    <xf numFmtId="2" fontId="7" fillId="0" borderId="64" xfId="0" applyNumberFormat="1" applyFont="1" applyBorder="1" applyAlignment="1">
      <alignment horizontal="center" vertical="center"/>
    </xf>
    <xf numFmtId="0" fontId="7" fillId="0" borderId="26" xfId="0" applyFont="1" applyBorder="1" applyAlignment="1">
      <alignment horizontal="center" vertical="center"/>
    </xf>
    <xf numFmtId="0" fontId="7" fillId="0" borderId="23" xfId="0" applyFont="1" applyBorder="1" applyAlignment="1">
      <alignment horizontal="center" vertical="center"/>
    </xf>
    <xf numFmtId="0" fontId="7" fillId="0" borderId="25" xfId="0" applyFont="1" applyBorder="1" applyAlignment="1">
      <alignment horizontal="center" vertical="center"/>
    </xf>
    <xf numFmtId="2" fontId="7" fillId="0" borderId="23" xfId="0" applyNumberFormat="1" applyFont="1" applyBorder="1" applyAlignment="1">
      <alignment horizontal="center" vertical="center"/>
    </xf>
    <xf numFmtId="2" fontId="7" fillId="0" borderId="25" xfId="0" applyNumberFormat="1" applyFont="1" applyBorder="1" applyAlignment="1">
      <alignment horizontal="center" vertical="center"/>
    </xf>
    <xf numFmtId="0" fontId="7" fillId="0" borderId="40" xfId="0" applyFont="1" applyBorder="1" applyAlignment="1">
      <alignment horizontal="center" vertical="center" wrapText="1"/>
    </xf>
    <xf numFmtId="0" fontId="19" fillId="0" borderId="41" xfId="0" applyFont="1" applyBorder="1" applyAlignment="1">
      <alignment horizontal="center" vertical="center"/>
    </xf>
    <xf numFmtId="0" fontId="7" fillId="0" borderId="59" xfId="0" applyFont="1" applyBorder="1" applyAlignment="1">
      <alignment horizontal="center" vertical="center"/>
    </xf>
    <xf numFmtId="0" fontId="11" fillId="0" borderId="12" xfId="0" applyFont="1" applyFill="1" applyBorder="1" applyAlignment="1">
      <alignment horizontal="center" vertical="center" readingOrder="1"/>
    </xf>
    <xf numFmtId="0" fontId="11" fillId="0" borderId="55" xfId="0" applyFont="1" applyFill="1" applyBorder="1" applyAlignment="1">
      <alignment horizontal="center" vertical="center" readingOrder="1"/>
    </xf>
    <xf numFmtId="0" fontId="7" fillId="0" borderId="49" xfId="0" applyFont="1" applyBorder="1" applyAlignment="1">
      <alignment horizontal="center" vertical="center"/>
    </xf>
    <xf numFmtId="0" fontId="7" fillId="4" borderId="6" xfId="0" applyFont="1" applyFill="1" applyBorder="1" applyAlignment="1">
      <alignment horizontal="center" vertical="center" wrapText="1" readingOrder="1"/>
    </xf>
    <xf numFmtId="0" fontId="7" fillId="0" borderId="6" xfId="0" applyFont="1" applyFill="1" applyBorder="1" applyAlignment="1">
      <alignment horizontal="center" vertical="center" wrapText="1" readingOrder="1"/>
    </xf>
    <xf numFmtId="0" fontId="7" fillId="0" borderId="6" xfId="0" applyFont="1" applyBorder="1" applyAlignment="1">
      <alignment horizontal="center" vertical="center" wrapText="1" readingOrder="1"/>
    </xf>
    <xf numFmtId="0" fontId="7" fillId="0" borderId="6" xfId="0" applyFont="1" applyFill="1" applyBorder="1" applyAlignment="1">
      <alignment horizontal="center" vertical="center" readingOrder="1"/>
    </xf>
    <xf numFmtId="0" fontId="7" fillId="4" borderId="6" xfId="0" applyFont="1" applyFill="1" applyBorder="1" applyAlignment="1">
      <alignment horizontal="center" vertical="center" readingOrder="1"/>
    </xf>
    <xf numFmtId="1" fontId="46" fillId="2" borderId="23" xfId="0" applyNumberFormat="1" applyFont="1" applyFill="1" applyBorder="1" applyAlignment="1">
      <alignment horizontal="center" vertical="center" textRotation="180" wrapText="1" readingOrder="1"/>
    </xf>
    <xf numFmtId="1" fontId="46" fillId="2" borderId="25" xfId="0" applyNumberFormat="1" applyFont="1" applyFill="1" applyBorder="1" applyAlignment="1">
      <alignment horizontal="center" vertical="center" textRotation="180" wrapText="1" readingOrder="1"/>
    </xf>
    <xf numFmtId="3" fontId="11" fillId="2" borderId="11" xfId="0" applyNumberFormat="1" applyFont="1" applyFill="1" applyBorder="1" applyAlignment="1">
      <alignment horizontal="center" vertical="center" wrapText="1" readingOrder="1"/>
    </xf>
    <xf numFmtId="11" fontId="11" fillId="3" borderId="32" xfId="1" applyNumberFormat="1" applyFont="1" applyFill="1" applyBorder="1" applyAlignment="1">
      <alignment horizontal="center" vertical="center" wrapText="1" readingOrder="1"/>
    </xf>
    <xf numFmtId="0" fontId="11" fillId="2" borderId="55" xfId="0" applyFont="1" applyFill="1" applyBorder="1" applyAlignment="1">
      <alignment horizontal="center" vertical="center" wrapText="1" readingOrder="1"/>
    </xf>
    <xf numFmtId="1" fontId="11" fillId="2" borderId="55" xfId="0" applyNumberFormat="1" applyFont="1" applyFill="1" applyBorder="1" applyAlignment="1">
      <alignment horizontal="center" vertical="center" wrapText="1" readingOrder="1"/>
    </xf>
    <xf numFmtId="0" fontId="11" fillId="2" borderId="24" xfId="0" applyFont="1" applyFill="1" applyBorder="1" applyAlignment="1">
      <alignment horizontal="center" vertical="center" wrapText="1" readingOrder="1"/>
    </xf>
    <xf numFmtId="0" fontId="46" fillId="6" borderId="10" xfId="0" applyFont="1" applyFill="1" applyBorder="1" applyAlignment="1">
      <alignment horizontal="center" vertical="center" wrapText="1" readingOrder="1"/>
    </xf>
    <xf numFmtId="0" fontId="46" fillId="6" borderId="11" xfId="0" applyFont="1" applyFill="1" applyBorder="1" applyAlignment="1">
      <alignment horizontal="center" vertical="center" wrapText="1" readingOrder="1"/>
    </xf>
    <xf numFmtId="1" fontId="46" fillId="6" borderId="21" xfId="0" applyNumberFormat="1" applyFont="1" applyFill="1" applyBorder="1" applyAlignment="1">
      <alignment horizontal="center" vertical="center" wrapText="1" readingOrder="1"/>
    </xf>
    <xf numFmtId="0" fontId="11" fillId="3" borderId="9" xfId="0" applyFont="1" applyFill="1" applyBorder="1" applyAlignment="1">
      <alignment horizontal="center" vertical="center" wrapText="1" readingOrder="1"/>
    </xf>
    <xf numFmtId="1" fontId="7" fillId="0" borderId="34" xfId="0" applyNumberFormat="1" applyFont="1" applyBorder="1" applyAlignment="1">
      <alignment horizontal="center" vertical="center" readingOrder="1"/>
    </xf>
    <xf numFmtId="1" fontId="7" fillId="0" borderId="33" xfId="0" applyNumberFormat="1" applyFont="1" applyBorder="1" applyAlignment="1">
      <alignment horizontal="center" vertical="center" readingOrder="1"/>
    </xf>
    <xf numFmtId="0" fontId="7" fillId="0" borderId="30" xfId="0" applyFont="1" applyBorder="1" applyAlignment="1">
      <alignment horizontal="center" vertical="center" wrapText="1" readingOrder="1"/>
    </xf>
    <xf numFmtId="0" fontId="7" fillId="0" borderId="28" xfId="0" applyFont="1" applyBorder="1" applyAlignment="1">
      <alignment horizontal="center" vertical="center" readingOrder="1"/>
    </xf>
    <xf numFmtId="3" fontId="7" fillId="0" borderId="8" xfId="0" applyNumberFormat="1" applyFont="1" applyBorder="1" applyAlignment="1">
      <alignment horizontal="center" vertical="center"/>
    </xf>
    <xf numFmtId="11" fontId="7" fillId="0" borderId="30" xfId="0" applyNumberFormat="1" applyFont="1" applyBorder="1" applyAlignment="1">
      <alignment horizontal="center" vertical="center" readingOrder="1"/>
    </xf>
    <xf numFmtId="11" fontId="7" fillId="0" borderId="6" xfId="0" applyNumberFormat="1" applyFont="1" applyBorder="1" applyAlignment="1">
      <alignment horizontal="center" vertical="center" readingOrder="1"/>
    </xf>
    <xf numFmtId="4" fontId="7" fillId="0" borderId="30" xfId="0" applyNumberFormat="1" applyFont="1" applyBorder="1" applyAlignment="1">
      <alignment horizontal="center" vertical="center" readingOrder="1"/>
    </xf>
    <xf numFmtId="3" fontId="11" fillId="0" borderId="30" xfId="0" applyNumberFormat="1" applyFont="1" applyBorder="1" applyAlignment="1">
      <alignment horizontal="center" vertical="center" readingOrder="1"/>
    </xf>
    <xf numFmtId="3" fontId="11" fillId="0" borderId="20" xfId="0" applyNumberFormat="1" applyFont="1" applyFill="1" applyBorder="1" applyAlignment="1">
      <alignment horizontal="center" vertical="center" readingOrder="1"/>
    </xf>
    <xf numFmtId="0" fontId="7" fillId="0" borderId="34" xfId="0" applyFont="1" applyBorder="1" applyAlignment="1">
      <alignment horizontal="center" vertical="center" wrapText="1" readingOrder="1"/>
    </xf>
    <xf numFmtId="11" fontId="7" fillId="0" borderId="33" xfId="0" applyNumberFormat="1" applyFont="1" applyBorder="1" applyAlignment="1">
      <alignment horizontal="center" vertical="center" readingOrder="1"/>
    </xf>
    <xf numFmtId="0" fontId="0" fillId="0" borderId="8" xfId="0" applyFont="1" applyBorder="1" applyAlignment="1">
      <alignment horizontal="center" vertical="center"/>
    </xf>
    <xf numFmtId="0" fontId="0" fillId="0" borderId="7" xfId="0" applyFont="1" applyBorder="1" applyAlignment="1">
      <alignment horizontal="center" vertical="center"/>
    </xf>
    <xf numFmtId="0" fontId="0" fillId="0" borderId="9" xfId="0" applyFont="1" applyBorder="1" applyAlignment="1">
      <alignment horizontal="center" vertical="center"/>
    </xf>
    <xf numFmtId="3" fontId="11" fillId="0" borderId="16" xfId="0" applyNumberFormat="1" applyFont="1" applyFill="1" applyBorder="1" applyAlignment="1">
      <alignment horizontal="center" vertical="center" readingOrder="1"/>
    </xf>
    <xf numFmtId="1" fontId="7" fillId="0" borderId="9" xfId="0" applyNumberFormat="1" applyFont="1" applyBorder="1" applyAlignment="1">
      <alignment horizontal="center" vertical="center" readingOrder="1"/>
    </xf>
    <xf numFmtId="11" fontId="7" fillId="0" borderId="9" xfId="0" applyNumberFormat="1" applyFont="1" applyBorder="1" applyAlignment="1">
      <alignment horizontal="center" vertical="center" readingOrder="1"/>
    </xf>
    <xf numFmtId="1" fontId="51" fillId="0" borderId="8" xfId="1" applyNumberFormat="1" applyFont="1" applyBorder="1" applyAlignment="1">
      <alignment horizontal="center" vertical="center" readingOrder="1"/>
    </xf>
    <xf numFmtId="1" fontId="7" fillId="0" borderId="7" xfId="1" applyNumberFormat="1" applyFont="1" applyBorder="1" applyAlignment="1">
      <alignment horizontal="center" vertical="center" readingOrder="1"/>
    </xf>
    <xf numFmtId="1" fontId="7" fillId="0" borderId="9" xfId="1" applyNumberFormat="1" applyFont="1" applyBorder="1" applyAlignment="1">
      <alignment horizontal="center" vertical="center" readingOrder="1"/>
    </xf>
    <xf numFmtId="4" fontId="7" fillId="0" borderId="8" xfId="0" applyNumberFormat="1" applyFont="1" applyFill="1" applyBorder="1" applyAlignment="1">
      <alignment horizontal="center" vertical="center" readingOrder="1"/>
    </xf>
    <xf numFmtId="3" fontId="11" fillId="0" borderId="8" xfId="0" applyNumberFormat="1" applyFont="1" applyFill="1" applyBorder="1" applyAlignment="1">
      <alignment horizontal="center" vertical="center" readingOrder="1"/>
    </xf>
    <xf numFmtId="1" fontId="7" fillId="0" borderId="9" xfId="0" applyNumberFormat="1" applyFont="1" applyFill="1" applyBorder="1" applyAlignment="1">
      <alignment horizontal="center" vertical="center" readingOrder="1"/>
    </xf>
    <xf numFmtId="0" fontId="7" fillId="0" borderId="0" xfId="0" applyFont="1" applyFill="1" applyAlignment="1">
      <alignment horizontal="center" vertical="center" readingOrder="1"/>
    </xf>
    <xf numFmtId="3" fontId="7" fillId="0" borderId="8" xfId="0" applyNumberFormat="1" applyFont="1" applyBorder="1" applyAlignment="1">
      <alignment horizontal="center" vertical="center" readingOrder="1"/>
    </xf>
    <xf numFmtId="4" fontId="7" fillId="4" borderId="8" xfId="0" applyNumberFormat="1" applyFont="1" applyFill="1" applyBorder="1" applyAlignment="1">
      <alignment horizontal="center" vertical="center" readingOrder="1"/>
    </xf>
    <xf numFmtId="11" fontId="7" fillId="4" borderId="9" xfId="0" applyNumberFormat="1" applyFont="1" applyFill="1" applyBorder="1" applyAlignment="1">
      <alignment horizontal="center" vertical="center" readingOrder="1"/>
    </xf>
    <xf numFmtId="11" fontId="7" fillId="0" borderId="2" xfId="0" applyNumberFormat="1" applyFont="1" applyBorder="1" applyAlignment="1">
      <alignment horizontal="center" vertical="center" readingOrder="1"/>
    </xf>
    <xf numFmtId="0" fontId="7" fillId="0" borderId="16" xfId="0" applyFont="1" applyBorder="1" applyAlignment="1">
      <alignment horizontal="center" vertical="center" wrapText="1" readingOrder="1"/>
    </xf>
    <xf numFmtId="1" fontId="7" fillId="0" borderId="4" xfId="0" applyNumberFormat="1" applyFont="1" applyBorder="1" applyAlignment="1">
      <alignment horizontal="center" vertical="center" readingOrder="1"/>
    </xf>
    <xf numFmtId="0" fontId="7" fillId="2" borderId="9" xfId="0" applyFont="1" applyFill="1" applyBorder="1" applyAlignment="1">
      <alignment horizontal="left" vertical="top" readingOrder="1"/>
    </xf>
    <xf numFmtId="0" fontId="49" fillId="4" borderId="7" xfId="0" applyFont="1" applyFill="1" applyBorder="1" applyAlignment="1">
      <alignment horizontal="center" vertical="center" wrapText="1" readingOrder="1"/>
    </xf>
    <xf numFmtId="4" fontId="7" fillId="4" borderId="8" xfId="0" applyNumberFormat="1" applyFont="1" applyFill="1" applyBorder="1" applyAlignment="1">
      <alignment horizontal="center" vertical="center" wrapText="1" readingOrder="1"/>
    </xf>
    <xf numFmtId="1" fontId="51" fillId="4" borderId="8" xfId="1" applyNumberFormat="1" applyFont="1" applyFill="1" applyBorder="1" applyAlignment="1">
      <alignment horizontal="center" vertical="center" readingOrder="1"/>
    </xf>
    <xf numFmtId="1" fontId="7" fillId="0" borderId="8" xfId="1" applyNumberFormat="1" applyFont="1" applyBorder="1" applyAlignment="1">
      <alignment horizontal="center" vertical="center" readingOrder="1"/>
    </xf>
    <xf numFmtId="0" fontId="7" fillId="2" borderId="9" xfId="0" applyFont="1" applyFill="1" applyBorder="1" applyAlignment="1">
      <alignment horizontal="left" vertical="top" wrapText="1" readingOrder="1"/>
    </xf>
    <xf numFmtId="3" fontId="7" fillId="0" borderId="0" xfId="0" applyNumberFormat="1" applyFont="1" applyBorder="1" applyAlignment="1">
      <alignment horizontal="center" vertical="center"/>
    </xf>
    <xf numFmtId="0" fontId="6" fillId="5" borderId="0" xfId="0" applyFont="1" applyFill="1" applyAlignment="1">
      <alignment horizontal="center" vertical="center" readingOrder="1"/>
    </xf>
    <xf numFmtId="0" fontId="32" fillId="5" borderId="0" xfId="0" applyFont="1" applyFill="1" applyAlignment="1">
      <alignment horizontal="center" vertical="center" readingOrder="1"/>
    </xf>
    <xf numFmtId="0" fontId="7" fillId="5" borderId="0" xfId="0" applyFont="1" applyFill="1" applyAlignment="1">
      <alignment horizontal="center" vertical="center" readingOrder="1"/>
    </xf>
    <xf numFmtId="0" fontId="7" fillId="5" borderId="0" xfId="0" applyFont="1" applyFill="1" applyBorder="1" applyAlignment="1">
      <alignment horizontal="center" vertical="center"/>
    </xf>
    <xf numFmtId="0" fontId="7" fillId="5" borderId="0" xfId="0" applyFont="1" applyFill="1" applyBorder="1" applyAlignment="1">
      <alignment horizontal="center" vertical="center" readingOrder="1"/>
    </xf>
    <xf numFmtId="1" fontId="7" fillId="5" borderId="0" xfId="0" applyNumberFormat="1" applyFont="1" applyFill="1" applyBorder="1" applyAlignment="1">
      <alignment horizontal="center" vertical="center" readingOrder="1"/>
    </xf>
    <xf numFmtId="0" fontId="6" fillId="9" borderId="0" xfId="0" applyFont="1" applyFill="1" applyAlignment="1">
      <alignment horizontal="center" vertical="center" wrapText="1" readingOrder="1"/>
    </xf>
    <xf numFmtId="0" fontId="32" fillId="9" borderId="0" xfId="0" applyFont="1" applyFill="1" applyAlignment="1">
      <alignment horizontal="center" vertical="center" readingOrder="1"/>
    </xf>
    <xf numFmtId="0" fontId="7" fillId="9" borderId="0" xfId="0" applyFont="1" applyFill="1" applyAlignment="1">
      <alignment horizontal="center" vertical="center" readingOrder="1"/>
    </xf>
    <xf numFmtId="0" fontId="7" fillId="9" borderId="0" xfId="0" applyFont="1" applyFill="1" applyBorder="1" applyAlignment="1">
      <alignment horizontal="center" vertical="center"/>
    </xf>
    <xf numFmtId="0" fontId="7" fillId="9" borderId="0" xfId="0" applyFont="1" applyFill="1" applyBorder="1" applyAlignment="1">
      <alignment horizontal="center" vertical="center" readingOrder="1"/>
    </xf>
    <xf numFmtId="1" fontId="7" fillId="9" borderId="0" xfId="0" applyNumberFormat="1" applyFont="1" applyFill="1" applyBorder="1" applyAlignment="1">
      <alignment horizontal="center" vertical="center" readingOrder="1"/>
    </xf>
    <xf numFmtId="0" fontId="19" fillId="10" borderId="0" xfId="0" applyFont="1" applyFill="1" applyAlignment="1">
      <alignment horizontal="center" vertical="center"/>
    </xf>
    <xf numFmtId="0" fontId="19" fillId="10" borderId="0" xfId="0" applyFont="1" applyFill="1" applyAlignment="1">
      <alignment horizontal="center" vertical="center" wrapText="1"/>
    </xf>
    <xf numFmtId="2" fontId="19" fillId="10" borderId="0" xfId="0" applyNumberFormat="1" applyFont="1" applyFill="1" applyAlignment="1">
      <alignment horizontal="center" vertical="center"/>
    </xf>
    <xf numFmtId="0" fontId="19" fillId="9" borderId="0" xfId="0" applyFont="1" applyFill="1" applyAlignment="1">
      <alignment horizontal="center" vertical="center" wrapText="1"/>
    </xf>
    <xf numFmtId="0" fontId="19" fillId="9" borderId="0" xfId="0" applyFont="1" applyFill="1" applyAlignment="1">
      <alignment horizontal="center" vertical="center"/>
    </xf>
    <xf numFmtId="2" fontId="19" fillId="9" borderId="0" xfId="0" applyNumberFormat="1" applyFont="1" applyFill="1" applyAlignment="1">
      <alignment horizontal="center" vertical="center"/>
    </xf>
    <xf numFmtId="0" fontId="38" fillId="5" borderId="68" xfId="0" applyFont="1" applyFill="1" applyBorder="1" applyAlignment="1">
      <alignment horizontal="center" vertical="center" readingOrder="1"/>
    </xf>
    <xf numFmtId="165" fontId="7" fillId="5" borderId="0" xfId="0" applyNumberFormat="1" applyFont="1" applyFill="1" applyBorder="1" applyAlignment="1">
      <alignment horizontal="center" vertical="center" readingOrder="1"/>
    </xf>
    <xf numFmtId="165" fontId="7" fillId="9" borderId="0" xfId="0" applyNumberFormat="1" applyFont="1" applyFill="1" applyBorder="1" applyAlignment="1">
      <alignment horizontal="center" vertical="center" readingOrder="1"/>
    </xf>
    <xf numFmtId="0" fontId="0" fillId="0" borderId="0" xfId="0" applyAlignment="1">
      <alignment horizontal="center" vertical="center" readingOrder="1"/>
    </xf>
    <xf numFmtId="0" fontId="23" fillId="0" borderId="37" xfId="0" applyFont="1" applyBorder="1" applyAlignment="1">
      <alignment horizontal="center" vertical="center" readingOrder="1"/>
    </xf>
    <xf numFmtId="1" fontId="19" fillId="0" borderId="23" xfId="0" applyNumberFormat="1" applyFont="1" applyBorder="1" applyAlignment="1">
      <alignment horizontal="center" vertical="center" readingOrder="1"/>
    </xf>
    <xf numFmtId="1" fontId="19" fillId="0" borderId="8" xfId="0" applyNumberFormat="1" applyFont="1" applyBorder="1" applyAlignment="1">
      <alignment horizontal="center" vertical="center" readingOrder="1"/>
    </xf>
    <xf numFmtId="2" fontId="7" fillId="0" borderId="59" xfId="0" applyNumberFormat="1" applyFont="1" applyBorder="1" applyAlignment="1">
      <alignment horizontal="center" vertical="center"/>
    </xf>
    <xf numFmtId="2" fontId="7" fillId="0" borderId="41" xfId="0" applyNumberFormat="1" applyFont="1" applyBorder="1" applyAlignment="1">
      <alignment horizontal="center" vertical="center"/>
    </xf>
    <xf numFmtId="11" fontId="7" fillId="5" borderId="0" xfId="0" applyNumberFormat="1" applyFont="1" applyFill="1" applyBorder="1" applyAlignment="1">
      <alignment horizontal="center" vertical="center" readingOrder="1"/>
    </xf>
    <xf numFmtId="11" fontId="7" fillId="9" borderId="0" xfId="0" applyNumberFormat="1" applyFont="1" applyFill="1" applyBorder="1" applyAlignment="1">
      <alignment horizontal="center" vertical="center" readingOrder="1"/>
    </xf>
    <xf numFmtId="2" fontId="33" fillId="0" borderId="2" xfId="0" applyNumberFormat="1" applyFont="1" applyBorder="1" applyAlignment="1">
      <alignment horizontal="center" vertical="center"/>
    </xf>
    <xf numFmtId="2" fontId="7" fillId="0" borderId="19" xfId="0" applyNumberFormat="1" applyFont="1" applyFill="1" applyBorder="1" applyAlignment="1">
      <alignment horizontal="center" vertical="center"/>
    </xf>
    <xf numFmtId="2" fontId="7" fillId="0" borderId="6" xfId="0" applyNumberFormat="1" applyFont="1" applyFill="1" applyBorder="1" applyAlignment="1">
      <alignment horizontal="center" vertical="center"/>
    </xf>
    <xf numFmtId="2" fontId="7" fillId="0" borderId="20" xfId="0" applyNumberFormat="1" applyFont="1" applyFill="1" applyBorder="1" applyAlignment="1">
      <alignment horizontal="center" vertical="center"/>
    </xf>
    <xf numFmtId="2" fontId="32" fillId="0" borderId="19" xfId="0" applyNumberFormat="1" applyFont="1" applyFill="1" applyBorder="1" applyAlignment="1">
      <alignment horizontal="center" vertical="center"/>
    </xf>
    <xf numFmtId="2" fontId="32" fillId="0" borderId="6" xfId="0" applyNumberFormat="1" applyFont="1" applyFill="1" applyBorder="1" applyAlignment="1">
      <alignment horizontal="center" vertical="center"/>
    </xf>
    <xf numFmtId="2" fontId="32" fillId="0" borderId="20" xfId="0" applyNumberFormat="1" applyFont="1" applyFill="1" applyBorder="1" applyAlignment="1">
      <alignment horizontal="center" vertical="center"/>
    </xf>
    <xf numFmtId="0" fontId="32" fillId="0" borderId="1" xfId="0" applyFont="1" applyBorder="1" applyAlignment="1">
      <alignment horizontal="left" vertical="center" wrapText="1"/>
    </xf>
    <xf numFmtId="2" fontId="19" fillId="0" borderId="15" xfId="0" applyNumberFormat="1" applyFont="1" applyBorder="1" applyAlignment="1">
      <alignment horizontal="center" vertical="center" readingOrder="1"/>
    </xf>
    <xf numFmtId="2" fontId="19" fillId="5" borderId="15" xfId="0" applyNumberFormat="1" applyFont="1" applyFill="1" applyBorder="1" applyAlignment="1">
      <alignment horizontal="center" vertical="center" readingOrder="1"/>
    </xf>
    <xf numFmtId="0" fontId="0" fillId="0" borderId="0" xfId="0" applyAlignment="1">
      <alignment horizontal="center" vertical="center" readingOrder="1"/>
    </xf>
    <xf numFmtId="0" fontId="23" fillId="0" borderId="37" xfId="0" applyFont="1" applyBorder="1" applyAlignment="1">
      <alignment horizontal="center" vertical="center" readingOrder="1"/>
    </xf>
    <xf numFmtId="0" fontId="0" fillId="0" borderId="0" xfId="0" applyAlignment="1">
      <alignment horizontal="center" vertical="center" readingOrder="1"/>
    </xf>
    <xf numFmtId="0" fontId="23" fillId="0" borderId="37" xfId="0" applyFont="1" applyBorder="1" applyAlignment="1">
      <alignment horizontal="center" vertical="center" readingOrder="1"/>
    </xf>
    <xf numFmtId="0" fontId="53" fillId="0" borderId="0" xfId="0" applyFont="1" applyAlignment="1">
      <alignment horizontal="left" vertical="center" readingOrder="1"/>
    </xf>
    <xf numFmtId="0" fontId="23" fillId="0" borderId="0" xfId="0" applyFont="1" applyBorder="1" applyAlignment="1">
      <alignment horizontal="center" vertical="center" readingOrder="1"/>
    </xf>
    <xf numFmtId="0" fontId="7" fillId="0" borderId="21" xfId="0" applyFont="1" applyBorder="1" applyAlignment="1">
      <alignment horizontal="center" vertical="center" wrapText="1" readingOrder="1"/>
    </xf>
    <xf numFmtId="0" fontId="7" fillId="0" borderId="20" xfId="0" applyFont="1" applyBorder="1" applyAlignment="1">
      <alignment horizontal="center" vertical="center" wrapText="1" readingOrder="1"/>
    </xf>
    <xf numFmtId="0" fontId="17" fillId="6" borderId="13" xfId="0" applyFont="1" applyFill="1" applyBorder="1" applyAlignment="1">
      <alignment horizontal="center" vertical="center" readingOrder="1"/>
    </xf>
    <xf numFmtId="0" fontId="17" fillId="6" borderId="18" xfId="0" applyFont="1" applyFill="1" applyBorder="1" applyAlignment="1">
      <alignment horizontal="center" vertical="center" readingOrder="1"/>
    </xf>
    <xf numFmtId="0" fontId="35" fillId="3" borderId="15" xfId="0" applyFont="1" applyFill="1" applyBorder="1" applyAlignment="1">
      <alignment horizontal="center" vertical="center" readingOrder="1"/>
    </xf>
    <xf numFmtId="0" fontId="35" fillId="3" borderId="8" xfId="0" applyFont="1" applyFill="1" applyBorder="1" applyAlignment="1">
      <alignment horizontal="center" vertical="center" readingOrder="1"/>
    </xf>
    <xf numFmtId="0" fontId="35" fillId="3" borderId="9" xfId="0" applyFont="1" applyFill="1" applyBorder="1" applyAlignment="1">
      <alignment horizontal="center" vertical="center" readingOrder="1"/>
    </xf>
    <xf numFmtId="0" fontId="5" fillId="2" borderId="15" xfId="0" applyFont="1" applyFill="1" applyBorder="1" applyAlignment="1">
      <alignment horizontal="center" vertical="center" readingOrder="1"/>
    </xf>
    <xf numFmtId="0" fontId="5" fillId="2" borderId="8" xfId="0" applyFont="1" applyFill="1" applyBorder="1" applyAlignment="1">
      <alignment horizontal="center" vertical="center" readingOrder="1"/>
    </xf>
    <xf numFmtId="0" fontId="5" fillId="2" borderId="16" xfId="0" applyFont="1" applyFill="1" applyBorder="1" applyAlignment="1">
      <alignment horizontal="center" vertical="center" readingOrder="1"/>
    </xf>
    <xf numFmtId="0" fontId="5" fillId="3" borderId="15" xfId="0" applyFont="1" applyFill="1" applyBorder="1" applyAlignment="1">
      <alignment horizontal="center" vertical="center" readingOrder="1"/>
    </xf>
    <xf numFmtId="0" fontId="5" fillId="3" borderId="8" xfId="0" applyFont="1" applyFill="1" applyBorder="1" applyAlignment="1">
      <alignment horizontal="center" vertical="center" readingOrder="1"/>
    </xf>
    <xf numFmtId="0" fontId="5" fillId="3" borderId="16" xfId="0" applyFont="1" applyFill="1" applyBorder="1" applyAlignment="1">
      <alignment horizontal="center" vertical="center" readingOrder="1"/>
    </xf>
    <xf numFmtId="0" fontId="50" fillId="2" borderId="30" xfId="0" applyFont="1" applyFill="1" applyBorder="1" applyAlignment="1">
      <alignment horizontal="center" vertical="center" readingOrder="1"/>
    </xf>
    <xf numFmtId="0" fontId="50" fillId="2" borderId="8" xfId="0" applyFont="1" applyFill="1" applyBorder="1" applyAlignment="1">
      <alignment horizontal="center" vertical="center" readingOrder="1"/>
    </xf>
    <xf numFmtId="0" fontId="7" fillId="0" borderId="55" xfId="0" applyFont="1" applyBorder="1" applyAlignment="1">
      <alignment horizontal="center" vertical="center" wrapText="1" readingOrder="1"/>
    </xf>
    <xf numFmtId="0" fontId="7" fillId="0" borderId="2" xfId="0" applyFont="1" applyBorder="1" applyAlignment="1">
      <alignment horizontal="center" vertical="center" wrapText="1" readingOrder="1"/>
    </xf>
    <xf numFmtId="0" fontId="7" fillId="0" borderId="9" xfId="0" applyFont="1" applyFill="1" applyBorder="1" applyAlignment="1">
      <alignment horizontal="center" vertical="center" wrapText="1" readingOrder="1"/>
    </xf>
    <xf numFmtId="0" fontId="7" fillId="0" borderId="4" xfId="0" applyFont="1" applyBorder="1" applyAlignment="1">
      <alignment horizontal="center" vertical="center" wrapText="1" readingOrder="1"/>
    </xf>
    <xf numFmtId="0" fontId="7" fillId="0" borderId="9" xfId="0" applyFont="1" applyBorder="1" applyAlignment="1">
      <alignment horizontal="center" vertical="center" wrapText="1" readingOrder="1"/>
    </xf>
    <xf numFmtId="0" fontId="50" fillId="3" borderId="10" xfId="0" applyFont="1" applyFill="1" applyBorder="1" applyAlignment="1">
      <alignment horizontal="center" vertical="center" wrapText="1" readingOrder="1"/>
    </xf>
    <xf numFmtId="0" fontId="50" fillId="3" borderId="12" xfId="0" applyFont="1" applyFill="1" applyBorder="1" applyAlignment="1">
      <alignment horizontal="center" vertical="center" wrapText="1" readingOrder="1"/>
    </xf>
    <xf numFmtId="0" fontId="50" fillId="3" borderId="5" xfId="0" applyFont="1" applyFill="1" applyBorder="1" applyAlignment="1">
      <alignment horizontal="center" vertical="center" wrapText="1" readingOrder="1"/>
    </xf>
    <xf numFmtId="0" fontId="7" fillId="4" borderId="4" xfId="0" applyFont="1" applyFill="1" applyBorder="1" applyAlignment="1">
      <alignment horizontal="center" vertical="center" wrapText="1" readingOrder="1"/>
    </xf>
    <xf numFmtId="0" fontId="7" fillId="4" borderId="55" xfId="0" applyFont="1" applyFill="1" applyBorder="1" applyAlignment="1">
      <alignment horizontal="center" vertical="center" wrapText="1" readingOrder="1"/>
    </xf>
    <xf numFmtId="0" fontId="7" fillId="0" borderId="4" xfId="0" applyFont="1" applyBorder="1" applyAlignment="1">
      <alignment horizontal="center" vertical="center"/>
    </xf>
    <xf numFmtId="0" fontId="7" fillId="0" borderId="55" xfId="0" applyFont="1" applyBorder="1" applyAlignment="1">
      <alignment horizontal="center" vertical="center"/>
    </xf>
    <xf numFmtId="0" fontId="7" fillId="0" borderId="2" xfId="0" applyFont="1" applyBorder="1" applyAlignment="1">
      <alignment horizontal="center" vertical="center"/>
    </xf>
    <xf numFmtId="0" fontId="7" fillId="4" borderId="2" xfId="0" applyFont="1" applyFill="1" applyBorder="1" applyAlignment="1">
      <alignment horizontal="center" vertical="center" wrapText="1" readingOrder="1"/>
    </xf>
    <xf numFmtId="0" fontId="7" fillId="4" borderId="4" xfId="0" applyFont="1" applyFill="1" applyBorder="1" applyAlignment="1">
      <alignment horizontal="center" vertical="center" readingOrder="1"/>
    </xf>
    <xf numFmtId="0" fontId="7" fillId="4" borderId="2" xfId="0" applyFont="1" applyFill="1" applyBorder="1" applyAlignment="1">
      <alignment horizontal="center" vertical="center" readingOrder="1"/>
    </xf>
    <xf numFmtId="0" fontId="2" fillId="0" borderId="8" xfId="1" applyBorder="1" applyAlignment="1">
      <alignment horizontal="center" vertical="center"/>
    </xf>
    <xf numFmtId="0" fontId="5" fillId="3" borderId="13" xfId="0" applyFont="1" applyFill="1" applyBorder="1" applyAlignment="1">
      <alignment horizontal="center" vertical="center" readingOrder="1"/>
    </xf>
    <xf numFmtId="0" fontId="5" fillId="2" borderId="7" xfId="0" applyFont="1" applyFill="1" applyBorder="1" applyAlignment="1">
      <alignment horizontal="center" vertical="center" readingOrder="1"/>
    </xf>
    <xf numFmtId="1" fontId="5" fillId="2" borderId="8" xfId="0" applyNumberFormat="1" applyFont="1" applyFill="1" applyBorder="1" applyAlignment="1">
      <alignment horizontal="center" vertical="center" readingOrder="1"/>
    </xf>
    <xf numFmtId="1" fontId="5" fillId="2" borderId="16" xfId="0" applyNumberFormat="1" applyFont="1" applyFill="1" applyBorder="1" applyAlignment="1">
      <alignment horizontal="center" vertical="center" readingOrder="1"/>
    </xf>
    <xf numFmtId="0" fontId="7" fillId="4" borderId="8" xfId="0" applyFont="1" applyFill="1" applyBorder="1" applyAlignment="1">
      <alignment horizontal="center" vertical="center" wrapText="1"/>
    </xf>
    <xf numFmtId="0" fontId="7" fillId="4" borderId="8" xfId="0" applyFont="1" applyFill="1" applyBorder="1" applyAlignment="1">
      <alignment horizontal="center" vertical="center"/>
    </xf>
    <xf numFmtId="0" fontId="43" fillId="0" borderId="8" xfId="1" applyFont="1" applyBorder="1" applyAlignment="1">
      <alignment horizontal="center" vertical="center" readingOrder="1"/>
    </xf>
    <xf numFmtId="0" fontId="5" fillId="2" borderId="9" xfId="0" applyFont="1" applyFill="1" applyBorder="1" applyAlignment="1">
      <alignment horizontal="center" vertical="center" readingOrder="1"/>
    </xf>
    <xf numFmtId="0" fontId="5" fillId="2" borderId="13" xfId="0" applyFont="1" applyFill="1" applyBorder="1" applyAlignment="1">
      <alignment horizontal="center" vertical="center" readingOrder="1"/>
    </xf>
    <xf numFmtId="0" fontId="5" fillId="2" borderId="18" xfId="0" applyFont="1" applyFill="1" applyBorder="1" applyAlignment="1">
      <alignment horizontal="center" vertical="center" readingOrder="1"/>
    </xf>
    <xf numFmtId="0" fontId="2" fillId="0" borderId="8" xfId="1" applyBorder="1" applyAlignment="1">
      <alignment horizontal="center" vertical="center" readingOrder="1"/>
    </xf>
    <xf numFmtId="0" fontId="2" fillId="0" borderId="8" xfId="1" applyFill="1" applyBorder="1" applyAlignment="1">
      <alignment horizontal="center" vertical="center" readingOrder="1"/>
    </xf>
    <xf numFmtId="0" fontId="44" fillId="0" borderId="8" xfId="1" applyFont="1" applyBorder="1" applyAlignment="1">
      <alignment horizontal="center" vertical="center" readingOrder="1"/>
    </xf>
    <xf numFmtId="0" fontId="45" fillId="3" borderId="15" xfId="0" applyFont="1" applyFill="1" applyBorder="1" applyAlignment="1">
      <alignment horizontal="center" vertical="center" readingOrder="1"/>
    </xf>
    <xf numFmtId="0" fontId="45" fillId="3" borderId="7" xfId="0" applyFont="1" applyFill="1" applyBorder="1" applyAlignment="1">
      <alignment horizontal="center" vertical="center" readingOrder="1"/>
    </xf>
    <xf numFmtId="0" fontId="45" fillId="3" borderId="8" xfId="0" applyFont="1" applyFill="1" applyBorder="1" applyAlignment="1">
      <alignment horizontal="center" vertical="center" readingOrder="1"/>
    </xf>
    <xf numFmtId="0" fontId="45" fillId="3" borderId="16" xfId="0" applyFont="1" applyFill="1" applyBorder="1" applyAlignment="1">
      <alignment horizontal="center" vertical="center" readingOrder="1"/>
    </xf>
    <xf numFmtId="0" fontId="5" fillId="3" borderId="42" xfId="0" applyFont="1" applyFill="1" applyBorder="1" applyAlignment="1">
      <alignment horizontal="center" vertical="center" readingOrder="1"/>
    </xf>
    <xf numFmtId="0" fontId="5" fillId="3" borderId="18" xfId="0" applyFont="1" applyFill="1" applyBorder="1" applyAlignment="1">
      <alignment horizontal="center" vertical="center" readingOrder="1"/>
    </xf>
    <xf numFmtId="0" fontId="11" fillId="2" borderId="8" xfId="0" applyFont="1" applyFill="1" applyBorder="1" applyAlignment="1">
      <alignment horizontal="center" vertical="center" readingOrder="1"/>
    </xf>
    <xf numFmtId="0" fontId="11" fillId="2" borderId="9" xfId="0" applyFont="1" applyFill="1" applyBorder="1" applyAlignment="1">
      <alignment horizontal="center" vertical="center" readingOrder="1"/>
    </xf>
    <xf numFmtId="0" fontId="5" fillId="2" borderId="59" xfId="0" applyFont="1" applyFill="1" applyBorder="1" applyAlignment="1">
      <alignment horizontal="center" vertical="center" readingOrder="1"/>
    </xf>
    <xf numFmtId="0" fontId="5" fillId="2" borderId="1" xfId="0" applyFont="1" applyFill="1" applyBorder="1" applyAlignment="1">
      <alignment horizontal="center" vertical="center" readingOrder="1"/>
    </xf>
    <xf numFmtId="2" fontId="5" fillId="3" borderId="15" xfId="0" applyNumberFormat="1" applyFont="1" applyFill="1" applyBorder="1" applyAlignment="1">
      <alignment horizontal="center" vertical="center" readingOrder="1"/>
    </xf>
    <xf numFmtId="2" fontId="5" fillId="3" borderId="8" xfId="0" applyNumberFormat="1" applyFont="1" applyFill="1" applyBorder="1" applyAlignment="1">
      <alignment horizontal="center" vertical="center" readingOrder="1"/>
    </xf>
    <xf numFmtId="2" fontId="5" fillId="3" borderId="16" xfId="0" applyNumberFormat="1" applyFont="1" applyFill="1" applyBorder="1" applyAlignment="1">
      <alignment horizontal="center" vertical="center" readingOrder="1"/>
    </xf>
    <xf numFmtId="0" fontId="2" fillId="0" borderId="11" xfId="1" applyBorder="1" applyAlignment="1">
      <alignment horizontal="center" vertical="center"/>
    </xf>
    <xf numFmtId="0" fontId="2" fillId="0" borderId="32" xfId="1" applyBorder="1" applyAlignment="1">
      <alignment horizontal="center" vertical="center"/>
    </xf>
    <xf numFmtId="0" fontId="2" fillId="0" borderId="6" xfId="1" applyBorder="1" applyAlignment="1">
      <alignment horizontal="center" vertical="center"/>
    </xf>
    <xf numFmtId="1" fontId="5" fillId="2" borderId="1" xfId="0" applyNumberFormat="1" applyFont="1" applyFill="1" applyBorder="1" applyAlignment="1">
      <alignment horizontal="center" vertical="center" readingOrder="1"/>
    </xf>
    <xf numFmtId="1" fontId="5" fillId="2" borderId="64" xfId="0" applyNumberFormat="1" applyFont="1" applyFill="1" applyBorder="1" applyAlignment="1">
      <alignment horizontal="center" vertical="center" readingOrder="1"/>
    </xf>
    <xf numFmtId="2" fontId="5" fillId="2" borderId="42" xfId="0" applyNumberFormat="1" applyFont="1" applyFill="1" applyBorder="1" applyAlignment="1">
      <alignment horizontal="center" vertical="center" readingOrder="1"/>
    </xf>
    <xf numFmtId="2" fontId="5" fillId="2" borderId="13" xfId="0" applyNumberFormat="1" applyFont="1" applyFill="1" applyBorder="1" applyAlignment="1">
      <alignment horizontal="center" vertical="center" readingOrder="1"/>
    </xf>
    <xf numFmtId="2" fontId="5" fillId="2" borderId="18" xfId="0" applyNumberFormat="1" applyFont="1" applyFill="1" applyBorder="1" applyAlignment="1">
      <alignment horizontal="center" vertical="center" readingOrder="1"/>
    </xf>
    <xf numFmtId="0" fontId="7" fillId="0" borderId="17"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9" xfId="0" applyFont="1" applyBorder="1" applyAlignment="1">
      <alignment horizontal="center" vertical="center" wrapText="1"/>
    </xf>
    <xf numFmtId="0" fontId="15" fillId="0" borderId="31" xfId="1" applyFont="1" applyBorder="1" applyAlignment="1">
      <alignment horizontal="center" vertical="center"/>
    </xf>
    <xf numFmtId="0" fontId="15" fillId="0" borderId="32" xfId="1" applyFont="1" applyBorder="1" applyAlignment="1">
      <alignment horizontal="center" vertical="center"/>
    </xf>
    <xf numFmtId="0" fontId="7" fillId="3" borderId="46"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5" fillId="2" borderId="42" xfId="0" applyFont="1" applyFill="1" applyBorder="1" applyAlignment="1">
      <alignment horizontal="center" vertical="center" readingOrder="1"/>
    </xf>
    <xf numFmtId="0" fontId="5" fillId="3" borderId="9" xfId="0" applyFont="1" applyFill="1" applyBorder="1" applyAlignment="1">
      <alignment horizontal="center" vertical="center" readingOrder="1"/>
    </xf>
    <xf numFmtId="0" fontId="5" fillId="3" borderId="7" xfId="0" applyFont="1" applyFill="1" applyBorder="1" applyAlignment="1">
      <alignment horizontal="center" vertical="center" readingOrder="1"/>
    </xf>
    <xf numFmtId="2" fontId="35" fillId="6" borderId="42" xfId="0" applyNumberFormat="1" applyFont="1" applyFill="1" applyBorder="1" applyAlignment="1">
      <alignment horizontal="center" vertical="center" readingOrder="1"/>
    </xf>
    <xf numFmtId="2" fontId="35" fillId="6" borderId="13" xfId="0" applyNumberFormat="1" applyFont="1" applyFill="1" applyBorder="1" applyAlignment="1">
      <alignment horizontal="center" vertical="center" readingOrder="1"/>
    </xf>
    <xf numFmtId="2" fontId="35" fillId="6" borderId="18" xfId="0" applyNumberFormat="1" applyFont="1" applyFill="1" applyBorder="1" applyAlignment="1">
      <alignment horizontal="center" vertical="center" readingOrder="1"/>
    </xf>
    <xf numFmtId="0" fontId="7" fillId="2" borderId="38" xfId="0" applyFont="1" applyFill="1" applyBorder="1" applyAlignment="1">
      <alignment horizontal="center" vertical="center" wrapText="1"/>
    </xf>
    <xf numFmtId="0" fontId="7" fillId="2" borderId="38" xfId="0" applyFont="1" applyFill="1" applyBorder="1" applyAlignment="1">
      <alignment horizontal="center" vertical="center"/>
    </xf>
    <xf numFmtId="0" fontId="7" fillId="2" borderId="37" xfId="0" applyFont="1" applyFill="1" applyBorder="1" applyAlignment="1">
      <alignment horizontal="center" vertical="center"/>
    </xf>
    <xf numFmtId="0" fontId="5" fillId="2" borderId="0" xfId="0" applyFont="1" applyFill="1" applyBorder="1" applyAlignment="1">
      <alignment horizontal="center" vertical="center" readingOrder="1"/>
    </xf>
    <xf numFmtId="0" fontId="5" fillId="2" borderId="14" xfId="0" applyFont="1" applyFill="1" applyBorder="1" applyAlignment="1">
      <alignment horizontal="center" vertical="center" readingOrder="1"/>
    </xf>
    <xf numFmtId="0" fontId="28" fillId="0" borderId="32" xfId="1" applyFont="1" applyBorder="1" applyAlignment="1">
      <alignment horizontal="center" vertical="center" readingOrder="1"/>
    </xf>
    <xf numFmtId="0" fontId="7" fillId="0" borderId="11"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wrapText="1"/>
    </xf>
    <xf numFmtId="0" fontId="5" fillId="3" borderId="59" xfId="0" applyFont="1" applyFill="1" applyBorder="1" applyAlignment="1">
      <alignment horizontal="center" vertical="center" readingOrder="1"/>
    </xf>
    <xf numFmtId="0" fontId="5" fillId="3" borderId="1" xfId="0" applyFont="1" applyFill="1" applyBorder="1" applyAlignment="1">
      <alignment horizontal="center" vertical="center" readingOrder="1"/>
    </xf>
    <xf numFmtId="0" fontId="5" fillId="3" borderId="64" xfId="0" applyFont="1" applyFill="1" applyBorder="1" applyAlignment="1">
      <alignment horizontal="center" vertical="center" readingOrder="1"/>
    </xf>
    <xf numFmtId="0" fontId="7" fillId="0" borderId="10" xfId="0" applyFont="1" applyBorder="1" applyAlignment="1">
      <alignment horizontal="center" vertical="center" wrapText="1"/>
    </xf>
    <xf numFmtId="0" fontId="7" fillId="0" borderId="12" xfId="0" applyFont="1" applyBorder="1" applyAlignment="1">
      <alignment horizontal="center" vertical="center"/>
    </xf>
    <xf numFmtId="0" fontId="7" fillId="0" borderId="5" xfId="0" applyFont="1" applyBorder="1" applyAlignment="1">
      <alignment horizontal="center" vertical="center"/>
    </xf>
    <xf numFmtId="0" fontId="7" fillId="0" borderId="10" xfId="0" applyFont="1" applyBorder="1" applyAlignment="1">
      <alignment horizontal="center" vertical="center"/>
    </xf>
    <xf numFmtId="0" fontId="28" fillId="0" borderId="11" xfId="1" applyFont="1" applyBorder="1" applyAlignment="1">
      <alignment horizontal="center" vertical="center" readingOrder="1"/>
    </xf>
    <xf numFmtId="0" fontId="28" fillId="0" borderId="6" xfId="1" applyFont="1" applyBorder="1" applyAlignment="1">
      <alignment horizontal="center" vertical="center" readingOrder="1"/>
    </xf>
    <xf numFmtId="0" fontId="7" fillId="0" borderId="19" xfId="0" applyFont="1" applyBorder="1" applyAlignment="1">
      <alignment horizontal="center" vertical="center"/>
    </xf>
    <xf numFmtId="0" fontId="7" fillId="0" borderId="17" xfId="0" applyFont="1" applyBorder="1" applyAlignment="1">
      <alignment horizontal="center" vertical="center"/>
    </xf>
    <xf numFmtId="0" fontId="7" fillId="0" borderId="39" xfId="0" applyFont="1" applyBorder="1" applyAlignment="1">
      <alignment horizontal="center" vertical="center"/>
    </xf>
    <xf numFmtId="0" fontId="0" fillId="8" borderId="0" xfId="0" applyFill="1" applyAlignment="1">
      <alignment horizontal="center" vertical="center" textRotation="255"/>
    </xf>
    <xf numFmtId="0" fontId="0" fillId="7" borderId="0" xfId="0" applyFill="1" applyAlignment="1">
      <alignment horizontal="center" vertical="center" textRotation="255"/>
    </xf>
    <xf numFmtId="0" fontId="0" fillId="7" borderId="22" xfId="0" applyFill="1" applyBorder="1" applyAlignment="1">
      <alignment horizontal="center" vertical="center" textRotation="255"/>
    </xf>
    <xf numFmtId="0" fontId="0" fillId="8" borderId="22" xfId="0" applyFill="1" applyBorder="1" applyAlignment="1">
      <alignment horizontal="center" vertical="center" textRotation="255"/>
    </xf>
    <xf numFmtId="0" fontId="23" fillId="0" borderId="50" xfId="0" applyFont="1" applyBorder="1" applyAlignment="1">
      <alignment horizontal="center" vertical="center" readingOrder="1"/>
    </xf>
    <xf numFmtId="0" fontId="23" fillId="0" borderId="51" xfId="0" applyFont="1" applyBorder="1" applyAlignment="1">
      <alignment horizontal="center" vertical="center" readingOrder="1"/>
    </xf>
    <xf numFmtId="0" fontId="23" fillId="0" borderId="52" xfId="0" applyFont="1" applyBorder="1" applyAlignment="1">
      <alignment horizontal="center" vertical="center" readingOrder="1"/>
    </xf>
    <xf numFmtId="0" fontId="0" fillId="0" borderId="0" xfId="0" applyAlignment="1">
      <alignment horizontal="center" vertical="center" readingOrder="1"/>
    </xf>
    <xf numFmtId="0" fontId="31" fillId="0" borderId="44" xfId="0" applyFont="1" applyBorder="1" applyAlignment="1">
      <alignment horizontal="center" vertical="center" readingOrder="1"/>
    </xf>
    <xf numFmtId="0" fontId="31" fillId="0" borderId="63" xfId="0" applyFont="1" applyBorder="1" applyAlignment="1">
      <alignment horizontal="center" vertical="center" readingOrder="1"/>
    </xf>
    <xf numFmtId="0" fontId="24" fillId="4" borderId="9" xfId="0" applyFont="1" applyFill="1" applyBorder="1" applyAlignment="1">
      <alignment horizontal="center" vertical="center" readingOrder="1"/>
    </xf>
    <xf numFmtId="0" fontId="24" fillId="4" borderId="13" xfId="0" applyFont="1" applyFill="1" applyBorder="1" applyAlignment="1">
      <alignment horizontal="center" vertical="center" readingOrder="1"/>
    </xf>
    <xf numFmtId="0" fontId="24" fillId="5" borderId="9" xfId="0" applyFont="1" applyFill="1" applyBorder="1" applyAlignment="1">
      <alignment horizontal="center" vertical="center" readingOrder="1"/>
    </xf>
    <xf numFmtId="0" fontId="24" fillId="5" borderId="13" xfId="0" applyFont="1" applyFill="1" applyBorder="1" applyAlignment="1">
      <alignment horizontal="center" vertical="center" readingOrder="1"/>
    </xf>
    <xf numFmtId="0" fontId="24" fillId="4" borderId="24" xfId="0" applyFont="1" applyFill="1" applyBorder="1" applyAlignment="1">
      <alignment horizontal="center" vertical="center" readingOrder="1"/>
    </xf>
    <xf numFmtId="0" fontId="24" fillId="4" borderId="48" xfId="0" applyFont="1" applyFill="1" applyBorder="1" applyAlignment="1">
      <alignment horizontal="center" vertical="center" readingOrder="1"/>
    </xf>
    <xf numFmtId="0" fontId="31" fillId="0" borderId="61" xfId="0" applyFont="1" applyBorder="1" applyAlignment="1">
      <alignment horizontal="center" vertical="center" readingOrder="1"/>
    </xf>
    <xf numFmtId="0" fontId="31" fillId="0" borderId="62" xfId="0" applyFont="1" applyBorder="1" applyAlignment="1">
      <alignment horizontal="center" vertical="center" readingOrder="1"/>
    </xf>
    <xf numFmtId="0" fontId="31" fillId="0" borderId="54" xfId="0" applyFont="1" applyBorder="1" applyAlignment="1">
      <alignment horizontal="center" vertical="center" readingOrder="1"/>
    </xf>
    <xf numFmtId="0" fontId="31" fillId="0" borderId="60" xfId="0" applyFont="1" applyBorder="1" applyAlignment="1">
      <alignment horizontal="center" vertical="center" readingOrder="1"/>
    </xf>
    <xf numFmtId="0" fontId="23" fillId="2" borderId="29" xfId="0" applyFont="1" applyFill="1" applyBorder="1" applyAlignment="1">
      <alignment horizontal="center" vertical="center" wrapText="1" readingOrder="1"/>
    </xf>
    <xf numFmtId="0" fontId="23" fillId="2" borderId="26" xfId="0" applyFont="1" applyFill="1" applyBorder="1" applyAlignment="1">
      <alignment horizontal="center" vertical="center" wrapText="1" readingOrder="1"/>
    </xf>
    <xf numFmtId="0" fontId="23" fillId="3" borderId="28" xfId="0" applyFont="1" applyFill="1" applyBorder="1" applyAlignment="1">
      <alignment horizontal="center" vertical="center" wrapText="1" readingOrder="1"/>
    </xf>
    <xf numFmtId="0" fontId="23" fillId="3" borderId="25" xfId="0" applyFont="1" applyFill="1" applyBorder="1" applyAlignment="1">
      <alignment horizontal="center" vertical="center" wrapText="1" readingOrder="1"/>
    </xf>
    <xf numFmtId="0" fontId="23" fillId="0" borderId="50" xfId="0" applyFont="1" applyBorder="1" applyAlignment="1">
      <alignment horizontal="center" vertical="center" wrapText="1" readingOrder="1"/>
    </xf>
    <xf numFmtId="0" fontId="23" fillId="2" borderId="35" xfId="0" applyFont="1" applyFill="1" applyBorder="1" applyAlignment="1">
      <alignment horizontal="center" vertical="center" wrapText="1" readingOrder="1"/>
    </xf>
    <xf numFmtId="0" fontId="23" fillId="3" borderId="35" xfId="0" applyFont="1" applyFill="1" applyBorder="1" applyAlignment="1">
      <alignment horizontal="center" vertical="center" wrapText="1" readingOrder="1"/>
    </xf>
    <xf numFmtId="0" fontId="24" fillId="5" borderId="7" xfId="0" applyFont="1" applyFill="1" applyBorder="1" applyAlignment="1">
      <alignment horizontal="center" vertical="center" readingOrder="1"/>
    </xf>
    <xf numFmtId="0" fontId="24" fillId="4" borderId="27" xfId="0" applyFont="1" applyFill="1" applyBorder="1" applyAlignment="1">
      <alignment horizontal="center" vertical="center" readingOrder="1"/>
    </xf>
    <xf numFmtId="0" fontId="23" fillId="2" borderId="35" xfId="0" applyFont="1" applyFill="1" applyBorder="1" applyAlignment="1">
      <alignment horizontal="center" vertical="center" readingOrder="1"/>
    </xf>
    <xf numFmtId="0" fontId="23" fillId="3" borderId="35" xfId="0" applyFont="1" applyFill="1" applyBorder="1" applyAlignment="1">
      <alignment horizontal="center" vertical="center" readingOrder="1"/>
    </xf>
    <xf numFmtId="0" fontId="23" fillId="3" borderId="50" xfId="0" applyFont="1" applyFill="1" applyBorder="1" applyAlignment="1">
      <alignment horizontal="center" vertical="center" readingOrder="1"/>
    </xf>
    <xf numFmtId="0" fontId="23" fillId="0" borderId="37" xfId="0" applyFont="1" applyBorder="1" applyAlignment="1">
      <alignment horizontal="center" vertical="center" readingOrder="1"/>
    </xf>
    <xf numFmtId="0" fontId="23" fillId="0" borderId="52" xfId="0" applyFont="1" applyBorder="1" applyAlignment="1">
      <alignment horizontal="center" vertical="center" wrapText="1" readingOrder="1"/>
    </xf>
    <xf numFmtId="0" fontId="19" fillId="4" borderId="42" xfId="0" applyFont="1" applyFill="1" applyBorder="1" applyAlignment="1">
      <alignment horizontal="center" vertical="center" readingOrder="1"/>
    </xf>
    <xf numFmtId="0" fontId="19" fillId="4" borderId="7" xfId="0" applyFont="1" applyFill="1" applyBorder="1" applyAlignment="1">
      <alignment horizontal="center" vertical="center" readingOrder="1"/>
    </xf>
    <xf numFmtId="0" fontId="19" fillId="5" borderId="42" xfId="0" applyFont="1" applyFill="1" applyBorder="1" applyAlignment="1">
      <alignment horizontal="center" vertical="center" readingOrder="1"/>
    </xf>
    <xf numFmtId="0" fontId="19" fillId="5" borderId="7" xfId="0" applyFont="1" applyFill="1" applyBorder="1" applyAlignment="1">
      <alignment horizontal="center" vertical="center" readingOrder="1"/>
    </xf>
    <xf numFmtId="0" fontId="23" fillId="0" borderId="50" xfId="0" applyFont="1" applyFill="1" applyBorder="1" applyAlignment="1">
      <alignment horizontal="center" vertical="center" wrapText="1" readingOrder="1"/>
    </xf>
    <xf numFmtId="0" fontId="23" fillId="0" borderId="56" xfId="0" applyFont="1" applyFill="1" applyBorder="1" applyAlignment="1">
      <alignment horizontal="center" vertical="center" wrapText="1" readingOrder="1"/>
    </xf>
    <xf numFmtId="0" fontId="24" fillId="0" borderId="50" xfId="0" applyFont="1" applyBorder="1" applyAlignment="1">
      <alignment horizontal="center" vertical="center" readingOrder="1"/>
    </xf>
    <xf numFmtId="0" fontId="24" fillId="0" borderId="52" xfId="0" applyFont="1" applyBorder="1" applyAlignment="1">
      <alignment horizontal="center" vertical="center" readingOrder="1"/>
    </xf>
    <xf numFmtId="1" fontId="30" fillId="0" borderId="50" xfId="0" applyNumberFormat="1" applyFont="1" applyBorder="1" applyAlignment="1">
      <alignment horizontal="center" vertical="center" readingOrder="1"/>
    </xf>
    <xf numFmtId="0" fontId="30" fillId="0" borderId="51" xfId="0" applyFont="1" applyBorder="1" applyAlignment="1">
      <alignment horizontal="center" vertical="center" readingOrder="1"/>
    </xf>
    <xf numFmtId="0" fontId="19" fillId="4" borderId="57" xfId="0" applyFont="1" applyFill="1" applyBorder="1" applyAlignment="1">
      <alignment horizontal="center" vertical="center" readingOrder="1"/>
    </xf>
    <xf numFmtId="0" fontId="19" fillId="4" borderId="34" xfId="0" applyFont="1" applyFill="1" applyBorder="1" applyAlignment="1">
      <alignment horizontal="center" vertical="center" readingOrder="1"/>
    </xf>
    <xf numFmtId="0" fontId="19" fillId="4" borderId="42" xfId="0" applyFont="1" applyFill="1" applyBorder="1" applyAlignment="1">
      <alignment horizontal="center" vertical="center" wrapText="1" readingOrder="1"/>
    </xf>
    <xf numFmtId="0" fontId="19" fillId="4" borderId="7" xfId="0" applyFont="1" applyFill="1" applyBorder="1" applyAlignment="1">
      <alignment horizontal="center" vertical="center" wrapText="1" readingOrder="1"/>
    </xf>
    <xf numFmtId="0" fontId="19" fillId="5" borderId="42" xfId="0" applyFont="1" applyFill="1" applyBorder="1" applyAlignment="1">
      <alignment horizontal="center" vertical="center" wrapText="1" readingOrder="1"/>
    </xf>
    <xf numFmtId="0" fontId="19" fillId="5" borderId="7" xfId="0" applyFont="1" applyFill="1" applyBorder="1" applyAlignment="1">
      <alignment horizontal="center" vertical="center" wrapText="1" readingOrder="1"/>
    </xf>
    <xf numFmtId="0" fontId="24" fillId="4" borderId="7" xfId="0" applyFont="1" applyFill="1" applyBorder="1" applyAlignment="1">
      <alignment horizontal="center" vertical="center" readingOrder="1"/>
    </xf>
    <xf numFmtId="1" fontId="24" fillId="0" borderId="50" xfId="0" applyNumberFormat="1" applyFont="1" applyBorder="1" applyAlignment="1">
      <alignment horizontal="center" vertical="center" readingOrder="1"/>
    </xf>
    <xf numFmtId="0" fontId="24" fillId="0" borderId="51" xfId="0" applyFont="1" applyBorder="1" applyAlignment="1">
      <alignment horizontal="center" vertical="center" readingOrder="1"/>
    </xf>
    <xf numFmtId="0" fontId="23" fillId="2" borderId="58" xfId="0" applyFont="1" applyFill="1" applyBorder="1" applyAlignment="1">
      <alignment horizontal="center" vertical="center" wrapText="1" readingOrder="1"/>
    </xf>
    <xf numFmtId="0" fontId="23" fillId="2" borderId="56" xfId="0" applyFont="1" applyFill="1" applyBorder="1" applyAlignment="1">
      <alignment horizontal="center" vertical="center" wrapText="1" readingOrder="1"/>
    </xf>
    <xf numFmtId="0" fontId="23" fillId="3" borderId="58" xfId="0" applyFont="1" applyFill="1" applyBorder="1" applyAlignment="1">
      <alignment horizontal="center" vertical="center" wrapText="1" readingOrder="1"/>
    </xf>
    <xf numFmtId="0" fontId="23" fillId="3" borderId="52" xfId="0" applyFont="1" applyFill="1" applyBorder="1" applyAlignment="1">
      <alignment horizontal="center" vertical="center" wrapText="1" readingOrder="1"/>
    </xf>
    <xf numFmtId="0" fontId="23" fillId="2" borderId="50" xfId="0" applyFont="1" applyFill="1" applyBorder="1" applyAlignment="1">
      <alignment horizontal="center" vertical="center" wrapText="1" readingOrder="1"/>
    </xf>
    <xf numFmtId="0" fontId="23" fillId="2" borderId="52" xfId="0" applyFont="1" applyFill="1" applyBorder="1" applyAlignment="1">
      <alignment horizontal="center" vertical="center" wrapText="1" readingOrder="1"/>
    </xf>
    <xf numFmtId="0" fontId="23" fillId="3" borderId="50" xfId="0" applyFont="1" applyFill="1" applyBorder="1" applyAlignment="1">
      <alignment horizontal="center" vertical="center" wrapText="1" readingOrder="1"/>
    </xf>
    <xf numFmtId="0" fontId="19" fillId="4" borderId="43" xfId="0" applyFont="1" applyFill="1" applyBorder="1" applyAlignment="1">
      <alignment horizontal="center" vertical="center" readingOrder="1"/>
    </xf>
    <xf numFmtId="0" fontId="19" fillId="4" borderId="27" xfId="0" applyFont="1" applyFill="1" applyBorder="1" applyAlignment="1">
      <alignment horizontal="center" vertical="center" readingOrder="1"/>
    </xf>
    <xf numFmtId="0" fontId="0" fillId="0" borderId="50" xfId="0" applyBorder="1" applyAlignment="1">
      <alignment horizontal="center" vertical="center" readingOrder="1"/>
    </xf>
    <xf numFmtId="0" fontId="0" fillId="0" borderId="51" xfId="0" applyBorder="1" applyAlignment="1">
      <alignment horizontal="center" vertical="center" readingOrder="1"/>
    </xf>
    <xf numFmtId="0" fontId="0" fillId="0" borderId="52" xfId="0" applyBorder="1" applyAlignment="1">
      <alignment horizontal="center" vertical="center" readingOrder="1"/>
    </xf>
    <xf numFmtId="0" fontId="23" fillId="3" borderId="61" xfId="0" applyFont="1" applyFill="1" applyBorder="1" applyAlignment="1">
      <alignment horizontal="center" vertical="center" wrapText="1" readingOrder="1"/>
    </xf>
    <xf numFmtId="0" fontId="23" fillId="3" borderId="46" xfId="0" applyFont="1" applyFill="1" applyBorder="1" applyAlignment="1">
      <alignment horizontal="center" vertical="center" wrapText="1" readingOrder="1"/>
    </xf>
    <xf numFmtId="0" fontId="24" fillId="0" borderId="22" xfId="0" applyFont="1" applyBorder="1" applyAlignment="1">
      <alignment horizontal="center" vertical="center" readingOrder="1"/>
    </xf>
    <xf numFmtId="0" fontId="24" fillId="0" borderId="47" xfId="0" applyFont="1" applyBorder="1" applyAlignment="1">
      <alignment horizontal="center" vertical="center" readingOrder="1"/>
    </xf>
    <xf numFmtId="1" fontId="24" fillId="0" borderId="22" xfId="0" applyNumberFormat="1" applyFont="1" applyBorder="1" applyAlignment="1">
      <alignment horizontal="center" vertical="center" readingOrder="1"/>
    </xf>
    <xf numFmtId="0" fontId="0" fillId="0" borderId="8" xfId="0" applyBorder="1" applyAlignment="1">
      <alignment horizontal="center" vertical="center" readingOrder="1"/>
    </xf>
    <xf numFmtId="0" fontId="0" fillId="0" borderId="0" xfId="0" applyAlignment="1">
      <alignment horizontal="center" vertical="center" wrapText="1" readingOrder="1"/>
    </xf>
    <xf numFmtId="0" fontId="23" fillId="0" borderId="61" xfId="0" applyFont="1" applyFill="1" applyBorder="1" applyAlignment="1">
      <alignment horizontal="center" vertical="center" wrapText="1" readingOrder="1"/>
    </xf>
    <xf numFmtId="0" fontId="23" fillId="0" borderId="66" xfId="0" applyFont="1" applyFill="1" applyBorder="1" applyAlignment="1">
      <alignment horizontal="center" vertical="center" wrapText="1" readingOrder="1"/>
    </xf>
    <xf numFmtId="0" fontId="23" fillId="2" borderId="53" xfId="0" applyFont="1" applyFill="1" applyBorder="1" applyAlignment="1">
      <alignment horizontal="center" vertical="center" wrapText="1" readingOrder="1"/>
    </xf>
    <xf numFmtId="0" fontId="23" fillId="2" borderId="66" xfId="0" applyFont="1" applyFill="1" applyBorder="1" applyAlignment="1">
      <alignment horizontal="center" vertical="center" wrapText="1" readingOrder="1"/>
    </xf>
    <xf numFmtId="0" fontId="23" fillId="3" borderId="53" xfId="0" applyFont="1" applyFill="1" applyBorder="1" applyAlignment="1">
      <alignment horizontal="center" vertical="center" wrapText="1" readingOrder="1"/>
    </xf>
    <xf numFmtId="0" fontId="23" fillId="2" borderId="61" xfId="0" applyFont="1" applyFill="1" applyBorder="1" applyAlignment="1">
      <alignment horizontal="center" vertical="center" wrapText="1" readingOrder="1"/>
    </xf>
    <xf numFmtId="0" fontId="23" fillId="2" borderId="46" xfId="0" applyFont="1" applyFill="1" applyBorder="1" applyAlignment="1">
      <alignment horizontal="center" vertical="center" wrapText="1" readingOrder="1"/>
    </xf>
    <xf numFmtId="1" fontId="30" fillId="0" borderId="62" xfId="0" applyNumberFormat="1" applyFont="1" applyBorder="1" applyAlignment="1">
      <alignment horizontal="center" vertical="center" readingOrder="1"/>
    </xf>
    <xf numFmtId="0" fontId="30" fillId="0" borderId="22" xfId="0" applyFont="1" applyBorder="1" applyAlignment="1">
      <alignment horizontal="center" vertical="center" readingOrder="1"/>
    </xf>
    <xf numFmtId="0" fontId="27" fillId="0" borderId="0" xfId="0" applyFont="1" applyAlignment="1">
      <alignment horizontal="center"/>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3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4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4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5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5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5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15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15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15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15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15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15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16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16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6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16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6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4.9170520599092028E-2"/>
          <c:w val="0.86504876828735078"/>
          <c:h val="0.8361900444607212"/>
        </c:manualLayout>
      </c:layout>
      <c:barChart>
        <c:barDir val="col"/>
        <c:grouping val="clustered"/>
        <c:varyColors val="0"/>
        <c:ser>
          <c:idx val="0"/>
          <c:order val="0"/>
          <c:tx>
            <c:v>Wearable</c:v>
          </c:tx>
          <c:invertIfNegative val="0"/>
          <c:cat>
            <c:numRef>
              <c:f>Hists!$B$51:$B$60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Hists!$D$51:$D$60</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B9FC-456B-8E63-C6D0167CED19}"/>
            </c:ext>
          </c:extLst>
        </c:ser>
        <c:ser>
          <c:idx val="1"/>
          <c:order val="1"/>
          <c:tx>
            <c:v>Motes</c:v>
          </c:tx>
          <c:invertIfNegative val="0"/>
          <c:cat>
            <c:numRef>
              <c:f>Hists!$B$51:$B$60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Hists!$F$51:$F$60</c:f>
              <c:numCache>
                <c:formatCode>0.00</c:formatCode>
                <c:ptCount val="10"/>
                <c:pt idx="0">
                  <c:v>0</c:v>
                </c:pt>
                <c:pt idx="1">
                  <c:v>0</c:v>
                </c:pt>
                <c:pt idx="2">
                  <c:v>9.9999999999500009</c:v>
                </c:pt>
                <c:pt idx="3">
                  <c:v>0</c:v>
                </c:pt>
                <c:pt idx="4">
                  <c:v>4.9999999999750004</c:v>
                </c:pt>
                <c:pt idx="5">
                  <c:v>0</c:v>
                </c:pt>
                <c:pt idx="6">
                  <c:v>0</c:v>
                </c:pt>
                <c:pt idx="7">
                  <c:v>0</c:v>
                </c:pt>
                <c:pt idx="8">
                  <c:v>24.999999999875001</c:v>
                </c:pt>
                <c:pt idx="9">
                  <c:v>0</c:v>
                </c:pt>
              </c:numCache>
            </c:numRef>
          </c:val>
          <c:extLst xmlns:c16r2="http://schemas.microsoft.com/office/drawing/2015/06/chart">
            <c:ext xmlns:c16="http://schemas.microsoft.com/office/drawing/2014/chart" uri="{C3380CC4-5D6E-409C-BE32-E72D297353CC}">
              <c16:uniqueId val="{00000001-B9FC-456B-8E63-C6D0167CED19}"/>
            </c:ext>
          </c:extLst>
        </c:ser>
        <c:ser>
          <c:idx val="2"/>
          <c:order val="2"/>
          <c:tx>
            <c:v>MCU</c:v>
          </c:tx>
          <c:spPr>
            <a:solidFill>
              <a:srgbClr val="00B050"/>
            </a:solidFill>
          </c:spPr>
          <c:invertIfNegative val="0"/>
          <c:cat>
            <c:numRef>
              <c:f>Hists!$B$51:$B$60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Hists!$H$51:$H$60</c:f>
              <c:numCache>
                <c:formatCode>0.00</c:formatCode>
                <c:ptCount val="10"/>
                <c:pt idx="0">
                  <c:v>0</c:v>
                </c:pt>
                <c:pt idx="1">
                  <c:v>0</c:v>
                </c:pt>
                <c:pt idx="2">
                  <c:v>6.2499999999609379</c:v>
                </c:pt>
                <c:pt idx="3">
                  <c:v>0</c:v>
                </c:pt>
                <c:pt idx="4">
                  <c:v>31.24999999980469</c:v>
                </c:pt>
                <c:pt idx="5">
                  <c:v>0</c:v>
                </c:pt>
                <c:pt idx="6">
                  <c:v>0</c:v>
                </c:pt>
                <c:pt idx="7">
                  <c:v>0</c:v>
                </c:pt>
                <c:pt idx="8">
                  <c:v>6.2499999999609379</c:v>
                </c:pt>
                <c:pt idx="9">
                  <c:v>0</c:v>
                </c:pt>
              </c:numCache>
            </c:numRef>
          </c:val>
          <c:extLst xmlns:c16r2="http://schemas.microsoft.com/office/drawing/2015/06/chart">
            <c:ext xmlns:c16="http://schemas.microsoft.com/office/drawing/2014/chart" uri="{C3380CC4-5D6E-409C-BE32-E72D297353CC}">
              <c16:uniqueId val="{00000002-B9FC-456B-8E63-C6D0167CED19}"/>
            </c:ext>
          </c:extLst>
        </c:ser>
        <c:ser>
          <c:idx val="3"/>
          <c:order val="3"/>
          <c:tx>
            <c:v>SensHub</c:v>
          </c:tx>
          <c:spPr>
            <a:solidFill>
              <a:schemeClr val="tx1"/>
            </a:solidFill>
            <a:ln>
              <a:noFill/>
            </a:ln>
          </c:spPr>
          <c:invertIfNegative val="0"/>
          <c:cat>
            <c:numRef>
              <c:f>Hists!$B$51:$B$60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Hists!$J$51:$J$60</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B9FC-456B-8E63-C6D0167CED19}"/>
            </c:ext>
          </c:extLst>
        </c:ser>
        <c:dLbls>
          <c:showLegendKey val="0"/>
          <c:showVal val="0"/>
          <c:showCatName val="0"/>
          <c:showSerName val="0"/>
          <c:showPercent val="0"/>
          <c:showBubbleSize val="0"/>
        </c:dLbls>
        <c:gapWidth val="150"/>
        <c:axId val="173314408"/>
        <c:axId val="173720600"/>
      </c:barChart>
      <c:catAx>
        <c:axId val="173314408"/>
        <c:scaling>
          <c:orientation val="minMax"/>
        </c:scaling>
        <c:delete val="0"/>
        <c:axPos val="b"/>
        <c:title>
          <c:tx>
            <c:rich>
              <a:bodyPr/>
              <a:lstStyle/>
              <a:p>
                <a:pPr>
                  <a:defRPr/>
                </a:pPr>
                <a:r>
                  <a:rPr lang="en-US"/>
                  <a:t>RAM (kB)</a:t>
                </a:r>
              </a:p>
            </c:rich>
          </c:tx>
          <c:layout>
            <c:manualLayout>
              <c:xMode val="edge"/>
              <c:yMode val="edge"/>
              <c:x val="0.38059692755146823"/>
              <c:y val="0.94789944865132836"/>
            </c:manualLayout>
          </c:layout>
          <c:overlay val="0"/>
        </c:title>
        <c:numFmt formatCode="#,##0;\-#,##0" sourceLinked="0"/>
        <c:majorTickMark val="out"/>
        <c:minorTickMark val="none"/>
        <c:tickLblPos val="nextTo"/>
        <c:txPr>
          <a:bodyPr rot="5400000" vert="horz"/>
          <a:lstStyle/>
          <a:p>
            <a:pPr>
              <a:defRPr>
                <a:latin typeface="+mn-lt"/>
              </a:defRPr>
            </a:pPr>
            <a:endParaRPr lang="en-US"/>
          </a:p>
        </c:txPr>
        <c:crossAx val="173720600"/>
        <c:crosses val="autoZero"/>
        <c:auto val="1"/>
        <c:lblAlgn val="ctr"/>
        <c:lblOffset val="100"/>
        <c:noMultiLvlLbl val="0"/>
      </c:catAx>
      <c:valAx>
        <c:axId val="173720600"/>
        <c:scaling>
          <c:orientation val="minMax"/>
          <c:max val="55"/>
          <c:min val="0"/>
        </c:scaling>
        <c:delete val="0"/>
        <c:axPos val="l"/>
        <c:majorGridlines/>
        <c:minorGridlines/>
        <c:numFmt formatCode="0" sourceLinked="0"/>
        <c:majorTickMark val="out"/>
        <c:minorTickMark val="none"/>
        <c:tickLblPos val="nextTo"/>
        <c:crossAx val="173314408"/>
        <c:crosses val="autoZero"/>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286393497425837E-2"/>
          <c:y val="5.5439077224794929E-2"/>
          <c:w val="0.90643063312666439"/>
          <c:h val="0.87312841525696305"/>
        </c:manualLayout>
      </c:layout>
      <c:barChart>
        <c:barDir val="col"/>
        <c:grouping val="clustered"/>
        <c:varyColors val="0"/>
        <c:ser>
          <c:idx val="0"/>
          <c:order val="0"/>
          <c:tx>
            <c:v>Resolution</c:v>
          </c:tx>
          <c:invertIfNegative val="0"/>
          <c:cat>
            <c:numRef>
              <c:f>Hists!$B$451:$B$478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Hists!$K$451:$K$478</c:f>
              <c:numCache>
                <c:formatCode>0.00</c:formatCode>
                <c:ptCount val="28"/>
                <c:pt idx="0">
                  <c:v>0</c:v>
                </c:pt>
                <c:pt idx="1">
                  <c:v>0</c:v>
                </c:pt>
                <c:pt idx="2">
                  <c:v>0</c:v>
                </c:pt>
                <c:pt idx="3">
                  <c:v>0</c:v>
                </c:pt>
                <c:pt idx="4">
                  <c:v>0</c:v>
                </c:pt>
                <c:pt idx="5">
                  <c:v>0</c:v>
                </c:pt>
                <c:pt idx="6">
                  <c:v>49.999999995000003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C06D-4941-80FD-274D9606B483}"/>
            </c:ext>
          </c:extLst>
        </c:ser>
        <c:ser>
          <c:idx val="1"/>
          <c:order val="1"/>
          <c:tx>
            <c:v>Accuracy</c:v>
          </c:tx>
          <c:invertIfNegative val="0"/>
          <c:cat>
            <c:numRef>
              <c:f>Hists!$B$451:$B$478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Hists!$L$451:$L$478</c:f>
              <c:numCache>
                <c:formatCode>0.00</c:formatCode>
                <c:ptCount val="28"/>
                <c:pt idx="0">
                  <c:v>0</c:v>
                </c:pt>
                <c:pt idx="1">
                  <c:v>0</c:v>
                </c:pt>
                <c:pt idx="2">
                  <c:v>0</c:v>
                </c:pt>
                <c:pt idx="3">
                  <c:v>0</c:v>
                </c:pt>
                <c:pt idx="4">
                  <c:v>24.999999998749999</c:v>
                </c:pt>
                <c:pt idx="5">
                  <c:v>24.999999998749999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C06D-4941-80FD-274D9606B483}"/>
            </c:ext>
          </c:extLst>
        </c:ser>
        <c:dLbls>
          <c:showLegendKey val="0"/>
          <c:showVal val="0"/>
          <c:showCatName val="0"/>
          <c:showSerName val="0"/>
          <c:showPercent val="0"/>
          <c:showBubbleSize val="0"/>
        </c:dLbls>
        <c:gapWidth val="150"/>
        <c:axId val="215761584"/>
        <c:axId val="215764720"/>
      </c:barChart>
      <c:catAx>
        <c:axId val="215761584"/>
        <c:scaling>
          <c:orientation val="minMax"/>
        </c:scaling>
        <c:delete val="0"/>
        <c:axPos val="b"/>
        <c:title>
          <c:tx>
            <c:rich>
              <a:bodyPr/>
              <a:lstStyle/>
              <a:p>
                <a:pPr>
                  <a:defRPr/>
                </a:pPr>
                <a:r>
                  <a:rPr lang="en-US"/>
                  <a:t>Bits</a:t>
                </a:r>
              </a:p>
            </c:rich>
          </c:tx>
          <c:layout>
            <c:manualLayout>
              <c:xMode val="edge"/>
              <c:yMode val="edge"/>
              <c:x val="0.49669202874344087"/>
              <c:y val="0.96647222245585562"/>
            </c:manualLayout>
          </c:layout>
          <c:overlay val="0"/>
        </c:title>
        <c:numFmt formatCode="General" sourceLinked="1"/>
        <c:majorTickMark val="out"/>
        <c:minorTickMark val="none"/>
        <c:tickLblPos val="nextTo"/>
        <c:txPr>
          <a:bodyPr rot="5400000" vert="horz"/>
          <a:lstStyle/>
          <a:p>
            <a:pPr>
              <a:defRPr/>
            </a:pPr>
            <a:endParaRPr lang="en-US"/>
          </a:p>
        </c:txPr>
        <c:crossAx val="215764720"/>
        <c:crosses val="autoZero"/>
        <c:auto val="1"/>
        <c:lblAlgn val="ctr"/>
        <c:lblOffset val="100"/>
        <c:noMultiLvlLbl val="0"/>
      </c:catAx>
      <c:valAx>
        <c:axId val="215764720"/>
        <c:scaling>
          <c:orientation val="minMax"/>
          <c:max val="55"/>
          <c:min val="0"/>
        </c:scaling>
        <c:delete val="0"/>
        <c:axPos val="l"/>
        <c:majorGridlines/>
        <c:minorGridlines/>
        <c:numFmt formatCode="0.00" sourceLinked="1"/>
        <c:majorTickMark val="out"/>
        <c:minorTickMark val="none"/>
        <c:tickLblPos val="nextTo"/>
        <c:crossAx val="215761584"/>
        <c:crosses val="autoZero"/>
        <c:crossBetween val="between"/>
      </c:valAx>
    </c:plotArea>
    <c:legend>
      <c:legendPos val="r"/>
      <c:layout>
        <c:manualLayout>
          <c:xMode val="edge"/>
          <c:yMode val="edge"/>
          <c:x val="0.4526222059482331"/>
          <c:y val="0.23464600818980111"/>
          <c:w val="9.4224304702227216E-2"/>
          <c:h val="6.660572218772505E-2"/>
        </c:manualLayout>
      </c:layout>
      <c:overlay val="0"/>
      <c:spPr>
        <a:solidFill>
          <a:schemeClr val="bg1"/>
        </a:solidFill>
      </c:spPr>
    </c:legend>
    <c:plotVisOnly val="1"/>
    <c:dispBlanksAs val="gap"/>
    <c:showDLblsOverMax val="0"/>
  </c:chart>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Hists!$E$1798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Hists!$B$1800:$B$1835</c:f>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f>Hists!$F$1800:$F$1835</c:f>
              <c:numCache>
                <c:formatCode>0.00</c:formatCode>
                <c:ptCount val="36"/>
                <c:pt idx="0">
                  <c:v>0</c:v>
                </c:pt>
                <c:pt idx="1">
                  <c:v>0</c:v>
                </c:pt>
                <c:pt idx="2">
                  <c:v>0</c:v>
                </c:pt>
                <c:pt idx="3">
                  <c:v>0</c:v>
                </c:pt>
                <c:pt idx="4">
                  <c:v>0</c:v>
                </c:pt>
                <c:pt idx="5">
                  <c:v>0</c:v>
                </c:pt>
                <c:pt idx="6">
                  <c:v>0</c:v>
                </c:pt>
                <c:pt idx="7">
                  <c:v>0</c:v>
                </c:pt>
                <c:pt idx="8">
                  <c:v>0</c:v>
                </c:pt>
                <c:pt idx="9">
                  <c:v>99.999999994999996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0-4380-4A45-A570-E8FBB9F81655}"/>
            </c:ext>
          </c:extLst>
        </c:ser>
        <c:ser>
          <c:idx val="2"/>
          <c:order val="2"/>
          <c:tx>
            <c:strRef>
              <c:f>Hists!$G$1798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Hists!$B$1800:$B$1835</c:f>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f>Hists!$H$1800:$H$1835</c:f>
              <c:numCache>
                <c:formatCode>0.00</c:formatCode>
                <c:ptCount val="36"/>
                <c:pt idx="0">
                  <c:v>0</c:v>
                </c:pt>
                <c:pt idx="1">
                  <c:v>0</c:v>
                </c:pt>
                <c:pt idx="2">
                  <c:v>0</c:v>
                </c:pt>
                <c:pt idx="3">
                  <c:v>0</c:v>
                </c:pt>
                <c:pt idx="4">
                  <c:v>0</c:v>
                </c:pt>
                <c:pt idx="5">
                  <c:v>45.45454545413223</c:v>
                </c:pt>
                <c:pt idx="6">
                  <c:v>0</c:v>
                </c:pt>
                <c:pt idx="7">
                  <c:v>0</c:v>
                </c:pt>
                <c:pt idx="8">
                  <c:v>0</c:v>
                </c:pt>
                <c:pt idx="9">
                  <c:v>9.0909090908264467</c:v>
                </c:pt>
                <c:pt idx="10">
                  <c:v>0</c:v>
                </c:pt>
                <c:pt idx="11">
                  <c:v>0</c:v>
                </c:pt>
                <c:pt idx="12">
                  <c:v>0</c:v>
                </c:pt>
                <c:pt idx="13">
                  <c:v>0</c:v>
                </c:pt>
                <c:pt idx="14">
                  <c:v>0</c:v>
                </c:pt>
                <c:pt idx="15">
                  <c:v>0</c:v>
                </c:pt>
                <c:pt idx="16">
                  <c:v>0</c:v>
                </c:pt>
                <c:pt idx="17">
                  <c:v>0</c:v>
                </c:pt>
                <c:pt idx="18">
                  <c:v>0</c:v>
                </c:pt>
                <c:pt idx="19">
                  <c:v>0</c:v>
                </c:pt>
                <c:pt idx="20">
                  <c:v>0</c:v>
                </c:pt>
                <c:pt idx="21">
                  <c:v>0</c:v>
                </c:pt>
                <c:pt idx="22">
                  <c:v>9.0909090908264467</c:v>
                </c:pt>
                <c:pt idx="23">
                  <c:v>0</c:v>
                </c:pt>
                <c:pt idx="24">
                  <c:v>0</c:v>
                </c:pt>
                <c:pt idx="25">
                  <c:v>0</c:v>
                </c:pt>
                <c:pt idx="26">
                  <c:v>0</c:v>
                </c:pt>
                <c:pt idx="27">
                  <c:v>27.27272727247934</c:v>
                </c:pt>
                <c:pt idx="28">
                  <c:v>9.0909090908264467</c:v>
                </c:pt>
                <c:pt idx="29">
                  <c:v>0</c:v>
                </c:pt>
                <c:pt idx="30">
                  <c:v>0</c:v>
                </c:pt>
                <c:pt idx="31">
                  <c:v>27.27272727247934</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1-4380-4A45-A570-E8FBB9F81655}"/>
            </c:ext>
          </c:extLst>
        </c:ser>
        <c:ser>
          <c:idx val="3"/>
          <c:order val="3"/>
          <c:tx>
            <c:strRef>
              <c:f>Hists!$I$1798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Hists!$B$1800:$B$1835</c:f>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f>Hists!$J$1800:$J$1835</c:f>
              <c:numCache>
                <c:formatCode>0.00</c:formatCode>
                <c:ptCount val="36"/>
                <c:pt idx="0">
                  <c:v>0</c:v>
                </c:pt>
                <c:pt idx="1">
                  <c:v>11.111111110987654</c:v>
                </c:pt>
                <c:pt idx="2">
                  <c:v>0</c:v>
                </c:pt>
                <c:pt idx="3">
                  <c:v>0</c:v>
                </c:pt>
                <c:pt idx="4">
                  <c:v>0</c:v>
                </c:pt>
                <c:pt idx="5">
                  <c:v>0</c:v>
                </c:pt>
                <c:pt idx="6">
                  <c:v>0</c:v>
                </c:pt>
                <c:pt idx="7">
                  <c:v>0</c:v>
                </c:pt>
                <c:pt idx="8">
                  <c:v>0</c:v>
                </c:pt>
                <c:pt idx="9">
                  <c:v>44.444444443950616</c:v>
                </c:pt>
                <c:pt idx="10">
                  <c:v>0</c:v>
                </c:pt>
                <c:pt idx="11">
                  <c:v>33.333333332962965</c:v>
                </c:pt>
                <c:pt idx="12">
                  <c:v>0</c:v>
                </c:pt>
                <c:pt idx="13">
                  <c:v>0</c:v>
                </c:pt>
                <c:pt idx="14">
                  <c:v>0</c:v>
                </c:pt>
                <c:pt idx="15">
                  <c:v>0</c:v>
                </c:pt>
                <c:pt idx="16">
                  <c:v>0</c:v>
                </c:pt>
                <c:pt idx="17">
                  <c:v>0</c:v>
                </c:pt>
                <c:pt idx="18">
                  <c:v>0</c:v>
                </c:pt>
                <c:pt idx="19">
                  <c:v>0</c:v>
                </c:pt>
                <c:pt idx="20">
                  <c:v>0</c:v>
                </c:pt>
                <c:pt idx="21">
                  <c:v>0</c:v>
                </c:pt>
                <c:pt idx="22">
                  <c:v>0</c:v>
                </c:pt>
                <c:pt idx="23">
                  <c:v>0</c:v>
                </c:pt>
                <c:pt idx="24">
                  <c:v>11.111111110987654</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2-4380-4A45-A570-E8FBB9F81655}"/>
            </c:ext>
          </c:extLst>
        </c:ser>
        <c:dLbls>
          <c:showLegendKey val="0"/>
          <c:showVal val="0"/>
          <c:showCatName val="0"/>
          <c:showSerName val="0"/>
          <c:showPercent val="0"/>
          <c:showBubbleSize val="0"/>
        </c:dLbls>
        <c:gapWidth val="0"/>
        <c:overlap val="75"/>
        <c:axId val="227926112"/>
        <c:axId val="22792650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Hists!$C$1798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Hists!$B$1800:$B$1835</c15:sqref>
                        </c15:formulaRef>
                      </c:ext>
                    </c:extLst>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extLst xmlns:c16r2="http://schemas.microsoft.com/office/drawing/2015/06/chart">
                      <c:ext uri="{02D57815-91ED-43cb-92C2-25804820EDAC}">
                        <c15:formulaRef>
                          <c15:sqref>Hists!$D$1800:$D$1835</c15:sqref>
                        </c15:formulaRef>
                      </c:ext>
                    </c:extLst>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3-4380-4A45-A570-E8FBB9F81655}"/>
                  </c:ext>
                </c:extLst>
              </c15:ser>
            </c15:filteredBarSeries>
          </c:ext>
        </c:extLst>
      </c:barChart>
      <c:catAx>
        <c:axId val="227926112"/>
        <c:scaling>
          <c:orientation val="minMax"/>
        </c:scaling>
        <c:delete val="0"/>
        <c:axPos val="b"/>
        <c:title>
          <c:tx>
            <c:rich>
              <a:bodyPr/>
              <a:lstStyle/>
              <a:p>
                <a:pPr>
                  <a:defRPr/>
                </a:pPr>
                <a:r>
                  <a:rPr lang="en-US" sz="1400">
                    <a:latin typeface="+mn-lt"/>
                  </a:rPr>
                  <a:t>Current (µA)</a:t>
                </a:r>
              </a:p>
            </c:rich>
          </c:tx>
          <c:layout>
            <c:manualLayout>
              <c:xMode val="edge"/>
              <c:yMode val="edge"/>
              <c:x val="0.36883639874220953"/>
              <c:y val="0.92937759512972984"/>
            </c:manualLayout>
          </c:layout>
          <c:overlay val="0"/>
        </c:title>
        <c:numFmt formatCode="#,##0.0" sourceLinked="0"/>
        <c:majorTickMark val="out"/>
        <c:minorTickMark val="none"/>
        <c:tickLblPos val="nextTo"/>
        <c:spPr>
          <a:ln/>
        </c:spPr>
        <c:txPr>
          <a:bodyPr rot="5400000" vert="horz"/>
          <a:lstStyle/>
          <a:p>
            <a:pPr>
              <a:defRPr sz="1200">
                <a:latin typeface="+mn-lt"/>
              </a:defRPr>
            </a:pPr>
            <a:endParaRPr lang="en-US"/>
          </a:p>
        </c:txPr>
        <c:crossAx val="227926504"/>
        <c:crosses val="autoZero"/>
        <c:auto val="1"/>
        <c:lblAlgn val="ctr"/>
        <c:lblOffset val="100"/>
        <c:tickLblSkip val="2"/>
        <c:noMultiLvlLbl val="0"/>
      </c:catAx>
      <c:valAx>
        <c:axId val="227926504"/>
        <c:scaling>
          <c:orientation val="minMax"/>
          <c:max val="100"/>
        </c:scaling>
        <c:delete val="0"/>
        <c:axPos val="l"/>
        <c:numFmt formatCode="0" sourceLinked="0"/>
        <c:majorTickMark val="out"/>
        <c:minorTickMark val="none"/>
        <c:tickLblPos val="nextTo"/>
        <c:txPr>
          <a:bodyPr/>
          <a:lstStyle/>
          <a:p>
            <a:pPr>
              <a:defRPr sz="1200">
                <a:latin typeface="+mn-lt"/>
              </a:defRPr>
            </a:pPr>
            <a:endParaRPr lang="en-US"/>
          </a:p>
        </c:txPr>
        <c:crossAx val="227926112"/>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5966094836573E-2"/>
          <c:y val="2.2895426151271991E-2"/>
          <c:w val="0.88235327321327406"/>
          <c:h val="0.75533755281871118"/>
        </c:manualLayout>
      </c:layout>
      <c:barChart>
        <c:barDir val="col"/>
        <c:grouping val="clustered"/>
        <c:varyColors val="0"/>
        <c:ser>
          <c:idx val="1"/>
          <c:order val="1"/>
          <c:tx>
            <c:strRef>
              <c:f>Hists!$E$2104</c:f>
              <c:strCache>
                <c:ptCount val="1"/>
                <c:pt idx="0">
                  <c:v>Mote (on PCB)</c:v>
                </c:pt>
              </c:strCache>
            </c:strRef>
          </c:tx>
          <c:spPr>
            <a:pattFill prst="pct25">
              <a:fgClr>
                <a:srgbClr val="C00000"/>
              </a:fgClr>
              <a:bgClr>
                <a:schemeClr val="bg1"/>
              </a:bgClr>
            </a:pattFill>
            <a:ln w="25400">
              <a:solidFill>
                <a:srgbClr val="C00000"/>
              </a:solidFill>
            </a:ln>
          </c:spPr>
          <c:invertIfNegative val="0"/>
          <c:cat>
            <c:strRef>
              <c:f>Hists!$A$2106:$B$2138</c:f>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f>Hists!$E$2106:$E$2138</c:f>
              <c:numCache>
                <c:formatCode>General</c:formatCode>
                <c:ptCount val="33"/>
                <c:pt idx="0">
                  <c:v>8</c:v>
                </c:pt>
                <c:pt idx="1">
                  <c:v>0</c:v>
                </c:pt>
                <c:pt idx="2">
                  <c:v>8</c:v>
                </c:pt>
                <c:pt idx="3">
                  <c:v>16</c:v>
                </c:pt>
                <c:pt idx="4">
                  <c:v>0</c:v>
                </c:pt>
                <c:pt idx="5">
                  <c:v>0</c:v>
                </c:pt>
                <c:pt idx="6">
                  <c:v>16</c:v>
                </c:pt>
                <c:pt idx="7">
                  <c:v>2</c:v>
                </c:pt>
                <c:pt idx="8">
                  <c:v>20</c:v>
                </c:pt>
                <c:pt idx="9">
                  <c:v>20</c:v>
                </c:pt>
                <c:pt idx="10">
                  <c:v>3</c:v>
                </c:pt>
                <c:pt idx="11">
                  <c:v>13</c:v>
                </c:pt>
                <c:pt idx="12">
                  <c:v>1</c:v>
                </c:pt>
                <c:pt idx="13">
                  <c:v>1</c:v>
                </c:pt>
                <c:pt idx="14">
                  <c:v>2</c:v>
                </c:pt>
                <c:pt idx="15">
                  <c:v>1</c:v>
                </c:pt>
                <c:pt idx="16">
                  <c:v>18</c:v>
                </c:pt>
                <c:pt idx="17">
                  <c:v>4</c:v>
                </c:pt>
                <c:pt idx="18">
                  <c:v>1</c:v>
                </c:pt>
                <c:pt idx="19">
                  <c:v>0</c:v>
                </c:pt>
                <c:pt idx="20">
                  <c:v>1</c:v>
                </c:pt>
                <c:pt idx="21">
                  <c:v>1</c:v>
                </c:pt>
                <c:pt idx="22">
                  <c:v>1</c:v>
                </c:pt>
                <c:pt idx="23">
                  <c:v>7</c:v>
                </c:pt>
                <c:pt idx="24">
                  <c:v>1</c:v>
                </c:pt>
                <c:pt idx="25">
                  <c:v>1</c:v>
                </c:pt>
                <c:pt idx="26">
                  <c:v>1</c:v>
                </c:pt>
                <c:pt idx="27">
                  <c:v>0</c:v>
                </c:pt>
                <c:pt idx="28">
                  <c:v>1</c:v>
                </c:pt>
                <c:pt idx="29">
                  <c:v>2</c:v>
                </c:pt>
                <c:pt idx="30">
                  <c:v>1</c:v>
                </c:pt>
                <c:pt idx="31">
                  <c:v>1</c:v>
                </c:pt>
                <c:pt idx="32">
                  <c:v>1</c:v>
                </c:pt>
              </c:numCache>
            </c:numRef>
          </c:val>
          <c:extLst xmlns:c16r2="http://schemas.microsoft.com/office/drawing/2015/06/chart">
            <c:ext xmlns:c16="http://schemas.microsoft.com/office/drawing/2014/chart" uri="{C3380CC4-5D6E-409C-BE32-E72D297353CC}">
              <c16:uniqueId val="{00000000-916E-4DF9-B715-F139DA8D58E2}"/>
            </c:ext>
          </c:extLst>
        </c:ser>
        <c:ser>
          <c:idx val="2"/>
          <c:order val="2"/>
          <c:tx>
            <c:strRef>
              <c:f>Hists!$G$2104</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strRef>
              <c:f>Hists!$A$2106:$B$2138</c:f>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f>Hists!$G$2106:$G$2138</c:f>
              <c:numCache>
                <c:formatCode>0</c:formatCode>
                <c:ptCount val="33"/>
                <c:pt idx="0">
                  <c:v>16</c:v>
                </c:pt>
                <c:pt idx="1">
                  <c:v>5</c:v>
                </c:pt>
                <c:pt idx="2" formatCode="General">
                  <c:v>21</c:v>
                </c:pt>
                <c:pt idx="3">
                  <c:v>27</c:v>
                </c:pt>
                <c:pt idx="4">
                  <c:v>4</c:v>
                </c:pt>
                <c:pt idx="5">
                  <c:v>2</c:v>
                </c:pt>
                <c:pt idx="6" formatCode="General">
                  <c:v>33</c:v>
                </c:pt>
                <c:pt idx="7">
                  <c:v>4</c:v>
                </c:pt>
                <c:pt idx="8">
                  <c:v>19</c:v>
                </c:pt>
                <c:pt idx="9">
                  <c:v>22</c:v>
                </c:pt>
                <c:pt idx="10">
                  <c:v>14</c:v>
                </c:pt>
                <c:pt idx="11">
                  <c:v>1</c:v>
                </c:pt>
                <c:pt idx="12">
                  <c:v>5</c:v>
                </c:pt>
                <c:pt idx="13">
                  <c:v>0</c:v>
                </c:pt>
                <c:pt idx="14">
                  <c:v>0</c:v>
                </c:pt>
                <c:pt idx="15">
                  <c:v>1</c:v>
                </c:pt>
                <c:pt idx="16">
                  <c:v>7</c:v>
                </c:pt>
                <c:pt idx="17">
                  <c:v>0</c:v>
                </c:pt>
                <c:pt idx="18">
                  <c:v>0</c:v>
                </c:pt>
                <c:pt idx="19">
                  <c:v>0</c:v>
                </c:pt>
                <c:pt idx="20">
                  <c:v>0</c:v>
                </c:pt>
                <c:pt idx="21">
                  <c:v>0</c:v>
                </c:pt>
                <c:pt idx="22">
                  <c:v>0</c:v>
                </c:pt>
                <c:pt idx="23">
                  <c:v>0</c:v>
                </c:pt>
                <c:pt idx="24">
                  <c:v>0</c:v>
                </c:pt>
                <c:pt idx="25">
                  <c:v>0</c:v>
                </c:pt>
                <c:pt idx="26">
                  <c:v>0</c:v>
                </c:pt>
                <c:pt idx="27">
                  <c:v>0</c:v>
                </c:pt>
                <c:pt idx="28">
                  <c:v>1</c:v>
                </c:pt>
                <c:pt idx="29">
                  <c:v>0</c:v>
                </c:pt>
                <c:pt idx="30">
                  <c:v>0</c:v>
                </c:pt>
                <c:pt idx="31">
                  <c:v>1</c:v>
                </c:pt>
                <c:pt idx="32">
                  <c:v>2</c:v>
                </c:pt>
              </c:numCache>
            </c:numRef>
          </c:val>
          <c:extLst xmlns:c16r2="http://schemas.microsoft.com/office/drawing/2015/06/chart">
            <c:ext xmlns:c16="http://schemas.microsoft.com/office/drawing/2014/chart" uri="{C3380CC4-5D6E-409C-BE32-E72D297353CC}">
              <c16:uniqueId val="{00000001-916E-4DF9-B715-F139DA8D58E2}"/>
            </c:ext>
          </c:extLst>
        </c:ser>
        <c:ser>
          <c:idx val="3"/>
          <c:order val="3"/>
          <c:tx>
            <c:strRef>
              <c:f>Hists!$I$2104</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strRef>
              <c:f>Hists!$A$2106:$B$2138</c:f>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f>Hists!$I$2106:$I$2138</c:f>
              <c:numCache>
                <c:formatCode>0</c:formatCode>
                <c:ptCount val="33"/>
                <c:pt idx="0">
                  <c:v>0</c:v>
                </c:pt>
                <c:pt idx="1">
                  <c:v>0</c:v>
                </c:pt>
                <c:pt idx="2" formatCode="General">
                  <c:v>0</c:v>
                </c:pt>
                <c:pt idx="3">
                  <c:v>1</c:v>
                </c:pt>
                <c:pt idx="4">
                  <c:v>0</c:v>
                </c:pt>
                <c:pt idx="5">
                  <c:v>0</c:v>
                </c:pt>
                <c:pt idx="6" formatCode="General">
                  <c:v>1</c:v>
                </c:pt>
                <c:pt idx="7">
                  <c:v>0</c:v>
                </c:pt>
                <c:pt idx="8">
                  <c:v>3</c:v>
                </c:pt>
                <c:pt idx="9">
                  <c:v>14</c:v>
                </c:pt>
                <c:pt idx="10">
                  <c:v>1</c:v>
                </c:pt>
                <c:pt idx="11">
                  <c:v>0</c:v>
                </c:pt>
                <c:pt idx="12">
                  <c:v>0</c:v>
                </c:pt>
                <c:pt idx="13">
                  <c:v>0</c:v>
                </c:pt>
                <c:pt idx="14">
                  <c:v>0</c:v>
                </c:pt>
                <c:pt idx="15">
                  <c:v>0</c:v>
                </c:pt>
                <c:pt idx="16" formatCode="General">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numCache>
            </c:numRef>
          </c:val>
          <c:extLst xmlns:c16r2="http://schemas.microsoft.com/office/drawing/2015/06/chart">
            <c:ext xmlns:c16="http://schemas.microsoft.com/office/drawing/2014/chart" uri="{C3380CC4-5D6E-409C-BE32-E72D297353CC}">
              <c16:uniqueId val="{00000002-916E-4DF9-B715-F139DA8D58E2}"/>
            </c:ext>
          </c:extLst>
        </c:ser>
        <c:dLbls>
          <c:showLegendKey val="0"/>
          <c:showVal val="0"/>
          <c:showCatName val="0"/>
          <c:showSerName val="0"/>
          <c:showPercent val="0"/>
          <c:showBubbleSize val="0"/>
        </c:dLbls>
        <c:gapWidth val="0"/>
        <c:overlap val="75"/>
        <c:axId val="227927288"/>
        <c:axId val="22792768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Hists!$C$2104</c15:sqref>
                        </c15:formulaRef>
                      </c:ext>
                    </c:extLst>
                    <c:strCache>
                      <c:ptCount val="1"/>
                      <c:pt idx="0">
                        <c:v>Wearable</c:v>
                      </c:pt>
                    </c:strCache>
                  </c:strRef>
                </c:tx>
                <c:invertIfNegative val="0"/>
                <c:cat>
                  <c:strRef>
                    <c:extLst xmlns:c16r2="http://schemas.microsoft.com/office/drawing/2015/06/chart">
                      <c:ext uri="{02D57815-91ED-43cb-92C2-25804820EDAC}">
                        <c15:formulaRef>
                          <c15:sqref>Hists!$A$2106:$B$2138</c15:sqref>
                        </c15:formulaRef>
                      </c:ext>
                    </c:extLst>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extLst xmlns:c16r2="http://schemas.microsoft.com/office/drawing/2015/06/chart">
                      <c:ext uri="{02D57815-91ED-43cb-92C2-25804820EDAC}">
                        <c15:formulaRef>
                          <c15:sqref>Hists!$C$2106:$C$2138</c15:sqref>
                        </c15:formulaRef>
                      </c:ext>
                    </c:extLst>
                    <c:numCache>
                      <c:formatCode>General</c:formatCode>
                      <c:ptCount val="33"/>
                      <c:pt idx="0">
                        <c:v>1</c:v>
                      </c:pt>
                      <c:pt idx="1">
                        <c:v>0</c:v>
                      </c:pt>
                      <c:pt idx="2">
                        <c:v>1</c:v>
                      </c:pt>
                      <c:pt idx="3">
                        <c:v>4</c:v>
                      </c:pt>
                      <c:pt idx="4">
                        <c:v>0</c:v>
                      </c:pt>
                      <c:pt idx="5">
                        <c:v>0</c:v>
                      </c:pt>
                      <c:pt idx="6">
                        <c:v>4</c:v>
                      </c:pt>
                      <c:pt idx="7">
                        <c:v>0</c:v>
                      </c:pt>
                      <c:pt idx="8">
                        <c:v>3</c:v>
                      </c:pt>
                      <c:pt idx="9">
                        <c:v>4</c:v>
                      </c:pt>
                      <c:pt idx="10">
                        <c:v>0</c:v>
                      </c:pt>
                      <c:pt idx="11">
                        <c:v>2</c:v>
                      </c:pt>
                      <c:pt idx="12">
                        <c:v>2</c:v>
                      </c:pt>
                      <c:pt idx="13">
                        <c:v>0</c:v>
                      </c:pt>
                      <c:pt idx="14">
                        <c:v>0</c:v>
                      </c:pt>
                      <c:pt idx="15">
                        <c:v>0</c:v>
                      </c:pt>
                      <c:pt idx="16">
                        <c:v>4</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xmlns:c16r2="http://schemas.microsoft.com/office/drawing/2015/06/chart">
                  <c:ext xmlns:c16="http://schemas.microsoft.com/office/drawing/2014/chart" uri="{C3380CC4-5D6E-409C-BE32-E72D297353CC}">
                    <c16:uniqueId val="{00000003-916E-4DF9-B715-F139DA8D58E2}"/>
                  </c:ext>
                </c:extLst>
              </c15:ser>
            </c15:filteredBarSeries>
          </c:ext>
        </c:extLst>
      </c:barChart>
      <c:catAx>
        <c:axId val="227927288"/>
        <c:scaling>
          <c:orientation val="minMax"/>
        </c:scaling>
        <c:delete val="0"/>
        <c:axPos val="b"/>
        <c:numFmt formatCode="#,##0" sourceLinked="0"/>
        <c:majorTickMark val="out"/>
        <c:minorTickMark val="none"/>
        <c:tickLblPos val="nextTo"/>
        <c:spPr>
          <a:ln/>
        </c:spPr>
        <c:txPr>
          <a:bodyPr rot="5400000" vert="horz"/>
          <a:lstStyle/>
          <a:p>
            <a:pPr>
              <a:defRPr sz="1200">
                <a:latin typeface="+mn-lt"/>
              </a:defRPr>
            </a:pPr>
            <a:endParaRPr lang="en-US"/>
          </a:p>
        </c:txPr>
        <c:crossAx val="227927680"/>
        <c:crosses val="autoZero"/>
        <c:auto val="1"/>
        <c:lblAlgn val="ctr"/>
        <c:lblOffset val="100"/>
        <c:tickLblSkip val="1"/>
        <c:noMultiLvlLbl val="0"/>
      </c:catAx>
      <c:valAx>
        <c:axId val="227927680"/>
        <c:scaling>
          <c:orientation val="minMax"/>
          <c:max val="35"/>
          <c:min val="0"/>
        </c:scaling>
        <c:delete val="0"/>
        <c:axPos val="l"/>
        <c:numFmt formatCode="0" sourceLinked="0"/>
        <c:majorTickMark val="out"/>
        <c:minorTickMark val="none"/>
        <c:tickLblPos val="nextTo"/>
        <c:txPr>
          <a:bodyPr/>
          <a:lstStyle/>
          <a:p>
            <a:pPr>
              <a:defRPr sz="1200">
                <a:latin typeface="+mn-lt"/>
              </a:defRPr>
            </a:pPr>
            <a:endParaRPr lang="en-US"/>
          </a:p>
        </c:txPr>
        <c:crossAx val="227927288"/>
        <c:crosses val="autoZero"/>
        <c:crossBetween val="between"/>
      </c:valAx>
      <c:spPr>
        <a:noFill/>
        <a:ln>
          <a:solidFill>
            <a:schemeClr val="bg1">
              <a:lumMod val="50000"/>
            </a:schemeClr>
          </a:solidFill>
        </a:ln>
      </c:spPr>
    </c:plotArea>
    <c:legend>
      <c:legendPos val="r"/>
      <c:layout>
        <c:manualLayout>
          <c:xMode val="edge"/>
          <c:yMode val="edge"/>
          <c:x val="0.462055831794218"/>
          <c:y val="4.6803054824585077E-2"/>
          <c:w val="0.51062176929406189"/>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1374551562532"/>
          <c:y val="2.5749721059450944E-2"/>
          <c:w val="0.85651815523712749"/>
          <c:h val="0.8183231348073795"/>
        </c:manualLayout>
      </c:layout>
      <c:barChart>
        <c:barDir val="col"/>
        <c:grouping val="clustered"/>
        <c:varyColors val="0"/>
        <c:ser>
          <c:idx val="1"/>
          <c:order val="1"/>
          <c:tx>
            <c:strRef>
              <c:f>Hists!$E$99</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Hists!$B$101:$B$129</c:f>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f>Hists!$F$101:$F$129</c:f>
              <c:numCache>
                <c:formatCode>0.00</c:formatCode>
                <c:ptCount val="29"/>
                <c:pt idx="0">
                  <c:v>0</c:v>
                </c:pt>
                <c:pt idx="1">
                  <c:v>0</c:v>
                </c:pt>
                <c:pt idx="2">
                  <c:v>0</c:v>
                </c:pt>
                <c:pt idx="3">
                  <c:v>12.499999999947917</c:v>
                </c:pt>
                <c:pt idx="4">
                  <c:v>4.1666666666493057</c:v>
                </c:pt>
                <c:pt idx="5">
                  <c:v>0</c:v>
                </c:pt>
                <c:pt idx="6">
                  <c:v>0</c:v>
                </c:pt>
                <c:pt idx="7">
                  <c:v>0</c:v>
                </c:pt>
                <c:pt idx="8">
                  <c:v>0</c:v>
                </c:pt>
                <c:pt idx="9">
                  <c:v>4.1666666666493057</c:v>
                </c:pt>
                <c:pt idx="10">
                  <c:v>24.999999999895834</c:v>
                </c:pt>
                <c:pt idx="11">
                  <c:v>8.3333333332986115</c:v>
                </c:pt>
                <c:pt idx="12">
                  <c:v>4.1666666666493057</c:v>
                </c:pt>
                <c:pt idx="13">
                  <c:v>0</c:v>
                </c:pt>
                <c:pt idx="14">
                  <c:v>0</c:v>
                </c:pt>
                <c:pt idx="15">
                  <c:v>0</c:v>
                </c:pt>
                <c:pt idx="16">
                  <c:v>0</c:v>
                </c:pt>
                <c:pt idx="17">
                  <c:v>0</c:v>
                </c:pt>
                <c:pt idx="18">
                  <c:v>0</c:v>
                </c:pt>
                <c:pt idx="19">
                  <c:v>12.499999999947917</c:v>
                </c:pt>
                <c:pt idx="20">
                  <c:v>4.1666666666493057</c:v>
                </c:pt>
                <c:pt idx="21">
                  <c:v>0</c:v>
                </c:pt>
                <c:pt idx="22">
                  <c:v>12.499999999947917</c:v>
                </c:pt>
                <c:pt idx="23">
                  <c:v>0</c:v>
                </c:pt>
                <c:pt idx="24">
                  <c:v>0</c:v>
                </c:pt>
                <c:pt idx="25">
                  <c:v>0</c:v>
                </c:pt>
                <c:pt idx="26">
                  <c:v>0</c:v>
                </c:pt>
                <c:pt idx="27">
                  <c:v>0</c:v>
                </c:pt>
                <c:pt idx="28">
                  <c:v>12.499999999947917</c:v>
                </c:pt>
              </c:numCache>
            </c:numRef>
          </c:val>
          <c:extLst xmlns:c16r2="http://schemas.microsoft.com/office/drawing/2015/06/chart">
            <c:ext xmlns:c16="http://schemas.microsoft.com/office/drawing/2014/chart" uri="{C3380CC4-5D6E-409C-BE32-E72D297353CC}">
              <c16:uniqueId val="{00000000-CDBF-4042-BCC2-6FA968619568}"/>
            </c:ext>
          </c:extLst>
        </c:ser>
        <c:ser>
          <c:idx val="2"/>
          <c:order val="2"/>
          <c:tx>
            <c:strRef>
              <c:f>Hists!$G$99</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Hists!$B$101:$B$129</c:f>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f>Hists!$H$101:$H$129</c:f>
              <c:numCache>
                <c:formatCode>0.00</c:formatCode>
                <c:ptCount val="29"/>
                <c:pt idx="0">
                  <c:v>0</c:v>
                </c:pt>
                <c:pt idx="1">
                  <c:v>0</c:v>
                </c:pt>
                <c:pt idx="2">
                  <c:v>0</c:v>
                </c:pt>
                <c:pt idx="3">
                  <c:v>31.24999999980469</c:v>
                </c:pt>
                <c:pt idx="4">
                  <c:v>0</c:v>
                </c:pt>
                <c:pt idx="5">
                  <c:v>0</c:v>
                </c:pt>
                <c:pt idx="6">
                  <c:v>12.499999999921876</c:v>
                </c:pt>
                <c:pt idx="7">
                  <c:v>0</c:v>
                </c:pt>
                <c:pt idx="8">
                  <c:v>0</c:v>
                </c:pt>
                <c:pt idx="9">
                  <c:v>0</c:v>
                </c:pt>
                <c:pt idx="10">
                  <c:v>31.24999999980469</c:v>
                </c:pt>
                <c:pt idx="11">
                  <c:v>18.749999999882814</c:v>
                </c:pt>
                <c:pt idx="12">
                  <c:v>0</c:v>
                </c:pt>
                <c:pt idx="13">
                  <c:v>0</c:v>
                </c:pt>
                <c:pt idx="14">
                  <c:v>0</c:v>
                </c:pt>
                <c:pt idx="15">
                  <c:v>0</c:v>
                </c:pt>
                <c:pt idx="16">
                  <c:v>0</c:v>
                </c:pt>
                <c:pt idx="17">
                  <c:v>0</c:v>
                </c:pt>
                <c:pt idx="18">
                  <c:v>0</c:v>
                </c:pt>
                <c:pt idx="19">
                  <c:v>6.2499999999609379</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CDBF-4042-BCC2-6FA968619568}"/>
            </c:ext>
          </c:extLst>
        </c:ser>
        <c:ser>
          <c:idx val="3"/>
          <c:order val="3"/>
          <c:tx>
            <c:strRef>
              <c:f>Hists!$I$99</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Hists!$B$101:$B$129</c:f>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f>Hists!$J$101:$J$129</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CDBF-4042-BCC2-6FA968619568}"/>
            </c:ext>
          </c:extLst>
        </c:ser>
        <c:dLbls>
          <c:showLegendKey val="0"/>
          <c:showVal val="0"/>
          <c:showCatName val="0"/>
          <c:showSerName val="0"/>
          <c:showPercent val="0"/>
          <c:showBubbleSize val="0"/>
        </c:dLbls>
        <c:gapWidth val="0"/>
        <c:axId val="227928464"/>
        <c:axId val="22792885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Hists!$C$99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Hists!$B$101:$B$129</c15:sqref>
                        </c15:formulaRef>
                      </c:ext>
                    </c:extLst>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extLst xmlns:c16r2="http://schemas.microsoft.com/office/drawing/2015/06/chart">
                      <c:ext uri="{02D57815-91ED-43cb-92C2-25804820EDAC}">
                        <c15:formulaRef>
                          <c15:sqref>Hists!$D$101:$D$129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49.999999997499998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CDBF-4042-BCC2-6FA968619568}"/>
                  </c:ext>
                </c:extLst>
              </c15:ser>
            </c15:filteredBarSeries>
          </c:ext>
        </c:extLst>
      </c:barChart>
      <c:catAx>
        <c:axId val="227928464"/>
        <c:scaling>
          <c:orientation val="minMax"/>
        </c:scaling>
        <c:delete val="0"/>
        <c:axPos val="b"/>
        <c:title>
          <c:tx>
            <c:rich>
              <a:bodyPr/>
              <a:lstStyle/>
              <a:p>
                <a:pPr>
                  <a:defRPr/>
                </a:pPr>
                <a:r>
                  <a:rPr lang="en-US" sz="1400">
                    <a:latin typeface="+mn-lt"/>
                  </a:rPr>
                  <a:t>Flash memory capacity (kB)</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400">
                <a:latin typeface="+mn-lt"/>
              </a:defRPr>
            </a:pPr>
            <a:endParaRPr lang="en-US"/>
          </a:p>
        </c:txPr>
        <c:crossAx val="227928856"/>
        <c:crosses val="autoZero"/>
        <c:auto val="1"/>
        <c:lblAlgn val="ctr"/>
        <c:lblOffset val="100"/>
        <c:tickLblSkip val="4"/>
        <c:noMultiLvlLbl val="0"/>
      </c:catAx>
      <c:valAx>
        <c:axId val="227928856"/>
        <c:scaling>
          <c:orientation val="minMax"/>
          <c:max val="35"/>
        </c:scaling>
        <c:delete val="0"/>
        <c:axPos val="l"/>
        <c:numFmt formatCode="0" sourceLinked="0"/>
        <c:majorTickMark val="out"/>
        <c:minorTickMark val="none"/>
        <c:tickLblPos val="nextTo"/>
        <c:txPr>
          <a:bodyPr/>
          <a:lstStyle/>
          <a:p>
            <a:pPr>
              <a:defRPr sz="1400">
                <a:latin typeface="+mn-lt"/>
              </a:defRPr>
            </a:pPr>
            <a:endParaRPr lang="en-US"/>
          </a:p>
        </c:txPr>
        <c:crossAx val="227928464"/>
        <c:crosses val="autoZero"/>
        <c:crossBetween val="between"/>
      </c:valAx>
      <c:spPr>
        <a:noFill/>
        <a:ln>
          <a:solidFill>
            <a:schemeClr val="bg1">
              <a:lumMod val="50000"/>
            </a:schemeClr>
          </a:solidFill>
        </a:ln>
      </c:spPr>
    </c:plotArea>
    <c:legend>
      <c:legendPos val="r"/>
      <c:layout>
        <c:manualLayout>
          <c:xMode val="edge"/>
          <c:yMode val="edge"/>
          <c:x val="0.57418010738927938"/>
          <c:y val="0.26246518176062883"/>
          <c:w val="0.39430348007286764"/>
          <c:h val="0.236073102250071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54038480630579E-2"/>
          <c:y val="2.5749721059450944E-2"/>
          <c:w val="0.91644641259866866"/>
          <c:h val="0.59787331985550707"/>
        </c:manualLayout>
      </c:layout>
      <c:barChart>
        <c:barDir val="col"/>
        <c:grouping val="clustered"/>
        <c:varyColors val="0"/>
        <c:ser>
          <c:idx val="1"/>
          <c:order val="1"/>
          <c:tx>
            <c:strRef>
              <c:f>Hists!$E$149</c:f>
              <c:strCache>
                <c:ptCount val="1"/>
                <c:pt idx="0">
                  <c:v>Mote (on PCB)</c:v>
                </c:pt>
              </c:strCache>
            </c:strRef>
          </c:tx>
          <c:spPr>
            <a:pattFill prst="pct25">
              <a:fgClr>
                <a:srgbClr val="C00000"/>
              </a:fgClr>
              <a:bgClr>
                <a:schemeClr val="bg1"/>
              </a:bgClr>
            </a:pattFill>
            <a:ln w="25400">
              <a:solidFill>
                <a:srgbClr val="C00000"/>
              </a:solidFill>
            </a:ln>
          </c:spPr>
          <c:invertIfNegative val="0"/>
          <c:cat>
            <c:strRef>
              <c:f>Hists!$A$151:$B$174</c:f>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f>Hists!$E$151:$E$174</c:f>
              <c:numCache>
                <c:formatCode>General</c:formatCode>
                <c:ptCount val="24"/>
                <c:pt idx="0">
                  <c:v>26</c:v>
                </c:pt>
                <c:pt idx="1">
                  <c:v>8</c:v>
                </c:pt>
                <c:pt idx="2">
                  <c:v>2</c:v>
                </c:pt>
                <c:pt idx="3">
                  <c:v>14</c:v>
                </c:pt>
                <c:pt idx="4">
                  <c:v>16</c:v>
                </c:pt>
                <c:pt idx="5">
                  <c:v>0</c:v>
                </c:pt>
                <c:pt idx="6">
                  <c:v>5</c:v>
                </c:pt>
                <c:pt idx="7">
                  <c:v>5</c:v>
                </c:pt>
                <c:pt idx="8">
                  <c:v>1</c:v>
                </c:pt>
                <c:pt idx="9">
                  <c:v>3</c:v>
                </c:pt>
                <c:pt idx="10">
                  <c:v>4</c:v>
                </c:pt>
                <c:pt idx="11">
                  <c:v>0</c:v>
                </c:pt>
                <c:pt idx="12">
                  <c:v>0</c:v>
                </c:pt>
                <c:pt idx="13">
                  <c:v>5</c:v>
                </c:pt>
                <c:pt idx="14">
                  <c:v>2</c:v>
                </c:pt>
                <c:pt idx="15">
                  <c:v>1</c:v>
                </c:pt>
                <c:pt idx="16">
                  <c:v>0</c:v>
                </c:pt>
                <c:pt idx="17">
                  <c:v>0</c:v>
                </c:pt>
                <c:pt idx="18">
                  <c:v>0</c:v>
                </c:pt>
                <c:pt idx="19">
                  <c:v>0</c:v>
                </c:pt>
                <c:pt idx="20">
                  <c:v>1</c:v>
                </c:pt>
                <c:pt idx="21">
                  <c:v>0</c:v>
                </c:pt>
                <c:pt idx="22">
                  <c:v>0</c:v>
                </c:pt>
                <c:pt idx="23">
                  <c:v>0</c:v>
                </c:pt>
              </c:numCache>
            </c:numRef>
          </c:val>
          <c:extLst xmlns:c16r2="http://schemas.microsoft.com/office/drawing/2015/06/chart">
            <c:ext xmlns:c16="http://schemas.microsoft.com/office/drawing/2014/chart" uri="{C3380CC4-5D6E-409C-BE32-E72D297353CC}">
              <c16:uniqueId val="{00000000-5307-428C-89AD-77AF869EC8CC}"/>
            </c:ext>
          </c:extLst>
        </c:ser>
        <c:ser>
          <c:idx val="2"/>
          <c:order val="2"/>
          <c:tx>
            <c:strRef>
              <c:f>Hists!$G$149</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strRef>
              <c:f>Hists!$A$151:$B$174</c:f>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f>Hists!$G$151:$G$174</c:f>
              <c:numCache>
                <c:formatCode>0</c:formatCode>
                <c:ptCount val="24"/>
                <c:pt idx="0">
                  <c:v>16</c:v>
                </c:pt>
                <c:pt idx="1">
                  <c:v>1</c:v>
                </c:pt>
                <c:pt idx="2" formatCode="General">
                  <c:v>0</c:v>
                </c:pt>
                <c:pt idx="3" formatCode="General">
                  <c:v>1</c:v>
                </c:pt>
                <c:pt idx="4" formatCode="General">
                  <c:v>1</c:v>
                </c:pt>
                <c:pt idx="5" formatCode="General">
                  <c:v>0</c:v>
                </c:pt>
                <c:pt idx="6" formatCode="General">
                  <c:v>2</c:v>
                </c:pt>
                <c:pt idx="7" formatCode="General">
                  <c:v>2</c:v>
                </c:pt>
                <c:pt idx="8" formatCode="General">
                  <c:v>0</c:v>
                </c:pt>
                <c:pt idx="9" formatCode="General">
                  <c:v>2</c:v>
                </c:pt>
                <c:pt idx="10" formatCode="General">
                  <c:v>2</c:v>
                </c:pt>
                <c:pt idx="11" formatCode="General">
                  <c:v>1</c:v>
                </c:pt>
                <c:pt idx="12" formatCode="General">
                  <c:v>0</c:v>
                </c:pt>
                <c:pt idx="13" formatCode="General">
                  <c:v>1</c:v>
                </c:pt>
                <c:pt idx="14" formatCode="General">
                  <c:v>1</c:v>
                </c:pt>
                <c:pt idx="15" formatCode="General">
                  <c:v>5</c:v>
                </c:pt>
                <c:pt idx="16" formatCode="General">
                  <c:v>0</c:v>
                </c:pt>
                <c:pt idx="17" formatCode="General">
                  <c:v>1</c:v>
                </c:pt>
                <c:pt idx="18" formatCode="General">
                  <c:v>1</c:v>
                </c:pt>
                <c:pt idx="19" formatCode="General">
                  <c:v>1</c:v>
                </c:pt>
                <c:pt idx="20" formatCode="General">
                  <c:v>0</c:v>
                </c:pt>
                <c:pt idx="21" formatCode="General">
                  <c:v>3</c:v>
                </c:pt>
                <c:pt idx="22" formatCode="General">
                  <c:v>0</c:v>
                </c:pt>
                <c:pt idx="23" formatCode="General">
                  <c:v>0</c:v>
                </c:pt>
              </c:numCache>
            </c:numRef>
          </c:val>
          <c:extLst xmlns:c16r2="http://schemas.microsoft.com/office/drawing/2015/06/chart">
            <c:ext xmlns:c16="http://schemas.microsoft.com/office/drawing/2014/chart" uri="{C3380CC4-5D6E-409C-BE32-E72D297353CC}">
              <c16:uniqueId val="{00000001-5307-428C-89AD-77AF869EC8CC}"/>
            </c:ext>
          </c:extLst>
        </c:ser>
        <c:ser>
          <c:idx val="3"/>
          <c:order val="3"/>
          <c:tx>
            <c:strRef>
              <c:f>Hists!$I$149</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strRef>
              <c:f>Hists!$A$151:$B$174</c:f>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f>Hists!$I$151:$I$174</c:f>
              <c:numCache>
                <c:formatCode>0</c:formatCode>
                <c:ptCount val="24"/>
                <c:pt idx="0">
                  <c:v>8</c:v>
                </c:pt>
                <c:pt idx="1">
                  <c:v>4</c:v>
                </c:pt>
                <c:pt idx="2" formatCode="General">
                  <c:v>1</c:v>
                </c:pt>
                <c:pt idx="3" formatCode="General">
                  <c:v>1</c:v>
                </c:pt>
                <c:pt idx="4" formatCode="General">
                  <c:v>2</c:v>
                </c:pt>
                <c:pt idx="5" formatCode="General">
                  <c:v>0</c:v>
                </c:pt>
                <c:pt idx="6" formatCode="General">
                  <c:v>0</c:v>
                </c:pt>
                <c:pt idx="7" formatCode="General">
                  <c:v>0</c:v>
                </c:pt>
                <c:pt idx="8" formatCode="General">
                  <c:v>0</c:v>
                </c:pt>
                <c:pt idx="9" formatCode="General">
                  <c:v>1</c:v>
                </c:pt>
                <c:pt idx="10" formatCode="General">
                  <c:v>1</c:v>
                </c:pt>
                <c:pt idx="11" formatCode="General">
                  <c:v>1</c:v>
                </c:pt>
                <c:pt idx="12" formatCode="General">
                  <c:v>2</c:v>
                </c:pt>
                <c:pt idx="13" formatCode="General">
                  <c:v>5</c:v>
                </c:pt>
                <c:pt idx="14" formatCode="General">
                  <c:v>1</c:v>
                </c:pt>
                <c:pt idx="15" formatCode="General">
                  <c:v>0</c:v>
                </c:pt>
                <c:pt idx="16" formatCode="General">
                  <c:v>4</c:v>
                </c:pt>
                <c:pt idx="17" formatCode="General">
                  <c:v>0</c:v>
                </c:pt>
                <c:pt idx="18" formatCode="General">
                  <c:v>0</c:v>
                </c:pt>
                <c:pt idx="19" formatCode="General">
                  <c:v>2</c:v>
                </c:pt>
                <c:pt idx="20" formatCode="General">
                  <c:v>0</c:v>
                </c:pt>
                <c:pt idx="21" formatCode="General">
                  <c:v>1</c:v>
                </c:pt>
                <c:pt idx="22" formatCode="General">
                  <c:v>0</c:v>
                </c:pt>
                <c:pt idx="23" formatCode="General">
                  <c:v>0</c:v>
                </c:pt>
              </c:numCache>
            </c:numRef>
          </c:val>
          <c:extLst xmlns:c16r2="http://schemas.microsoft.com/office/drawing/2015/06/chart">
            <c:ext xmlns:c16="http://schemas.microsoft.com/office/drawing/2014/chart" uri="{C3380CC4-5D6E-409C-BE32-E72D297353CC}">
              <c16:uniqueId val="{00000002-5307-428C-89AD-77AF869EC8CC}"/>
            </c:ext>
          </c:extLst>
        </c:ser>
        <c:dLbls>
          <c:showLegendKey val="0"/>
          <c:showVal val="0"/>
          <c:showCatName val="0"/>
          <c:showSerName val="0"/>
          <c:showPercent val="0"/>
          <c:showBubbleSize val="0"/>
        </c:dLbls>
        <c:gapWidth val="0"/>
        <c:axId val="227932776"/>
        <c:axId val="2279331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Hists!$C$149</c15:sqref>
                        </c15:formulaRef>
                      </c:ext>
                    </c:extLst>
                    <c:strCache>
                      <c:ptCount val="1"/>
                      <c:pt idx="0">
                        <c:v>Wearable</c:v>
                      </c:pt>
                    </c:strCache>
                  </c:strRef>
                </c:tx>
                <c:invertIfNegative val="0"/>
                <c:cat>
                  <c:strRef>
                    <c:extLst xmlns:c16r2="http://schemas.microsoft.com/office/drawing/2015/06/chart">
                      <c:ext uri="{02D57815-91ED-43cb-92C2-25804820EDAC}">
                        <c15:formulaRef>
                          <c15:sqref>Hists!$A$151:$B$174</c15:sqref>
                        </c15:formulaRef>
                      </c:ext>
                    </c:extLst>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extLst xmlns:c16r2="http://schemas.microsoft.com/office/drawing/2015/06/chart">
                      <c:ext uri="{02D57815-91ED-43cb-92C2-25804820EDAC}">
                        <c15:formulaRef>
                          <c15:sqref>Hists!$C$151:$C$174</c15:sqref>
                        </c15:formulaRef>
                      </c:ext>
                    </c:extLst>
                    <c:numCache>
                      <c:formatCode>General</c:formatCode>
                      <c:ptCount val="24"/>
                      <c:pt idx="0">
                        <c:v>1</c:v>
                      </c:pt>
                      <c:pt idx="1">
                        <c:v>0</c:v>
                      </c:pt>
                      <c:pt idx="2">
                        <c:v>0</c:v>
                      </c:pt>
                      <c:pt idx="3">
                        <c:v>9</c:v>
                      </c:pt>
                      <c:pt idx="4">
                        <c:v>9</c:v>
                      </c:pt>
                      <c:pt idx="5">
                        <c:v>0</c:v>
                      </c:pt>
                      <c:pt idx="6">
                        <c:v>1</c:v>
                      </c:pt>
                      <c:pt idx="7">
                        <c:v>1</c:v>
                      </c:pt>
                      <c:pt idx="8">
                        <c:v>1</c:v>
                      </c:pt>
                      <c:pt idx="9">
                        <c:v>1</c:v>
                      </c:pt>
                      <c:pt idx="10">
                        <c:v>2</c:v>
                      </c:pt>
                      <c:pt idx="11">
                        <c:v>4</c:v>
                      </c:pt>
                      <c:pt idx="12">
                        <c:v>3</c:v>
                      </c:pt>
                      <c:pt idx="13">
                        <c:v>0</c:v>
                      </c:pt>
                      <c:pt idx="14">
                        <c:v>1</c:v>
                      </c:pt>
                      <c:pt idx="15">
                        <c:v>0</c:v>
                      </c:pt>
                      <c:pt idx="16">
                        <c:v>0</c:v>
                      </c:pt>
                      <c:pt idx="17">
                        <c:v>0</c:v>
                      </c:pt>
                      <c:pt idx="18">
                        <c:v>0</c:v>
                      </c:pt>
                      <c:pt idx="19">
                        <c:v>0</c:v>
                      </c:pt>
                      <c:pt idx="20">
                        <c:v>0</c:v>
                      </c:pt>
                      <c:pt idx="21">
                        <c:v>1</c:v>
                      </c:pt>
                      <c:pt idx="22">
                        <c:v>2</c:v>
                      </c:pt>
                      <c:pt idx="23">
                        <c:v>1</c:v>
                      </c:pt>
                    </c:numCache>
                  </c:numRef>
                </c:val>
                <c:extLst xmlns:c16r2="http://schemas.microsoft.com/office/drawing/2015/06/chart">
                  <c:ext xmlns:c16="http://schemas.microsoft.com/office/drawing/2014/chart" uri="{C3380CC4-5D6E-409C-BE32-E72D297353CC}">
                    <c16:uniqueId val="{00000003-5307-428C-89AD-77AF869EC8CC}"/>
                  </c:ext>
                </c:extLst>
              </c15:ser>
            </c15:filteredBarSeries>
          </c:ext>
        </c:extLst>
      </c:barChart>
      <c:catAx>
        <c:axId val="227932776"/>
        <c:scaling>
          <c:orientation val="minMax"/>
        </c:scaling>
        <c:delete val="0"/>
        <c:axPos val="b"/>
        <c:numFmt formatCode="#,##0" sourceLinked="0"/>
        <c:majorTickMark val="out"/>
        <c:minorTickMark val="none"/>
        <c:tickLblPos val="nextTo"/>
        <c:spPr>
          <a:ln/>
        </c:spPr>
        <c:txPr>
          <a:bodyPr rot="5400000" vert="horz"/>
          <a:lstStyle/>
          <a:p>
            <a:pPr>
              <a:defRPr sz="1200">
                <a:latin typeface="+mn-lt"/>
              </a:defRPr>
            </a:pPr>
            <a:endParaRPr lang="en-US"/>
          </a:p>
        </c:txPr>
        <c:crossAx val="227933168"/>
        <c:crosses val="autoZero"/>
        <c:auto val="1"/>
        <c:lblAlgn val="ctr"/>
        <c:lblOffset val="100"/>
        <c:tickLblSkip val="1"/>
        <c:noMultiLvlLbl val="0"/>
      </c:catAx>
      <c:valAx>
        <c:axId val="227933168"/>
        <c:scaling>
          <c:orientation val="minMax"/>
          <c:max val="28"/>
          <c:min val="0"/>
        </c:scaling>
        <c:delete val="0"/>
        <c:axPos val="l"/>
        <c:numFmt formatCode="0" sourceLinked="0"/>
        <c:majorTickMark val="out"/>
        <c:minorTickMark val="none"/>
        <c:tickLblPos val="nextTo"/>
        <c:txPr>
          <a:bodyPr/>
          <a:lstStyle/>
          <a:p>
            <a:pPr>
              <a:defRPr sz="1200">
                <a:latin typeface="+mn-lt"/>
              </a:defRPr>
            </a:pPr>
            <a:endParaRPr lang="en-US"/>
          </a:p>
        </c:txPr>
        <c:crossAx val="227932776"/>
        <c:crosses val="autoZero"/>
        <c:crossBetween val="between"/>
      </c:valAx>
      <c:spPr>
        <a:noFill/>
        <a:ln>
          <a:solidFill>
            <a:schemeClr val="bg1">
              <a:lumMod val="50000"/>
            </a:schemeClr>
          </a:solidFill>
        </a:ln>
      </c:spPr>
    </c:plotArea>
    <c:legend>
      <c:legendPos val="r"/>
      <c:layout>
        <c:manualLayout>
          <c:xMode val="edge"/>
          <c:yMode val="edge"/>
          <c:x val="0.462055831794218"/>
          <c:y val="4.6803054824585077E-2"/>
          <c:w val="0.51062176929406189"/>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2"/>
          <c:order val="0"/>
          <c:tx>
            <c:strRef>
              <c:f>Hists!$K$198</c:f>
              <c:strCache>
                <c:ptCount val="1"/>
                <c:pt idx="0">
                  <c:v>Resolution
(bits)</c:v>
                </c:pt>
              </c:strCache>
            </c:strRef>
          </c:tx>
          <c:spPr>
            <a:pattFill prst="ltDnDiag">
              <a:fgClr>
                <a:srgbClr val="00B050"/>
              </a:fgClr>
              <a:bgClr>
                <a:schemeClr val="bg1"/>
              </a:bgClr>
            </a:pattFill>
            <a:ln w="25400">
              <a:solidFill>
                <a:srgbClr val="00B050"/>
              </a:solidFill>
            </a:ln>
          </c:spPr>
          <c:invertIfNegative val="0"/>
          <c:cat>
            <c:numRef>
              <c:f>Hists!$B$200:$B$228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Hists!$K$200:$K$228</c:f>
              <c:numCache>
                <c:formatCode>0.00</c:formatCode>
                <c:ptCount val="29"/>
                <c:pt idx="0">
                  <c:v>0</c:v>
                </c:pt>
                <c:pt idx="1">
                  <c:v>0</c:v>
                </c:pt>
                <c:pt idx="2">
                  <c:v>0</c:v>
                </c:pt>
                <c:pt idx="3">
                  <c:v>0</c:v>
                </c:pt>
                <c:pt idx="4">
                  <c:v>24.999999999583334</c:v>
                </c:pt>
                <c:pt idx="5">
                  <c:v>0</c:v>
                </c:pt>
                <c:pt idx="6">
                  <c:v>0</c:v>
                </c:pt>
                <c:pt idx="7">
                  <c:v>8.3333333331944441</c:v>
                </c:pt>
                <c:pt idx="8">
                  <c:v>0</c:v>
                </c:pt>
                <c:pt idx="9">
                  <c:v>0</c:v>
                </c:pt>
                <c:pt idx="10">
                  <c:v>0</c:v>
                </c:pt>
                <c:pt idx="11">
                  <c:v>8.3333333331944441</c:v>
                </c:pt>
                <c:pt idx="12">
                  <c:v>8.3333333331944441</c:v>
                </c:pt>
                <c:pt idx="13">
                  <c:v>0</c:v>
                </c:pt>
                <c:pt idx="14">
                  <c:v>0</c:v>
                </c:pt>
                <c:pt idx="15">
                  <c:v>0</c:v>
                </c:pt>
                <c:pt idx="16">
                  <c:v>8.3333333331944441</c:v>
                </c:pt>
                <c:pt idx="17">
                  <c:v>24.999999999583331</c:v>
                </c:pt>
                <c:pt idx="18">
                  <c:v>0</c:v>
                </c:pt>
                <c:pt idx="19">
                  <c:v>0</c:v>
                </c:pt>
                <c:pt idx="20">
                  <c:v>8.3333333331944441</c:v>
                </c:pt>
                <c:pt idx="21">
                  <c:v>0</c:v>
                </c:pt>
                <c:pt idx="22">
                  <c:v>8.3333333331944441</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7D40-44D1-91A0-2164F165EDAE}"/>
            </c:ext>
          </c:extLst>
        </c:ser>
        <c:ser>
          <c:idx val="3"/>
          <c:order val="1"/>
          <c:tx>
            <c:strRef>
              <c:f>Hists!$L$198</c:f>
              <c:strCache>
                <c:ptCount val="1"/>
                <c:pt idx="0">
                  <c:v>Accuracy
(bits)</c:v>
                </c:pt>
              </c:strCache>
            </c:strRef>
          </c:tx>
          <c:spPr>
            <a:pattFill prst="smGrid">
              <a:fgClr>
                <a:schemeClr val="tx2"/>
              </a:fgClr>
              <a:bgClr>
                <a:schemeClr val="bg1"/>
              </a:bgClr>
            </a:pattFill>
            <a:ln w="25400">
              <a:solidFill>
                <a:schemeClr val="tx2"/>
              </a:solidFill>
            </a:ln>
          </c:spPr>
          <c:invertIfNegative val="0"/>
          <c:cat>
            <c:numRef>
              <c:f>Hists!$B$200:$B$228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Hists!$L$200:$L$228</c:f>
              <c:numCache>
                <c:formatCode>0.00</c:formatCode>
                <c:ptCount val="29"/>
                <c:pt idx="0">
                  <c:v>5.555555555493827</c:v>
                </c:pt>
                <c:pt idx="1">
                  <c:v>0</c:v>
                </c:pt>
                <c:pt idx="2">
                  <c:v>16.666666666481483</c:v>
                </c:pt>
                <c:pt idx="3">
                  <c:v>0</c:v>
                </c:pt>
                <c:pt idx="4">
                  <c:v>0</c:v>
                </c:pt>
                <c:pt idx="5">
                  <c:v>0</c:v>
                </c:pt>
                <c:pt idx="6">
                  <c:v>7.1428571427551022</c:v>
                </c:pt>
                <c:pt idx="7">
                  <c:v>7.1428571427551022</c:v>
                </c:pt>
                <c:pt idx="8">
                  <c:v>11.111111110987654</c:v>
                </c:pt>
                <c:pt idx="9">
                  <c:v>26.984126983759133</c:v>
                </c:pt>
                <c:pt idx="10">
                  <c:v>12.69841269824893</c:v>
                </c:pt>
                <c:pt idx="11">
                  <c:v>5.555555555493827</c:v>
                </c:pt>
                <c:pt idx="12">
                  <c:v>7.1428571427551022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7D40-44D1-91A0-2164F165EDAE}"/>
            </c:ext>
          </c:extLst>
        </c:ser>
        <c:dLbls>
          <c:showLegendKey val="0"/>
          <c:showVal val="0"/>
          <c:showCatName val="0"/>
          <c:showSerName val="0"/>
          <c:showPercent val="0"/>
          <c:showBubbleSize val="0"/>
        </c:dLbls>
        <c:gapWidth val="0"/>
        <c:axId val="227930424"/>
        <c:axId val="227930032"/>
        <c:extLst xmlns:c16r2="http://schemas.microsoft.com/office/drawing/2015/06/chart"/>
      </c:barChart>
      <c:catAx>
        <c:axId val="227930424"/>
        <c:scaling>
          <c:orientation val="minMax"/>
        </c:scaling>
        <c:delete val="0"/>
        <c:axPos val="b"/>
        <c:title>
          <c:tx>
            <c:rich>
              <a:bodyPr/>
              <a:lstStyle/>
              <a:p>
                <a:pPr>
                  <a:defRPr/>
                </a:pPr>
                <a:r>
                  <a:rPr lang="en-US" sz="1400">
                    <a:latin typeface="+mn-lt"/>
                  </a:rPr>
                  <a:t>bits</a:t>
                </a:r>
              </a:p>
            </c:rich>
          </c:tx>
          <c:layout>
            <c:manualLayout>
              <c:xMode val="edge"/>
              <c:yMode val="edge"/>
              <c:x val="0.47028594768603876"/>
              <c:y val="0.92980612811032082"/>
            </c:manualLayout>
          </c:layout>
          <c:overlay val="0"/>
        </c:title>
        <c:numFmt formatCode="#,##0" sourceLinked="0"/>
        <c:majorTickMark val="out"/>
        <c:minorTickMark val="none"/>
        <c:tickLblPos val="nextTo"/>
        <c:spPr>
          <a:ln/>
        </c:spPr>
        <c:txPr>
          <a:bodyPr rot="0" vert="horz"/>
          <a:lstStyle/>
          <a:p>
            <a:pPr>
              <a:defRPr sz="1400">
                <a:latin typeface="+mn-lt"/>
              </a:defRPr>
            </a:pPr>
            <a:endParaRPr lang="en-US"/>
          </a:p>
        </c:txPr>
        <c:crossAx val="227930032"/>
        <c:crosses val="autoZero"/>
        <c:auto val="1"/>
        <c:lblAlgn val="ctr"/>
        <c:lblOffset val="100"/>
        <c:tickLblSkip val="2"/>
        <c:noMultiLvlLbl val="0"/>
      </c:catAx>
      <c:valAx>
        <c:axId val="227930032"/>
        <c:scaling>
          <c:orientation val="minMax"/>
          <c:max val="30"/>
        </c:scaling>
        <c:delete val="0"/>
        <c:axPos val="l"/>
        <c:numFmt formatCode="0" sourceLinked="0"/>
        <c:majorTickMark val="out"/>
        <c:minorTickMark val="none"/>
        <c:tickLblPos val="nextTo"/>
        <c:txPr>
          <a:bodyPr/>
          <a:lstStyle/>
          <a:p>
            <a:pPr>
              <a:defRPr sz="1400">
                <a:latin typeface="+mn-lt"/>
              </a:defRPr>
            </a:pPr>
            <a:endParaRPr lang="en-US"/>
          </a:p>
        </c:txPr>
        <c:crossAx val="227930424"/>
        <c:crosses val="autoZero"/>
        <c:crossBetween val="between"/>
      </c:valAx>
      <c:spPr>
        <a:noFill/>
        <a:ln>
          <a:solidFill>
            <a:schemeClr val="bg1">
              <a:lumMod val="50000"/>
            </a:schemeClr>
          </a:solidFill>
        </a:ln>
      </c:spPr>
    </c:plotArea>
    <c:legend>
      <c:legendPos val="r"/>
      <c:layout>
        <c:manualLayout>
          <c:xMode val="edge"/>
          <c:yMode val="edge"/>
          <c:x val="0.79929744523188384"/>
          <c:y val="5.2480021800592698E-2"/>
          <c:w val="0.17586234089257874"/>
          <c:h val="0.2096196941077996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Hists!$B$3:$B$31</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Hists!$F$3:$F$31</c:f>
              <c:numCache>
                <c:formatCode>0.00</c:formatCode>
                <c:ptCount val="29"/>
                <c:pt idx="0">
                  <c:v>0</c:v>
                </c:pt>
                <c:pt idx="1">
                  <c:v>0</c:v>
                </c:pt>
                <c:pt idx="2">
                  <c:v>0</c:v>
                </c:pt>
                <c:pt idx="3">
                  <c:v>0</c:v>
                </c:pt>
                <c:pt idx="4">
                  <c:v>0</c:v>
                </c:pt>
                <c:pt idx="5">
                  <c:v>0</c:v>
                </c:pt>
                <c:pt idx="6">
                  <c:v>0</c:v>
                </c:pt>
                <c:pt idx="7">
                  <c:v>0</c:v>
                </c:pt>
                <c:pt idx="8">
                  <c:v>0</c:v>
                </c:pt>
                <c:pt idx="9">
                  <c:v>0</c:v>
                </c:pt>
                <c:pt idx="10">
                  <c:v>20.689655172413794</c:v>
                </c:pt>
                <c:pt idx="11">
                  <c:v>13.793103448275861</c:v>
                </c:pt>
                <c:pt idx="12">
                  <c:v>20.689655172413794</c:v>
                </c:pt>
                <c:pt idx="13">
                  <c:v>0</c:v>
                </c:pt>
                <c:pt idx="14">
                  <c:v>10.344827586206897</c:v>
                </c:pt>
                <c:pt idx="15">
                  <c:v>0</c:v>
                </c:pt>
                <c:pt idx="16">
                  <c:v>3.4482758620689653</c:v>
                </c:pt>
                <c:pt idx="17">
                  <c:v>0</c:v>
                </c:pt>
                <c:pt idx="18">
                  <c:v>3.4482758620689653</c:v>
                </c:pt>
                <c:pt idx="19">
                  <c:v>13.793103448275861</c:v>
                </c:pt>
                <c:pt idx="20">
                  <c:v>3.4482758620689653</c:v>
                </c:pt>
                <c:pt idx="21">
                  <c:v>3.4482758620689653</c:v>
                </c:pt>
                <c:pt idx="22">
                  <c:v>3.4482758620689653</c:v>
                </c:pt>
                <c:pt idx="23">
                  <c:v>0</c:v>
                </c:pt>
                <c:pt idx="24">
                  <c:v>0</c:v>
                </c:pt>
                <c:pt idx="25">
                  <c:v>0</c:v>
                </c:pt>
                <c:pt idx="26">
                  <c:v>0</c:v>
                </c:pt>
                <c:pt idx="27">
                  <c:v>0</c:v>
                </c:pt>
                <c:pt idx="28">
                  <c:v>3.4482758620689653</c:v>
                </c:pt>
              </c:numCache>
            </c:numRef>
          </c:val>
          <c:extLst xmlns:c16r2="http://schemas.microsoft.com/office/drawing/2015/06/chart">
            <c:ext xmlns:c16="http://schemas.microsoft.com/office/drawing/2014/chart" uri="{C3380CC4-5D6E-409C-BE32-E72D297353CC}">
              <c16:uniqueId val="{00000001-E7A1-4137-98E4-147297DE8830}"/>
            </c:ext>
          </c:extLst>
        </c:ser>
        <c:ser>
          <c:idx val="2"/>
          <c:order val="2"/>
          <c:tx>
            <c:strRef>
              <c:f>Hists!$G$1</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Hists!$B$3:$B$31</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Hists!$H$3:$H$31</c:f>
              <c:numCache>
                <c:formatCode>0.00</c:formatCode>
                <c:ptCount val="29"/>
                <c:pt idx="0">
                  <c:v>11.764705882352942</c:v>
                </c:pt>
                <c:pt idx="1">
                  <c:v>23.529411764705884</c:v>
                </c:pt>
                <c:pt idx="2">
                  <c:v>29.411764705882351</c:v>
                </c:pt>
                <c:pt idx="3">
                  <c:v>11.764705882352942</c:v>
                </c:pt>
                <c:pt idx="4">
                  <c:v>0</c:v>
                </c:pt>
                <c:pt idx="5">
                  <c:v>5.882352941176471</c:v>
                </c:pt>
                <c:pt idx="6">
                  <c:v>0</c:v>
                </c:pt>
                <c:pt idx="7">
                  <c:v>5.882352941176471</c:v>
                </c:pt>
                <c:pt idx="8">
                  <c:v>0</c:v>
                </c:pt>
                <c:pt idx="9">
                  <c:v>0</c:v>
                </c:pt>
                <c:pt idx="10">
                  <c:v>5.882352941176471</c:v>
                </c:pt>
                <c:pt idx="11">
                  <c:v>5.882352941176471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E7A1-4137-98E4-147297DE8830}"/>
            </c:ext>
          </c:extLst>
        </c:ser>
        <c:ser>
          <c:idx val="3"/>
          <c:order val="3"/>
          <c:tx>
            <c:strRef>
              <c:f>Hists!$I$1</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Hists!$B$3:$B$31</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Hists!$J$3:$J$31</c:f>
              <c:numCache>
                <c:formatCode>0.00</c:formatCode>
                <c:ptCount val="29"/>
                <c:pt idx="0">
                  <c:v>10</c:v>
                </c:pt>
                <c:pt idx="1">
                  <c:v>30</c:v>
                </c:pt>
                <c:pt idx="2">
                  <c:v>20</c:v>
                </c:pt>
                <c:pt idx="3">
                  <c:v>10</c:v>
                </c:pt>
                <c:pt idx="4">
                  <c:v>10</c:v>
                </c:pt>
                <c:pt idx="5">
                  <c:v>10</c:v>
                </c:pt>
                <c:pt idx="6">
                  <c:v>0</c:v>
                </c:pt>
                <c:pt idx="7">
                  <c:v>0</c:v>
                </c:pt>
                <c:pt idx="8">
                  <c:v>0</c:v>
                </c:pt>
                <c:pt idx="9">
                  <c:v>0</c:v>
                </c:pt>
                <c:pt idx="10">
                  <c:v>0</c:v>
                </c:pt>
                <c:pt idx="11">
                  <c:v>10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E7A1-4137-98E4-147297DE8830}"/>
            </c:ext>
          </c:extLst>
        </c:ser>
        <c:dLbls>
          <c:showLegendKey val="0"/>
          <c:showVal val="0"/>
          <c:showCatName val="0"/>
          <c:showSerName val="0"/>
          <c:showPercent val="0"/>
          <c:showBubbleSize val="0"/>
        </c:dLbls>
        <c:gapWidth val="0"/>
        <c:overlap val="75"/>
        <c:axId val="227933560"/>
        <c:axId val="22912924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c15:sqref>
                        </c15:formulaRef>
                      </c:ext>
                    </c:extLst>
                    <c:strCache>
                      <c:ptCount val="1"/>
                      <c:pt idx="0">
                        <c:v>Wearable</c:v>
                      </c:pt>
                    </c:strCache>
                  </c:strRef>
                </c:tx>
                <c:invertIfNegative val="0"/>
                <c:cat>
                  <c:numRef>
                    <c:extLst xmlns:c16r2="http://schemas.microsoft.com/office/drawing/2015/06/chart">
                      <c:ext uri="{02D57815-91ED-43cb-92C2-25804820EDAC}">
                        <c15:formulaRef>
                          <c15:sqref>Hists!$B$3:$B$31</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Hists!$D$3:$D$31</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5.882352941176471</c:v>
                      </c:pt>
                      <c:pt idx="11">
                        <c:v>0</c:v>
                      </c:pt>
                      <c:pt idx="12">
                        <c:v>0</c:v>
                      </c:pt>
                      <c:pt idx="13">
                        <c:v>0</c:v>
                      </c:pt>
                      <c:pt idx="14">
                        <c:v>0</c:v>
                      </c:pt>
                      <c:pt idx="15">
                        <c:v>0</c:v>
                      </c:pt>
                      <c:pt idx="16">
                        <c:v>0</c:v>
                      </c:pt>
                      <c:pt idx="17">
                        <c:v>0</c:v>
                      </c:pt>
                      <c:pt idx="18">
                        <c:v>11.764705882352942</c:v>
                      </c:pt>
                      <c:pt idx="19">
                        <c:v>35.294117647058826</c:v>
                      </c:pt>
                      <c:pt idx="20">
                        <c:v>5.882352941176471</c:v>
                      </c:pt>
                      <c:pt idx="21">
                        <c:v>11.764705882352942</c:v>
                      </c:pt>
                      <c:pt idx="22">
                        <c:v>23.529411764705884</c:v>
                      </c:pt>
                      <c:pt idx="23">
                        <c:v>5.882352941176471</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E7A1-4137-98E4-147297DE8830}"/>
                  </c:ext>
                </c:extLst>
              </c15:ser>
            </c15:filteredBarSeries>
          </c:ext>
        </c:extLst>
      </c:barChart>
      <c:catAx>
        <c:axId val="227933560"/>
        <c:scaling>
          <c:orientation val="minMax"/>
        </c:scaling>
        <c:delete val="0"/>
        <c:axPos val="b"/>
        <c:title>
          <c:tx>
            <c:rich>
              <a:bodyPr/>
              <a:lstStyle/>
              <a:p>
                <a:pPr>
                  <a:defRPr/>
                </a:pPr>
                <a:r>
                  <a:rPr lang="en-US" sz="1400">
                    <a:latin typeface="+mn-lt"/>
                  </a:rPr>
                  <a:t>cost/node (US$)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9129248"/>
        <c:crosses val="autoZero"/>
        <c:auto val="1"/>
        <c:lblAlgn val="ctr"/>
        <c:lblOffset val="100"/>
        <c:tickLblSkip val="2"/>
        <c:noMultiLvlLbl val="0"/>
      </c:catAx>
      <c:valAx>
        <c:axId val="229129248"/>
        <c:scaling>
          <c:orientation val="minMax"/>
          <c:max val="35"/>
        </c:scaling>
        <c:delete val="0"/>
        <c:axPos val="l"/>
        <c:numFmt formatCode="0" sourceLinked="0"/>
        <c:majorTickMark val="out"/>
        <c:minorTickMark val="none"/>
        <c:tickLblPos val="nextTo"/>
        <c:txPr>
          <a:bodyPr/>
          <a:lstStyle/>
          <a:p>
            <a:pPr>
              <a:defRPr sz="1200">
                <a:latin typeface="+mn-lt"/>
              </a:defRPr>
            </a:pPr>
            <a:endParaRPr lang="en-US"/>
          </a:p>
        </c:txPr>
        <c:crossAx val="227933560"/>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9268214128719"/>
          <c:y val="2.5749721059450944E-2"/>
          <c:w val="0.86022805874739683"/>
          <c:h val="0.8183231348073795"/>
        </c:manualLayout>
      </c:layout>
      <c:barChart>
        <c:barDir val="col"/>
        <c:grouping val="clustered"/>
        <c:varyColors val="0"/>
        <c:ser>
          <c:idx val="1"/>
          <c:order val="1"/>
          <c:tx>
            <c:strRef>
              <c:f>Hists!$E$1</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Hists!$B$3:$B$31</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Hists!$F$3:$F$31</c:f>
              <c:numCache>
                <c:formatCode>0.00</c:formatCode>
                <c:ptCount val="29"/>
                <c:pt idx="0">
                  <c:v>0</c:v>
                </c:pt>
                <c:pt idx="1">
                  <c:v>0</c:v>
                </c:pt>
                <c:pt idx="2">
                  <c:v>0</c:v>
                </c:pt>
                <c:pt idx="3">
                  <c:v>0</c:v>
                </c:pt>
                <c:pt idx="4">
                  <c:v>0</c:v>
                </c:pt>
                <c:pt idx="5">
                  <c:v>0</c:v>
                </c:pt>
                <c:pt idx="6">
                  <c:v>0</c:v>
                </c:pt>
                <c:pt idx="7">
                  <c:v>0</c:v>
                </c:pt>
                <c:pt idx="8">
                  <c:v>0</c:v>
                </c:pt>
                <c:pt idx="9">
                  <c:v>0</c:v>
                </c:pt>
                <c:pt idx="10">
                  <c:v>20.689655172413794</c:v>
                </c:pt>
                <c:pt idx="11">
                  <c:v>13.793103448275861</c:v>
                </c:pt>
                <c:pt idx="12">
                  <c:v>20.689655172413794</c:v>
                </c:pt>
                <c:pt idx="13">
                  <c:v>0</c:v>
                </c:pt>
                <c:pt idx="14">
                  <c:v>10.344827586206897</c:v>
                </c:pt>
                <c:pt idx="15">
                  <c:v>0</c:v>
                </c:pt>
                <c:pt idx="16">
                  <c:v>3.4482758620689653</c:v>
                </c:pt>
                <c:pt idx="17">
                  <c:v>0</c:v>
                </c:pt>
                <c:pt idx="18">
                  <c:v>3.4482758620689653</c:v>
                </c:pt>
                <c:pt idx="19">
                  <c:v>13.793103448275861</c:v>
                </c:pt>
                <c:pt idx="20">
                  <c:v>3.4482758620689653</c:v>
                </c:pt>
                <c:pt idx="21">
                  <c:v>3.4482758620689653</c:v>
                </c:pt>
                <c:pt idx="22">
                  <c:v>3.4482758620689653</c:v>
                </c:pt>
                <c:pt idx="23">
                  <c:v>0</c:v>
                </c:pt>
                <c:pt idx="24">
                  <c:v>0</c:v>
                </c:pt>
                <c:pt idx="25">
                  <c:v>0</c:v>
                </c:pt>
                <c:pt idx="26">
                  <c:v>0</c:v>
                </c:pt>
                <c:pt idx="27">
                  <c:v>0</c:v>
                </c:pt>
                <c:pt idx="28">
                  <c:v>3.4482758620689653</c:v>
                </c:pt>
              </c:numCache>
            </c:numRef>
          </c:val>
          <c:extLst xmlns:c16r2="http://schemas.microsoft.com/office/drawing/2015/06/chart">
            <c:ext xmlns:c16="http://schemas.microsoft.com/office/drawing/2014/chart" uri="{C3380CC4-5D6E-409C-BE32-E72D297353CC}">
              <c16:uniqueId val="{00000000-DC35-4E15-8A88-65F60E763DE1}"/>
            </c:ext>
          </c:extLst>
        </c:ser>
        <c:ser>
          <c:idx val="2"/>
          <c:order val="2"/>
          <c:tx>
            <c:strRef>
              <c:f>Hists!$G$1</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Hists!$B$3:$B$31</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Hists!$H$3:$H$31</c:f>
              <c:numCache>
                <c:formatCode>0.00</c:formatCode>
                <c:ptCount val="29"/>
                <c:pt idx="0">
                  <c:v>11.764705882352942</c:v>
                </c:pt>
                <c:pt idx="1">
                  <c:v>23.529411764705884</c:v>
                </c:pt>
                <c:pt idx="2">
                  <c:v>29.411764705882351</c:v>
                </c:pt>
                <c:pt idx="3">
                  <c:v>11.764705882352942</c:v>
                </c:pt>
                <c:pt idx="4">
                  <c:v>0</c:v>
                </c:pt>
                <c:pt idx="5">
                  <c:v>5.882352941176471</c:v>
                </c:pt>
                <c:pt idx="6">
                  <c:v>0</c:v>
                </c:pt>
                <c:pt idx="7">
                  <c:v>5.882352941176471</c:v>
                </c:pt>
                <c:pt idx="8">
                  <c:v>0</c:v>
                </c:pt>
                <c:pt idx="9">
                  <c:v>0</c:v>
                </c:pt>
                <c:pt idx="10">
                  <c:v>5.882352941176471</c:v>
                </c:pt>
                <c:pt idx="11">
                  <c:v>5.882352941176471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DC35-4E15-8A88-65F60E763DE1}"/>
            </c:ext>
          </c:extLst>
        </c:ser>
        <c:ser>
          <c:idx val="3"/>
          <c:order val="3"/>
          <c:tx>
            <c:strRef>
              <c:f>Hists!$I$1</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Hists!$B$3:$B$31</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Hists!$J$3:$J$31</c:f>
              <c:numCache>
                <c:formatCode>0.00</c:formatCode>
                <c:ptCount val="29"/>
                <c:pt idx="0">
                  <c:v>10</c:v>
                </c:pt>
                <c:pt idx="1">
                  <c:v>30</c:v>
                </c:pt>
                <c:pt idx="2">
                  <c:v>20</c:v>
                </c:pt>
                <c:pt idx="3">
                  <c:v>10</c:v>
                </c:pt>
                <c:pt idx="4">
                  <c:v>10</c:v>
                </c:pt>
                <c:pt idx="5">
                  <c:v>10</c:v>
                </c:pt>
                <c:pt idx="6">
                  <c:v>0</c:v>
                </c:pt>
                <c:pt idx="7">
                  <c:v>0</c:v>
                </c:pt>
                <c:pt idx="8">
                  <c:v>0</c:v>
                </c:pt>
                <c:pt idx="9">
                  <c:v>0</c:v>
                </c:pt>
                <c:pt idx="10">
                  <c:v>0</c:v>
                </c:pt>
                <c:pt idx="11">
                  <c:v>10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DC35-4E15-8A88-65F60E763DE1}"/>
            </c:ext>
          </c:extLst>
        </c:ser>
        <c:dLbls>
          <c:showLegendKey val="0"/>
          <c:showVal val="0"/>
          <c:showCatName val="0"/>
          <c:showSerName val="0"/>
          <c:showPercent val="0"/>
          <c:showBubbleSize val="0"/>
        </c:dLbls>
        <c:gapWidth val="0"/>
        <c:axId val="229130032"/>
        <c:axId val="22913042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c15:sqref>
                        </c15:formulaRef>
                      </c:ext>
                    </c:extLst>
                    <c:strCache>
                      <c:ptCount val="1"/>
                      <c:pt idx="0">
                        <c:v>Wearable</c:v>
                      </c:pt>
                    </c:strCache>
                  </c:strRef>
                </c:tx>
                <c:invertIfNegative val="0"/>
                <c:cat>
                  <c:numRef>
                    <c:extLst xmlns:c16r2="http://schemas.microsoft.com/office/drawing/2015/06/chart">
                      <c:ext uri="{02D57815-91ED-43cb-92C2-25804820EDAC}">
                        <c15:formulaRef>
                          <c15:sqref>Hists!$B$3:$B$31</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Hists!$D$3:$D$31</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5.882352941176471</c:v>
                      </c:pt>
                      <c:pt idx="11">
                        <c:v>0</c:v>
                      </c:pt>
                      <c:pt idx="12">
                        <c:v>0</c:v>
                      </c:pt>
                      <c:pt idx="13">
                        <c:v>0</c:v>
                      </c:pt>
                      <c:pt idx="14">
                        <c:v>0</c:v>
                      </c:pt>
                      <c:pt idx="15">
                        <c:v>0</c:v>
                      </c:pt>
                      <c:pt idx="16">
                        <c:v>0</c:v>
                      </c:pt>
                      <c:pt idx="17">
                        <c:v>0</c:v>
                      </c:pt>
                      <c:pt idx="18">
                        <c:v>11.764705882352942</c:v>
                      </c:pt>
                      <c:pt idx="19">
                        <c:v>35.294117647058826</c:v>
                      </c:pt>
                      <c:pt idx="20">
                        <c:v>5.882352941176471</c:v>
                      </c:pt>
                      <c:pt idx="21">
                        <c:v>11.764705882352942</c:v>
                      </c:pt>
                      <c:pt idx="22">
                        <c:v>23.529411764705884</c:v>
                      </c:pt>
                      <c:pt idx="23">
                        <c:v>5.882352941176471</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DC35-4E15-8A88-65F60E763DE1}"/>
                  </c:ext>
                </c:extLst>
              </c15:ser>
            </c15:filteredBarSeries>
          </c:ext>
        </c:extLst>
      </c:barChart>
      <c:catAx>
        <c:axId val="229130032"/>
        <c:scaling>
          <c:orientation val="minMax"/>
        </c:scaling>
        <c:delete val="0"/>
        <c:axPos val="b"/>
        <c:title>
          <c:tx>
            <c:rich>
              <a:bodyPr/>
              <a:lstStyle/>
              <a:p>
                <a:pPr>
                  <a:defRPr sz="1400" b="1">
                    <a:latin typeface="+mn-lt"/>
                  </a:defRPr>
                </a:pPr>
                <a:r>
                  <a:rPr lang="en-US" sz="1400" b="1">
                    <a:latin typeface="+mn-lt"/>
                  </a:rPr>
                  <a:t>cost/node (US$)</a:t>
                </a:r>
              </a:p>
            </c:rich>
          </c:tx>
          <c:layout>
            <c:manualLayout>
              <c:xMode val="edge"/>
              <c:yMode val="edge"/>
              <c:x val="0.41615881293696522"/>
              <c:y val="0.92937757969236667"/>
            </c:manualLayout>
          </c:layout>
          <c:overlay val="0"/>
        </c:title>
        <c:numFmt formatCode="#,##0" sourceLinked="0"/>
        <c:majorTickMark val="out"/>
        <c:minorTickMark val="none"/>
        <c:tickLblPos val="nextTo"/>
        <c:spPr>
          <a:ln/>
        </c:spPr>
        <c:txPr>
          <a:bodyPr rot="0" vert="horz"/>
          <a:lstStyle/>
          <a:p>
            <a:pPr>
              <a:defRPr sz="1400">
                <a:latin typeface="+mn-lt"/>
                <a:cs typeface="Arial" panose="020B0604020202020204" pitchFamily="34" charset="0"/>
              </a:defRPr>
            </a:pPr>
            <a:endParaRPr lang="en-US"/>
          </a:p>
        </c:txPr>
        <c:crossAx val="229130424"/>
        <c:crossesAt val="0"/>
        <c:auto val="1"/>
        <c:lblAlgn val="ctr"/>
        <c:lblOffset val="100"/>
        <c:tickLblSkip val="2"/>
        <c:noMultiLvlLbl val="0"/>
      </c:catAx>
      <c:valAx>
        <c:axId val="229130424"/>
        <c:scaling>
          <c:orientation val="minMax"/>
          <c:max val="35"/>
        </c:scaling>
        <c:delete val="0"/>
        <c:axPos val="l"/>
        <c:numFmt formatCode="0" sourceLinked="0"/>
        <c:majorTickMark val="out"/>
        <c:minorTickMark val="none"/>
        <c:tickLblPos val="nextTo"/>
        <c:txPr>
          <a:bodyPr/>
          <a:lstStyle/>
          <a:p>
            <a:pPr>
              <a:defRPr sz="1400">
                <a:latin typeface="+mn-lt"/>
                <a:cs typeface="Arial" panose="020B0604020202020204" pitchFamily="34" charset="0"/>
              </a:defRPr>
            </a:pPr>
            <a:endParaRPr lang="en-US"/>
          </a:p>
        </c:txPr>
        <c:crossAx val="229130032"/>
        <c:crosses val="autoZero"/>
        <c:crossBetween val="between"/>
      </c:valAx>
      <c:spPr>
        <a:noFill/>
        <a:ln>
          <a:solidFill>
            <a:schemeClr val="bg1">
              <a:lumMod val="50000"/>
            </a:schemeClr>
          </a:solidFill>
        </a:ln>
      </c:spPr>
    </c:plotArea>
    <c:legend>
      <c:legendPos val="r"/>
      <c:layout>
        <c:manualLayout>
          <c:xMode val="edge"/>
          <c:yMode val="edge"/>
          <c:x val="0.29870750375146465"/>
          <c:y val="7.982059230337217E-2"/>
          <c:w val="0.42310845850455525"/>
          <c:h val="0.25153241681956007"/>
        </c:manualLayout>
      </c:layout>
      <c:overlay val="0"/>
      <c:spPr>
        <a:noFill/>
      </c:spPr>
      <c:txPr>
        <a:bodyPr/>
        <a:lstStyle/>
        <a:p>
          <a:pPr>
            <a:defRPr sz="1400"/>
          </a:pPr>
          <a:endParaRPr lang="en-US"/>
        </a:p>
      </c:txPr>
    </c:legend>
    <c:plotVisOnly val="1"/>
    <c:dispBlanksAs val="gap"/>
    <c:showDLblsOverMax val="0"/>
  </c:chart>
  <c:spPr>
    <a:noFill/>
    <a:ln>
      <a:noFill/>
    </a:ln>
  </c:spPr>
  <c:txPr>
    <a:bodyPr/>
    <a:lstStyle/>
    <a:p>
      <a:pPr>
        <a:defRPr sz="1100">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2"/>
          <c:order val="0"/>
          <c:tx>
            <c:strRef>
              <c:f>Hists!$K$248</c:f>
              <c:strCache>
                <c:ptCount val="1"/>
                <c:pt idx="0">
                  <c:v>Resolution
(bits)
</c:v>
                </c:pt>
              </c:strCache>
            </c:strRef>
          </c:tx>
          <c:spPr>
            <a:pattFill prst="ltDnDiag">
              <a:fgClr>
                <a:srgbClr val="00B050"/>
              </a:fgClr>
              <a:bgClr>
                <a:schemeClr val="bg1"/>
              </a:bgClr>
            </a:pattFill>
            <a:ln w="25400">
              <a:solidFill>
                <a:srgbClr val="00B050"/>
              </a:solidFill>
            </a:ln>
          </c:spPr>
          <c:invertIfNegative val="0"/>
          <c:cat>
            <c:numRef>
              <c:f>Hists!$B$250:$B$278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Hists!$K$250:$K$278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16.666666666111112</c:v>
                </c:pt>
                <c:pt idx="17">
                  <c:v>0</c:v>
                </c:pt>
                <c:pt idx="18">
                  <c:v>33.333333332222224</c:v>
                </c:pt>
                <c:pt idx="19">
                  <c:v>49.999999997499998</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A2D0-4CB3-8C90-38ED79A9B771}"/>
            </c:ext>
          </c:extLst>
        </c:ser>
        <c:ser>
          <c:idx val="3"/>
          <c:order val="1"/>
          <c:tx>
            <c:strRef>
              <c:f>Hists!$L$248</c:f>
              <c:strCache>
                <c:ptCount val="1"/>
                <c:pt idx="0">
                  <c:v>Accuracy
(bits)
</c:v>
                </c:pt>
              </c:strCache>
            </c:strRef>
          </c:tx>
          <c:spPr>
            <a:pattFill prst="smGrid">
              <a:fgClr>
                <a:schemeClr val="tx2"/>
              </a:fgClr>
              <a:bgClr>
                <a:schemeClr val="bg1"/>
              </a:bgClr>
            </a:pattFill>
            <a:ln w="25400">
              <a:solidFill>
                <a:schemeClr val="tx2"/>
              </a:solidFill>
            </a:ln>
          </c:spPr>
          <c:invertIfNegative val="0"/>
          <c:cat>
            <c:numRef>
              <c:f>Hists!$B$250:$B$278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Hists!$L$250:$L$278</c:f>
              <c:numCache>
                <c:formatCode>0.00</c:formatCode>
                <c:ptCount val="29"/>
                <c:pt idx="0">
                  <c:v>0</c:v>
                </c:pt>
                <c:pt idx="1">
                  <c:v>9.9999999998</c:v>
                </c:pt>
                <c:pt idx="2">
                  <c:v>36.666666665711112</c:v>
                </c:pt>
                <c:pt idx="3">
                  <c:v>43.333333332022221</c:v>
                </c:pt>
                <c:pt idx="4">
                  <c:v>9.9999999998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A2D0-4CB3-8C90-38ED79A9B771}"/>
            </c:ext>
          </c:extLst>
        </c:ser>
        <c:dLbls>
          <c:showLegendKey val="0"/>
          <c:showVal val="0"/>
          <c:showCatName val="0"/>
          <c:showSerName val="0"/>
          <c:showPercent val="0"/>
          <c:showBubbleSize val="0"/>
        </c:dLbls>
        <c:gapWidth val="0"/>
        <c:axId val="229131208"/>
        <c:axId val="229131600"/>
        <c:extLst xmlns:c16r2="http://schemas.microsoft.com/office/drawing/2015/06/chart"/>
      </c:barChart>
      <c:catAx>
        <c:axId val="229131208"/>
        <c:scaling>
          <c:orientation val="minMax"/>
        </c:scaling>
        <c:delete val="0"/>
        <c:axPos val="b"/>
        <c:title>
          <c:tx>
            <c:rich>
              <a:bodyPr/>
              <a:lstStyle/>
              <a:p>
                <a:pPr>
                  <a:defRPr/>
                </a:pPr>
                <a:r>
                  <a:rPr lang="en-US" sz="1400">
                    <a:latin typeface="+mn-lt"/>
                  </a:rPr>
                  <a:t>Bits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9131600"/>
        <c:crosses val="autoZero"/>
        <c:auto val="1"/>
        <c:lblAlgn val="ctr"/>
        <c:lblOffset val="100"/>
        <c:tickLblSkip val="2"/>
        <c:noMultiLvlLbl val="0"/>
      </c:catAx>
      <c:valAx>
        <c:axId val="229131600"/>
        <c:scaling>
          <c:orientation val="minMax"/>
          <c:max val="55"/>
          <c:min val="0"/>
        </c:scaling>
        <c:delete val="0"/>
        <c:axPos val="l"/>
        <c:numFmt formatCode="0" sourceLinked="0"/>
        <c:majorTickMark val="out"/>
        <c:minorTickMark val="none"/>
        <c:tickLblPos val="nextTo"/>
        <c:txPr>
          <a:bodyPr/>
          <a:lstStyle/>
          <a:p>
            <a:pPr>
              <a:defRPr sz="1200">
                <a:latin typeface="+mn-lt"/>
              </a:defRPr>
            </a:pPr>
            <a:endParaRPr lang="en-US"/>
          </a:p>
        </c:txPr>
        <c:crossAx val="229131208"/>
        <c:crosses val="autoZero"/>
        <c:crossBetween val="between"/>
      </c:valAx>
      <c:spPr>
        <a:noFill/>
        <a:ln>
          <a:solidFill>
            <a:schemeClr val="bg1">
              <a:lumMod val="50000"/>
            </a:schemeClr>
          </a:solidFill>
        </a:ln>
      </c:spPr>
    </c:plotArea>
    <c:legend>
      <c:legendPos val="r"/>
      <c:layout>
        <c:manualLayout>
          <c:xMode val="edge"/>
          <c:yMode val="edge"/>
          <c:x val="0.25691253446937801"/>
          <c:y val="0.22214787021748489"/>
          <c:w val="0.35412075756614447"/>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2"/>
          <c:order val="0"/>
          <c:tx>
            <c:strRef>
              <c:f>Hists!$K$298</c:f>
              <c:strCache>
                <c:ptCount val="1"/>
                <c:pt idx="0">
                  <c:v>Resolution
(bits)
</c:v>
                </c:pt>
              </c:strCache>
            </c:strRef>
          </c:tx>
          <c:spPr>
            <a:pattFill prst="ltDnDiag">
              <a:fgClr>
                <a:srgbClr val="00B050"/>
              </a:fgClr>
              <a:bgClr>
                <a:schemeClr val="bg1"/>
              </a:bgClr>
            </a:pattFill>
            <a:ln w="25400">
              <a:solidFill>
                <a:srgbClr val="00B050"/>
              </a:solidFill>
            </a:ln>
          </c:spPr>
          <c:invertIfNegative val="0"/>
          <c:cat>
            <c:numRef>
              <c:f>Hists!$B$300:$B$328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Hists!$K$300:$K$328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33.333333332222224</c:v>
                </c:pt>
                <c:pt idx="15">
                  <c:v>33.333333332222224</c:v>
                </c:pt>
                <c:pt idx="16">
                  <c:v>0</c:v>
                </c:pt>
                <c:pt idx="17">
                  <c:v>0</c:v>
                </c:pt>
                <c:pt idx="18">
                  <c:v>0</c:v>
                </c:pt>
                <c:pt idx="19">
                  <c:v>0</c:v>
                </c:pt>
                <c:pt idx="20">
                  <c:v>0</c:v>
                </c:pt>
                <c:pt idx="21">
                  <c:v>33.333333332222224</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9480-4DDC-987B-DC69472CF1B5}"/>
            </c:ext>
          </c:extLst>
        </c:ser>
        <c:ser>
          <c:idx val="3"/>
          <c:order val="1"/>
          <c:tx>
            <c:strRef>
              <c:f>Hists!$L$298</c:f>
              <c:strCache>
                <c:ptCount val="1"/>
                <c:pt idx="0">
                  <c:v>Accuracy
(bits)
</c:v>
                </c:pt>
              </c:strCache>
            </c:strRef>
          </c:tx>
          <c:spPr>
            <a:pattFill prst="smGrid">
              <a:fgClr>
                <a:schemeClr val="tx2"/>
              </a:fgClr>
              <a:bgClr>
                <a:schemeClr val="bg1"/>
              </a:bgClr>
            </a:pattFill>
            <a:ln w="25400">
              <a:solidFill>
                <a:schemeClr val="tx2"/>
              </a:solidFill>
            </a:ln>
          </c:spPr>
          <c:invertIfNegative val="0"/>
          <c:cat>
            <c:numRef>
              <c:f>Hists!$B$300:$B$328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Hists!$L$300:$L$328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24.999999998749999</c:v>
                </c:pt>
                <c:pt idx="16">
                  <c:v>0</c:v>
                </c:pt>
                <c:pt idx="17">
                  <c:v>0</c:v>
                </c:pt>
                <c:pt idx="18">
                  <c:v>24.999999998749999</c:v>
                </c:pt>
                <c:pt idx="19">
                  <c:v>0</c:v>
                </c:pt>
                <c:pt idx="20">
                  <c:v>0</c:v>
                </c:pt>
                <c:pt idx="21">
                  <c:v>0</c:v>
                </c:pt>
                <c:pt idx="22">
                  <c:v>0</c:v>
                </c:pt>
                <c:pt idx="23">
                  <c:v>0</c:v>
                </c:pt>
                <c:pt idx="24">
                  <c:v>0</c:v>
                </c:pt>
                <c:pt idx="25">
                  <c:v>0</c:v>
                </c:pt>
                <c:pt idx="26">
                  <c:v>0</c:v>
                </c:pt>
                <c:pt idx="27">
                  <c:v>49.999999995000003</c:v>
                </c:pt>
                <c:pt idx="28">
                  <c:v>0</c:v>
                </c:pt>
              </c:numCache>
            </c:numRef>
          </c:val>
          <c:extLst xmlns:c16r2="http://schemas.microsoft.com/office/drawing/2015/06/chart">
            <c:ext xmlns:c16="http://schemas.microsoft.com/office/drawing/2014/chart" uri="{C3380CC4-5D6E-409C-BE32-E72D297353CC}">
              <c16:uniqueId val="{00000001-9480-4DDC-987B-DC69472CF1B5}"/>
            </c:ext>
          </c:extLst>
        </c:ser>
        <c:dLbls>
          <c:showLegendKey val="0"/>
          <c:showVal val="0"/>
          <c:showCatName val="0"/>
          <c:showSerName val="0"/>
          <c:showPercent val="0"/>
          <c:showBubbleSize val="0"/>
        </c:dLbls>
        <c:gapWidth val="0"/>
        <c:axId val="229132384"/>
        <c:axId val="229132776"/>
        <c:extLst xmlns:c16r2="http://schemas.microsoft.com/office/drawing/2015/06/chart"/>
      </c:barChart>
      <c:catAx>
        <c:axId val="229132384"/>
        <c:scaling>
          <c:orientation val="minMax"/>
        </c:scaling>
        <c:delete val="0"/>
        <c:axPos val="b"/>
        <c:title>
          <c:tx>
            <c:rich>
              <a:bodyPr/>
              <a:lstStyle/>
              <a:p>
                <a:pPr>
                  <a:defRPr/>
                </a:pPr>
                <a:r>
                  <a:rPr lang="en-US" sz="1400">
                    <a:latin typeface="+mn-lt"/>
                  </a:rPr>
                  <a:t>Bits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9132776"/>
        <c:crosses val="autoZero"/>
        <c:auto val="1"/>
        <c:lblAlgn val="ctr"/>
        <c:lblOffset val="100"/>
        <c:tickLblSkip val="2"/>
        <c:noMultiLvlLbl val="0"/>
      </c:catAx>
      <c:valAx>
        <c:axId val="229132776"/>
        <c:scaling>
          <c:orientation val="minMax"/>
          <c:max val="55"/>
          <c:min val="0"/>
        </c:scaling>
        <c:delete val="0"/>
        <c:axPos val="l"/>
        <c:numFmt formatCode="0" sourceLinked="0"/>
        <c:majorTickMark val="out"/>
        <c:minorTickMark val="none"/>
        <c:tickLblPos val="nextTo"/>
        <c:txPr>
          <a:bodyPr/>
          <a:lstStyle/>
          <a:p>
            <a:pPr>
              <a:defRPr sz="1200">
                <a:latin typeface="+mn-lt"/>
              </a:defRPr>
            </a:pPr>
            <a:endParaRPr lang="en-US"/>
          </a:p>
        </c:txPr>
        <c:crossAx val="229132384"/>
        <c:crosses val="autoZero"/>
        <c:crossBetween val="between"/>
      </c:valAx>
      <c:spPr>
        <a:noFill/>
        <a:ln>
          <a:solidFill>
            <a:schemeClr val="bg1">
              <a:lumMod val="50000"/>
            </a:schemeClr>
          </a:solidFill>
        </a:ln>
      </c:spPr>
    </c:plotArea>
    <c:legend>
      <c:legendPos val="r"/>
      <c:layout>
        <c:manualLayout>
          <c:xMode val="edge"/>
          <c:yMode val="edge"/>
          <c:x val="0.25691261371843438"/>
          <c:y val="4.0183023038947656E-2"/>
          <c:w val="0.35412075756614447"/>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6650759627182361"/>
        </c:manualLayout>
      </c:layout>
      <c:barChart>
        <c:barDir val="col"/>
        <c:grouping val="clustered"/>
        <c:varyColors val="0"/>
        <c:ser>
          <c:idx val="1"/>
          <c:order val="1"/>
          <c:tx>
            <c:strRef>
              <c:f>Hists!$E$1198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Hists!$B$1200:$B$1228</c:f>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f>Hists!$F$1200:$F$1228</c:f>
              <c:numCache>
                <c:formatCode>0.00</c:formatCode>
                <c:ptCount val="29"/>
                <c:pt idx="0">
                  <c:v>0</c:v>
                </c:pt>
                <c:pt idx="1">
                  <c:v>0</c:v>
                </c:pt>
                <c:pt idx="2">
                  <c:v>0</c:v>
                </c:pt>
                <c:pt idx="3">
                  <c:v>0</c:v>
                </c:pt>
                <c:pt idx="4">
                  <c:v>15.384615384497041</c:v>
                </c:pt>
                <c:pt idx="5">
                  <c:v>0</c:v>
                </c:pt>
                <c:pt idx="6">
                  <c:v>0</c:v>
                </c:pt>
                <c:pt idx="7">
                  <c:v>0</c:v>
                </c:pt>
                <c:pt idx="8">
                  <c:v>0</c:v>
                </c:pt>
                <c:pt idx="9">
                  <c:v>0</c:v>
                </c:pt>
                <c:pt idx="10">
                  <c:v>0</c:v>
                </c:pt>
                <c:pt idx="11">
                  <c:v>7.6923076922485203</c:v>
                </c:pt>
                <c:pt idx="12">
                  <c:v>15.384615384497041</c:v>
                </c:pt>
                <c:pt idx="13">
                  <c:v>7.6923076922485203</c:v>
                </c:pt>
                <c:pt idx="14">
                  <c:v>0</c:v>
                </c:pt>
                <c:pt idx="15">
                  <c:v>0</c:v>
                </c:pt>
                <c:pt idx="16">
                  <c:v>0</c:v>
                </c:pt>
                <c:pt idx="17">
                  <c:v>0</c:v>
                </c:pt>
                <c:pt idx="18">
                  <c:v>7.6923076922485203</c:v>
                </c:pt>
                <c:pt idx="19">
                  <c:v>30.769230768994081</c:v>
                </c:pt>
                <c:pt idx="20">
                  <c:v>15.384615384497041</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D486-4380-AB1E-DD4E8B315A6F}"/>
            </c:ext>
          </c:extLst>
        </c:ser>
        <c:ser>
          <c:idx val="2"/>
          <c:order val="2"/>
          <c:tx>
            <c:strRef>
              <c:f>Hists!$G$1198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Hists!$B$1200:$B$1228</c:f>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f>Hists!$H$1200:$H$1228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D486-4380-AB1E-DD4E8B315A6F}"/>
            </c:ext>
          </c:extLst>
        </c:ser>
        <c:ser>
          <c:idx val="3"/>
          <c:order val="3"/>
          <c:tx>
            <c:strRef>
              <c:f>Hists!$I$1198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Hists!$B$1200:$B$1228</c:f>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f>Hists!$J$1200:$J$1228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D486-4380-AB1E-DD4E8B315A6F}"/>
            </c:ext>
          </c:extLst>
        </c:ser>
        <c:dLbls>
          <c:showLegendKey val="0"/>
          <c:showVal val="0"/>
          <c:showCatName val="0"/>
          <c:showSerName val="0"/>
          <c:showPercent val="0"/>
          <c:showBubbleSize val="0"/>
        </c:dLbls>
        <c:gapWidth val="0"/>
        <c:axId val="229133560"/>
        <c:axId val="22913395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Hists!$C$1198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Hists!$B$1200:$B$1228</c15:sqref>
                        </c15:formulaRef>
                      </c:ext>
                    </c:extLst>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extLst xmlns:c16r2="http://schemas.microsoft.com/office/drawing/2015/06/chart">
                      <c:ext uri="{02D57815-91ED-43cb-92C2-25804820EDAC}">
                        <c15:formulaRef>
                          <c15:sqref>Hists!$D$1200:$D$1228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D486-4380-AB1E-DD4E8B315A6F}"/>
                  </c:ext>
                </c:extLst>
              </c15:ser>
            </c15:filteredBarSeries>
          </c:ext>
        </c:extLst>
      </c:barChart>
      <c:catAx>
        <c:axId val="229133560"/>
        <c:scaling>
          <c:orientation val="minMax"/>
        </c:scaling>
        <c:delete val="0"/>
        <c:axPos val="b"/>
        <c:title>
          <c:tx>
            <c:rich>
              <a:bodyPr/>
              <a:lstStyle/>
              <a:p>
                <a:pPr>
                  <a:defRPr/>
                </a:pPr>
                <a:r>
                  <a:rPr lang="en-US" sz="1400">
                    <a:latin typeface="+mn-lt"/>
                  </a:rPr>
                  <a:t>Lifetime (h)</a:t>
                </a:r>
              </a:p>
            </c:rich>
          </c:tx>
          <c:layout>
            <c:manualLayout>
              <c:xMode val="edge"/>
              <c:yMode val="edge"/>
              <c:x val="0.45168234774962235"/>
              <c:y val="0.9293776262247031"/>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9133952"/>
        <c:crosses val="autoZero"/>
        <c:auto val="1"/>
        <c:lblAlgn val="ctr"/>
        <c:lblOffset val="100"/>
        <c:tickLblSkip val="2"/>
        <c:noMultiLvlLbl val="0"/>
      </c:catAx>
      <c:valAx>
        <c:axId val="229133952"/>
        <c:scaling>
          <c:orientation val="minMax"/>
          <c:max val="35"/>
        </c:scaling>
        <c:delete val="0"/>
        <c:axPos val="l"/>
        <c:numFmt formatCode="0" sourceLinked="0"/>
        <c:majorTickMark val="out"/>
        <c:minorTickMark val="none"/>
        <c:tickLblPos val="nextTo"/>
        <c:txPr>
          <a:bodyPr/>
          <a:lstStyle/>
          <a:p>
            <a:pPr>
              <a:defRPr sz="1200">
                <a:latin typeface="+mn-lt"/>
              </a:defRPr>
            </a:pPr>
            <a:endParaRPr lang="en-US"/>
          </a:p>
        </c:txPr>
        <c:crossAx val="229133560"/>
        <c:crosses val="autoZero"/>
        <c:crossBetween val="between"/>
      </c:valAx>
      <c:spPr>
        <a:noFill/>
        <a:ln>
          <a:solidFill>
            <a:schemeClr val="bg1">
              <a:lumMod val="50000"/>
            </a:schemeClr>
          </a:solidFill>
        </a:ln>
      </c:spPr>
    </c:plotArea>
    <c:legend>
      <c:legendPos val="r"/>
      <c:legendEntry>
        <c:idx val="1"/>
        <c:delete val="1"/>
      </c:legendEntry>
      <c:legendEntry>
        <c:idx val="2"/>
        <c:delete val="1"/>
      </c:legendEntry>
      <c:layout>
        <c:manualLayout>
          <c:xMode val="edge"/>
          <c:yMode val="edge"/>
          <c:x val="8.5131692107492454E-2"/>
          <c:y val="3.6897548646690405E-2"/>
          <c:w val="0.3118231868288695"/>
          <c:h val="0.1118729901376538"/>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496025279148334E-2"/>
          <c:y val="5.6608151331882739E-2"/>
          <c:w val="0.92622100134494179"/>
          <c:h val="0.86733796428659971"/>
        </c:manualLayout>
      </c:layout>
      <c:barChart>
        <c:barDir val="col"/>
        <c:grouping val="clustered"/>
        <c:varyColors val="0"/>
        <c:ser>
          <c:idx val="0"/>
          <c:order val="0"/>
          <c:tx>
            <c:v>Resolution</c:v>
          </c:tx>
          <c:invertIfNegative val="0"/>
          <c:cat>
            <c:numRef>
              <c:f>Hists!$B$501:$B$528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Hists!$K$501:$K$528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0D55-46CA-A420-BE68DE86EE32}"/>
            </c:ext>
          </c:extLst>
        </c:ser>
        <c:ser>
          <c:idx val="1"/>
          <c:order val="1"/>
          <c:tx>
            <c:v>Accuracy</c:v>
          </c:tx>
          <c:invertIfNegative val="0"/>
          <c:cat>
            <c:numRef>
              <c:f>Hists!$B$501:$B$528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Hists!$L$501:$L$528</c:f>
              <c:numCache>
                <c:formatCode>0.00</c:formatCode>
                <c:ptCount val="28"/>
                <c:pt idx="0">
                  <c:v>0</c:v>
                </c:pt>
                <c:pt idx="1">
                  <c:v>0</c:v>
                </c:pt>
                <c:pt idx="2">
                  <c:v>49.999999995000003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0D55-46CA-A420-BE68DE86EE32}"/>
            </c:ext>
          </c:extLst>
        </c:ser>
        <c:dLbls>
          <c:showLegendKey val="0"/>
          <c:showVal val="0"/>
          <c:showCatName val="0"/>
          <c:showSerName val="0"/>
          <c:showPercent val="0"/>
          <c:showBubbleSize val="0"/>
        </c:dLbls>
        <c:gapWidth val="150"/>
        <c:axId val="173131528"/>
        <c:axId val="215969640"/>
      </c:barChart>
      <c:catAx>
        <c:axId val="173131528"/>
        <c:scaling>
          <c:orientation val="minMax"/>
        </c:scaling>
        <c:delete val="0"/>
        <c:axPos val="b"/>
        <c:title>
          <c:tx>
            <c:rich>
              <a:bodyPr/>
              <a:lstStyle/>
              <a:p>
                <a:pPr>
                  <a:defRPr/>
                </a:pPr>
                <a:r>
                  <a:rPr lang="en-US"/>
                  <a:t>Bits</a:t>
                </a:r>
              </a:p>
            </c:rich>
          </c:tx>
          <c:layout>
            <c:manualLayout>
              <c:xMode val="edge"/>
              <c:yMode val="edge"/>
              <c:x val="0.48210904991689313"/>
              <c:y val="0.95958571068451237"/>
            </c:manualLayout>
          </c:layout>
          <c:overlay val="0"/>
        </c:title>
        <c:numFmt formatCode="General" sourceLinked="1"/>
        <c:majorTickMark val="out"/>
        <c:minorTickMark val="none"/>
        <c:tickLblPos val="nextTo"/>
        <c:txPr>
          <a:bodyPr rot="5400000" vert="horz"/>
          <a:lstStyle/>
          <a:p>
            <a:pPr>
              <a:defRPr/>
            </a:pPr>
            <a:endParaRPr lang="en-US"/>
          </a:p>
        </c:txPr>
        <c:crossAx val="215969640"/>
        <c:crosses val="autoZero"/>
        <c:auto val="1"/>
        <c:lblAlgn val="ctr"/>
        <c:lblOffset val="100"/>
        <c:noMultiLvlLbl val="0"/>
      </c:catAx>
      <c:valAx>
        <c:axId val="215969640"/>
        <c:scaling>
          <c:orientation val="minMax"/>
          <c:max val="55"/>
          <c:min val="0"/>
        </c:scaling>
        <c:delete val="0"/>
        <c:axPos val="l"/>
        <c:majorGridlines/>
        <c:minorGridlines/>
        <c:numFmt formatCode="0" sourceLinked="0"/>
        <c:majorTickMark val="out"/>
        <c:minorTickMark val="none"/>
        <c:tickLblPos val="nextTo"/>
        <c:crossAx val="173131528"/>
        <c:crosses val="autoZero"/>
        <c:crossBetween val="between"/>
      </c:valAx>
    </c:plotArea>
    <c:legend>
      <c:legendPos val="r"/>
      <c:layout>
        <c:manualLayout>
          <c:xMode val="edge"/>
          <c:yMode val="edge"/>
          <c:x val="0.42137024116550631"/>
          <c:y val="0.21046101874952799"/>
          <c:w val="9.4224304702227216E-2"/>
          <c:h val="6.5823625084535611E-2"/>
        </c:manualLayout>
      </c:layout>
      <c:overlay val="0"/>
      <c:spPr>
        <a:solidFill>
          <a:schemeClr val="bg1"/>
        </a:solidFill>
      </c:spPr>
    </c:legend>
    <c:plotVisOnly val="1"/>
    <c:dispBlanksAs val="gap"/>
    <c:showDLblsOverMax val="0"/>
  </c:chart>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72605081946687"/>
        </c:manualLayout>
      </c:layout>
      <c:barChart>
        <c:barDir val="col"/>
        <c:grouping val="clustered"/>
        <c:varyColors val="0"/>
        <c:ser>
          <c:idx val="1"/>
          <c:order val="1"/>
          <c:tx>
            <c:strRef>
              <c:f>Hists!$E$1248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Hists!$B$1250:$B$1278</c:f>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f>Hists!$F$1250:$F$1278</c:f>
              <c:numCache>
                <c:formatCode>0.00</c:formatCode>
                <c:ptCount val="29"/>
                <c:pt idx="0">
                  <c:v>19.999999991999999</c:v>
                </c:pt>
                <c:pt idx="1">
                  <c:v>7.9999999967999997</c:v>
                </c:pt>
                <c:pt idx="2">
                  <c:v>0</c:v>
                </c:pt>
                <c:pt idx="3">
                  <c:v>11.9999999952</c:v>
                </c:pt>
                <c:pt idx="4">
                  <c:v>7.9999999967999997</c:v>
                </c:pt>
                <c:pt idx="5">
                  <c:v>11.9999999952</c:v>
                </c:pt>
                <c:pt idx="6">
                  <c:v>3.9999999983999999</c:v>
                </c:pt>
                <c:pt idx="7">
                  <c:v>7.9999999967999997</c:v>
                </c:pt>
                <c:pt idx="8">
                  <c:v>0</c:v>
                </c:pt>
                <c:pt idx="9">
                  <c:v>0</c:v>
                </c:pt>
                <c:pt idx="10">
                  <c:v>0</c:v>
                </c:pt>
                <c:pt idx="11">
                  <c:v>7.9999999967999997</c:v>
                </c:pt>
                <c:pt idx="12">
                  <c:v>7.9999999967999997</c:v>
                </c:pt>
                <c:pt idx="13">
                  <c:v>0</c:v>
                </c:pt>
                <c:pt idx="14">
                  <c:v>0</c:v>
                </c:pt>
                <c:pt idx="15">
                  <c:v>0</c:v>
                </c:pt>
                <c:pt idx="16">
                  <c:v>0</c:v>
                </c:pt>
                <c:pt idx="17">
                  <c:v>0</c:v>
                </c:pt>
                <c:pt idx="18">
                  <c:v>0</c:v>
                </c:pt>
                <c:pt idx="19">
                  <c:v>0</c:v>
                </c:pt>
                <c:pt idx="20">
                  <c:v>0</c:v>
                </c:pt>
                <c:pt idx="21">
                  <c:v>0</c:v>
                </c:pt>
                <c:pt idx="22">
                  <c:v>3.9999999983999999</c:v>
                </c:pt>
                <c:pt idx="23">
                  <c:v>0</c:v>
                </c:pt>
                <c:pt idx="24">
                  <c:v>0</c:v>
                </c:pt>
                <c:pt idx="25">
                  <c:v>0</c:v>
                </c:pt>
                <c:pt idx="26">
                  <c:v>0</c:v>
                </c:pt>
                <c:pt idx="27">
                  <c:v>0</c:v>
                </c:pt>
                <c:pt idx="28">
                  <c:v>7.9999999967999997</c:v>
                </c:pt>
              </c:numCache>
            </c:numRef>
          </c:val>
          <c:extLst xmlns:c16r2="http://schemas.microsoft.com/office/drawing/2015/06/chart">
            <c:ext xmlns:c16="http://schemas.microsoft.com/office/drawing/2014/chart" uri="{C3380CC4-5D6E-409C-BE32-E72D297353CC}">
              <c16:uniqueId val="{00000000-0D9A-475C-AE4D-B0F6269E8344}"/>
            </c:ext>
          </c:extLst>
        </c:ser>
        <c:ser>
          <c:idx val="2"/>
          <c:order val="2"/>
          <c:tx>
            <c:strRef>
              <c:f>Hists!$G$1248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Hists!$B$1250:$B$1278</c:f>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f>Hists!$H$1250:$H$1278</c:f>
              <c:numCache>
                <c:formatCode>0.00</c:formatCode>
                <c:ptCount val="29"/>
                <c:pt idx="0">
                  <c:v>0</c:v>
                </c:pt>
                <c:pt idx="1">
                  <c:v>0</c:v>
                </c:pt>
                <c:pt idx="2">
                  <c:v>24.999999999791665</c:v>
                </c:pt>
                <c:pt idx="3">
                  <c:v>0</c:v>
                </c:pt>
                <c:pt idx="4">
                  <c:v>8.333333333263889</c:v>
                </c:pt>
                <c:pt idx="5">
                  <c:v>8.333333333263889</c:v>
                </c:pt>
                <c:pt idx="6">
                  <c:v>0</c:v>
                </c:pt>
                <c:pt idx="7">
                  <c:v>8.333333333263889</c:v>
                </c:pt>
                <c:pt idx="8">
                  <c:v>0</c:v>
                </c:pt>
                <c:pt idx="9">
                  <c:v>0</c:v>
                </c:pt>
                <c:pt idx="10">
                  <c:v>8.333333333263889</c:v>
                </c:pt>
                <c:pt idx="11">
                  <c:v>8.333333333263889</c:v>
                </c:pt>
                <c:pt idx="12">
                  <c:v>8.333333333263889</c:v>
                </c:pt>
                <c:pt idx="13">
                  <c:v>24.999999999791665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0D9A-475C-AE4D-B0F6269E8344}"/>
            </c:ext>
          </c:extLst>
        </c:ser>
        <c:dLbls>
          <c:showLegendKey val="0"/>
          <c:showVal val="0"/>
          <c:showCatName val="0"/>
          <c:showSerName val="0"/>
          <c:showPercent val="0"/>
          <c:showBubbleSize val="0"/>
        </c:dLbls>
        <c:gapWidth val="0"/>
        <c:axId val="229134736"/>
        <c:axId val="2291351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Hists!$C$1248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Hists!$B$1250:$B$1278</c15:sqref>
                        </c15:formulaRef>
                      </c:ext>
                    </c:extLst>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extLst xmlns:c16r2="http://schemas.microsoft.com/office/drawing/2015/06/chart">
                      <c:ext uri="{02D57815-91ED-43cb-92C2-25804820EDAC}">
                        <c15:formulaRef>
                          <c15:sqref>Hists!$D$1250:$D$1278</c15:sqref>
                        </c15:formulaRef>
                      </c:ext>
                    </c:extLst>
                    <c:numCache>
                      <c:formatCode>0.00</c:formatCode>
                      <c:ptCount val="29"/>
                      <c:pt idx="0">
                        <c:v>0</c:v>
                      </c:pt>
                      <c:pt idx="1">
                        <c:v>0</c:v>
                      </c:pt>
                      <c:pt idx="2">
                        <c:v>0</c:v>
                      </c:pt>
                      <c:pt idx="3">
                        <c:v>0</c:v>
                      </c:pt>
                      <c:pt idx="4">
                        <c:v>0</c:v>
                      </c:pt>
                      <c:pt idx="5">
                        <c:v>49.999999997499998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0D9A-475C-AE4D-B0F6269E8344}"/>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Hists!$I$1248</c15:sqref>
                        </c15:formulaRef>
                      </c:ext>
                    </c:extLst>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extLst xmlns:c16r2="http://schemas.microsoft.com/office/drawing/2015/06/chart" xmlns:c15="http://schemas.microsoft.com/office/drawing/2012/chart">
                      <c:ext xmlns:c15="http://schemas.microsoft.com/office/drawing/2012/chart" uri="{02D57815-91ED-43cb-92C2-25804820EDAC}">
                        <c15:formulaRef>
                          <c15:sqref>Hists!$B$1250:$B$1278</c15:sqref>
                        </c15:formulaRef>
                      </c:ext>
                    </c:extLst>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Hists!$J$1250:$J$1278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7.6923076922485203</c:v>
                      </c:pt>
                      <c:pt idx="13">
                        <c:v>23.076923076745562</c:v>
                      </c:pt>
                      <c:pt idx="14">
                        <c:v>23.076923076745562</c:v>
                      </c:pt>
                      <c:pt idx="15">
                        <c:v>0</c:v>
                      </c:pt>
                      <c:pt idx="16">
                        <c:v>0</c:v>
                      </c:pt>
                      <c:pt idx="17">
                        <c:v>7.6923076922485203</c:v>
                      </c:pt>
                      <c:pt idx="18">
                        <c:v>0</c:v>
                      </c:pt>
                      <c:pt idx="19">
                        <c:v>7.6923076922485203</c:v>
                      </c:pt>
                      <c:pt idx="20">
                        <c:v>0</c:v>
                      </c:pt>
                      <c:pt idx="21">
                        <c:v>0</c:v>
                      </c:pt>
                      <c:pt idx="22">
                        <c:v>0</c:v>
                      </c:pt>
                      <c:pt idx="23">
                        <c:v>0</c:v>
                      </c:pt>
                      <c:pt idx="24">
                        <c:v>0</c:v>
                      </c:pt>
                      <c:pt idx="25">
                        <c:v>0</c:v>
                      </c:pt>
                      <c:pt idx="26">
                        <c:v>0</c:v>
                      </c:pt>
                      <c:pt idx="27">
                        <c:v>0</c:v>
                      </c:pt>
                      <c:pt idx="28">
                        <c:v>30.769230768994081</c:v>
                      </c:pt>
                    </c:numCache>
                  </c:numRef>
                </c:val>
                <c:extLst xmlns:c15="http://schemas.microsoft.com/office/drawing/2012/chart" xmlns:c16r2="http://schemas.microsoft.com/office/drawing/2015/06/chart">
                  <c:ext xmlns:c16="http://schemas.microsoft.com/office/drawing/2014/chart" uri="{C3380CC4-5D6E-409C-BE32-E72D297353CC}">
                    <c16:uniqueId val="{00000002-0D9A-475C-AE4D-B0F6269E8344}"/>
                  </c:ext>
                </c:extLst>
              </c15:ser>
            </c15:filteredBarSeries>
          </c:ext>
        </c:extLst>
      </c:barChart>
      <c:catAx>
        <c:axId val="229134736"/>
        <c:scaling>
          <c:orientation val="minMax"/>
        </c:scaling>
        <c:delete val="0"/>
        <c:axPos val="b"/>
        <c:title>
          <c:tx>
            <c:rich>
              <a:bodyPr/>
              <a:lstStyle/>
              <a:p>
                <a:pPr>
                  <a:defRPr/>
                </a:pPr>
                <a:r>
                  <a:rPr lang="en-US" sz="1400">
                    <a:latin typeface="+mn-lt"/>
                  </a:rPr>
                  <a:t>lifetime (h)</a:t>
                </a:r>
              </a:p>
            </c:rich>
          </c:tx>
          <c:layout>
            <c:manualLayout>
              <c:xMode val="edge"/>
              <c:yMode val="edge"/>
              <c:x val="0.47263059158245896"/>
              <c:y val="0.9293776262247031"/>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9135128"/>
        <c:crosses val="autoZero"/>
        <c:auto val="1"/>
        <c:lblAlgn val="ctr"/>
        <c:lblOffset val="100"/>
        <c:tickLblSkip val="2"/>
        <c:noMultiLvlLbl val="0"/>
      </c:catAx>
      <c:valAx>
        <c:axId val="229135128"/>
        <c:scaling>
          <c:orientation val="minMax"/>
          <c:max val="35"/>
        </c:scaling>
        <c:delete val="0"/>
        <c:axPos val="l"/>
        <c:numFmt formatCode="0" sourceLinked="0"/>
        <c:majorTickMark val="out"/>
        <c:minorTickMark val="none"/>
        <c:tickLblPos val="nextTo"/>
        <c:txPr>
          <a:bodyPr/>
          <a:lstStyle/>
          <a:p>
            <a:pPr>
              <a:defRPr sz="1200">
                <a:latin typeface="+mn-lt"/>
              </a:defRPr>
            </a:pPr>
            <a:endParaRPr lang="en-US"/>
          </a:p>
        </c:txPr>
        <c:crossAx val="229134736"/>
        <c:crosses val="autoZero"/>
        <c:crossBetween val="between"/>
      </c:valAx>
      <c:spPr>
        <a:noFill/>
        <a:ln>
          <a:solidFill>
            <a:schemeClr val="bg1">
              <a:lumMod val="50000"/>
            </a:schemeClr>
          </a:solidFill>
        </a:ln>
      </c:spPr>
    </c:plotArea>
    <c:legend>
      <c:legendPos val="r"/>
      <c:layout>
        <c:manualLayout>
          <c:xMode val="edge"/>
          <c:yMode val="edge"/>
          <c:x val="7.915766900497101E-2"/>
          <c:y val="3.2969009931455573E-2"/>
          <c:w val="0.39430348007286764"/>
          <c:h val="0.16774764328813618"/>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1521558243673"/>
          <c:y val="2.5248514450016746E-2"/>
          <c:w val="0.88174419371275636"/>
          <c:h val="0.76750280407590266"/>
        </c:manualLayout>
      </c:layout>
      <c:barChart>
        <c:barDir val="col"/>
        <c:grouping val="clustered"/>
        <c:varyColors val="0"/>
        <c:ser>
          <c:idx val="1"/>
          <c:order val="1"/>
          <c:tx>
            <c:strRef>
              <c:f>Hists!$E$1298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Hists!$B$1300:$B$1328</c:f>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numRef>
          </c:cat>
          <c:val>
            <c:numRef>
              <c:f>Hists!$F$1300:$F$1328</c:f>
              <c:numCache>
                <c:formatCode>0.00</c:formatCode>
                <c:ptCount val="29"/>
                <c:pt idx="0">
                  <c:v>0</c:v>
                </c:pt>
                <c:pt idx="1">
                  <c:v>0</c:v>
                </c:pt>
                <c:pt idx="2">
                  <c:v>0</c:v>
                </c:pt>
                <c:pt idx="3">
                  <c:v>0</c:v>
                </c:pt>
                <c:pt idx="4">
                  <c:v>0</c:v>
                </c:pt>
                <c:pt idx="5">
                  <c:v>0</c:v>
                </c:pt>
                <c:pt idx="6">
                  <c:v>0</c:v>
                </c:pt>
                <c:pt idx="7">
                  <c:v>0</c:v>
                </c:pt>
                <c:pt idx="8">
                  <c:v>0</c:v>
                </c:pt>
                <c:pt idx="9">
                  <c:v>2.5641025640959896</c:v>
                </c:pt>
                <c:pt idx="10">
                  <c:v>17.948717948671927</c:v>
                </c:pt>
                <c:pt idx="11">
                  <c:v>12.820512820479946</c:v>
                </c:pt>
                <c:pt idx="12">
                  <c:v>2.5641025640959896</c:v>
                </c:pt>
                <c:pt idx="13">
                  <c:v>23.076923076863903</c:v>
                </c:pt>
                <c:pt idx="14">
                  <c:v>2.5641025640959896</c:v>
                </c:pt>
                <c:pt idx="15">
                  <c:v>15.384615384575936</c:v>
                </c:pt>
                <c:pt idx="16">
                  <c:v>10.256410256383958</c:v>
                </c:pt>
                <c:pt idx="17">
                  <c:v>2.5641025640959896</c:v>
                </c:pt>
                <c:pt idx="18">
                  <c:v>0</c:v>
                </c:pt>
                <c:pt idx="19">
                  <c:v>2.5641025640959896</c:v>
                </c:pt>
                <c:pt idx="20">
                  <c:v>0</c:v>
                </c:pt>
                <c:pt idx="21">
                  <c:v>0</c:v>
                </c:pt>
                <c:pt idx="22">
                  <c:v>2.5641025640959896</c:v>
                </c:pt>
                <c:pt idx="23">
                  <c:v>2.5641025640959896</c:v>
                </c:pt>
                <c:pt idx="24">
                  <c:v>0</c:v>
                </c:pt>
                <c:pt idx="25">
                  <c:v>2.5641025640959896</c:v>
                </c:pt>
                <c:pt idx="26">
                  <c:v>0</c:v>
                </c:pt>
                <c:pt idx="27">
                  <c:v>0</c:v>
                </c:pt>
                <c:pt idx="28">
                  <c:v>0</c:v>
                </c:pt>
              </c:numCache>
            </c:numRef>
          </c:val>
          <c:extLst xmlns:c16r2="http://schemas.microsoft.com/office/drawing/2015/06/chart">
            <c:ext xmlns:c16="http://schemas.microsoft.com/office/drawing/2014/chart" uri="{C3380CC4-5D6E-409C-BE32-E72D297353CC}">
              <c16:uniqueId val="{00000000-AEBA-4BA8-AF34-E7BFF4547832}"/>
            </c:ext>
          </c:extLst>
        </c:ser>
        <c:ser>
          <c:idx val="2"/>
          <c:order val="2"/>
          <c:tx>
            <c:strRef>
              <c:f>Hists!$G$1298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Hists!$B$1300:$B$1328</c:f>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numRef>
          </c:cat>
          <c:val>
            <c:numRef>
              <c:f>Hists!$H$1300:$H$1328</c:f>
              <c:numCache>
                <c:formatCode>0.00</c:formatCode>
                <c:ptCount val="29"/>
                <c:pt idx="0">
                  <c:v>5.263157894709142</c:v>
                </c:pt>
                <c:pt idx="1">
                  <c:v>5.263157894709142</c:v>
                </c:pt>
                <c:pt idx="2">
                  <c:v>0</c:v>
                </c:pt>
                <c:pt idx="3">
                  <c:v>42.105263157673136</c:v>
                </c:pt>
                <c:pt idx="4">
                  <c:v>5.263157894709142</c:v>
                </c:pt>
                <c:pt idx="5">
                  <c:v>0</c:v>
                </c:pt>
                <c:pt idx="6">
                  <c:v>15.789473684127426</c:v>
                </c:pt>
                <c:pt idx="7">
                  <c:v>10.526315789418284</c:v>
                </c:pt>
                <c:pt idx="8">
                  <c:v>15.789473684127426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AEBA-4BA8-AF34-E7BFF4547832}"/>
            </c:ext>
          </c:extLst>
        </c:ser>
        <c:ser>
          <c:idx val="3"/>
          <c:order val="3"/>
          <c:tx>
            <c:strRef>
              <c:f>Hists!$I$1298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Hists!$B$1300:$B$1328</c:f>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numRef>
          </c:cat>
          <c:val>
            <c:numRef>
              <c:f>Hists!$J$1300:$J$1328</c:f>
              <c:numCache>
                <c:formatCode>0.00</c:formatCode>
                <c:ptCount val="29"/>
                <c:pt idx="0">
                  <c:v>14.285714285612245</c:v>
                </c:pt>
                <c:pt idx="1">
                  <c:v>42.857142856836738</c:v>
                </c:pt>
                <c:pt idx="2">
                  <c:v>35.714285714030609</c:v>
                </c:pt>
                <c:pt idx="3">
                  <c:v>7.1428571428061227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AEBA-4BA8-AF34-E7BFF4547832}"/>
            </c:ext>
          </c:extLst>
        </c:ser>
        <c:dLbls>
          <c:showLegendKey val="0"/>
          <c:showVal val="0"/>
          <c:showCatName val="0"/>
          <c:showSerName val="0"/>
          <c:showPercent val="0"/>
          <c:showBubbleSize val="0"/>
        </c:dLbls>
        <c:gapWidth val="0"/>
        <c:axId val="229135912"/>
        <c:axId val="22913630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Hists!$C$1298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Hists!$B$1300:$B$1328</c15:sqref>
                        </c15:formulaRef>
                      </c:ext>
                    </c:extLst>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numRef>
                </c:cat>
                <c:val>
                  <c:numRef>
                    <c:extLst xmlns:c16r2="http://schemas.microsoft.com/office/drawing/2015/06/chart">
                      <c:ext uri="{02D57815-91ED-43cb-92C2-25804820EDAC}">
                        <c15:formulaRef>
                          <c15:sqref>Hists!$D$1300:$D$1328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15.384615384497041</c:v>
                      </c:pt>
                      <c:pt idx="11">
                        <c:v>0</c:v>
                      </c:pt>
                      <c:pt idx="12">
                        <c:v>23.076923076745562</c:v>
                      </c:pt>
                      <c:pt idx="13">
                        <c:v>15.384615384497041</c:v>
                      </c:pt>
                      <c:pt idx="14">
                        <c:v>30.769230768994081</c:v>
                      </c:pt>
                      <c:pt idx="15">
                        <c:v>7.6923076922485203</c:v>
                      </c:pt>
                      <c:pt idx="16">
                        <c:v>0</c:v>
                      </c:pt>
                      <c:pt idx="17">
                        <c:v>0</c:v>
                      </c:pt>
                      <c:pt idx="18">
                        <c:v>0</c:v>
                      </c:pt>
                      <c:pt idx="19">
                        <c:v>0</c:v>
                      </c:pt>
                      <c:pt idx="20">
                        <c:v>0</c:v>
                      </c:pt>
                      <c:pt idx="21">
                        <c:v>0</c:v>
                      </c:pt>
                      <c:pt idx="22">
                        <c:v>7.6923076922485203</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AEBA-4BA8-AF34-E7BFF4547832}"/>
                  </c:ext>
                </c:extLst>
              </c15:ser>
            </c15:filteredBarSeries>
          </c:ext>
        </c:extLst>
      </c:barChart>
      <c:catAx>
        <c:axId val="229135912"/>
        <c:scaling>
          <c:orientation val="minMax"/>
        </c:scaling>
        <c:delete val="0"/>
        <c:axPos val="b"/>
        <c:title>
          <c:tx>
            <c:rich>
              <a:bodyPr/>
              <a:lstStyle/>
              <a:p>
                <a:pPr>
                  <a:defRPr/>
                </a:pPr>
                <a:r>
                  <a:rPr lang="en-US" sz="1400">
                    <a:latin typeface="+mn-lt"/>
                  </a:rPr>
                  <a:t>dimension (mm)</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9136304"/>
        <c:crosses val="autoZero"/>
        <c:auto val="1"/>
        <c:lblAlgn val="ctr"/>
        <c:lblOffset val="100"/>
        <c:tickLblSkip val="2"/>
        <c:noMultiLvlLbl val="0"/>
      </c:catAx>
      <c:valAx>
        <c:axId val="229136304"/>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9135912"/>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1517108389987"/>
          <c:y val="2.5749734029660451E-2"/>
          <c:w val="0.88174419371275636"/>
          <c:h val="0.8183231348073795"/>
        </c:manualLayout>
      </c:layout>
      <c:barChart>
        <c:barDir val="col"/>
        <c:grouping val="clustered"/>
        <c:varyColors val="0"/>
        <c:ser>
          <c:idx val="5"/>
          <c:order val="1"/>
          <c:tx>
            <c:strRef>
              <c:f>Hists!$E$1348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Hists!$B$1350:$B$1378</c:f>
              <c:numCache>
                <c:formatCode>0.0</c:formatCode>
                <c:ptCount val="29"/>
                <c:pt idx="0">
                  <c:v>100</c:v>
                </c:pt>
                <c:pt idx="1">
                  <c:v>200</c:v>
                </c:pt>
                <c:pt idx="2">
                  <c:v>300</c:v>
                </c:pt>
                <c:pt idx="3">
                  <c:v>400</c:v>
                </c:pt>
                <c:pt idx="4">
                  <c:v>500</c:v>
                </c:pt>
                <c:pt idx="5">
                  <c:v>600</c:v>
                </c:pt>
                <c:pt idx="6">
                  <c:v>700</c:v>
                </c:pt>
                <c:pt idx="7">
                  <c:v>800</c:v>
                </c:pt>
                <c:pt idx="8">
                  <c:v>900</c:v>
                </c:pt>
                <c:pt idx="9">
                  <c:v>1000</c:v>
                </c:pt>
                <c:pt idx="10">
                  <c:v>2000</c:v>
                </c:pt>
                <c:pt idx="11">
                  <c:v>3000</c:v>
                </c:pt>
                <c:pt idx="12">
                  <c:v>4000</c:v>
                </c:pt>
                <c:pt idx="13">
                  <c:v>5000</c:v>
                </c:pt>
                <c:pt idx="14">
                  <c:v>6000</c:v>
                </c:pt>
                <c:pt idx="15">
                  <c:v>7000</c:v>
                </c:pt>
                <c:pt idx="16">
                  <c:v>8000</c:v>
                </c:pt>
                <c:pt idx="17">
                  <c:v>9000</c:v>
                </c:pt>
                <c:pt idx="18">
                  <c:v>1000</c:v>
                </c:pt>
                <c:pt idx="19">
                  <c:v>20000</c:v>
                </c:pt>
                <c:pt idx="20">
                  <c:v>30000</c:v>
                </c:pt>
                <c:pt idx="21">
                  <c:v>40000</c:v>
                </c:pt>
                <c:pt idx="22">
                  <c:v>50000</c:v>
                </c:pt>
                <c:pt idx="23">
                  <c:v>60000</c:v>
                </c:pt>
                <c:pt idx="24">
                  <c:v>70000</c:v>
                </c:pt>
                <c:pt idx="25">
                  <c:v>80000</c:v>
                </c:pt>
                <c:pt idx="26">
                  <c:v>90000</c:v>
                </c:pt>
                <c:pt idx="27">
                  <c:v>100000</c:v>
                </c:pt>
                <c:pt idx="28">
                  <c:v>200000</c:v>
                </c:pt>
              </c:numCache>
            </c:numRef>
          </c:cat>
          <c:val>
            <c:numRef>
              <c:f>Hists!$F$1350:$F$1378</c:f>
              <c:numCache>
                <c:formatCode>0.00</c:formatCode>
                <c:ptCount val="29"/>
                <c:pt idx="0">
                  <c:v>9.6774193548074923</c:v>
                </c:pt>
                <c:pt idx="1">
                  <c:v>0</c:v>
                </c:pt>
                <c:pt idx="2">
                  <c:v>0</c:v>
                </c:pt>
                <c:pt idx="3">
                  <c:v>0</c:v>
                </c:pt>
                <c:pt idx="4">
                  <c:v>0</c:v>
                </c:pt>
                <c:pt idx="5">
                  <c:v>0</c:v>
                </c:pt>
                <c:pt idx="6">
                  <c:v>0</c:v>
                </c:pt>
                <c:pt idx="7">
                  <c:v>0</c:v>
                </c:pt>
                <c:pt idx="8">
                  <c:v>0</c:v>
                </c:pt>
                <c:pt idx="9">
                  <c:v>0</c:v>
                </c:pt>
                <c:pt idx="10">
                  <c:v>19.354838709614985</c:v>
                </c:pt>
                <c:pt idx="11">
                  <c:v>0</c:v>
                </c:pt>
                <c:pt idx="12">
                  <c:v>0</c:v>
                </c:pt>
                <c:pt idx="13">
                  <c:v>3.2258064516024976</c:v>
                </c:pt>
                <c:pt idx="14">
                  <c:v>0</c:v>
                </c:pt>
                <c:pt idx="15">
                  <c:v>3.2258064516024976</c:v>
                </c:pt>
                <c:pt idx="16">
                  <c:v>0</c:v>
                </c:pt>
                <c:pt idx="17">
                  <c:v>0</c:v>
                </c:pt>
                <c:pt idx="18">
                  <c:v>25.806451612819981</c:v>
                </c:pt>
                <c:pt idx="19">
                  <c:v>12.90322580640999</c:v>
                </c:pt>
                <c:pt idx="20">
                  <c:v>0</c:v>
                </c:pt>
                <c:pt idx="21">
                  <c:v>6.4516129032049951</c:v>
                </c:pt>
                <c:pt idx="22">
                  <c:v>0</c:v>
                </c:pt>
                <c:pt idx="23">
                  <c:v>3.2258064516024976</c:v>
                </c:pt>
                <c:pt idx="24">
                  <c:v>0</c:v>
                </c:pt>
                <c:pt idx="25">
                  <c:v>0</c:v>
                </c:pt>
                <c:pt idx="26">
                  <c:v>0</c:v>
                </c:pt>
                <c:pt idx="27">
                  <c:v>0</c:v>
                </c:pt>
                <c:pt idx="28">
                  <c:v>16.129032258012487</c:v>
                </c:pt>
              </c:numCache>
            </c:numRef>
          </c:val>
          <c:extLst xmlns:c16r2="http://schemas.microsoft.com/office/drawing/2015/06/chart">
            <c:ext xmlns:c16="http://schemas.microsoft.com/office/drawing/2014/chart" uri="{C3380CC4-5D6E-409C-BE32-E72D297353CC}">
              <c16:uniqueId val="{00000009-C072-4546-9661-1AC7F436179F}"/>
            </c:ext>
          </c:extLst>
        </c:ser>
        <c:ser>
          <c:idx val="0"/>
          <c:order val="2"/>
          <c:tx>
            <c:strRef>
              <c:f>Hists!$C$1298</c:f>
              <c:strCache>
                <c:ptCount val="1"/>
                <c:pt idx="0">
                  <c:v>Wearable</c:v>
                </c:pt>
              </c:strCache>
              <c:extLst xmlns:c15="http://schemas.microsoft.com/office/drawing/2012/chart" xmlns:c16r2="http://schemas.microsoft.com/office/drawing/2015/06/chart"/>
            </c:strRef>
          </c:tx>
          <c:invertIfNegative val="0"/>
          <c:cat>
            <c:numRef>
              <c:f>Hists!$B$1300:$B$1328</c:f>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extLst xmlns:c15="http://schemas.microsoft.com/office/drawing/2012/chart" xmlns:c16r2="http://schemas.microsoft.com/office/drawing/2015/06/chart"/>
            </c:numRef>
          </c:cat>
          <c:val>
            <c:numRef>
              <c:f>Hists!$D$1300:$D$1328</c:f>
              <c:numCache>
                <c:formatCode>0.00</c:formatCode>
                <c:ptCount val="29"/>
                <c:pt idx="0">
                  <c:v>0</c:v>
                </c:pt>
                <c:pt idx="1">
                  <c:v>0</c:v>
                </c:pt>
                <c:pt idx="2">
                  <c:v>0</c:v>
                </c:pt>
                <c:pt idx="3">
                  <c:v>0</c:v>
                </c:pt>
                <c:pt idx="4">
                  <c:v>0</c:v>
                </c:pt>
                <c:pt idx="5">
                  <c:v>0</c:v>
                </c:pt>
                <c:pt idx="6">
                  <c:v>0</c:v>
                </c:pt>
                <c:pt idx="7">
                  <c:v>0</c:v>
                </c:pt>
                <c:pt idx="8">
                  <c:v>0</c:v>
                </c:pt>
                <c:pt idx="9">
                  <c:v>0</c:v>
                </c:pt>
                <c:pt idx="10">
                  <c:v>15.384615384497041</c:v>
                </c:pt>
                <c:pt idx="11">
                  <c:v>0</c:v>
                </c:pt>
                <c:pt idx="12">
                  <c:v>23.076923076745562</c:v>
                </c:pt>
                <c:pt idx="13">
                  <c:v>15.384615384497041</c:v>
                </c:pt>
                <c:pt idx="14">
                  <c:v>30.769230768994081</c:v>
                </c:pt>
                <c:pt idx="15">
                  <c:v>7.6923076922485203</c:v>
                </c:pt>
                <c:pt idx="16">
                  <c:v>0</c:v>
                </c:pt>
                <c:pt idx="17">
                  <c:v>0</c:v>
                </c:pt>
                <c:pt idx="18">
                  <c:v>0</c:v>
                </c:pt>
                <c:pt idx="19">
                  <c:v>0</c:v>
                </c:pt>
                <c:pt idx="20">
                  <c:v>0</c:v>
                </c:pt>
                <c:pt idx="21">
                  <c:v>0</c:v>
                </c:pt>
                <c:pt idx="22">
                  <c:v>7.6923076922485203</c:v>
                </c:pt>
                <c:pt idx="23">
                  <c:v>0</c:v>
                </c:pt>
                <c:pt idx="24">
                  <c:v>0</c:v>
                </c:pt>
                <c:pt idx="25">
                  <c:v>0</c:v>
                </c:pt>
                <c:pt idx="26">
                  <c:v>0</c:v>
                </c:pt>
                <c:pt idx="27">
                  <c:v>0</c:v>
                </c:pt>
                <c:pt idx="28">
                  <c:v>0</c:v>
                </c:pt>
              </c:numCache>
              <c:extLst xmlns:c15="http://schemas.microsoft.com/office/drawing/2012/chart" xmlns:c16r2="http://schemas.microsoft.com/office/drawing/2015/06/chart"/>
            </c:numRef>
          </c:val>
          <c:extLst xmlns:c15="http://schemas.microsoft.com/office/drawing/2012/chart" xmlns:c16r2="http://schemas.microsoft.com/office/drawing/2015/06/chart">
            <c:ext xmlns:c16="http://schemas.microsoft.com/office/drawing/2014/chart" uri="{C3380CC4-5D6E-409C-BE32-E72D297353CC}">
              <c16:uniqueId val="{00000007-C072-4546-9661-1AC7F436179F}"/>
            </c:ext>
          </c:extLst>
        </c:ser>
        <c:ser>
          <c:idx val="1"/>
          <c:order val="3"/>
          <c:tx>
            <c:strRef>
              <c:f>Hists!$E$1298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Hists!$B$1300:$B$1328</c:f>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numRef>
          </c:cat>
          <c:val>
            <c:numRef>
              <c:f>Hists!$F$1300:$F$1328</c:f>
              <c:numCache>
                <c:formatCode>0.00</c:formatCode>
                <c:ptCount val="29"/>
                <c:pt idx="0">
                  <c:v>0</c:v>
                </c:pt>
                <c:pt idx="1">
                  <c:v>0</c:v>
                </c:pt>
                <c:pt idx="2">
                  <c:v>0</c:v>
                </c:pt>
                <c:pt idx="3">
                  <c:v>0</c:v>
                </c:pt>
                <c:pt idx="4">
                  <c:v>0</c:v>
                </c:pt>
                <c:pt idx="5">
                  <c:v>0</c:v>
                </c:pt>
                <c:pt idx="6">
                  <c:v>0</c:v>
                </c:pt>
                <c:pt idx="7">
                  <c:v>0</c:v>
                </c:pt>
                <c:pt idx="8">
                  <c:v>0</c:v>
                </c:pt>
                <c:pt idx="9">
                  <c:v>2.5641025640959896</c:v>
                </c:pt>
                <c:pt idx="10">
                  <c:v>17.948717948671927</c:v>
                </c:pt>
                <c:pt idx="11">
                  <c:v>12.820512820479946</c:v>
                </c:pt>
                <c:pt idx="12">
                  <c:v>2.5641025640959896</c:v>
                </c:pt>
                <c:pt idx="13">
                  <c:v>23.076923076863903</c:v>
                </c:pt>
                <c:pt idx="14">
                  <c:v>2.5641025640959896</c:v>
                </c:pt>
                <c:pt idx="15">
                  <c:v>15.384615384575936</c:v>
                </c:pt>
                <c:pt idx="16">
                  <c:v>10.256410256383958</c:v>
                </c:pt>
                <c:pt idx="17">
                  <c:v>2.5641025640959896</c:v>
                </c:pt>
                <c:pt idx="18">
                  <c:v>0</c:v>
                </c:pt>
                <c:pt idx="19">
                  <c:v>2.5641025640959896</c:v>
                </c:pt>
                <c:pt idx="20">
                  <c:v>0</c:v>
                </c:pt>
                <c:pt idx="21">
                  <c:v>0</c:v>
                </c:pt>
                <c:pt idx="22">
                  <c:v>2.5641025640959896</c:v>
                </c:pt>
                <c:pt idx="23">
                  <c:v>2.5641025640959896</c:v>
                </c:pt>
                <c:pt idx="24">
                  <c:v>0</c:v>
                </c:pt>
                <c:pt idx="25">
                  <c:v>2.5641025640959896</c:v>
                </c:pt>
                <c:pt idx="26">
                  <c:v>0</c:v>
                </c:pt>
                <c:pt idx="27">
                  <c:v>0</c:v>
                </c:pt>
                <c:pt idx="28">
                  <c:v>0</c:v>
                </c:pt>
              </c:numCache>
            </c:numRef>
          </c:val>
          <c:extLst xmlns:c16r2="http://schemas.microsoft.com/office/drawing/2015/06/chart">
            <c:ext xmlns:c16="http://schemas.microsoft.com/office/drawing/2014/chart" uri="{C3380CC4-5D6E-409C-BE32-E72D297353CC}">
              <c16:uniqueId val="{00000001-C072-4546-9661-1AC7F436179F}"/>
            </c:ext>
          </c:extLst>
        </c:ser>
        <c:ser>
          <c:idx val="2"/>
          <c:order val="4"/>
          <c:tx>
            <c:strRef>
              <c:f>Hists!$G$1298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Hists!$B$1300:$B$1328</c:f>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numRef>
          </c:cat>
          <c:val>
            <c:numRef>
              <c:f>Hists!$H$1300:$H$1328</c:f>
              <c:numCache>
                <c:formatCode>0.00</c:formatCode>
                <c:ptCount val="29"/>
                <c:pt idx="0">
                  <c:v>5.263157894709142</c:v>
                </c:pt>
                <c:pt idx="1">
                  <c:v>5.263157894709142</c:v>
                </c:pt>
                <c:pt idx="2">
                  <c:v>0</c:v>
                </c:pt>
                <c:pt idx="3">
                  <c:v>42.105263157673136</c:v>
                </c:pt>
                <c:pt idx="4">
                  <c:v>5.263157894709142</c:v>
                </c:pt>
                <c:pt idx="5">
                  <c:v>0</c:v>
                </c:pt>
                <c:pt idx="6">
                  <c:v>15.789473684127426</c:v>
                </c:pt>
                <c:pt idx="7">
                  <c:v>10.526315789418284</c:v>
                </c:pt>
                <c:pt idx="8">
                  <c:v>15.789473684127426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C072-4546-9661-1AC7F436179F}"/>
            </c:ext>
          </c:extLst>
        </c:ser>
        <c:ser>
          <c:idx val="3"/>
          <c:order val="5"/>
          <c:tx>
            <c:strRef>
              <c:f>Hists!$I$1298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Hists!$B$1300:$B$1328</c:f>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numRef>
          </c:cat>
          <c:val>
            <c:numRef>
              <c:f>Hists!$J$1300:$J$1328</c:f>
              <c:numCache>
                <c:formatCode>0.00</c:formatCode>
                <c:ptCount val="29"/>
                <c:pt idx="0">
                  <c:v>14.285714285612245</c:v>
                </c:pt>
                <c:pt idx="1">
                  <c:v>42.857142856836738</c:v>
                </c:pt>
                <c:pt idx="2">
                  <c:v>35.714285714030609</c:v>
                </c:pt>
                <c:pt idx="3">
                  <c:v>7.1428571428061227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5-C072-4546-9661-1AC7F436179F}"/>
            </c:ext>
          </c:extLst>
        </c:ser>
        <c:dLbls>
          <c:showLegendKey val="0"/>
          <c:showVal val="0"/>
          <c:showCatName val="0"/>
          <c:showSerName val="0"/>
          <c:showPercent val="0"/>
          <c:showBubbleSize val="0"/>
        </c:dLbls>
        <c:gapWidth val="0"/>
        <c:axId val="229763384"/>
        <c:axId val="229763776"/>
        <c:extLst xmlns:c16r2="http://schemas.microsoft.com/office/drawing/2015/06/chart">
          <c:ext xmlns:c15="http://schemas.microsoft.com/office/drawing/2012/chart" uri="{02D57815-91ED-43cb-92C2-25804820EDAC}">
            <c15:filteredBarSeries>
              <c15:ser>
                <c:idx val="4"/>
                <c:order val="0"/>
                <c:tx>
                  <c:strRef>
                    <c:extLst xmlns:c16r2="http://schemas.microsoft.com/office/drawing/2015/06/chart">
                      <c:ext uri="{02D57815-91ED-43cb-92C2-25804820EDAC}">
                        <c15:formulaRef>
                          <c15:sqref>Hists!$C$1348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Hists!$B$1350:$B$1378</c15:sqref>
                        </c15:formulaRef>
                      </c:ext>
                    </c:extLst>
                    <c:numCache>
                      <c:formatCode>0.0</c:formatCode>
                      <c:ptCount val="29"/>
                      <c:pt idx="0">
                        <c:v>100</c:v>
                      </c:pt>
                      <c:pt idx="1">
                        <c:v>200</c:v>
                      </c:pt>
                      <c:pt idx="2">
                        <c:v>300</c:v>
                      </c:pt>
                      <c:pt idx="3">
                        <c:v>400</c:v>
                      </c:pt>
                      <c:pt idx="4">
                        <c:v>500</c:v>
                      </c:pt>
                      <c:pt idx="5">
                        <c:v>600</c:v>
                      </c:pt>
                      <c:pt idx="6">
                        <c:v>700</c:v>
                      </c:pt>
                      <c:pt idx="7">
                        <c:v>800</c:v>
                      </c:pt>
                      <c:pt idx="8">
                        <c:v>900</c:v>
                      </c:pt>
                      <c:pt idx="9">
                        <c:v>1000</c:v>
                      </c:pt>
                      <c:pt idx="10">
                        <c:v>2000</c:v>
                      </c:pt>
                      <c:pt idx="11">
                        <c:v>3000</c:v>
                      </c:pt>
                      <c:pt idx="12">
                        <c:v>4000</c:v>
                      </c:pt>
                      <c:pt idx="13">
                        <c:v>5000</c:v>
                      </c:pt>
                      <c:pt idx="14">
                        <c:v>6000</c:v>
                      </c:pt>
                      <c:pt idx="15">
                        <c:v>7000</c:v>
                      </c:pt>
                      <c:pt idx="16">
                        <c:v>8000</c:v>
                      </c:pt>
                      <c:pt idx="17">
                        <c:v>9000</c:v>
                      </c:pt>
                      <c:pt idx="18">
                        <c:v>1000</c:v>
                      </c:pt>
                      <c:pt idx="19">
                        <c:v>20000</c:v>
                      </c:pt>
                      <c:pt idx="20">
                        <c:v>30000</c:v>
                      </c:pt>
                      <c:pt idx="21">
                        <c:v>40000</c:v>
                      </c:pt>
                      <c:pt idx="22">
                        <c:v>50000</c:v>
                      </c:pt>
                      <c:pt idx="23">
                        <c:v>60000</c:v>
                      </c:pt>
                      <c:pt idx="24">
                        <c:v>70000</c:v>
                      </c:pt>
                      <c:pt idx="25">
                        <c:v>80000</c:v>
                      </c:pt>
                      <c:pt idx="26">
                        <c:v>90000</c:v>
                      </c:pt>
                      <c:pt idx="27">
                        <c:v>100000</c:v>
                      </c:pt>
                      <c:pt idx="28">
                        <c:v>200000</c:v>
                      </c:pt>
                    </c:numCache>
                  </c:numRef>
                </c:cat>
                <c:val>
                  <c:numRef>
                    <c:extLst xmlns:c16r2="http://schemas.microsoft.com/office/drawing/2015/06/chart">
                      <c:ext uri="{02D57815-91ED-43cb-92C2-25804820EDAC}">
                        <c15:formulaRef>
                          <c15:sqref>Hists!$D$1350:$D$1378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8.333333333263889</c:v>
                      </c:pt>
                      <c:pt idx="11">
                        <c:v>0</c:v>
                      </c:pt>
                      <c:pt idx="12">
                        <c:v>0</c:v>
                      </c:pt>
                      <c:pt idx="13">
                        <c:v>0</c:v>
                      </c:pt>
                      <c:pt idx="14">
                        <c:v>0</c:v>
                      </c:pt>
                      <c:pt idx="15">
                        <c:v>8.333333333263889</c:v>
                      </c:pt>
                      <c:pt idx="16">
                        <c:v>8.333333333263889</c:v>
                      </c:pt>
                      <c:pt idx="17">
                        <c:v>0</c:v>
                      </c:pt>
                      <c:pt idx="18">
                        <c:v>0</c:v>
                      </c:pt>
                      <c:pt idx="19">
                        <c:v>58.333333332847225</c:v>
                      </c:pt>
                      <c:pt idx="20">
                        <c:v>0</c:v>
                      </c:pt>
                      <c:pt idx="21">
                        <c:v>0</c:v>
                      </c:pt>
                      <c:pt idx="22">
                        <c:v>0</c:v>
                      </c:pt>
                      <c:pt idx="23">
                        <c:v>0</c:v>
                      </c:pt>
                      <c:pt idx="24">
                        <c:v>0</c:v>
                      </c:pt>
                      <c:pt idx="25">
                        <c:v>0</c:v>
                      </c:pt>
                      <c:pt idx="26">
                        <c:v>0</c:v>
                      </c:pt>
                      <c:pt idx="27">
                        <c:v>0</c:v>
                      </c:pt>
                      <c:pt idx="28">
                        <c:v>16.666666666527778</c:v>
                      </c:pt>
                    </c:numCache>
                  </c:numRef>
                </c:val>
                <c:extLst xmlns:c16r2="http://schemas.microsoft.com/office/drawing/2015/06/chart">
                  <c:ext xmlns:c16="http://schemas.microsoft.com/office/drawing/2014/chart" uri="{C3380CC4-5D6E-409C-BE32-E72D297353CC}">
                    <c16:uniqueId val="{00000008-C072-4546-9661-1AC7F436179F}"/>
                  </c:ext>
                </c:extLst>
              </c15:ser>
            </c15:filteredBarSeries>
          </c:ext>
        </c:extLst>
      </c:barChart>
      <c:catAx>
        <c:axId val="229763384"/>
        <c:scaling>
          <c:orientation val="minMax"/>
        </c:scaling>
        <c:delete val="0"/>
        <c:axPos val="b"/>
        <c:title>
          <c:tx>
            <c:rich>
              <a:bodyPr/>
              <a:lstStyle/>
              <a:p>
                <a:pPr>
                  <a:defRPr/>
                </a:pPr>
                <a:r>
                  <a:rPr lang="en-US" sz="1400">
                    <a:latin typeface="+mn-lt"/>
                  </a:rPr>
                  <a:t>Dimension (mm)</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9763776"/>
        <c:crosses val="autoZero"/>
        <c:auto val="1"/>
        <c:lblAlgn val="ctr"/>
        <c:lblOffset val="100"/>
        <c:tickLblSkip val="2"/>
        <c:noMultiLvlLbl val="0"/>
      </c:catAx>
      <c:valAx>
        <c:axId val="229763776"/>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9763384"/>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2"/>
          <c:order val="0"/>
          <c:tx>
            <c:strRef>
              <c:f>Hists!$G$1398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Hists!$B$1400:$B$1428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11</c:v>
                </c:pt>
                <c:pt idx="17">
                  <c:v>12</c:v>
                </c:pt>
                <c:pt idx="18">
                  <c:v>13</c:v>
                </c:pt>
                <c:pt idx="19">
                  <c:v>14</c:v>
                </c:pt>
                <c:pt idx="20">
                  <c:v>15</c:v>
                </c:pt>
                <c:pt idx="21">
                  <c:v>16</c:v>
                </c:pt>
                <c:pt idx="22">
                  <c:v>17</c:v>
                </c:pt>
                <c:pt idx="23">
                  <c:v>18</c:v>
                </c:pt>
                <c:pt idx="24">
                  <c:v>19</c:v>
                </c:pt>
                <c:pt idx="25">
                  <c:v>20</c:v>
                </c:pt>
                <c:pt idx="26">
                  <c:v>25</c:v>
                </c:pt>
                <c:pt idx="27">
                  <c:v>30</c:v>
                </c:pt>
                <c:pt idx="28">
                  <c:v>35</c:v>
                </c:pt>
              </c:numCache>
            </c:numRef>
          </c:cat>
          <c:val>
            <c:numRef>
              <c:f>Hists!$H$1400:$H$1428</c:f>
              <c:numCache>
                <c:formatCode>0.00</c:formatCode>
                <c:ptCount val="29"/>
                <c:pt idx="0">
                  <c:v>18.18181818173554</c:v>
                </c:pt>
                <c:pt idx="1">
                  <c:v>4.5454545454338851</c:v>
                </c:pt>
                <c:pt idx="2">
                  <c:v>4.5454545454338851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36.36363636347108</c:v>
                </c:pt>
                <c:pt idx="22">
                  <c:v>0</c:v>
                </c:pt>
                <c:pt idx="23">
                  <c:v>0</c:v>
                </c:pt>
                <c:pt idx="24">
                  <c:v>0</c:v>
                </c:pt>
                <c:pt idx="25">
                  <c:v>0</c:v>
                </c:pt>
                <c:pt idx="26">
                  <c:v>4.5454545454338851</c:v>
                </c:pt>
                <c:pt idx="27">
                  <c:v>0</c:v>
                </c:pt>
                <c:pt idx="28">
                  <c:v>31.818181818037193</c:v>
                </c:pt>
              </c:numCache>
            </c:numRef>
          </c:val>
          <c:extLst xmlns:c16r2="http://schemas.microsoft.com/office/drawing/2015/06/chart">
            <c:ext xmlns:c16="http://schemas.microsoft.com/office/drawing/2014/chart" uri="{C3380CC4-5D6E-409C-BE32-E72D297353CC}">
              <c16:uniqueId val="{00000000-00F3-4F46-A8B7-827DF586CEA0}"/>
            </c:ext>
          </c:extLst>
        </c:ser>
        <c:ser>
          <c:idx val="3"/>
          <c:order val="1"/>
          <c:tx>
            <c:strRef>
              <c:f>Hists!$I$1398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Hists!$B$1400:$B$1428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11</c:v>
                </c:pt>
                <c:pt idx="17">
                  <c:v>12</c:v>
                </c:pt>
                <c:pt idx="18">
                  <c:v>13</c:v>
                </c:pt>
                <c:pt idx="19">
                  <c:v>14</c:v>
                </c:pt>
                <c:pt idx="20">
                  <c:v>15</c:v>
                </c:pt>
                <c:pt idx="21">
                  <c:v>16</c:v>
                </c:pt>
                <c:pt idx="22">
                  <c:v>17</c:v>
                </c:pt>
                <c:pt idx="23">
                  <c:v>18</c:v>
                </c:pt>
                <c:pt idx="24">
                  <c:v>19</c:v>
                </c:pt>
                <c:pt idx="25">
                  <c:v>20</c:v>
                </c:pt>
                <c:pt idx="26">
                  <c:v>25</c:v>
                </c:pt>
                <c:pt idx="27">
                  <c:v>30</c:v>
                </c:pt>
                <c:pt idx="28">
                  <c:v>35</c:v>
                </c:pt>
              </c:numCache>
            </c:numRef>
          </c:cat>
          <c:val>
            <c:numRef>
              <c:f>Hists!$J$1400:$J$1428</c:f>
              <c:numCache>
                <c:formatCode>0.00</c:formatCode>
                <c:ptCount val="29"/>
                <c:pt idx="0">
                  <c:v>21.428571428418369</c:v>
                </c:pt>
                <c:pt idx="1">
                  <c:v>0</c:v>
                </c:pt>
                <c:pt idx="2">
                  <c:v>0</c:v>
                </c:pt>
                <c:pt idx="3">
                  <c:v>21.428571428418369</c:v>
                </c:pt>
                <c:pt idx="4">
                  <c:v>0</c:v>
                </c:pt>
                <c:pt idx="5">
                  <c:v>7.1428571428061227</c:v>
                </c:pt>
                <c:pt idx="6">
                  <c:v>0</c:v>
                </c:pt>
                <c:pt idx="7">
                  <c:v>0</c:v>
                </c:pt>
                <c:pt idx="8">
                  <c:v>0</c:v>
                </c:pt>
                <c:pt idx="9">
                  <c:v>7.1428571428061227</c:v>
                </c:pt>
                <c:pt idx="10">
                  <c:v>0</c:v>
                </c:pt>
                <c:pt idx="11">
                  <c:v>0</c:v>
                </c:pt>
                <c:pt idx="12">
                  <c:v>0</c:v>
                </c:pt>
                <c:pt idx="13">
                  <c:v>28.571428571224491</c:v>
                </c:pt>
                <c:pt idx="14">
                  <c:v>0</c:v>
                </c:pt>
                <c:pt idx="15">
                  <c:v>7.1428571428061227</c:v>
                </c:pt>
                <c:pt idx="16">
                  <c:v>0</c:v>
                </c:pt>
                <c:pt idx="17">
                  <c:v>0</c:v>
                </c:pt>
                <c:pt idx="18">
                  <c:v>7.1428571428061227</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00F3-4F46-A8B7-827DF586CEA0}"/>
            </c:ext>
          </c:extLst>
        </c:ser>
        <c:dLbls>
          <c:showLegendKey val="0"/>
          <c:showVal val="0"/>
          <c:showCatName val="0"/>
          <c:showSerName val="0"/>
          <c:showPercent val="0"/>
          <c:showBubbleSize val="0"/>
        </c:dLbls>
        <c:gapWidth val="0"/>
        <c:axId val="229764560"/>
        <c:axId val="229764952"/>
        <c:extLst xmlns:c16r2="http://schemas.microsoft.com/office/drawing/2015/06/chart"/>
      </c:barChart>
      <c:catAx>
        <c:axId val="229764560"/>
        <c:scaling>
          <c:orientation val="minMax"/>
        </c:scaling>
        <c:delete val="0"/>
        <c:axPos val="b"/>
        <c:title>
          <c:tx>
            <c:rich>
              <a:bodyPr/>
              <a:lstStyle/>
              <a:p>
                <a:pPr>
                  <a:defRPr/>
                </a:pPr>
                <a:r>
                  <a:rPr lang="en-US" sz="1400">
                    <a:latin typeface="+mn-lt"/>
                  </a:rPr>
                  <a:t>Area (mm2)</a:t>
                </a:r>
              </a:p>
            </c:rich>
          </c:tx>
          <c:layout>
            <c:manualLayout>
              <c:xMode val="edge"/>
              <c:yMode val="edge"/>
              <c:x val="0.37518095117245037"/>
              <c:y val="0.91944760527655967"/>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9764952"/>
        <c:crosses val="autoZero"/>
        <c:auto val="1"/>
        <c:lblAlgn val="ctr"/>
        <c:lblOffset val="100"/>
        <c:tickLblSkip val="2"/>
        <c:noMultiLvlLbl val="0"/>
      </c:catAx>
      <c:valAx>
        <c:axId val="229764952"/>
        <c:scaling>
          <c:orientation val="minMax"/>
          <c:max val="40"/>
        </c:scaling>
        <c:delete val="0"/>
        <c:axPos val="l"/>
        <c:numFmt formatCode="0" sourceLinked="0"/>
        <c:majorTickMark val="out"/>
        <c:minorTickMark val="none"/>
        <c:tickLblPos val="nextTo"/>
        <c:txPr>
          <a:bodyPr/>
          <a:lstStyle/>
          <a:p>
            <a:pPr>
              <a:defRPr sz="1200">
                <a:latin typeface="+mn-lt"/>
              </a:defRPr>
            </a:pPr>
            <a:endParaRPr lang="en-US"/>
          </a:p>
        </c:txPr>
        <c:crossAx val="229764560"/>
        <c:crosses val="autoZero"/>
        <c:crossBetween val="between"/>
      </c:valAx>
      <c:spPr>
        <a:noFill/>
        <a:ln>
          <a:solidFill>
            <a:schemeClr val="bg1">
              <a:lumMod val="50000"/>
            </a:schemeClr>
          </a:solidFill>
        </a:ln>
      </c:spPr>
    </c:plotArea>
    <c:legend>
      <c:legendPos val="r"/>
      <c:layout>
        <c:manualLayout>
          <c:xMode val="edge"/>
          <c:yMode val="edge"/>
          <c:x val="0.33773641043115277"/>
          <c:y val="3.3563085141262695E-2"/>
          <c:w val="0.39430348007286764"/>
          <c:h val="0.207418552610523"/>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0090878824394729"/>
        </c:manualLayout>
      </c:layout>
      <c:barChart>
        <c:barDir val="col"/>
        <c:grouping val="clustered"/>
        <c:varyColors val="0"/>
        <c:ser>
          <c:idx val="1"/>
          <c:order val="1"/>
          <c:tx>
            <c:strRef>
              <c:f>Hists!$E$1448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Hists!$B$1450:$B$1478</c:f>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f>Hists!$F$1450:$F$1478</c:f>
              <c:numCache>
                <c:formatCode>0.00</c:formatCode>
                <c:ptCount val="29"/>
                <c:pt idx="0">
                  <c:v>9.9999999999</c:v>
                </c:pt>
                <c:pt idx="1">
                  <c:v>0</c:v>
                </c:pt>
                <c:pt idx="2">
                  <c:v>39.9999999996</c:v>
                </c:pt>
                <c:pt idx="3">
                  <c:v>0</c:v>
                </c:pt>
                <c:pt idx="4">
                  <c:v>0</c:v>
                </c:pt>
                <c:pt idx="5">
                  <c:v>0</c:v>
                </c:pt>
                <c:pt idx="6">
                  <c:v>0</c:v>
                </c:pt>
                <c:pt idx="7">
                  <c:v>0</c:v>
                </c:pt>
                <c:pt idx="8">
                  <c:v>0</c:v>
                </c:pt>
                <c:pt idx="9">
                  <c:v>49.999999999499998</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440F-4B9C-BB22-E2A0646F30AB}"/>
            </c:ext>
          </c:extLst>
        </c:ser>
        <c:ser>
          <c:idx val="2"/>
          <c:order val="2"/>
          <c:tx>
            <c:strRef>
              <c:f>Hists!$G$1448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Hists!$B$1450:$B$1478</c:f>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f>Hists!$H$1450:$H$1478</c:f>
              <c:numCache>
                <c:formatCode>0.00</c:formatCode>
                <c:ptCount val="29"/>
                <c:pt idx="0">
                  <c:v>0</c:v>
                </c:pt>
                <c:pt idx="1">
                  <c:v>0</c:v>
                </c:pt>
                <c:pt idx="2">
                  <c:v>0</c:v>
                </c:pt>
                <c:pt idx="3">
                  <c:v>12.49999999984375</c:v>
                </c:pt>
                <c:pt idx="4">
                  <c:v>12.49999999984375</c:v>
                </c:pt>
                <c:pt idx="5">
                  <c:v>37.499999999531248</c:v>
                </c:pt>
                <c:pt idx="6">
                  <c:v>0</c:v>
                </c:pt>
                <c:pt idx="7">
                  <c:v>0</c:v>
                </c:pt>
                <c:pt idx="8">
                  <c:v>24.9999999996875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12.49999999984375</c:v>
                </c:pt>
                <c:pt idx="28">
                  <c:v>0</c:v>
                </c:pt>
              </c:numCache>
            </c:numRef>
          </c:val>
          <c:extLst xmlns:c16r2="http://schemas.microsoft.com/office/drawing/2015/06/chart">
            <c:ext xmlns:c16="http://schemas.microsoft.com/office/drawing/2014/chart" uri="{C3380CC4-5D6E-409C-BE32-E72D297353CC}">
              <c16:uniqueId val="{00000001-440F-4B9C-BB22-E2A0646F30AB}"/>
            </c:ext>
          </c:extLst>
        </c:ser>
        <c:ser>
          <c:idx val="3"/>
          <c:order val="3"/>
          <c:tx>
            <c:strRef>
              <c:f>Hists!$I$1448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Hists!$B$1450:$B$1478</c:f>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f>Hists!$J$1450:$J$1478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440F-4B9C-BB22-E2A0646F30AB}"/>
            </c:ext>
          </c:extLst>
        </c:ser>
        <c:dLbls>
          <c:showLegendKey val="0"/>
          <c:showVal val="0"/>
          <c:showCatName val="0"/>
          <c:showSerName val="0"/>
          <c:showPercent val="0"/>
          <c:showBubbleSize val="0"/>
        </c:dLbls>
        <c:gapWidth val="0"/>
        <c:axId val="229765736"/>
        <c:axId val="2297661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Hists!$C$1448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Hists!$B$1450:$B$1478</c15:sqref>
                        </c15:formulaRef>
                      </c:ext>
                    </c:extLst>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extLst xmlns:c16r2="http://schemas.microsoft.com/office/drawing/2015/06/chart">
                      <c:ext uri="{02D57815-91ED-43cb-92C2-25804820EDAC}">
                        <c15:formulaRef>
                          <c15:sqref>Hists!$D$1450:$D$1478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440F-4B9C-BB22-E2A0646F30AB}"/>
                  </c:ext>
                </c:extLst>
              </c15:ser>
            </c15:filteredBarSeries>
          </c:ext>
        </c:extLst>
      </c:barChart>
      <c:catAx>
        <c:axId val="229765736"/>
        <c:scaling>
          <c:orientation val="minMax"/>
        </c:scaling>
        <c:delete val="0"/>
        <c:axPos val="b"/>
        <c:numFmt formatCode="#,##0" sourceLinked="0"/>
        <c:majorTickMark val="out"/>
        <c:minorTickMark val="none"/>
        <c:tickLblPos val="nextTo"/>
        <c:spPr>
          <a:ln/>
        </c:spPr>
        <c:txPr>
          <a:bodyPr rot="5400000" vert="horz"/>
          <a:lstStyle/>
          <a:p>
            <a:pPr>
              <a:defRPr sz="1200">
                <a:latin typeface="+mn-lt"/>
              </a:defRPr>
            </a:pPr>
            <a:endParaRPr lang="en-US"/>
          </a:p>
        </c:txPr>
        <c:crossAx val="229766128"/>
        <c:crosses val="autoZero"/>
        <c:auto val="1"/>
        <c:lblAlgn val="ctr"/>
        <c:lblOffset val="100"/>
        <c:tickLblSkip val="2"/>
        <c:noMultiLvlLbl val="0"/>
      </c:catAx>
      <c:valAx>
        <c:axId val="229766128"/>
        <c:scaling>
          <c:orientation val="minMax"/>
          <c:max val="55"/>
          <c:min val="0"/>
        </c:scaling>
        <c:delete val="0"/>
        <c:axPos val="l"/>
        <c:numFmt formatCode="0" sourceLinked="0"/>
        <c:majorTickMark val="out"/>
        <c:minorTickMark val="none"/>
        <c:tickLblPos val="nextTo"/>
        <c:txPr>
          <a:bodyPr/>
          <a:lstStyle/>
          <a:p>
            <a:pPr>
              <a:defRPr sz="1200">
                <a:latin typeface="+mn-lt"/>
              </a:defRPr>
            </a:pPr>
            <a:endParaRPr lang="en-US"/>
          </a:p>
        </c:txPr>
        <c:crossAx val="229765736"/>
        <c:crosses val="autoZero"/>
        <c:crossBetween val="between"/>
      </c:valAx>
      <c:spPr>
        <a:noFill/>
        <a:ln>
          <a:solidFill>
            <a:schemeClr val="bg1">
              <a:lumMod val="50000"/>
            </a:schemeClr>
          </a:solidFill>
        </a:ln>
      </c:spPr>
    </c:plotArea>
    <c:legend>
      <c:legendPos val="r"/>
      <c:legendEntry>
        <c:idx val="2"/>
        <c:delete val="1"/>
      </c:legendEntry>
      <c:layout>
        <c:manualLayout>
          <c:xMode val="edge"/>
          <c:yMode val="edge"/>
          <c:x val="0.60291858184172475"/>
          <c:y val="4.6802951079888785E-2"/>
          <c:w val="0.39430348007286764"/>
          <c:h val="0.17123053625033388"/>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rot="5400000" vert="horz"/>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Hists!$E$1498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Hists!$B$1500:$B$1518</c:f>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f>Hists!$F$1500:$F$1518</c:f>
              <c:numCache>
                <c:formatCode>0.00</c:formatCode>
                <c:ptCount val="19"/>
                <c:pt idx="0">
                  <c:v>0</c:v>
                </c:pt>
                <c:pt idx="1">
                  <c:v>4.5454545454338851</c:v>
                </c:pt>
                <c:pt idx="2">
                  <c:v>0</c:v>
                </c:pt>
                <c:pt idx="3">
                  <c:v>40.909090908904965</c:v>
                </c:pt>
                <c:pt idx="4">
                  <c:v>36.36363636347108</c:v>
                </c:pt>
                <c:pt idx="5">
                  <c:v>0</c:v>
                </c:pt>
                <c:pt idx="6">
                  <c:v>0</c:v>
                </c:pt>
                <c:pt idx="7">
                  <c:v>0</c:v>
                </c:pt>
                <c:pt idx="8">
                  <c:v>18.18181818173554</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0-32ED-4E6B-AA41-953239FD0FF6}"/>
            </c:ext>
          </c:extLst>
        </c:ser>
        <c:ser>
          <c:idx val="2"/>
          <c:order val="2"/>
          <c:tx>
            <c:strRef>
              <c:f>Hists!$G$1498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Hists!$B$1500:$B$1518</c:f>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f>Hists!$H$1500:$H$1518</c:f>
              <c:numCache>
                <c:formatCode>0.00</c:formatCode>
                <c:ptCount val="19"/>
                <c:pt idx="0">
                  <c:v>0</c:v>
                </c:pt>
                <c:pt idx="1">
                  <c:v>0</c:v>
                </c:pt>
                <c:pt idx="2">
                  <c:v>0</c:v>
                </c:pt>
                <c:pt idx="3">
                  <c:v>5.8823529411418694</c:v>
                </c:pt>
                <c:pt idx="4">
                  <c:v>76.4705882348443</c:v>
                </c:pt>
                <c:pt idx="5">
                  <c:v>5.8823529411418694</c:v>
                </c:pt>
                <c:pt idx="6">
                  <c:v>0</c:v>
                </c:pt>
                <c:pt idx="7">
                  <c:v>0</c:v>
                </c:pt>
                <c:pt idx="8">
                  <c:v>11.764705882283739</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1-32ED-4E6B-AA41-953239FD0FF6}"/>
            </c:ext>
          </c:extLst>
        </c:ser>
        <c:ser>
          <c:idx val="3"/>
          <c:order val="3"/>
          <c:tx>
            <c:strRef>
              <c:f>Hists!$I$1498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Hists!$B$1500:$B$1518</c:f>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f>Hists!$J$1500:$J$1518</c:f>
              <c:numCache>
                <c:formatCode>0.00</c:formatCode>
                <c:ptCount val="19"/>
                <c:pt idx="0">
                  <c:v>0</c:v>
                </c:pt>
                <c:pt idx="1">
                  <c:v>0</c:v>
                </c:pt>
                <c:pt idx="2">
                  <c:v>0</c:v>
                </c:pt>
                <c:pt idx="3">
                  <c:v>0</c:v>
                </c:pt>
                <c:pt idx="4">
                  <c:v>9.0909090908264467</c:v>
                </c:pt>
                <c:pt idx="5">
                  <c:v>0</c:v>
                </c:pt>
                <c:pt idx="6">
                  <c:v>36.363636363305787</c:v>
                </c:pt>
                <c:pt idx="7">
                  <c:v>9.0909090908264467</c:v>
                </c:pt>
                <c:pt idx="8">
                  <c:v>18.181818181652893</c:v>
                </c:pt>
                <c:pt idx="9">
                  <c:v>27.27272727247934</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2-32ED-4E6B-AA41-953239FD0FF6}"/>
            </c:ext>
          </c:extLst>
        </c:ser>
        <c:dLbls>
          <c:showLegendKey val="0"/>
          <c:showVal val="0"/>
          <c:showCatName val="0"/>
          <c:showSerName val="0"/>
          <c:showPercent val="0"/>
          <c:showBubbleSize val="0"/>
        </c:dLbls>
        <c:gapWidth val="0"/>
        <c:axId val="229766912"/>
        <c:axId val="22976730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Hists!$C$1498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Hists!$B$1500:$B$1518</c15:sqref>
                        </c15:formulaRef>
                      </c:ext>
                    </c:extLst>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extLst xmlns:c16r2="http://schemas.microsoft.com/office/drawing/2015/06/chart">
                      <c:ext uri="{02D57815-91ED-43cb-92C2-25804820EDAC}">
                        <c15:formulaRef>
                          <c15:sqref>Hists!$D$1500:$D$1518</c15:sqref>
                        </c15:formulaRef>
                      </c:ext>
                    </c:extLst>
                    <c:numCache>
                      <c:formatCode>0.00</c:formatCode>
                      <c:ptCount val="19"/>
                      <c:pt idx="0">
                        <c:v>0</c:v>
                      </c:pt>
                      <c:pt idx="1">
                        <c:v>0</c:v>
                      </c:pt>
                      <c:pt idx="2">
                        <c:v>0</c:v>
                      </c:pt>
                      <c:pt idx="3">
                        <c:v>0</c:v>
                      </c:pt>
                      <c:pt idx="4">
                        <c:v>59.9999999988</c:v>
                      </c:pt>
                      <c:pt idx="5">
                        <c:v>0</c:v>
                      </c:pt>
                      <c:pt idx="6">
                        <c:v>0</c:v>
                      </c:pt>
                      <c:pt idx="7">
                        <c:v>0</c:v>
                      </c:pt>
                      <c:pt idx="8">
                        <c:v>0</c:v>
                      </c:pt>
                      <c:pt idx="9">
                        <c:v>0</c:v>
                      </c:pt>
                      <c:pt idx="10">
                        <c:v>0</c:v>
                      </c:pt>
                      <c:pt idx="11">
                        <c:v>0</c:v>
                      </c:pt>
                      <c:pt idx="12">
                        <c:v>0</c:v>
                      </c:pt>
                      <c:pt idx="13">
                        <c:v>0</c:v>
                      </c:pt>
                      <c:pt idx="14">
                        <c:v>0</c:v>
                      </c:pt>
                      <c:pt idx="15">
                        <c:v>0</c:v>
                      </c:pt>
                      <c:pt idx="16">
                        <c:v>39.9999999992</c:v>
                      </c:pt>
                      <c:pt idx="17">
                        <c:v>0</c:v>
                      </c:pt>
                      <c:pt idx="18">
                        <c:v>0</c:v>
                      </c:pt>
                    </c:numCache>
                  </c:numRef>
                </c:val>
                <c:extLst xmlns:c16r2="http://schemas.microsoft.com/office/drawing/2015/06/chart">
                  <c:ext xmlns:c16="http://schemas.microsoft.com/office/drawing/2014/chart" uri="{C3380CC4-5D6E-409C-BE32-E72D297353CC}">
                    <c16:uniqueId val="{00000003-32ED-4E6B-AA41-953239FD0FF6}"/>
                  </c:ext>
                </c:extLst>
              </c15:ser>
            </c15:filteredBarSeries>
          </c:ext>
        </c:extLst>
      </c:barChart>
      <c:catAx>
        <c:axId val="229766912"/>
        <c:scaling>
          <c:orientation val="minMax"/>
        </c:scaling>
        <c:delete val="0"/>
        <c:axPos val="b"/>
        <c:title>
          <c:tx>
            <c:rich>
              <a:bodyPr/>
              <a:lstStyle/>
              <a:p>
                <a:pPr>
                  <a:defRPr/>
                </a:pPr>
                <a:r>
                  <a:rPr lang="en-US" sz="1400">
                    <a:latin typeface="+mn-lt"/>
                  </a:rPr>
                  <a:t>Resolution (b)</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9767304"/>
        <c:crosses val="autoZero"/>
        <c:auto val="1"/>
        <c:lblAlgn val="ctr"/>
        <c:lblOffset val="100"/>
        <c:tickLblSkip val="2"/>
        <c:noMultiLvlLbl val="0"/>
      </c:catAx>
      <c:valAx>
        <c:axId val="229767304"/>
        <c:scaling>
          <c:orientation val="minMax"/>
          <c:max val="80"/>
        </c:scaling>
        <c:delete val="0"/>
        <c:axPos val="l"/>
        <c:numFmt formatCode="0" sourceLinked="0"/>
        <c:majorTickMark val="out"/>
        <c:minorTickMark val="none"/>
        <c:tickLblPos val="nextTo"/>
        <c:txPr>
          <a:bodyPr/>
          <a:lstStyle/>
          <a:p>
            <a:pPr>
              <a:defRPr sz="1200">
                <a:latin typeface="+mn-lt"/>
              </a:defRPr>
            </a:pPr>
            <a:endParaRPr lang="en-US"/>
          </a:p>
        </c:txPr>
        <c:crossAx val="229766912"/>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63434479613981"/>
          <c:y val="2.5749812107174228E-2"/>
          <c:w val="0.88174419371275636"/>
          <c:h val="0.8183231348073795"/>
        </c:manualLayout>
      </c:layout>
      <c:barChart>
        <c:barDir val="col"/>
        <c:grouping val="clustered"/>
        <c:varyColors val="0"/>
        <c:ser>
          <c:idx val="1"/>
          <c:order val="1"/>
          <c:tx>
            <c:strRef>
              <c:f>Hists!$E$1548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Hists!$B$1550:$B$1578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Hists!$F$1550:$F$1578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24.999999999375</c:v>
                </c:pt>
                <c:pt idx="18">
                  <c:v>0</c:v>
                </c:pt>
                <c:pt idx="19">
                  <c:v>74.999999998125006</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707A-4F45-96F2-11FCB9FCD668}"/>
            </c:ext>
          </c:extLst>
        </c:ser>
        <c:ser>
          <c:idx val="2"/>
          <c:order val="2"/>
          <c:tx>
            <c:strRef>
              <c:f>Hists!$G$1548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Hists!$B$1550:$B$1578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Hists!$H$1550:$H$1578</c:f>
              <c:numCache>
                <c:formatCode>0.00</c:formatCode>
                <c:ptCount val="29"/>
                <c:pt idx="0">
                  <c:v>0</c:v>
                </c:pt>
                <c:pt idx="1">
                  <c:v>0</c:v>
                </c:pt>
                <c:pt idx="2">
                  <c:v>0</c:v>
                </c:pt>
                <c:pt idx="3">
                  <c:v>9.0909090908264467</c:v>
                </c:pt>
                <c:pt idx="4">
                  <c:v>0</c:v>
                </c:pt>
                <c:pt idx="5">
                  <c:v>0</c:v>
                </c:pt>
                <c:pt idx="6">
                  <c:v>0</c:v>
                </c:pt>
                <c:pt idx="7">
                  <c:v>36.363636363305787</c:v>
                </c:pt>
                <c:pt idx="8">
                  <c:v>0</c:v>
                </c:pt>
                <c:pt idx="9">
                  <c:v>0</c:v>
                </c:pt>
                <c:pt idx="10">
                  <c:v>0</c:v>
                </c:pt>
                <c:pt idx="11">
                  <c:v>0</c:v>
                </c:pt>
                <c:pt idx="12">
                  <c:v>0</c:v>
                </c:pt>
                <c:pt idx="13">
                  <c:v>0</c:v>
                </c:pt>
                <c:pt idx="14">
                  <c:v>0</c:v>
                </c:pt>
                <c:pt idx="15">
                  <c:v>18.181818181652893</c:v>
                </c:pt>
                <c:pt idx="16">
                  <c:v>0</c:v>
                </c:pt>
                <c:pt idx="17">
                  <c:v>0</c:v>
                </c:pt>
                <c:pt idx="18">
                  <c:v>0</c:v>
                </c:pt>
                <c:pt idx="19">
                  <c:v>36.363636363305787</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707A-4F45-96F2-11FCB9FCD668}"/>
            </c:ext>
          </c:extLst>
        </c:ser>
        <c:ser>
          <c:idx val="3"/>
          <c:order val="3"/>
          <c:tx>
            <c:strRef>
              <c:f>Hists!$I$1548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Hists!$B$1550:$B$1578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Hists!$J$1550:$J$1578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707A-4F45-96F2-11FCB9FCD668}"/>
            </c:ext>
          </c:extLst>
        </c:ser>
        <c:dLbls>
          <c:showLegendKey val="0"/>
          <c:showVal val="0"/>
          <c:showCatName val="0"/>
          <c:showSerName val="0"/>
          <c:showPercent val="0"/>
          <c:showBubbleSize val="0"/>
        </c:dLbls>
        <c:gapWidth val="0"/>
        <c:axId val="229768088"/>
        <c:axId val="22976848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Hists!$C$1548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Hists!$B$1550:$B$1578</c15:sqref>
                        </c15:formulaRef>
                      </c:ext>
                    </c:extLst>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extLst xmlns:c16r2="http://schemas.microsoft.com/office/drawing/2015/06/chart">
                      <c:ext uri="{02D57815-91ED-43cb-92C2-25804820EDAC}">
                        <c15:formulaRef>
                          <c15:sqref>Hists!$D$1550:$D$1578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707A-4F45-96F2-11FCB9FCD668}"/>
                  </c:ext>
                </c:extLst>
              </c15:ser>
            </c15:filteredBarSeries>
          </c:ext>
        </c:extLst>
      </c:barChart>
      <c:catAx>
        <c:axId val="229768088"/>
        <c:scaling>
          <c:orientation val="minMax"/>
        </c:scaling>
        <c:delete val="0"/>
        <c:axPos val="b"/>
        <c:title>
          <c:tx>
            <c:rich>
              <a:bodyPr/>
              <a:lstStyle/>
              <a:p>
                <a:pPr>
                  <a:defRPr/>
                </a:pPr>
                <a:r>
                  <a:rPr lang="en-US" sz="1400">
                    <a:latin typeface="+mn-lt"/>
                  </a:rPr>
                  <a:t>resolution (bits)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400">
                <a:latin typeface="+mn-lt"/>
              </a:defRPr>
            </a:pPr>
            <a:endParaRPr lang="en-US"/>
          </a:p>
        </c:txPr>
        <c:crossAx val="229768480"/>
        <c:crosses val="autoZero"/>
        <c:auto val="1"/>
        <c:lblAlgn val="ctr"/>
        <c:lblOffset val="100"/>
        <c:tickLblSkip val="2"/>
        <c:noMultiLvlLbl val="0"/>
      </c:catAx>
      <c:valAx>
        <c:axId val="229768480"/>
        <c:scaling>
          <c:orientation val="minMax"/>
          <c:max val="80"/>
        </c:scaling>
        <c:delete val="0"/>
        <c:axPos val="l"/>
        <c:numFmt formatCode="0" sourceLinked="0"/>
        <c:majorTickMark val="out"/>
        <c:minorTickMark val="none"/>
        <c:tickLblPos val="nextTo"/>
        <c:txPr>
          <a:bodyPr/>
          <a:lstStyle/>
          <a:p>
            <a:pPr>
              <a:defRPr sz="1400">
                <a:latin typeface="+mn-lt"/>
              </a:defRPr>
            </a:pPr>
            <a:endParaRPr lang="en-US"/>
          </a:p>
        </c:txPr>
        <c:crossAx val="229768088"/>
        <c:crosses val="autoZero"/>
        <c:crossBetween val="between"/>
      </c:valAx>
      <c:spPr>
        <a:noFill/>
        <a:ln>
          <a:solidFill>
            <a:schemeClr val="bg1">
              <a:lumMod val="50000"/>
            </a:schemeClr>
          </a:solidFill>
        </a:ln>
      </c:spPr>
    </c:plotArea>
    <c:legend>
      <c:legendPos val="r"/>
      <c:legendEntry>
        <c:idx val="2"/>
        <c:delete val="1"/>
      </c:legendEntry>
      <c:layout>
        <c:manualLayout>
          <c:xMode val="edge"/>
          <c:yMode val="edge"/>
          <c:x val="8.2316549763591443E-2"/>
          <c:y val="2.7524526401717937E-2"/>
          <c:w val="0.39430348007286764"/>
          <c:h val="0.181168015115974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76956275158416776"/>
        </c:manualLayout>
      </c:layout>
      <c:barChart>
        <c:barDir val="col"/>
        <c:grouping val="clustered"/>
        <c:varyColors val="0"/>
        <c:ser>
          <c:idx val="1"/>
          <c:order val="1"/>
          <c:tx>
            <c:strRef>
              <c:f>Hists!$E$1598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Hists!$B$1600:$B$1628</c:f>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f>Hists!$F$1600:$F$1628</c:f>
              <c:numCache>
                <c:formatCode>0.00</c:formatCode>
                <c:ptCount val="29"/>
                <c:pt idx="0">
                  <c:v>0</c:v>
                </c:pt>
                <c:pt idx="1">
                  <c:v>0</c:v>
                </c:pt>
                <c:pt idx="2">
                  <c:v>0</c:v>
                </c:pt>
                <c:pt idx="3">
                  <c:v>3.7037037036899867</c:v>
                </c:pt>
                <c:pt idx="4">
                  <c:v>7.4074074073799734</c:v>
                </c:pt>
                <c:pt idx="5">
                  <c:v>0</c:v>
                </c:pt>
                <c:pt idx="6">
                  <c:v>0</c:v>
                </c:pt>
                <c:pt idx="7">
                  <c:v>0</c:v>
                </c:pt>
                <c:pt idx="8">
                  <c:v>7.4074074073799734</c:v>
                </c:pt>
                <c:pt idx="9">
                  <c:v>11.11111111106996</c:v>
                </c:pt>
                <c:pt idx="10">
                  <c:v>0</c:v>
                </c:pt>
                <c:pt idx="11">
                  <c:v>0</c:v>
                </c:pt>
                <c:pt idx="12">
                  <c:v>0</c:v>
                </c:pt>
                <c:pt idx="13">
                  <c:v>0</c:v>
                </c:pt>
                <c:pt idx="14">
                  <c:v>0</c:v>
                </c:pt>
                <c:pt idx="15">
                  <c:v>3.7037037036899867</c:v>
                </c:pt>
                <c:pt idx="16">
                  <c:v>0</c:v>
                </c:pt>
                <c:pt idx="17">
                  <c:v>0</c:v>
                </c:pt>
                <c:pt idx="18">
                  <c:v>3.7037037036899867</c:v>
                </c:pt>
                <c:pt idx="19">
                  <c:v>3.7037037036899867</c:v>
                </c:pt>
                <c:pt idx="20">
                  <c:v>0</c:v>
                </c:pt>
                <c:pt idx="21">
                  <c:v>0</c:v>
                </c:pt>
                <c:pt idx="22">
                  <c:v>0</c:v>
                </c:pt>
                <c:pt idx="23">
                  <c:v>0</c:v>
                </c:pt>
                <c:pt idx="24">
                  <c:v>59.259259259039787</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9D0C-411C-8394-C6C14B97C2EC}"/>
            </c:ext>
          </c:extLst>
        </c:ser>
        <c:ser>
          <c:idx val="2"/>
          <c:order val="2"/>
          <c:tx>
            <c:strRef>
              <c:f>Hists!$G$1598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Hists!$B$1600:$B$1628</c:f>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f>Hists!$H$1600:$H$1628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99.999999998888896</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9D0C-411C-8394-C6C14B97C2EC}"/>
            </c:ext>
          </c:extLst>
        </c:ser>
        <c:ser>
          <c:idx val="3"/>
          <c:order val="3"/>
          <c:tx>
            <c:strRef>
              <c:f>Hists!$I$1598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Hists!$B$1600:$B$1628</c:f>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f>Hists!$J$1600:$J$1628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9D0C-411C-8394-C6C14B97C2EC}"/>
            </c:ext>
          </c:extLst>
        </c:ser>
        <c:dLbls>
          <c:showLegendKey val="0"/>
          <c:showVal val="0"/>
          <c:showCatName val="0"/>
          <c:showSerName val="0"/>
          <c:showPercent val="0"/>
          <c:showBubbleSize val="0"/>
        </c:dLbls>
        <c:gapWidth val="0"/>
        <c:axId val="229769264"/>
        <c:axId val="22976965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Hists!$C$1598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Hists!$B$1600:$B$1628</c15:sqref>
                        </c15:formulaRef>
                      </c:ext>
                    </c:extLst>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extLst xmlns:c16r2="http://schemas.microsoft.com/office/drawing/2015/06/chart">
                      <c:ext uri="{02D57815-91ED-43cb-92C2-25804820EDAC}">
                        <c15:formulaRef>
                          <c15:sqref>Hists!$D$1600:$D$1628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99.999999990000006</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9D0C-411C-8394-C6C14B97C2EC}"/>
                  </c:ext>
                </c:extLst>
              </c15:ser>
            </c15:filteredBarSeries>
          </c:ext>
        </c:extLst>
      </c:barChart>
      <c:catAx>
        <c:axId val="229769264"/>
        <c:scaling>
          <c:orientation val="minMax"/>
        </c:scaling>
        <c:delete val="0"/>
        <c:axPos val="b"/>
        <c:title>
          <c:tx>
            <c:rich>
              <a:bodyPr/>
              <a:lstStyle/>
              <a:p>
                <a:pPr>
                  <a:defRPr/>
                </a:pPr>
                <a:r>
                  <a:rPr lang="en-US" sz="1400">
                    <a:latin typeface="+mn-lt"/>
                  </a:rPr>
                  <a:t>RF carrier frequency (MHz)</a:t>
                </a:r>
              </a:p>
            </c:rich>
          </c:tx>
          <c:layout>
            <c:manualLayout>
              <c:xMode val="edge"/>
              <c:yMode val="edge"/>
              <c:x val="0.34224680231528154"/>
              <c:y val="0.9293776262247031"/>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9769656"/>
        <c:crosses val="autoZero"/>
        <c:auto val="1"/>
        <c:lblAlgn val="ctr"/>
        <c:lblOffset val="100"/>
        <c:tickLblSkip val="2"/>
        <c:tickMarkSkip val="2"/>
        <c:noMultiLvlLbl val="0"/>
      </c:catAx>
      <c:valAx>
        <c:axId val="229769656"/>
        <c:scaling>
          <c:orientation val="minMax"/>
          <c:max val="100"/>
        </c:scaling>
        <c:delete val="0"/>
        <c:axPos val="l"/>
        <c:numFmt formatCode="0" sourceLinked="0"/>
        <c:majorTickMark val="out"/>
        <c:minorTickMark val="none"/>
        <c:tickLblPos val="nextTo"/>
        <c:txPr>
          <a:bodyPr/>
          <a:lstStyle/>
          <a:p>
            <a:pPr>
              <a:defRPr sz="1200">
                <a:latin typeface="+mn-lt"/>
              </a:defRPr>
            </a:pPr>
            <a:endParaRPr lang="en-US"/>
          </a:p>
        </c:txPr>
        <c:crossAx val="229769264"/>
        <c:crosses val="autoZero"/>
        <c:crossBetween val="between"/>
      </c:valAx>
      <c:spPr>
        <a:noFill/>
        <a:ln>
          <a:solidFill>
            <a:schemeClr val="bg1">
              <a:lumMod val="50000"/>
            </a:schemeClr>
          </a:solidFill>
        </a:ln>
      </c:spPr>
    </c:plotArea>
    <c:legend>
      <c:legendPos val="r"/>
      <c:legendEntry>
        <c:idx val="2"/>
        <c:delete val="1"/>
      </c:legendEntry>
      <c:layout>
        <c:manualLayout>
          <c:xMode val="edge"/>
          <c:yMode val="edge"/>
          <c:x val="0.10347050657252646"/>
          <c:y val="3.3241608010544113E-2"/>
          <c:w val="0.39430348007286764"/>
          <c:h val="0.18864500106132248"/>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Hists!$E$1648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Hists!$B$1650:$B$1678</c:f>
              <c:numCache>
                <c:formatCode>0.0</c:formatCode>
                <c:ptCount val="29"/>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11000</c:v>
                </c:pt>
              </c:numCache>
            </c:numRef>
          </c:cat>
          <c:val>
            <c:numRef>
              <c:f>Hists!$F$1650:$F$1678</c:f>
              <c:numCache>
                <c:formatCode>0.00</c:formatCode>
                <c:ptCount val="29"/>
                <c:pt idx="0">
                  <c:v>17.647058823425606</c:v>
                </c:pt>
                <c:pt idx="1">
                  <c:v>23.529411764567477</c:v>
                </c:pt>
                <c:pt idx="2">
                  <c:v>5.8823529411418694</c:v>
                </c:pt>
                <c:pt idx="3">
                  <c:v>0</c:v>
                </c:pt>
                <c:pt idx="4">
                  <c:v>11.764705882283739</c:v>
                </c:pt>
                <c:pt idx="5">
                  <c:v>0</c:v>
                </c:pt>
                <c:pt idx="6">
                  <c:v>0</c:v>
                </c:pt>
                <c:pt idx="7">
                  <c:v>5.8823529411418694</c:v>
                </c:pt>
                <c:pt idx="8">
                  <c:v>0</c:v>
                </c:pt>
                <c:pt idx="9">
                  <c:v>0</c:v>
                </c:pt>
                <c:pt idx="10">
                  <c:v>11.764705882283739</c:v>
                </c:pt>
                <c:pt idx="11">
                  <c:v>0</c:v>
                </c:pt>
                <c:pt idx="12">
                  <c:v>0</c:v>
                </c:pt>
                <c:pt idx="13">
                  <c:v>17.647058823425606</c:v>
                </c:pt>
                <c:pt idx="14">
                  <c:v>5.8823529411418694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FF6E-4227-A03D-3E3DE379BB84}"/>
            </c:ext>
          </c:extLst>
        </c:ser>
        <c:ser>
          <c:idx val="2"/>
          <c:order val="2"/>
          <c:tx>
            <c:strRef>
              <c:f>Hists!$G$1648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Hists!$B$1650:$B$1678</c:f>
              <c:numCache>
                <c:formatCode>0.0</c:formatCode>
                <c:ptCount val="29"/>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11000</c:v>
                </c:pt>
              </c:numCache>
            </c:numRef>
          </c:cat>
          <c:val>
            <c:numRef>
              <c:f>Hists!$H$1650:$H$1678</c:f>
              <c:numCache>
                <c:formatCode>0.00</c:formatCode>
                <c:ptCount val="29"/>
                <c:pt idx="0">
                  <c:v>0</c:v>
                </c:pt>
                <c:pt idx="1">
                  <c:v>0</c:v>
                </c:pt>
                <c:pt idx="2">
                  <c:v>11.111111111049384</c:v>
                </c:pt>
                <c:pt idx="3">
                  <c:v>5.555555555524692</c:v>
                </c:pt>
                <c:pt idx="4">
                  <c:v>61.11111111077161</c:v>
                </c:pt>
                <c:pt idx="5">
                  <c:v>0</c:v>
                </c:pt>
                <c:pt idx="6">
                  <c:v>0</c:v>
                </c:pt>
                <c:pt idx="7">
                  <c:v>0</c:v>
                </c:pt>
                <c:pt idx="8">
                  <c:v>5.555555555524692</c:v>
                </c:pt>
                <c:pt idx="9">
                  <c:v>0</c:v>
                </c:pt>
                <c:pt idx="10">
                  <c:v>5.555555555524692</c:v>
                </c:pt>
                <c:pt idx="11">
                  <c:v>11.111111111049384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FF6E-4227-A03D-3E3DE379BB84}"/>
            </c:ext>
          </c:extLst>
        </c:ser>
        <c:ser>
          <c:idx val="3"/>
          <c:order val="3"/>
          <c:tx>
            <c:strRef>
              <c:f>Hists!$I$1648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Hists!$B$1650:$B$1678</c:f>
              <c:numCache>
                <c:formatCode>0.0</c:formatCode>
                <c:ptCount val="29"/>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11000</c:v>
                </c:pt>
              </c:numCache>
            </c:numRef>
          </c:cat>
          <c:val>
            <c:numRef>
              <c:f>Hists!$J$1650:$J$1678</c:f>
              <c:numCache>
                <c:formatCode>0.00</c:formatCode>
                <c:ptCount val="29"/>
                <c:pt idx="0">
                  <c:v>0</c:v>
                </c:pt>
                <c:pt idx="1">
                  <c:v>0</c:v>
                </c:pt>
                <c:pt idx="2">
                  <c:v>0</c:v>
                </c:pt>
                <c:pt idx="3">
                  <c:v>0</c:v>
                </c:pt>
                <c:pt idx="4">
                  <c:v>0</c:v>
                </c:pt>
                <c:pt idx="5">
                  <c:v>0</c:v>
                </c:pt>
                <c:pt idx="6">
                  <c:v>0</c:v>
                </c:pt>
                <c:pt idx="7">
                  <c:v>0</c:v>
                </c:pt>
                <c:pt idx="8">
                  <c:v>49.999999997499998</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FF6E-4227-A03D-3E3DE379BB84}"/>
            </c:ext>
          </c:extLst>
        </c:ser>
        <c:dLbls>
          <c:showLegendKey val="0"/>
          <c:showVal val="0"/>
          <c:showCatName val="0"/>
          <c:showSerName val="0"/>
          <c:showPercent val="0"/>
          <c:showBubbleSize val="0"/>
        </c:dLbls>
        <c:gapWidth val="0"/>
        <c:axId val="229770440"/>
        <c:axId val="22977083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Hists!$C$1648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Hists!$B$1650:$B$1678</c15:sqref>
                        </c15:formulaRef>
                      </c:ext>
                    </c:extLst>
                    <c:numCache>
                      <c:formatCode>0.0</c:formatCode>
                      <c:ptCount val="29"/>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11000</c:v>
                      </c:pt>
                    </c:numCache>
                  </c:numRef>
                </c:cat>
                <c:val>
                  <c:numRef>
                    <c:extLst xmlns:c16r2="http://schemas.microsoft.com/office/drawing/2015/06/chart">
                      <c:ext uri="{02D57815-91ED-43cb-92C2-25804820EDAC}">
                        <c15:formulaRef>
                          <c15:sqref>Hists!$D$1650:$D$1678</c15:sqref>
                        </c15:formulaRef>
                      </c:ext>
                    </c:extLst>
                    <c:numCache>
                      <c:formatCode>0.00</c:formatCode>
                      <c:ptCount val="29"/>
                      <c:pt idx="0">
                        <c:v>0</c:v>
                      </c:pt>
                      <c:pt idx="1">
                        <c:v>0</c:v>
                      </c:pt>
                      <c:pt idx="2">
                        <c:v>83.333333331944445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16.666666666388888</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FF6E-4227-A03D-3E3DE379BB84}"/>
                  </c:ext>
                </c:extLst>
              </c15:ser>
            </c15:filteredBarSeries>
          </c:ext>
        </c:extLst>
      </c:barChart>
      <c:catAx>
        <c:axId val="229770440"/>
        <c:scaling>
          <c:orientation val="minMax"/>
        </c:scaling>
        <c:delete val="0"/>
        <c:axPos val="b"/>
        <c:title>
          <c:tx>
            <c:rich>
              <a:bodyPr/>
              <a:lstStyle/>
              <a:p>
                <a:pPr>
                  <a:defRPr/>
                </a:pPr>
                <a:r>
                  <a:rPr lang="en-US" sz="1400">
                    <a:latin typeface="+mn-lt"/>
                  </a:rPr>
                  <a:t>Frequency (MHz)</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9770832"/>
        <c:crosses val="autoZero"/>
        <c:auto val="1"/>
        <c:lblAlgn val="ctr"/>
        <c:lblOffset val="100"/>
        <c:tickLblSkip val="2"/>
        <c:noMultiLvlLbl val="0"/>
      </c:catAx>
      <c:valAx>
        <c:axId val="229770832"/>
        <c:scaling>
          <c:orientation val="minMax"/>
          <c:max val="65"/>
          <c:min val="0"/>
        </c:scaling>
        <c:delete val="0"/>
        <c:axPos val="l"/>
        <c:numFmt formatCode="0" sourceLinked="0"/>
        <c:majorTickMark val="out"/>
        <c:minorTickMark val="none"/>
        <c:tickLblPos val="nextTo"/>
        <c:txPr>
          <a:bodyPr/>
          <a:lstStyle/>
          <a:p>
            <a:pPr>
              <a:defRPr sz="1200">
                <a:latin typeface="+mn-lt"/>
              </a:defRPr>
            </a:pPr>
            <a:endParaRPr lang="en-US"/>
          </a:p>
        </c:txPr>
        <c:crossAx val="229770440"/>
        <c:crosses val="autoZero"/>
        <c:crossBetween val="between"/>
      </c:valAx>
      <c:spPr>
        <a:noFill/>
        <a:ln>
          <a:solidFill>
            <a:schemeClr val="bg1">
              <a:lumMod val="50000"/>
            </a:schemeClr>
          </a:solidFill>
        </a:ln>
      </c:spPr>
    </c:plotArea>
    <c:legend>
      <c:legendPos val="r"/>
      <c:layout>
        <c:manualLayout>
          <c:xMode val="edge"/>
          <c:yMode val="edge"/>
          <c:x val="0.5887851769407918"/>
          <c:y val="4.4548458405477998E-2"/>
          <c:w val="0.39430348007286764"/>
          <c:h val="0.3382562419985321"/>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Hists!$E$1698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Hists!$B$1700:$B$1728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numCache>
            </c:numRef>
          </c:cat>
          <c:val>
            <c:numRef>
              <c:f>Hists!$F$1700:$F$1728</c:f>
              <c:numCache>
                <c:formatCode>0.00</c:formatCode>
                <c:ptCount val="29"/>
                <c:pt idx="0">
                  <c:v>0</c:v>
                </c:pt>
                <c:pt idx="1">
                  <c:v>0</c:v>
                </c:pt>
                <c:pt idx="2">
                  <c:v>0</c:v>
                </c:pt>
                <c:pt idx="3">
                  <c:v>0</c:v>
                </c:pt>
                <c:pt idx="4">
                  <c:v>2.6315789473614957</c:v>
                </c:pt>
                <c:pt idx="5">
                  <c:v>15.789473684168975</c:v>
                </c:pt>
                <c:pt idx="6">
                  <c:v>0</c:v>
                </c:pt>
                <c:pt idx="7">
                  <c:v>2.6315789473614957</c:v>
                </c:pt>
                <c:pt idx="8">
                  <c:v>7.8947368420844874</c:v>
                </c:pt>
                <c:pt idx="9">
                  <c:v>0</c:v>
                </c:pt>
                <c:pt idx="10">
                  <c:v>21.052631578891965</c:v>
                </c:pt>
                <c:pt idx="11">
                  <c:v>26.315789473614956</c:v>
                </c:pt>
                <c:pt idx="12">
                  <c:v>5.2631578947229913</c:v>
                </c:pt>
                <c:pt idx="13">
                  <c:v>5.2631578947229913</c:v>
                </c:pt>
                <c:pt idx="14">
                  <c:v>0</c:v>
                </c:pt>
                <c:pt idx="15">
                  <c:v>2.6315789473614957</c:v>
                </c:pt>
                <c:pt idx="16">
                  <c:v>0</c:v>
                </c:pt>
                <c:pt idx="17">
                  <c:v>0</c:v>
                </c:pt>
                <c:pt idx="18">
                  <c:v>2.6315789473614957</c:v>
                </c:pt>
                <c:pt idx="19">
                  <c:v>0</c:v>
                </c:pt>
                <c:pt idx="20">
                  <c:v>5.2631578947229913</c:v>
                </c:pt>
                <c:pt idx="21">
                  <c:v>0</c:v>
                </c:pt>
                <c:pt idx="22">
                  <c:v>0</c:v>
                </c:pt>
                <c:pt idx="23">
                  <c:v>0</c:v>
                </c:pt>
                <c:pt idx="24">
                  <c:v>0</c:v>
                </c:pt>
                <c:pt idx="25">
                  <c:v>0</c:v>
                </c:pt>
                <c:pt idx="26">
                  <c:v>0</c:v>
                </c:pt>
                <c:pt idx="27">
                  <c:v>2.6315789473614957</c:v>
                </c:pt>
                <c:pt idx="28">
                  <c:v>0</c:v>
                </c:pt>
              </c:numCache>
            </c:numRef>
          </c:val>
          <c:extLst xmlns:c16r2="http://schemas.microsoft.com/office/drawing/2015/06/chart">
            <c:ext xmlns:c16="http://schemas.microsoft.com/office/drawing/2014/chart" uri="{C3380CC4-5D6E-409C-BE32-E72D297353CC}">
              <c16:uniqueId val="{00000000-430A-4DCD-9DE5-4F5C088EBE41}"/>
            </c:ext>
          </c:extLst>
        </c:ser>
        <c:ser>
          <c:idx val="2"/>
          <c:order val="2"/>
          <c:tx>
            <c:strRef>
              <c:f>Hists!$G$1698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Hists!$B$1700:$B$1728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numCache>
            </c:numRef>
          </c:cat>
          <c:val>
            <c:numRef>
              <c:f>Hists!$H$1700:$H$1728</c:f>
              <c:numCache>
                <c:formatCode>0.00</c:formatCode>
                <c:ptCount val="29"/>
                <c:pt idx="0">
                  <c:v>5.263157894709142</c:v>
                </c:pt>
                <c:pt idx="1">
                  <c:v>0</c:v>
                </c:pt>
                <c:pt idx="2">
                  <c:v>0</c:v>
                </c:pt>
                <c:pt idx="3">
                  <c:v>21.052631578836568</c:v>
                </c:pt>
                <c:pt idx="4">
                  <c:v>57.894736841800558</c:v>
                </c:pt>
                <c:pt idx="5">
                  <c:v>5.263157894709142</c:v>
                </c:pt>
                <c:pt idx="6">
                  <c:v>0</c:v>
                </c:pt>
                <c:pt idx="7">
                  <c:v>0</c:v>
                </c:pt>
                <c:pt idx="8">
                  <c:v>0</c:v>
                </c:pt>
                <c:pt idx="9">
                  <c:v>0</c:v>
                </c:pt>
                <c:pt idx="10">
                  <c:v>0</c:v>
                </c:pt>
                <c:pt idx="11">
                  <c:v>10.526315789418284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430A-4DCD-9DE5-4F5C088EBE41}"/>
            </c:ext>
          </c:extLst>
        </c:ser>
        <c:ser>
          <c:idx val="3"/>
          <c:order val="3"/>
          <c:tx>
            <c:strRef>
              <c:f>Hists!$I$1698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Hists!$B$1700:$B$1728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numCache>
            </c:numRef>
          </c:cat>
          <c:val>
            <c:numRef>
              <c:f>Hists!$J$1700:$J$1728</c:f>
              <c:numCache>
                <c:formatCode>0.00</c:formatCode>
                <c:ptCount val="29"/>
                <c:pt idx="0">
                  <c:v>7.6923076922485203</c:v>
                </c:pt>
                <c:pt idx="1">
                  <c:v>0</c:v>
                </c:pt>
                <c:pt idx="2">
                  <c:v>7.6923076922485203</c:v>
                </c:pt>
                <c:pt idx="3">
                  <c:v>30.769230768994081</c:v>
                </c:pt>
                <c:pt idx="4">
                  <c:v>30.769230768994081</c:v>
                </c:pt>
                <c:pt idx="5">
                  <c:v>0</c:v>
                </c:pt>
                <c:pt idx="6">
                  <c:v>0</c:v>
                </c:pt>
                <c:pt idx="7">
                  <c:v>7.6923076922485203</c:v>
                </c:pt>
                <c:pt idx="8">
                  <c:v>0</c:v>
                </c:pt>
                <c:pt idx="9">
                  <c:v>0</c:v>
                </c:pt>
                <c:pt idx="10">
                  <c:v>15.384615384497041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430A-4DCD-9DE5-4F5C088EBE41}"/>
            </c:ext>
          </c:extLst>
        </c:ser>
        <c:dLbls>
          <c:showLegendKey val="0"/>
          <c:showVal val="0"/>
          <c:showCatName val="0"/>
          <c:showSerName val="0"/>
          <c:showPercent val="0"/>
          <c:showBubbleSize val="0"/>
        </c:dLbls>
        <c:gapWidth val="0"/>
        <c:axId val="229984432"/>
        <c:axId val="22998482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Hists!$C$1698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Hists!$B$1700:$B$1728</c15:sqref>
                        </c15:formulaRef>
                      </c:ext>
                    </c:extLst>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numCache>
                  </c:numRef>
                </c:cat>
                <c:val>
                  <c:numRef>
                    <c:extLst xmlns:c16r2="http://schemas.microsoft.com/office/drawing/2015/06/chart">
                      <c:ext uri="{02D57815-91ED-43cb-92C2-25804820EDAC}">
                        <c15:formulaRef>
                          <c15:sqref>Hists!$D$1700:$D$1728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24.9999999996875</c:v>
                      </c:pt>
                      <c:pt idx="11">
                        <c:v>0</c:v>
                      </c:pt>
                      <c:pt idx="12">
                        <c:v>0</c:v>
                      </c:pt>
                      <c:pt idx="13">
                        <c:v>74.999999999062496</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430A-4DCD-9DE5-4F5C088EBE41}"/>
                  </c:ext>
                </c:extLst>
              </c15:ser>
            </c15:filteredBarSeries>
          </c:ext>
        </c:extLst>
      </c:barChart>
      <c:catAx>
        <c:axId val="229984432"/>
        <c:scaling>
          <c:orientation val="minMax"/>
        </c:scaling>
        <c:delete val="0"/>
        <c:axPos val="b"/>
        <c:title>
          <c:tx>
            <c:rich>
              <a:bodyPr/>
              <a:lstStyle/>
              <a:p>
                <a:pPr>
                  <a:defRPr/>
                </a:pPr>
                <a:r>
                  <a:rPr lang="en-US" sz="1400">
                    <a:latin typeface="+mn-lt"/>
                  </a:rPr>
                  <a:t>supply voltage (V)</a:t>
                </a:r>
              </a:p>
            </c:rich>
          </c:tx>
          <c:layout>
            <c:manualLayout>
              <c:xMode val="edge"/>
              <c:yMode val="edge"/>
              <c:x val="0.38315397524310779"/>
              <c:y val="0.9293776262247031"/>
            </c:manualLayout>
          </c:layout>
          <c:overlay val="0"/>
        </c:title>
        <c:numFmt formatCode="General" sourceLinked="0"/>
        <c:majorTickMark val="out"/>
        <c:minorTickMark val="none"/>
        <c:tickLblPos val="nextTo"/>
        <c:spPr>
          <a:ln/>
        </c:spPr>
        <c:txPr>
          <a:bodyPr rot="0" vert="horz"/>
          <a:lstStyle/>
          <a:p>
            <a:pPr>
              <a:defRPr sz="1200">
                <a:latin typeface="+mn-lt"/>
              </a:defRPr>
            </a:pPr>
            <a:endParaRPr lang="en-US"/>
          </a:p>
        </c:txPr>
        <c:crossAx val="229984824"/>
        <c:crosses val="autoZero"/>
        <c:auto val="1"/>
        <c:lblAlgn val="ctr"/>
        <c:lblOffset val="100"/>
        <c:tickLblSkip val="2"/>
        <c:noMultiLvlLbl val="0"/>
      </c:catAx>
      <c:valAx>
        <c:axId val="229984824"/>
        <c:scaling>
          <c:orientation val="minMax"/>
          <c:max val="60"/>
        </c:scaling>
        <c:delete val="0"/>
        <c:axPos val="l"/>
        <c:numFmt formatCode="0" sourceLinked="0"/>
        <c:majorTickMark val="out"/>
        <c:minorTickMark val="none"/>
        <c:tickLblPos val="nextTo"/>
        <c:txPr>
          <a:bodyPr/>
          <a:lstStyle/>
          <a:p>
            <a:pPr>
              <a:defRPr sz="1200">
                <a:latin typeface="+mn-lt"/>
              </a:defRPr>
            </a:pPr>
            <a:endParaRPr lang="en-US"/>
          </a:p>
        </c:txPr>
        <c:crossAx val="229984432"/>
        <c:crosses val="autoZero"/>
        <c:crossBetween val="between"/>
      </c:valAx>
      <c:spPr>
        <a:noFill/>
        <a:ln>
          <a:solidFill>
            <a:schemeClr val="bg1">
              <a:lumMod val="50000"/>
            </a:schemeClr>
          </a:solidFill>
        </a:ln>
      </c:spPr>
    </c:plotArea>
    <c:legend>
      <c:legendPos val="r"/>
      <c:layout>
        <c:manualLayout>
          <c:xMode val="edge"/>
          <c:yMode val="edge"/>
          <c:x val="0.58860107131698547"/>
          <c:y val="9.9046345512854614E-2"/>
          <c:w val="0.40862094511674651"/>
          <c:h val="0.26178575326747466"/>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496025279148334E-2"/>
          <c:y val="4.723060091351837E-2"/>
          <c:w val="0.92934619782321437"/>
          <c:h val="0.87535000656095341"/>
        </c:manualLayout>
      </c:layout>
      <c:barChart>
        <c:barDir val="col"/>
        <c:grouping val="clustered"/>
        <c:varyColors val="0"/>
        <c:ser>
          <c:idx val="0"/>
          <c:order val="0"/>
          <c:tx>
            <c:v>Resolution</c:v>
          </c:tx>
          <c:invertIfNegative val="0"/>
          <c:cat>
            <c:numRef>
              <c:f>Hists!$B$551:$B$578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Hists!$K$551:$K$578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49.999999995000003</c:v>
                </c:pt>
              </c:numCache>
            </c:numRef>
          </c:val>
          <c:extLst xmlns:c16r2="http://schemas.microsoft.com/office/drawing/2015/06/chart">
            <c:ext xmlns:c16="http://schemas.microsoft.com/office/drawing/2014/chart" uri="{C3380CC4-5D6E-409C-BE32-E72D297353CC}">
              <c16:uniqueId val="{00000000-F75B-4590-BC89-36567619F697}"/>
            </c:ext>
          </c:extLst>
        </c:ser>
        <c:ser>
          <c:idx val="1"/>
          <c:order val="1"/>
          <c:tx>
            <c:v>Accuracy</c:v>
          </c:tx>
          <c:invertIfNegative val="0"/>
          <c:cat>
            <c:numRef>
              <c:f>Hists!$B$551:$B$578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Hists!$L$551:$L$578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49.999999995000003</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F75B-4590-BC89-36567619F697}"/>
            </c:ext>
          </c:extLst>
        </c:ser>
        <c:dLbls>
          <c:showLegendKey val="0"/>
          <c:showVal val="0"/>
          <c:showCatName val="0"/>
          <c:showSerName val="0"/>
          <c:showPercent val="0"/>
          <c:showBubbleSize val="0"/>
        </c:dLbls>
        <c:gapWidth val="150"/>
        <c:axId val="215970424"/>
        <c:axId val="215970816"/>
      </c:barChart>
      <c:catAx>
        <c:axId val="215970424"/>
        <c:scaling>
          <c:orientation val="minMax"/>
        </c:scaling>
        <c:delete val="0"/>
        <c:axPos val="b"/>
        <c:title>
          <c:tx>
            <c:rich>
              <a:bodyPr/>
              <a:lstStyle/>
              <a:p>
                <a:pPr>
                  <a:defRPr/>
                </a:pPr>
                <a:r>
                  <a:rPr lang="en-US"/>
                  <a:t>Bits</a:t>
                </a:r>
              </a:p>
            </c:rich>
          </c:tx>
          <c:layout>
            <c:manualLayout>
              <c:xMode val="edge"/>
              <c:yMode val="edge"/>
              <c:x val="0.47898385343862049"/>
              <c:y val="0.96524988541483658"/>
            </c:manualLayout>
          </c:layout>
          <c:overlay val="0"/>
        </c:title>
        <c:numFmt formatCode="General" sourceLinked="1"/>
        <c:majorTickMark val="out"/>
        <c:minorTickMark val="none"/>
        <c:tickLblPos val="nextTo"/>
        <c:txPr>
          <a:bodyPr rot="5400000" vert="horz"/>
          <a:lstStyle/>
          <a:p>
            <a:pPr>
              <a:defRPr/>
            </a:pPr>
            <a:endParaRPr lang="en-US"/>
          </a:p>
        </c:txPr>
        <c:crossAx val="215970816"/>
        <c:crosses val="autoZero"/>
        <c:auto val="1"/>
        <c:lblAlgn val="ctr"/>
        <c:lblOffset val="100"/>
        <c:noMultiLvlLbl val="0"/>
      </c:catAx>
      <c:valAx>
        <c:axId val="215970816"/>
        <c:scaling>
          <c:orientation val="minMax"/>
          <c:max val="55"/>
          <c:min val="0"/>
        </c:scaling>
        <c:delete val="0"/>
        <c:axPos val="l"/>
        <c:majorGridlines/>
        <c:minorGridlines/>
        <c:numFmt formatCode="0" sourceLinked="0"/>
        <c:majorTickMark val="out"/>
        <c:minorTickMark val="none"/>
        <c:tickLblPos val="nextTo"/>
        <c:crossAx val="215970424"/>
        <c:crosses val="autoZero"/>
        <c:crossBetween val="between"/>
      </c:valAx>
    </c:plotArea>
    <c:legend>
      <c:legendPos val="r"/>
      <c:layout>
        <c:manualLayout>
          <c:xMode val="edge"/>
          <c:yMode val="edge"/>
          <c:x val="0.33386473977387104"/>
          <c:y val="0.46728021910307421"/>
          <c:w val="9.4224304702227216E-2"/>
          <c:h val="6.5439419319293604E-2"/>
        </c:manualLayout>
      </c:layout>
      <c:overlay val="0"/>
      <c:spPr>
        <a:solidFill>
          <a:schemeClr val="bg1"/>
        </a:solidFill>
      </c:spPr>
    </c:legend>
    <c:plotVisOnly val="1"/>
    <c:dispBlanksAs val="gap"/>
    <c:showDLblsOverMax val="0"/>
  </c:chart>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26937283277"/>
          <c:y val="2.5749734029660451E-2"/>
          <c:w val="0.88174419371275636"/>
          <c:h val="0.8183231348073795"/>
        </c:manualLayout>
      </c:layout>
      <c:barChart>
        <c:barDir val="col"/>
        <c:grouping val="clustered"/>
        <c:varyColors val="0"/>
        <c:ser>
          <c:idx val="1"/>
          <c:order val="1"/>
          <c:tx>
            <c:strRef>
              <c:f>Hists!$E$1748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Hists!$B$1750:$B$1778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15</c:v>
                </c:pt>
                <c:pt idx="23">
                  <c:v>20</c:v>
                </c:pt>
                <c:pt idx="24">
                  <c:v>25</c:v>
                </c:pt>
                <c:pt idx="25">
                  <c:v>30</c:v>
                </c:pt>
                <c:pt idx="26">
                  <c:v>35</c:v>
                </c:pt>
                <c:pt idx="27">
                  <c:v>40</c:v>
                </c:pt>
                <c:pt idx="28">
                  <c:v>45</c:v>
                </c:pt>
              </c:numCache>
            </c:numRef>
          </c:cat>
          <c:val>
            <c:numRef>
              <c:f>Hists!$F$1750:$F$1778</c:f>
              <c:numCache>
                <c:formatCode>0.00</c:formatCode>
                <c:ptCount val="29"/>
                <c:pt idx="0">
                  <c:v>0</c:v>
                </c:pt>
                <c:pt idx="1">
                  <c:v>0</c:v>
                </c:pt>
                <c:pt idx="2">
                  <c:v>0</c:v>
                </c:pt>
                <c:pt idx="3">
                  <c:v>0</c:v>
                </c:pt>
                <c:pt idx="4">
                  <c:v>0</c:v>
                </c:pt>
                <c:pt idx="5">
                  <c:v>0</c:v>
                </c:pt>
                <c:pt idx="6">
                  <c:v>0</c:v>
                </c:pt>
                <c:pt idx="7">
                  <c:v>0</c:v>
                </c:pt>
                <c:pt idx="8">
                  <c:v>0</c:v>
                </c:pt>
                <c:pt idx="9">
                  <c:v>0</c:v>
                </c:pt>
                <c:pt idx="10">
                  <c:v>5.2631578947229913</c:v>
                </c:pt>
                <c:pt idx="11">
                  <c:v>23.684210526253462</c:v>
                </c:pt>
                <c:pt idx="12">
                  <c:v>2.6315789473614957</c:v>
                </c:pt>
                <c:pt idx="13">
                  <c:v>23.684210526253462</c:v>
                </c:pt>
                <c:pt idx="14">
                  <c:v>0</c:v>
                </c:pt>
                <c:pt idx="15">
                  <c:v>10.526315789445983</c:v>
                </c:pt>
                <c:pt idx="16">
                  <c:v>18.421052631530468</c:v>
                </c:pt>
                <c:pt idx="17">
                  <c:v>2.6315789473614957</c:v>
                </c:pt>
                <c:pt idx="18">
                  <c:v>2.6315789473614957</c:v>
                </c:pt>
                <c:pt idx="19">
                  <c:v>0</c:v>
                </c:pt>
                <c:pt idx="20">
                  <c:v>0</c:v>
                </c:pt>
                <c:pt idx="21">
                  <c:v>0</c:v>
                </c:pt>
                <c:pt idx="22">
                  <c:v>0</c:v>
                </c:pt>
                <c:pt idx="23">
                  <c:v>0</c:v>
                </c:pt>
                <c:pt idx="24">
                  <c:v>0</c:v>
                </c:pt>
                <c:pt idx="25">
                  <c:v>2.6315789473614957</c:v>
                </c:pt>
                <c:pt idx="26">
                  <c:v>2.6315789473614957</c:v>
                </c:pt>
                <c:pt idx="27">
                  <c:v>5.2631578947229913</c:v>
                </c:pt>
                <c:pt idx="28">
                  <c:v>0</c:v>
                </c:pt>
              </c:numCache>
            </c:numRef>
          </c:val>
          <c:extLst xmlns:c16r2="http://schemas.microsoft.com/office/drawing/2015/06/chart">
            <c:ext xmlns:c16="http://schemas.microsoft.com/office/drawing/2014/chart" uri="{C3380CC4-5D6E-409C-BE32-E72D297353CC}">
              <c16:uniqueId val="{00000000-28C4-44C0-B596-ECE2544C041D}"/>
            </c:ext>
          </c:extLst>
        </c:ser>
        <c:ser>
          <c:idx val="2"/>
          <c:order val="2"/>
          <c:tx>
            <c:strRef>
              <c:f>Hists!$G$1748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Hists!$B$1750:$B$1778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15</c:v>
                </c:pt>
                <c:pt idx="23">
                  <c:v>20</c:v>
                </c:pt>
                <c:pt idx="24">
                  <c:v>25</c:v>
                </c:pt>
                <c:pt idx="25">
                  <c:v>30</c:v>
                </c:pt>
                <c:pt idx="26">
                  <c:v>35</c:v>
                </c:pt>
                <c:pt idx="27">
                  <c:v>40</c:v>
                </c:pt>
                <c:pt idx="28">
                  <c:v>45</c:v>
                </c:pt>
              </c:numCache>
            </c:numRef>
          </c:cat>
          <c:val>
            <c:numRef>
              <c:f>Hists!$H$1750:$H$1778</c:f>
              <c:numCache>
                <c:formatCode>0.00</c:formatCode>
                <c:ptCount val="29"/>
                <c:pt idx="0">
                  <c:v>5.263157894709142</c:v>
                </c:pt>
                <c:pt idx="1">
                  <c:v>0</c:v>
                </c:pt>
                <c:pt idx="2">
                  <c:v>0</c:v>
                </c:pt>
                <c:pt idx="3">
                  <c:v>0</c:v>
                </c:pt>
                <c:pt idx="4">
                  <c:v>0</c:v>
                </c:pt>
                <c:pt idx="5">
                  <c:v>0</c:v>
                </c:pt>
                <c:pt idx="6">
                  <c:v>0</c:v>
                </c:pt>
                <c:pt idx="7">
                  <c:v>0</c:v>
                </c:pt>
                <c:pt idx="8">
                  <c:v>0</c:v>
                </c:pt>
                <c:pt idx="9">
                  <c:v>0</c:v>
                </c:pt>
                <c:pt idx="10">
                  <c:v>0</c:v>
                </c:pt>
                <c:pt idx="11">
                  <c:v>10.526315789418284</c:v>
                </c:pt>
                <c:pt idx="12">
                  <c:v>0</c:v>
                </c:pt>
                <c:pt idx="13">
                  <c:v>42.105263157673136</c:v>
                </c:pt>
                <c:pt idx="14">
                  <c:v>42.105263157673136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28C4-44C0-B596-ECE2544C041D}"/>
            </c:ext>
          </c:extLst>
        </c:ser>
        <c:ser>
          <c:idx val="3"/>
          <c:order val="3"/>
          <c:tx>
            <c:strRef>
              <c:f>Hists!$I$1748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Hists!$B$1750:$B$1778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15</c:v>
                </c:pt>
                <c:pt idx="23">
                  <c:v>20</c:v>
                </c:pt>
                <c:pt idx="24">
                  <c:v>25</c:v>
                </c:pt>
                <c:pt idx="25">
                  <c:v>30</c:v>
                </c:pt>
                <c:pt idx="26">
                  <c:v>35</c:v>
                </c:pt>
                <c:pt idx="27">
                  <c:v>40</c:v>
                </c:pt>
                <c:pt idx="28">
                  <c:v>45</c:v>
                </c:pt>
              </c:numCache>
            </c:numRef>
          </c:cat>
          <c:val>
            <c:numRef>
              <c:f>Hists!$J$1750:$J$1778</c:f>
              <c:numCache>
                <c:formatCode>0.00</c:formatCode>
                <c:ptCount val="29"/>
                <c:pt idx="0">
                  <c:v>0</c:v>
                </c:pt>
                <c:pt idx="1">
                  <c:v>7.6923076922485203</c:v>
                </c:pt>
                <c:pt idx="2">
                  <c:v>0</c:v>
                </c:pt>
                <c:pt idx="3">
                  <c:v>0</c:v>
                </c:pt>
                <c:pt idx="4">
                  <c:v>0</c:v>
                </c:pt>
                <c:pt idx="5">
                  <c:v>0</c:v>
                </c:pt>
                <c:pt idx="6">
                  <c:v>0</c:v>
                </c:pt>
                <c:pt idx="7">
                  <c:v>0</c:v>
                </c:pt>
                <c:pt idx="8">
                  <c:v>0</c:v>
                </c:pt>
                <c:pt idx="9">
                  <c:v>0</c:v>
                </c:pt>
                <c:pt idx="10">
                  <c:v>0</c:v>
                </c:pt>
                <c:pt idx="11">
                  <c:v>0</c:v>
                </c:pt>
                <c:pt idx="12">
                  <c:v>7.6923076922485203</c:v>
                </c:pt>
                <c:pt idx="13">
                  <c:v>69.230769230236689</c:v>
                </c:pt>
                <c:pt idx="14">
                  <c:v>0</c:v>
                </c:pt>
                <c:pt idx="15">
                  <c:v>0</c:v>
                </c:pt>
                <c:pt idx="16">
                  <c:v>15.384615384497041</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28C4-44C0-B596-ECE2544C041D}"/>
            </c:ext>
          </c:extLst>
        </c:ser>
        <c:dLbls>
          <c:showLegendKey val="0"/>
          <c:showVal val="0"/>
          <c:showCatName val="0"/>
          <c:showSerName val="0"/>
          <c:showPercent val="0"/>
          <c:showBubbleSize val="0"/>
        </c:dLbls>
        <c:gapWidth val="0"/>
        <c:axId val="229985608"/>
        <c:axId val="22998600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Hists!$C$1748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Hists!$B$1750:$B$1778</c15:sqref>
                        </c15:formulaRef>
                      </c:ext>
                    </c:extLst>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15</c:v>
                      </c:pt>
                      <c:pt idx="23">
                        <c:v>20</c:v>
                      </c:pt>
                      <c:pt idx="24">
                        <c:v>25</c:v>
                      </c:pt>
                      <c:pt idx="25">
                        <c:v>30</c:v>
                      </c:pt>
                      <c:pt idx="26">
                        <c:v>35</c:v>
                      </c:pt>
                      <c:pt idx="27">
                        <c:v>40</c:v>
                      </c:pt>
                      <c:pt idx="28">
                        <c:v>45</c:v>
                      </c:pt>
                    </c:numCache>
                  </c:numRef>
                </c:cat>
                <c:val>
                  <c:numRef>
                    <c:extLst xmlns:c16r2="http://schemas.microsoft.com/office/drawing/2015/06/chart">
                      <c:ext uri="{02D57815-91ED-43cb-92C2-25804820EDAC}">
                        <c15:formulaRef>
                          <c15:sqref>Hists!$D$1750:$D$1778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24.9999999996875</c:v>
                      </c:pt>
                      <c:pt idx="11">
                        <c:v>0</c:v>
                      </c:pt>
                      <c:pt idx="12">
                        <c:v>0</c:v>
                      </c:pt>
                      <c:pt idx="13">
                        <c:v>74.999999999062496</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28C4-44C0-B596-ECE2544C041D}"/>
                  </c:ext>
                </c:extLst>
              </c15:ser>
            </c15:filteredBarSeries>
          </c:ext>
        </c:extLst>
      </c:barChart>
      <c:catAx>
        <c:axId val="229985608"/>
        <c:scaling>
          <c:orientation val="minMax"/>
        </c:scaling>
        <c:delete val="0"/>
        <c:axPos val="b"/>
        <c:title>
          <c:tx>
            <c:rich>
              <a:bodyPr/>
              <a:lstStyle/>
              <a:p>
                <a:pPr>
                  <a:defRPr/>
                </a:pPr>
                <a:r>
                  <a:rPr lang="en-US" sz="1400">
                    <a:latin typeface="+mn-lt"/>
                  </a:rPr>
                  <a:t>Voltage (V)</a:t>
                </a:r>
              </a:p>
            </c:rich>
          </c:tx>
          <c:layout>
            <c:manualLayout>
              <c:xMode val="edge"/>
              <c:yMode val="edge"/>
              <c:x val="0.36883639874220953"/>
              <c:y val="0.92937759512972984"/>
            </c:manualLayout>
          </c:layout>
          <c:overlay val="0"/>
        </c:title>
        <c:numFmt formatCode="#,##0.0" sourceLinked="0"/>
        <c:majorTickMark val="out"/>
        <c:minorTickMark val="none"/>
        <c:tickLblPos val="nextTo"/>
        <c:spPr>
          <a:ln/>
        </c:spPr>
        <c:txPr>
          <a:bodyPr rot="5400000" vert="horz"/>
          <a:lstStyle/>
          <a:p>
            <a:pPr>
              <a:defRPr sz="1200">
                <a:latin typeface="+mn-lt"/>
              </a:defRPr>
            </a:pPr>
            <a:endParaRPr lang="en-US"/>
          </a:p>
        </c:txPr>
        <c:crossAx val="229986000"/>
        <c:crosses val="autoZero"/>
        <c:auto val="1"/>
        <c:lblAlgn val="ctr"/>
        <c:lblOffset val="100"/>
        <c:tickLblSkip val="2"/>
        <c:noMultiLvlLbl val="0"/>
      </c:catAx>
      <c:valAx>
        <c:axId val="229986000"/>
        <c:scaling>
          <c:orientation val="minMax"/>
          <c:max val="80"/>
        </c:scaling>
        <c:delete val="0"/>
        <c:axPos val="l"/>
        <c:numFmt formatCode="0" sourceLinked="0"/>
        <c:majorTickMark val="out"/>
        <c:minorTickMark val="none"/>
        <c:tickLblPos val="nextTo"/>
        <c:txPr>
          <a:bodyPr/>
          <a:lstStyle/>
          <a:p>
            <a:pPr>
              <a:defRPr sz="1200">
                <a:latin typeface="+mn-lt"/>
              </a:defRPr>
            </a:pPr>
            <a:endParaRPr lang="en-US"/>
          </a:p>
        </c:txPr>
        <c:crossAx val="229985608"/>
        <c:crosses val="autoZero"/>
        <c:crossBetween val="between"/>
      </c:valAx>
      <c:spPr>
        <a:noFill/>
        <a:ln>
          <a:solidFill>
            <a:schemeClr val="bg1">
              <a:lumMod val="50000"/>
            </a:schemeClr>
          </a:solidFill>
        </a:ln>
      </c:spPr>
    </c:plotArea>
    <c:legend>
      <c:legendPos val="r"/>
      <c:layout>
        <c:manualLayout>
          <c:xMode val="edge"/>
          <c:yMode val="edge"/>
          <c:x val="0.71824429113945598"/>
          <c:y val="0.14610202940190686"/>
          <c:w val="0.25443330904823902"/>
          <c:h val="0.57482510593203773"/>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Hists!$E$1798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Hists!$B$1800:$B$1835</c:f>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f>Hists!$F$1800:$F$1835</c:f>
              <c:numCache>
                <c:formatCode>0.00</c:formatCode>
                <c:ptCount val="36"/>
                <c:pt idx="0">
                  <c:v>0</c:v>
                </c:pt>
                <c:pt idx="1">
                  <c:v>0</c:v>
                </c:pt>
                <c:pt idx="2">
                  <c:v>0</c:v>
                </c:pt>
                <c:pt idx="3">
                  <c:v>0</c:v>
                </c:pt>
                <c:pt idx="4">
                  <c:v>0</c:v>
                </c:pt>
                <c:pt idx="5">
                  <c:v>0</c:v>
                </c:pt>
                <c:pt idx="6">
                  <c:v>0</c:v>
                </c:pt>
                <c:pt idx="7">
                  <c:v>0</c:v>
                </c:pt>
                <c:pt idx="8">
                  <c:v>0</c:v>
                </c:pt>
                <c:pt idx="9">
                  <c:v>99.999999994999996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0-C6B0-48B4-909F-59CA0E784F6B}"/>
            </c:ext>
          </c:extLst>
        </c:ser>
        <c:ser>
          <c:idx val="2"/>
          <c:order val="2"/>
          <c:tx>
            <c:strRef>
              <c:f>Hists!$G$1798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Hists!$B$1800:$B$1835</c:f>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f>Hists!$H$1800:$H$1835</c:f>
              <c:numCache>
                <c:formatCode>0.00</c:formatCode>
                <c:ptCount val="36"/>
                <c:pt idx="0">
                  <c:v>0</c:v>
                </c:pt>
                <c:pt idx="1">
                  <c:v>0</c:v>
                </c:pt>
                <c:pt idx="2">
                  <c:v>0</c:v>
                </c:pt>
                <c:pt idx="3">
                  <c:v>0</c:v>
                </c:pt>
                <c:pt idx="4">
                  <c:v>0</c:v>
                </c:pt>
                <c:pt idx="5">
                  <c:v>45.45454545413223</c:v>
                </c:pt>
                <c:pt idx="6">
                  <c:v>0</c:v>
                </c:pt>
                <c:pt idx="7">
                  <c:v>0</c:v>
                </c:pt>
                <c:pt idx="8">
                  <c:v>0</c:v>
                </c:pt>
                <c:pt idx="9">
                  <c:v>9.0909090908264467</c:v>
                </c:pt>
                <c:pt idx="10">
                  <c:v>0</c:v>
                </c:pt>
                <c:pt idx="11">
                  <c:v>0</c:v>
                </c:pt>
                <c:pt idx="12">
                  <c:v>0</c:v>
                </c:pt>
                <c:pt idx="13">
                  <c:v>0</c:v>
                </c:pt>
                <c:pt idx="14">
                  <c:v>0</c:v>
                </c:pt>
                <c:pt idx="15">
                  <c:v>0</c:v>
                </c:pt>
                <c:pt idx="16">
                  <c:v>0</c:v>
                </c:pt>
                <c:pt idx="17">
                  <c:v>0</c:v>
                </c:pt>
                <c:pt idx="18">
                  <c:v>0</c:v>
                </c:pt>
                <c:pt idx="19">
                  <c:v>0</c:v>
                </c:pt>
                <c:pt idx="20">
                  <c:v>0</c:v>
                </c:pt>
                <c:pt idx="21">
                  <c:v>0</c:v>
                </c:pt>
                <c:pt idx="22">
                  <c:v>9.0909090908264467</c:v>
                </c:pt>
                <c:pt idx="23">
                  <c:v>0</c:v>
                </c:pt>
                <c:pt idx="24">
                  <c:v>0</c:v>
                </c:pt>
                <c:pt idx="25">
                  <c:v>0</c:v>
                </c:pt>
                <c:pt idx="26">
                  <c:v>0</c:v>
                </c:pt>
                <c:pt idx="27">
                  <c:v>27.27272727247934</c:v>
                </c:pt>
                <c:pt idx="28">
                  <c:v>9.0909090908264467</c:v>
                </c:pt>
                <c:pt idx="29">
                  <c:v>0</c:v>
                </c:pt>
                <c:pt idx="30">
                  <c:v>0</c:v>
                </c:pt>
                <c:pt idx="31">
                  <c:v>27.27272727247934</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1-C6B0-48B4-909F-59CA0E784F6B}"/>
            </c:ext>
          </c:extLst>
        </c:ser>
        <c:ser>
          <c:idx val="3"/>
          <c:order val="3"/>
          <c:tx>
            <c:strRef>
              <c:f>Hists!$I$1798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Hists!$B$1800:$B$1835</c:f>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f>Hists!$J$1800:$J$1835</c:f>
              <c:numCache>
                <c:formatCode>0.00</c:formatCode>
                <c:ptCount val="36"/>
                <c:pt idx="0">
                  <c:v>0</c:v>
                </c:pt>
                <c:pt idx="1">
                  <c:v>11.111111110987654</c:v>
                </c:pt>
                <c:pt idx="2">
                  <c:v>0</c:v>
                </c:pt>
                <c:pt idx="3">
                  <c:v>0</c:v>
                </c:pt>
                <c:pt idx="4">
                  <c:v>0</c:v>
                </c:pt>
                <c:pt idx="5">
                  <c:v>0</c:v>
                </c:pt>
                <c:pt idx="6">
                  <c:v>0</c:v>
                </c:pt>
                <c:pt idx="7">
                  <c:v>0</c:v>
                </c:pt>
                <c:pt idx="8">
                  <c:v>0</c:v>
                </c:pt>
                <c:pt idx="9">
                  <c:v>44.444444443950616</c:v>
                </c:pt>
                <c:pt idx="10">
                  <c:v>0</c:v>
                </c:pt>
                <c:pt idx="11">
                  <c:v>33.333333332962965</c:v>
                </c:pt>
                <c:pt idx="12">
                  <c:v>0</c:v>
                </c:pt>
                <c:pt idx="13">
                  <c:v>0</c:v>
                </c:pt>
                <c:pt idx="14">
                  <c:v>0</c:v>
                </c:pt>
                <c:pt idx="15">
                  <c:v>0</c:v>
                </c:pt>
                <c:pt idx="16">
                  <c:v>0</c:v>
                </c:pt>
                <c:pt idx="17">
                  <c:v>0</c:v>
                </c:pt>
                <c:pt idx="18">
                  <c:v>0</c:v>
                </c:pt>
                <c:pt idx="19">
                  <c:v>0</c:v>
                </c:pt>
                <c:pt idx="20">
                  <c:v>0</c:v>
                </c:pt>
                <c:pt idx="21">
                  <c:v>0</c:v>
                </c:pt>
                <c:pt idx="22">
                  <c:v>0</c:v>
                </c:pt>
                <c:pt idx="23">
                  <c:v>0</c:v>
                </c:pt>
                <c:pt idx="24">
                  <c:v>11.111111110987654</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2-C6B0-48B4-909F-59CA0E784F6B}"/>
            </c:ext>
          </c:extLst>
        </c:ser>
        <c:dLbls>
          <c:showLegendKey val="0"/>
          <c:showVal val="0"/>
          <c:showCatName val="0"/>
          <c:showSerName val="0"/>
          <c:showPercent val="0"/>
          <c:showBubbleSize val="0"/>
        </c:dLbls>
        <c:gapWidth val="0"/>
        <c:axId val="229986784"/>
        <c:axId val="22998717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Hists!$C$1798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Hists!$B$1800:$B$1835</c15:sqref>
                        </c15:formulaRef>
                      </c:ext>
                    </c:extLst>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extLst xmlns:c16r2="http://schemas.microsoft.com/office/drawing/2015/06/chart">
                      <c:ext uri="{02D57815-91ED-43cb-92C2-25804820EDAC}">
                        <c15:formulaRef>
                          <c15:sqref>Hists!$D$1800:$D$1835</c15:sqref>
                        </c15:formulaRef>
                      </c:ext>
                    </c:extLst>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3-C6B0-48B4-909F-59CA0E784F6B}"/>
                  </c:ext>
                </c:extLst>
              </c15:ser>
            </c15:filteredBarSeries>
          </c:ext>
        </c:extLst>
      </c:barChart>
      <c:catAx>
        <c:axId val="229986784"/>
        <c:scaling>
          <c:orientation val="minMax"/>
        </c:scaling>
        <c:delete val="0"/>
        <c:axPos val="b"/>
        <c:title>
          <c:tx>
            <c:rich>
              <a:bodyPr/>
              <a:lstStyle/>
              <a:p>
                <a:pPr>
                  <a:defRPr/>
                </a:pPr>
                <a:r>
                  <a:rPr lang="en-US" sz="1400">
                    <a:latin typeface="+mn-lt"/>
                  </a:rPr>
                  <a:t>current (µA)</a:t>
                </a:r>
              </a:p>
            </c:rich>
          </c:tx>
          <c:layout>
            <c:manualLayout>
              <c:xMode val="edge"/>
              <c:yMode val="edge"/>
              <c:x val="0.42423099353325383"/>
              <c:y val="0.92937754817893592"/>
            </c:manualLayout>
          </c:layout>
          <c:overlay val="0"/>
        </c:title>
        <c:numFmt formatCode="General" sourceLinked="0"/>
        <c:majorTickMark val="out"/>
        <c:minorTickMark val="none"/>
        <c:tickLblPos val="nextTo"/>
        <c:spPr>
          <a:ln/>
        </c:spPr>
        <c:txPr>
          <a:bodyPr rot="0" vert="horz"/>
          <a:lstStyle/>
          <a:p>
            <a:pPr>
              <a:defRPr sz="1400">
                <a:latin typeface="+mn-lt"/>
              </a:defRPr>
            </a:pPr>
            <a:endParaRPr lang="en-US"/>
          </a:p>
        </c:txPr>
        <c:crossAx val="229987176"/>
        <c:crosses val="autoZero"/>
        <c:auto val="1"/>
        <c:lblAlgn val="ctr"/>
        <c:lblOffset val="100"/>
        <c:tickLblSkip val="2"/>
        <c:tickMarkSkip val="2"/>
        <c:noMultiLvlLbl val="0"/>
      </c:catAx>
      <c:valAx>
        <c:axId val="229987176"/>
        <c:scaling>
          <c:orientation val="minMax"/>
          <c:max val="100"/>
        </c:scaling>
        <c:delete val="0"/>
        <c:axPos val="l"/>
        <c:numFmt formatCode="0" sourceLinked="0"/>
        <c:majorTickMark val="out"/>
        <c:minorTickMark val="none"/>
        <c:tickLblPos val="nextTo"/>
        <c:txPr>
          <a:bodyPr/>
          <a:lstStyle/>
          <a:p>
            <a:pPr>
              <a:defRPr sz="1400">
                <a:latin typeface="+mn-lt"/>
              </a:defRPr>
            </a:pPr>
            <a:endParaRPr lang="en-US"/>
          </a:p>
        </c:txPr>
        <c:crossAx val="229986784"/>
        <c:crosses val="autoZero"/>
        <c:crossBetween val="between"/>
      </c:valAx>
      <c:spPr>
        <a:noFill/>
        <a:ln>
          <a:solidFill>
            <a:schemeClr val="bg1">
              <a:lumMod val="50000"/>
            </a:schemeClr>
          </a:solidFill>
        </a:ln>
      </c:spPr>
    </c:plotArea>
    <c:legend>
      <c:legendPos val="r"/>
      <c:layout>
        <c:manualLayout>
          <c:xMode val="edge"/>
          <c:yMode val="edge"/>
          <c:x val="0.71692048470710634"/>
          <c:y val="0.1362203331040843"/>
          <c:w val="0.26079104217096066"/>
          <c:h val="0.31117108617899769"/>
        </c:manualLayout>
      </c:layout>
      <c:overlay val="0"/>
      <c:spPr>
        <a:solidFill>
          <a:schemeClr val="bg1"/>
        </a:solidFill>
        <a:ln>
          <a:noFill/>
        </a:ln>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0177325722316017"/>
        </c:manualLayout>
      </c:layout>
      <c:barChart>
        <c:barDir val="col"/>
        <c:grouping val="clustered"/>
        <c:varyColors val="0"/>
        <c:ser>
          <c:idx val="1"/>
          <c:order val="1"/>
          <c:tx>
            <c:strRef>
              <c:f>Hists!$E$2054</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Hists!$B$2056:$B$2091</c:f>
              <c:numCache>
                <c:formatCode>0</c:formatCode>
                <c:ptCount val="36"/>
                <c:pt idx="0">
                  <c:v>1</c:v>
                </c:pt>
                <c:pt idx="1">
                  <c:v>2</c:v>
                </c:pt>
                <c:pt idx="2">
                  <c:v>3</c:v>
                </c:pt>
                <c:pt idx="3">
                  <c:v>4</c:v>
                </c:pt>
                <c:pt idx="4">
                  <c:v>5</c:v>
                </c:pt>
                <c:pt idx="5">
                  <c:v>6</c:v>
                </c:pt>
                <c:pt idx="6">
                  <c:v>7</c:v>
                </c:pt>
                <c:pt idx="7">
                  <c:v>8</c:v>
                </c:pt>
                <c:pt idx="8">
                  <c:v>9</c:v>
                </c:pt>
                <c:pt idx="9">
                  <c:v>100</c:v>
                </c:pt>
                <c:pt idx="10">
                  <c:v>200</c:v>
                </c:pt>
                <c:pt idx="11">
                  <c:v>300</c:v>
                </c:pt>
                <c:pt idx="12">
                  <c:v>400</c:v>
                </c:pt>
                <c:pt idx="13">
                  <c:v>500</c:v>
                </c:pt>
                <c:pt idx="14">
                  <c:v>600</c:v>
                </c:pt>
                <c:pt idx="15">
                  <c:v>700</c:v>
                </c:pt>
                <c:pt idx="16">
                  <c:v>800</c:v>
                </c:pt>
                <c:pt idx="17">
                  <c:v>900</c:v>
                </c:pt>
                <c:pt idx="18">
                  <c:v>1000</c:v>
                </c:pt>
                <c:pt idx="19">
                  <c:v>200</c:v>
                </c:pt>
                <c:pt idx="20">
                  <c:v>300</c:v>
                </c:pt>
                <c:pt idx="21">
                  <c:v>400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900000</c:v>
                </c:pt>
              </c:numCache>
            </c:numRef>
          </c:cat>
          <c:val>
            <c:numRef>
              <c:f>Hists!$F$2056:$F$2091</c:f>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0-C698-471E-9D26-CE69DCAE741D}"/>
            </c:ext>
          </c:extLst>
        </c:ser>
        <c:ser>
          <c:idx val="2"/>
          <c:order val="2"/>
          <c:tx>
            <c:strRef>
              <c:f>Hists!$G$2054</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Hists!$B$2056:$B$2091</c:f>
              <c:numCache>
                <c:formatCode>0</c:formatCode>
                <c:ptCount val="36"/>
                <c:pt idx="0">
                  <c:v>1</c:v>
                </c:pt>
                <c:pt idx="1">
                  <c:v>2</c:v>
                </c:pt>
                <c:pt idx="2">
                  <c:v>3</c:v>
                </c:pt>
                <c:pt idx="3">
                  <c:v>4</c:v>
                </c:pt>
                <c:pt idx="4">
                  <c:v>5</c:v>
                </c:pt>
                <c:pt idx="5">
                  <c:v>6</c:v>
                </c:pt>
                <c:pt idx="6">
                  <c:v>7</c:v>
                </c:pt>
                <c:pt idx="7">
                  <c:v>8</c:v>
                </c:pt>
                <c:pt idx="8">
                  <c:v>9</c:v>
                </c:pt>
                <c:pt idx="9">
                  <c:v>100</c:v>
                </c:pt>
                <c:pt idx="10">
                  <c:v>200</c:v>
                </c:pt>
                <c:pt idx="11">
                  <c:v>300</c:v>
                </c:pt>
                <c:pt idx="12">
                  <c:v>400</c:v>
                </c:pt>
                <c:pt idx="13">
                  <c:v>500</c:v>
                </c:pt>
                <c:pt idx="14">
                  <c:v>600</c:v>
                </c:pt>
                <c:pt idx="15">
                  <c:v>700</c:v>
                </c:pt>
                <c:pt idx="16">
                  <c:v>800</c:v>
                </c:pt>
                <c:pt idx="17">
                  <c:v>900</c:v>
                </c:pt>
                <c:pt idx="18">
                  <c:v>1000</c:v>
                </c:pt>
                <c:pt idx="19">
                  <c:v>200</c:v>
                </c:pt>
                <c:pt idx="20">
                  <c:v>300</c:v>
                </c:pt>
                <c:pt idx="21">
                  <c:v>400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900000</c:v>
                </c:pt>
              </c:numCache>
            </c:numRef>
          </c:cat>
          <c:val>
            <c:numRef>
              <c:f>Hists!$H$2056:$H$2091</c:f>
              <c:numCache>
                <c:formatCode>0.00</c:formatCode>
                <c:ptCount val="36"/>
                <c:pt idx="0">
                  <c:v>0</c:v>
                </c:pt>
                <c:pt idx="1">
                  <c:v>8.333333333263889</c:v>
                </c:pt>
                <c:pt idx="2">
                  <c:v>0</c:v>
                </c:pt>
                <c:pt idx="3">
                  <c:v>0</c:v>
                </c:pt>
                <c:pt idx="4">
                  <c:v>0</c:v>
                </c:pt>
                <c:pt idx="5">
                  <c:v>0</c:v>
                </c:pt>
                <c:pt idx="6">
                  <c:v>0</c:v>
                </c:pt>
                <c:pt idx="7">
                  <c:v>0</c:v>
                </c:pt>
                <c:pt idx="8">
                  <c:v>24.999999999791665</c:v>
                </c:pt>
                <c:pt idx="9">
                  <c:v>41.666666666319443</c:v>
                </c:pt>
                <c:pt idx="10">
                  <c:v>0</c:v>
                </c:pt>
                <c:pt idx="11">
                  <c:v>0</c:v>
                </c:pt>
                <c:pt idx="12">
                  <c:v>0</c:v>
                </c:pt>
                <c:pt idx="13">
                  <c:v>0</c:v>
                </c:pt>
                <c:pt idx="14">
                  <c:v>0</c:v>
                </c:pt>
                <c:pt idx="15">
                  <c:v>0</c:v>
                </c:pt>
                <c:pt idx="16">
                  <c:v>0</c:v>
                </c:pt>
                <c:pt idx="17">
                  <c:v>0</c:v>
                </c:pt>
                <c:pt idx="18">
                  <c:v>0</c:v>
                </c:pt>
                <c:pt idx="19">
                  <c:v>0</c:v>
                </c:pt>
                <c:pt idx="20">
                  <c:v>0</c:v>
                </c:pt>
                <c:pt idx="21">
                  <c:v>24.999999999791665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1-C698-471E-9D26-CE69DCAE741D}"/>
            </c:ext>
          </c:extLst>
        </c:ser>
        <c:ser>
          <c:idx val="3"/>
          <c:order val="3"/>
          <c:tx>
            <c:strRef>
              <c:f>Hists!$I$2054</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Hists!$B$2056:$B$2091</c:f>
              <c:numCache>
                <c:formatCode>0</c:formatCode>
                <c:ptCount val="36"/>
                <c:pt idx="0">
                  <c:v>1</c:v>
                </c:pt>
                <c:pt idx="1">
                  <c:v>2</c:v>
                </c:pt>
                <c:pt idx="2">
                  <c:v>3</c:v>
                </c:pt>
                <c:pt idx="3">
                  <c:v>4</c:v>
                </c:pt>
                <c:pt idx="4">
                  <c:v>5</c:v>
                </c:pt>
                <c:pt idx="5">
                  <c:v>6</c:v>
                </c:pt>
                <c:pt idx="6">
                  <c:v>7</c:v>
                </c:pt>
                <c:pt idx="7">
                  <c:v>8</c:v>
                </c:pt>
                <c:pt idx="8">
                  <c:v>9</c:v>
                </c:pt>
                <c:pt idx="9">
                  <c:v>100</c:v>
                </c:pt>
                <c:pt idx="10">
                  <c:v>200</c:v>
                </c:pt>
                <c:pt idx="11">
                  <c:v>300</c:v>
                </c:pt>
                <c:pt idx="12">
                  <c:v>400</c:v>
                </c:pt>
                <c:pt idx="13">
                  <c:v>500</c:v>
                </c:pt>
                <c:pt idx="14">
                  <c:v>600</c:v>
                </c:pt>
                <c:pt idx="15">
                  <c:v>700</c:v>
                </c:pt>
                <c:pt idx="16">
                  <c:v>800</c:v>
                </c:pt>
                <c:pt idx="17">
                  <c:v>900</c:v>
                </c:pt>
                <c:pt idx="18">
                  <c:v>1000</c:v>
                </c:pt>
                <c:pt idx="19">
                  <c:v>200</c:v>
                </c:pt>
                <c:pt idx="20">
                  <c:v>300</c:v>
                </c:pt>
                <c:pt idx="21">
                  <c:v>400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900000</c:v>
                </c:pt>
              </c:numCache>
            </c:numRef>
          </c:cat>
          <c:val>
            <c:numRef>
              <c:f>Hists!$J$2056:$J$2091</c:f>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99.999999996666673</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2-C698-471E-9D26-CE69DCAE741D}"/>
            </c:ext>
          </c:extLst>
        </c:ser>
        <c:dLbls>
          <c:showLegendKey val="0"/>
          <c:showVal val="0"/>
          <c:showCatName val="0"/>
          <c:showSerName val="0"/>
          <c:showPercent val="0"/>
          <c:showBubbleSize val="0"/>
        </c:dLbls>
        <c:gapWidth val="0"/>
        <c:axId val="229987960"/>
        <c:axId val="22998835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Hists!$C$2054</c15:sqref>
                        </c15:formulaRef>
                      </c:ext>
                    </c:extLst>
                    <c:strCache>
                      <c:ptCount val="1"/>
                      <c:pt idx="0">
                        <c:v>Wearable</c:v>
                      </c:pt>
                    </c:strCache>
                  </c:strRef>
                </c:tx>
                <c:invertIfNegative val="0"/>
                <c:cat>
                  <c:numRef>
                    <c:extLst xmlns:c16r2="http://schemas.microsoft.com/office/drawing/2015/06/chart">
                      <c:ext uri="{02D57815-91ED-43cb-92C2-25804820EDAC}">
                        <c15:formulaRef>
                          <c15:sqref>Hists!$B$2056:$B$2091</c15:sqref>
                        </c15:formulaRef>
                      </c:ext>
                    </c:extLst>
                    <c:numCache>
                      <c:formatCode>0</c:formatCode>
                      <c:ptCount val="36"/>
                      <c:pt idx="0">
                        <c:v>1</c:v>
                      </c:pt>
                      <c:pt idx="1">
                        <c:v>2</c:v>
                      </c:pt>
                      <c:pt idx="2">
                        <c:v>3</c:v>
                      </c:pt>
                      <c:pt idx="3">
                        <c:v>4</c:v>
                      </c:pt>
                      <c:pt idx="4">
                        <c:v>5</c:v>
                      </c:pt>
                      <c:pt idx="5">
                        <c:v>6</c:v>
                      </c:pt>
                      <c:pt idx="6">
                        <c:v>7</c:v>
                      </c:pt>
                      <c:pt idx="7">
                        <c:v>8</c:v>
                      </c:pt>
                      <c:pt idx="8">
                        <c:v>9</c:v>
                      </c:pt>
                      <c:pt idx="9">
                        <c:v>100</c:v>
                      </c:pt>
                      <c:pt idx="10">
                        <c:v>200</c:v>
                      </c:pt>
                      <c:pt idx="11">
                        <c:v>300</c:v>
                      </c:pt>
                      <c:pt idx="12">
                        <c:v>400</c:v>
                      </c:pt>
                      <c:pt idx="13">
                        <c:v>500</c:v>
                      </c:pt>
                      <c:pt idx="14">
                        <c:v>600</c:v>
                      </c:pt>
                      <c:pt idx="15">
                        <c:v>700</c:v>
                      </c:pt>
                      <c:pt idx="16">
                        <c:v>800</c:v>
                      </c:pt>
                      <c:pt idx="17">
                        <c:v>900</c:v>
                      </c:pt>
                      <c:pt idx="18">
                        <c:v>1000</c:v>
                      </c:pt>
                      <c:pt idx="19">
                        <c:v>200</c:v>
                      </c:pt>
                      <c:pt idx="20">
                        <c:v>300</c:v>
                      </c:pt>
                      <c:pt idx="21">
                        <c:v>400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900000</c:v>
                      </c:pt>
                    </c:numCache>
                  </c:numRef>
                </c:cat>
                <c:val>
                  <c:numRef>
                    <c:extLst xmlns:c16r2="http://schemas.microsoft.com/office/drawing/2015/06/chart">
                      <c:ext uri="{02D57815-91ED-43cb-92C2-25804820EDAC}">
                        <c15:formulaRef>
                          <c15:sqref>Hists!$D$2056:$D$2091</c15:sqref>
                        </c15:formulaRef>
                      </c:ext>
                    </c:extLst>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3-C698-471E-9D26-CE69DCAE741D}"/>
                  </c:ext>
                </c:extLst>
              </c15:ser>
            </c15:filteredBarSeries>
          </c:ext>
        </c:extLst>
      </c:barChart>
      <c:catAx>
        <c:axId val="229987960"/>
        <c:scaling>
          <c:orientation val="minMax"/>
        </c:scaling>
        <c:delete val="0"/>
        <c:axPos val="b"/>
        <c:title>
          <c:tx>
            <c:rich>
              <a:bodyPr/>
              <a:lstStyle/>
              <a:p>
                <a:pPr>
                  <a:defRPr/>
                </a:pPr>
                <a:r>
                  <a:rPr lang="en-US" sz="1400">
                    <a:latin typeface="+mn-lt"/>
                  </a:rPr>
                  <a:t>Time (µs)</a:t>
                </a:r>
              </a:p>
            </c:rich>
          </c:tx>
          <c:layout>
            <c:manualLayout>
              <c:xMode val="edge"/>
              <c:yMode val="edge"/>
              <c:x val="0.36883639874220953"/>
              <c:y val="0.92937759512972984"/>
            </c:manualLayout>
          </c:layout>
          <c:overlay val="0"/>
        </c:title>
        <c:numFmt formatCode="#,##0.0" sourceLinked="0"/>
        <c:majorTickMark val="out"/>
        <c:minorTickMark val="none"/>
        <c:tickLblPos val="nextTo"/>
        <c:spPr>
          <a:ln/>
        </c:spPr>
        <c:txPr>
          <a:bodyPr rot="5400000" vert="horz"/>
          <a:lstStyle/>
          <a:p>
            <a:pPr>
              <a:defRPr sz="1200">
                <a:latin typeface="+mn-lt"/>
              </a:defRPr>
            </a:pPr>
            <a:endParaRPr lang="en-US"/>
          </a:p>
        </c:txPr>
        <c:crossAx val="229988352"/>
        <c:crosses val="autoZero"/>
        <c:auto val="1"/>
        <c:lblAlgn val="ctr"/>
        <c:lblOffset val="100"/>
        <c:tickLblSkip val="2"/>
        <c:noMultiLvlLbl val="0"/>
      </c:catAx>
      <c:valAx>
        <c:axId val="229988352"/>
        <c:scaling>
          <c:orientation val="minMax"/>
          <c:max val="100"/>
        </c:scaling>
        <c:delete val="0"/>
        <c:axPos val="l"/>
        <c:numFmt formatCode="0" sourceLinked="0"/>
        <c:majorTickMark val="out"/>
        <c:minorTickMark val="none"/>
        <c:tickLblPos val="nextTo"/>
        <c:txPr>
          <a:bodyPr/>
          <a:lstStyle/>
          <a:p>
            <a:pPr>
              <a:defRPr sz="1200">
                <a:latin typeface="+mn-lt"/>
              </a:defRPr>
            </a:pPr>
            <a:endParaRPr lang="en-US"/>
          </a:p>
        </c:txPr>
        <c:crossAx val="229987960"/>
        <c:crosses val="autoZero"/>
        <c:crossBetween val="between"/>
      </c:valAx>
      <c:spPr>
        <a:noFill/>
        <a:ln>
          <a:solidFill>
            <a:schemeClr val="bg1">
              <a:lumMod val="50000"/>
            </a:schemeClr>
          </a:solidFill>
        </a:ln>
      </c:spPr>
    </c:plotArea>
    <c:legend>
      <c:legendPos val="r"/>
      <c:legendEntry>
        <c:idx val="0"/>
        <c:delete val="1"/>
      </c:legendEntry>
      <c:layout>
        <c:manualLayout>
          <c:xMode val="edge"/>
          <c:yMode val="edge"/>
          <c:x val="0.4123442441636509"/>
          <c:y val="0.26682493704543309"/>
          <c:w val="0.33967971005632996"/>
          <c:h val="0.26372477321500148"/>
        </c:manualLayout>
      </c:layout>
      <c:overlay val="0"/>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09115856938616E-2"/>
          <c:y val="2.5749721059450944E-2"/>
          <c:w val="0.8673981847290072"/>
          <c:h val="0.74436365207435495"/>
        </c:manualLayout>
      </c:layout>
      <c:barChart>
        <c:barDir val="col"/>
        <c:grouping val="clustered"/>
        <c:varyColors val="0"/>
        <c:ser>
          <c:idx val="1"/>
          <c:order val="1"/>
          <c:tx>
            <c:strRef>
              <c:f>Hists!$E$2104</c:f>
              <c:strCache>
                <c:ptCount val="1"/>
                <c:pt idx="0">
                  <c:v>Mote (on PCB)</c:v>
                </c:pt>
              </c:strCache>
            </c:strRef>
          </c:tx>
          <c:spPr>
            <a:pattFill prst="pct25">
              <a:fgClr>
                <a:srgbClr val="C00000"/>
              </a:fgClr>
              <a:bgClr>
                <a:schemeClr val="bg1"/>
              </a:bgClr>
            </a:pattFill>
            <a:ln w="25400">
              <a:solidFill>
                <a:srgbClr val="C00000"/>
              </a:solidFill>
            </a:ln>
          </c:spPr>
          <c:invertIfNegative val="0"/>
          <c:cat>
            <c:strRef>
              <c:f>Hists!$A$2106:$B$2138</c:f>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f>Hists!$E$2106:$E$2138</c:f>
              <c:numCache>
                <c:formatCode>General</c:formatCode>
                <c:ptCount val="33"/>
                <c:pt idx="0">
                  <c:v>8</c:v>
                </c:pt>
                <c:pt idx="1">
                  <c:v>0</c:v>
                </c:pt>
                <c:pt idx="2">
                  <c:v>8</c:v>
                </c:pt>
                <c:pt idx="3">
                  <c:v>16</c:v>
                </c:pt>
                <c:pt idx="4">
                  <c:v>0</c:v>
                </c:pt>
                <c:pt idx="5">
                  <c:v>0</c:v>
                </c:pt>
                <c:pt idx="6">
                  <c:v>16</c:v>
                </c:pt>
                <c:pt idx="7">
                  <c:v>2</c:v>
                </c:pt>
                <c:pt idx="8">
                  <c:v>20</c:v>
                </c:pt>
                <c:pt idx="9">
                  <c:v>20</c:v>
                </c:pt>
                <c:pt idx="10">
                  <c:v>3</c:v>
                </c:pt>
                <c:pt idx="11">
                  <c:v>13</c:v>
                </c:pt>
                <c:pt idx="12">
                  <c:v>1</c:v>
                </c:pt>
                <c:pt idx="13">
                  <c:v>1</c:v>
                </c:pt>
                <c:pt idx="14">
                  <c:v>2</c:v>
                </c:pt>
                <c:pt idx="15">
                  <c:v>1</c:v>
                </c:pt>
                <c:pt idx="16">
                  <c:v>18</c:v>
                </c:pt>
                <c:pt idx="17">
                  <c:v>4</c:v>
                </c:pt>
                <c:pt idx="18">
                  <c:v>1</c:v>
                </c:pt>
                <c:pt idx="19">
                  <c:v>0</c:v>
                </c:pt>
                <c:pt idx="20">
                  <c:v>1</c:v>
                </c:pt>
                <c:pt idx="21">
                  <c:v>1</c:v>
                </c:pt>
                <c:pt idx="22">
                  <c:v>1</c:v>
                </c:pt>
                <c:pt idx="23">
                  <c:v>7</c:v>
                </c:pt>
                <c:pt idx="24">
                  <c:v>1</c:v>
                </c:pt>
                <c:pt idx="25">
                  <c:v>1</c:v>
                </c:pt>
                <c:pt idx="26">
                  <c:v>1</c:v>
                </c:pt>
                <c:pt idx="27">
                  <c:v>0</c:v>
                </c:pt>
                <c:pt idx="28">
                  <c:v>1</c:v>
                </c:pt>
                <c:pt idx="29">
                  <c:v>2</c:v>
                </c:pt>
                <c:pt idx="30">
                  <c:v>1</c:v>
                </c:pt>
                <c:pt idx="31">
                  <c:v>1</c:v>
                </c:pt>
                <c:pt idx="32">
                  <c:v>1</c:v>
                </c:pt>
              </c:numCache>
            </c:numRef>
          </c:val>
          <c:extLst xmlns:c16r2="http://schemas.microsoft.com/office/drawing/2015/06/chart">
            <c:ext xmlns:c16="http://schemas.microsoft.com/office/drawing/2014/chart" uri="{C3380CC4-5D6E-409C-BE32-E72D297353CC}">
              <c16:uniqueId val="{00000000-2E72-44F3-A02C-3EE488D16463}"/>
            </c:ext>
          </c:extLst>
        </c:ser>
        <c:ser>
          <c:idx val="2"/>
          <c:order val="2"/>
          <c:tx>
            <c:strRef>
              <c:f>Hists!$G$2104</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strRef>
              <c:f>Hists!$A$2106:$B$2138</c:f>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f>Hists!$G$2106:$G$2138</c:f>
              <c:numCache>
                <c:formatCode>0</c:formatCode>
                <c:ptCount val="33"/>
                <c:pt idx="0">
                  <c:v>16</c:v>
                </c:pt>
                <c:pt idx="1">
                  <c:v>5</c:v>
                </c:pt>
                <c:pt idx="2" formatCode="General">
                  <c:v>21</c:v>
                </c:pt>
                <c:pt idx="3">
                  <c:v>27</c:v>
                </c:pt>
                <c:pt idx="4">
                  <c:v>4</c:v>
                </c:pt>
                <c:pt idx="5">
                  <c:v>2</c:v>
                </c:pt>
                <c:pt idx="6" formatCode="General">
                  <c:v>33</c:v>
                </c:pt>
                <c:pt idx="7">
                  <c:v>4</c:v>
                </c:pt>
                <c:pt idx="8">
                  <c:v>19</c:v>
                </c:pt>
                <c:pt idx="9">
                  <c:v>22</c:v>
                </c:pt>
                <c:pt idx="10">
                  <c:v>14</c:v>
                </c:pt>
                <c:pt idx="11">
                  <c:v>1</c:v>
                </c:pt>
                <c:pt idx="12">
                  <c:v>5</c:v>
                </c:pt>
                <c:pt idx="13">
                  <c:v>0</c:v>
                </c:pt>
                <c:pt idx="14">
                  <c:v>0</c:v>
                </c:pt>
                <c:pt idx="15">
                  <c:v>1</c:v>
                </c:pt>
                <c:pt idx="16">
                  <c:v>7</c:v>
                </c:pt>
                <c:pt idx="17">
                  <c:v>0</c:v>
                </c:pt>
                <c:pt idx="18">
                  <c:v>0</c:v>
                </c:pt>
                <c:pt idx="19">
                  <c:v>0</c:v>
                </c:pt>
                <c:pt idx="20">
                  <c:v>0</c:v>
                </c:pt>
                <c:pt idx="21">
                  <c:v>0</c:v>
                </c:pt>
                <c:pt idx="22">
                  <c:v>0</c:v>
                </c:pt>
                <c:pt idx="23">
                  <c:v>0</c:v>
                </c:pt>
                <c:pt idx="24">
                  <c:v>0</c:v>
                </c:pt>
                <c:pt idx="25">
                  <c:v>0</c:v>
                </c:pt>
                <c:pt idx="26">
                  <c:v>0</c:v>
                </c:pt>
                <c:pt idx="27">
                  <c:v>0</c:v>
                </c:pt>
                <c:pt idx="28">
                  <c:v>1</c:v>
                </c:pt>
                <c:pt idx="29">
                  <c:v>0</c:v>
                </c:pt>
                <c:pt idx="30">
                  <c:v>0</c:v>
                </c:pt>
                <c:pt idx="31">
                  <c:v>1</c:v>
                </c:pt>
                <c:pt idx="32">
                  <c:v>2</c:v>
                </c:pt>
              </c:numCache>
            </c:numRef>
          </c:val>
          <c:extLst xmlns:c16r2="http://schemas.microsoft.com/office/drawing/2015/06/chart">
            <c:ext xmlns:c16="http://schemas.microsoft.com/office/drawing/2014/chart" uri="{C3380CC4-5D6E-409C-BE32-E72D297353CC}">
              <c16:uniqueId val="{00000001-2E72-44F3-A02C-3EE488D16463}"/>
            </c:ext>
          </c:extLst>
        </c:ser>
        <c:ser>
          <c:idx val="3"/>
          <c:order val="3"/>
          <c:tx>
            <c:strRef>
              <c:f>Hists!$I$2104</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strRef>
              <c:f>Hists!$A$2106:$B$2138</c:f>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f>Hists!$I$2106:$I$2138</c:f>
              <c:numCache>
                <c:formatCode>0</c:formatCode>
                <c:ptCount val="33"/>
                <c:pt idx="0">
                  <c:v>0</c:v>
                </c:pt>
                <c:pt idx="1">
                  <c:v>0</c:v>
                </c:pt>
                <c:pt idx="2" formatCode="General">
                  <c:v>0</c:v>
                </c:pt>
                <c:pt idx="3">
                  <c:v>1</c:v>
                </c:pt>
                <c:pt idx="4">
                  <c:v>0</c:v>
                </c:pt>
                <c:pt idx="5">
                  <c:v>0</c:v>
                </c:pt>
                <c:pt idx="6" formatCode="General">
                  <c:v>1</c:v>
                </c:pt>
                <c:pt idx="7">
                  <c:v>0</c:v>
                </c:pt>
                <c:pt idx="8">
                  <c:v>3</c:v>
                </c:pt>
                <c:pt idx="9">
                  <c:v>14</c:v>
                </c:pt>
                <c:pt idx="10">
                  <c:v>1</c:v>
                </c:pt>
                <c:pt idx="11">
                  <c:v>0</c:v>
                </c:pt>
                <c:pt idx="12">
                  <c:v>0</c:v>
                </c:pt>
                <c:pt idx="13">
                  <c:v>0</c:v>
                </c:pt>
                <c:pt idx="14">
                  <c:v>0</c:v>
                </c:pt>
                <c:pt idx="15">
                  <c:v>0</c:v>
                </c:pt>
                <c:pt idx="16" formatCode="General">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numCache>
            </c:numRef>
          </c:val>
          <c:extLst xmlns:c16r2="http://schemas.microsoft.com/office/drawing/2015/06/chart">
            <c:ext xmlns:c16="http://schemas.microsoft.com/office/drawing/2014/chart" uri="{C3380CC4-5D6E-409C-BE32-E72D297353CC}">
              <c16:uniqueId val="{00000002-2E72-44F3-A02C-3EE488D16463}"/>
            </c:ext>
          </c:extLst>
        </c:ser>
        <c:dLbls>
          <c:showLegendKey val="0"/>
          <c:showVal val="0"/>
          <c:showCatName val="0"/>
          <c:showSerName val="0"/>
          <c:showPercent val="0"/>
          <c:showBubbleSize val="0"/>
        </c:dLbls>
        <c:gapWidth val="0"/>
        <c:axId val="229989136"/>
        <c:axId val="2299895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Hists!$C$2104</c15:sqref>
                        </c15:formulaRef>
                      </c:ext>
                    </c:extLst>
                    <c:strCache>
                      <c:ptCount val="1"/>
                      <c:pt idx="0">
                        <c:v>Wearable</c:v>
                      </c:pt>
                    </c:strCache>
                  </c:strRef>
                </c:tx>
                <c:invertIfNegative val="0"/>
                <c:cat>
                  <c:strRef>
                    <c:extLst xmlns:c16r2="http://schemas.microsoft.com/office/drawing/2015/06/chart">
                      <c:ext uri="{02D57815-91ED-43cb-92C2-25804820EDAC}">
                        <c15:formulaRef>
                          <c15:sqref>Hists!$A$2106:$B$2138</c15:sqref>
                        </c15:formulaRef>
                      </c:ext>
                    </c:extLst>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extLst xmlns:c16r2="http://schemas.microsoft.com/office/drawing/2015/06/chart">
                      <c:ext uri="{02D57815-91ED-43cb-92C2-25804820EDAC}">
                        <c15:formulaRef>
                          <c15:sqref>Hists!$C$2106:$C$2138</c15:sqref>
                        </c15:formulaRef>
                      </c:ext>
                    </c:extLst>
                    <c:numCache>
                      <c:formatCode>General</c:formatCode>
                      <c:ptCount val="33"/>
                      <c:pt idx="0">
                        <c:v>1</c:v>
                      </c:pt>
                      <c:pt idx="1">
                        <c:v>0</c:v>
                      </c:pt>
                      <c:pt idx="2">
                        <c:v>1</c:v>
                      </c:pt>
                      <c:pt idx="3">
                        <c:v>4</c:v>
                      </c:pt>
                      <c:pt idx="4">
                        <c:v>0</c:v>
                      </c:pt>
                      <c:pt idx="5">
                        <c:v>0</c:v>
                      </c:pt>
                      <c:pt idx="6">
                        <c:v>4</c:v>
                      </c:pt>
                      <c:pt idx="7">
                        <c:v>0</c:v>
                      </c:pt>
                      <c:pt idx="8">
                        <c:v>3</c:v>
                      </c:pt>
                      <c:pt idx="9">
                        <c:v>4</c:v>
                      </c:pt>
                      <c:pt idx="10">
                        <c:v>0</c:v>
                      </c:pt>
                      <c:pt idx="11">
                        <c:v>2</c:v>
                      </c:pt>
                      <c:pt idx="12">
                        <c:v>2</c:v>
                      </c:pt>
                      <c:pt idx="13">
                        <c:v>0</c:v>
                      </c:pt>
                      <c:pt idx="14">
                        <c:v>0</c:v>
                      </c:pt>
                      <c:pt idx="15">
                        <c:v>0</c:v>
                      </c:pt>
                      <c:pt idx="16">
                        <c:v>4</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xmlns:c16r2="http://schemas.microsoft.com/office/drawing/2015/06/chart">
                  <c:ext xmlns:c16="http://schemas.microsoft.com/office/drawing/2014/chart" uri="{C3380CC4-5D6E-409C-BE32-E72D297353CC}">
                    <c16:uniqueId val="{00000003-2E72-44F3-A02C-3EE488D16463}"/>
                  </c:ext>
                </c:extLst>
              </c15:ser>
            </c15:filteredBarSeries>
          </c:ext>
        </c:extLst>
      </c:barChart>
      <c:catAx>
        <c:axId val="229989136"/>
        <c:scaling>
          <c:orientation val="minMax"/>
        </c:scaling>
        <c:delete val="0"/>
        <c:axPos val="b"/>
        <c:numFmt formatCode="#,##0" sourceLinked="0"/>
        <c:majorTickMark val="out"/>
        <c:minorTickMark val="none"/>
        <c:tickLblPos val="nextTo"/>
        <c:spPr>
          <a:ln/>
        </c:spPr>
        <c:txPr>
          <a:bodyPr rot="5400000" vert="horz"/>
          <a:lstStyle/>
          <a:p>
            <a:pPr>
              <a:defRPr sz="1400">
                <a:latin typeface="+mn-lt"/>
              </a:defRPr>
            </a:pPr>
            <a:endParaRPr lang="en-US"/>
          </a:p>
        </c:txPr>
        <c:crossAx val="229989528"/>
        <c:crosses val="autoZero"/>
        <c:auto val="1"/>
        <c:lblAlgn val="ctr"/>
        <c:lblOffset val="100"/>
        <c:tickLblSkip val="1"/>
        <c:noMultiLvlLbl val="0"/>
      </c:catAx>
      <c:valAx>
        <c:axId val="229989528"/>
        <c:scaling>
          <c:orientation val="minMax"/>
          <c:max val="35"/>
          <c:min val="0"/>
        </c:scaling>
        <c:delete val="0"/>
        <c:axPos val="l"/>
        <c:numFmt formatCode="0" sourceLinked="0"/>
        <c:majorTickMark val="out"/>
        <c:minorTickMark val="none"/>
        <c:tickLblPos val="nextTo"/>
        <c:txPr>
          <a:bodyPr/>
          <a:lstStyle/>
          <a:p>
            <a:pPr>
              <a:defRPr sz="1400">
                <a:latin typeface="+mn-lt"/>
              </a:defRPr>
            </a:pPr>
            <a:endParaRPr lang="en-US"/>
          </a:p>
        </c:txPr>
        <c:crossAx val="229989136"/>
        <c:crosses val="autoZero"/>
        <c:crossBetween val="between"/>
      </c:valAx>
      <c:spPr>
        <a:noFill/>
        <a:ln>
          <a:solidFill>
            <a:schemeClr val="bg1">
              <a:lumMod val="50000"/>
            </a:schemeClr>
          </a:solidFill>
        </a:ln>
      </c:spPr>
    </c:plotArea>
    <c:legend>
      <c:legendPos val="r"/>
      <c:layout>
        <c:manualLayout>
          <c:xMode val="edge"/>
          <c:yMode val="edge"/>
          <c:x val="0.462055831794218"/>
          <c:y val="4.6803054824585077E-2"/>
          <c:w val="0.51062176929406189"/>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7461612750595"/>
          <c:y val="2.96420587766126E-2"/>
          <c:w val="0.85858309081363471"/>
          <c:h val="0.8230086030011079"/>
        </c:manualLayout>
      </c:layout>
      <c:barChart>
        <c:barDir val="col"/>
        <c:grouping val="clustered"/>
        <c:varyColors val="0"/>
        <c:ser>
          <c:idx val="1"/>
          <c:order val="1"/>
          <c:tx>
            <c:strRef>
              <c:f>Hists!$E$49</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Hists!$B$51:$B$79</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Hists!$F$51:$F$79</c:f>
              <c:numCache>
                <c:formatCode>0.00</c:formatCode>
                <c:ptCount val="29"/>
                <c:pt idx="0">
                  <c:v>0</c:v>
                </c:pt>
                <c:pt idx="1">
                  <c:v>0</c:v>
                </c:pt>
                <c:pt idx="2">
                  <c:v>9.9999999999500009</c:v>
                </c:pt>
                <c:pt idx="3">
                  <c:v>0</c:v>
                </c:pt>
                <c:pt idx="4">
                  <c:v>4.9999999999750004</c:v>
                </c:pt>
                <c:pt idx="5">
                  <c:v>0</c:v>
                </c:pt>
                <c:pt idx="6">
                  <c:v>0</c:v>
                </c:pt>
                <c:pt idx="7">
                  <c:v>0</c:v>
                </c:pt>
                <c:pt idx="8">
                  <c:v>24.999999999875001</c:v>
                </c:pt>
                <c:pt idx="9">
                  <c:v>0</c:v>
                </c:pt>
                <c:pt idx="10">
                  <c:v>4.9999999999750004</c:v>
                </c:pt>
                <c:pt idx="11">
                  <c:v>0</c:v>
                </c:pt>
                <c:pt idx="12">
                  <c:v>4.9999999999750004</c:v>
                </c:pt>
                <c:pt idx="13">
                  <c:v>4.9999999999750004</c:v>
                </c:pt>
                <c:pt idx="14">
                  <c:v>0</c:v>
                </c:pt>
                <c:pt idx="15">
                  <c:v>4.9999999999750004</c:v>
                </c:pt>
                <c:pt idx="16">
                  <c:v>0</c:v>
                </c:pt>
                <c:pt idx="17">
                  <c:v>4.9999999999750004</c:v>
                </c:pt>
                <c:pt idx="18">
                  <c:v>0</c:v>
                </c:pt>
                <c:pt idx="19">
                  <c:v>4.9999999999750004</c:v>
                </c:pt>
                <c:pt idx="20">
                  <c:v>14.999999999925002</c:v>
                </c:pt>
                <c:pt idx="21">
                  <c:v>0</c:v>
                </c:pt>
                <c:pt idx="22">
                  <c:v>0</c:v>
                </c:pt>
                <c:pt idx="23">
                  <c:v>4.9999999999750004</c:v>
                </c:pt>
                <c:pt idx="24">
                  <c:v>0</c:v>
                </c:pt>
                <c:pt idx="25">
                  <c:v>0</c:v>
                </c:pt>
                <c:pt idx="26">
                  <c:v>0</c:v>
                </c:pt>
                <c:pt idx="27">
                  <c:v>0</c:v>
                </c:pt>
                <c:pt idx="28">
                  <c:v>9.9999999999500009</c:v>
                </c:pt>
              </c:numCache>
            </c:numRef>
          </c:val>
          <c:extLst xmlns:c16r2="http://schemas.microsoft.com/office/drawing/2015/06/chart">
            <c:ext xmlns:c16="http://schemas.microsoft.com/office/drawing/2014/chart" uri="{C3380CC4-5D6E-409C-BE32-E72D297353CC}">
              <c16:uniqueId val="{00000000-9A41-46F9-B99A-BF67D2400F35}"/>
            </c:ext>
          </c:extLst>
        </c:ser>
        <c:ser>
          <c:idx val="2"/>
          <c:order val="2"/>
          <c:tx>
            <c:strRef>
              <c:f>Hists!$G$49</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Hists!$B$51:$B$79</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Hists!$H$51:$H$79</c:f>
              <c:numCache>
                <c:formatCode>0.00</c:formatCode>
                <c:ptCount val="29"/>
                <c:pt idx="0">
                  <c:v>0</c:v>
                </c:pt>
                <c:pt idx="1">
                  <c:v>0</c:v>
                </c:pt>
                <c:pt idx="2">
                  <c:v>6.2499999999609379</c:v>
                </c:pt>
                <c:pt idx="3">
                  <c:v>0</c:v>
                </c:pt>
                <c:pt idx="4">
                  <c:v>31.24999999980469</c:v>
                </c:pt>
                <c:pt idx="5">
                  <c:v>0</c:v>
                </c:pt>
                <c:pt idx="6">
                  <c:v>0</c:v>
                </c:pt>
                <c:pt idx="7">
                  <c:v>0</c:v>
                </c:pt>
                <c:pt idx="8">
                  <c:v>6.2499999999609379</c:v>
                </c:pt>
                <c:pt idx="9">
                  <c:v>0</c:v>
                </c:pt>
                <c:pt idx="10">
                  <c:v>0</c:v>
                </c:pt>
                <c:pt idx="11">
                  <c:v>12.499999999921876</c:v>
                </c:pt>
                <c:pt idx="12">
                  <c:v>31.24999999980469</c:v>
                </c:pt>
                <c:pt idx="13">
                  <c:v>0</c:v>
                </c:pt>
                <c:pt idx="14">
                  <c:v>0</c:v>
                </c:pt>
                <c:pt idx="15">
                  <c:v>0</c:v>
                </c:pt>
                <c:pt idx="16">
                  <c:v>0</c:v>
                </c:pt>
                <c:pt idx="17">
                  <c:v>0</c:v>
                </c:pt>
                <c:pt idx="18">
                  <c:v>0</c:v>
                </c:pt>
                <c:pt idx="19">
                  <c:v>0</c:v>
                </c:pt>
                <c:pt idx="20">
                  <c:v>0</c:v>
                </c:pt>
                <c:pt idx="21">
                  <c:v>0</c:v>
                </c:pt>
                <c:pt idx="22">
                  <c:v>0</c:v>
                </c:pt>
                <c:pt idx="23">
                  <c:v>12.499999999921876</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9A41-46F9-B99A-BF67D2400F35}"/>
            </c:ext>
          </c:extLst>
        </c:ser>
        <c:ser>
          <c:idx val="3"/>
          <c:order val="3"/>
          <c:tx>
            <c:strRef>
              <c:f>Hists!$I$49</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Hists!$B$51:$B$79</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Hists!$J$51:$J$79</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49.999999997499998</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9A41-46F9-B99A-BF67D2400F35}"/>
            </c:ext>
          </c:extLst>
        </c:ser>
        <c:dLbls>
          <c:showLegendKey val="0"/>
          <c:showVal val="0"/>
          <c:showCatName val="0"/>
          <c:showSerName val="0"/>
          <c:showPercent val="0"/>
          <c:showBubbleSize val="0"/>
        </c:dLbls>
        <c:gapWidth val="0"/>
        <c:axId val="229990312"/>
        <c:axId val="22999070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Hists!$C$49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Hists!$B$51:$B$79</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Hists!$D$51:$D$79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9A41-46F9-B99A-BF67D2400F35}"/>
                  </c:ext>
                </c:extLst>
              </c15:ser>
            </c15:filteredBarSeries>
          </c:ext>
        </c:extLst>
      </c:barChart>
      <c:catAx>
        <c:axId val="229990312"/>
        <c:scaling>
          <c:orientation val="minMax"/>
        </c:scaling>
        <c:delete val="0"/>
        <c:axPos val="b"/>
        <c:title>
          <c:tx>
            <c:rich>
              <a:bodyPr/>
              <a:lstStyle/>
              <a:p>
                <a:pPr>
                  <a:defRPr/>
                </a:pPr>
                <a:r>
                  <a:rPr lang="en-US" sz="1400">
                    <a:latin typeface="+mn-lt"/>
                  </a:rPr>
                  <a:t>RAM (kB)</a:t>
                </a:r>
              </a:p>
            </c:rich>
          </c:tx>
          <c:layout>
            <c:manualLayout>
              <c:xMode val="edge"/>
              <c:yMode val="edge"/>
              <c:x val="0.45927289461573861"/>
              <c:y val="0.92937759898258643"/>
            </c:manualLayout>
          </c:layout>
          <c:overlay val="0"/>
        </c:title>
        <c:numFmt formatCode="#,##0" sourceLinked="0"/>
        <c:majorTickMark val="out"/>
        <c:minorTickMark val="none"/>
        <c:tickLblPos val="nextTo"/>
        <c:spPr>
          <a:ln/>
        </c:spPr>
        <c:txPr>
          <a:bodyPr rot="0" vert="horz"/>
          <a:lstStyle/>
          <a:p>
            <a:pPr>
              <a:defRPr sz="1400">
                <a:latin typeface="+mn-lt"/>
              </a:defRPr>
            </a:pPr>
            <a:endParaRPr lang="en-US"/>
          </a:p>
        </c:txPr>
        <c:crossAx val="229990704"/>
        <c:crosses val="autoZero"/>
        <c:auto val="1"/>
        <c:lblAlgn val="ctr"/>
        <c:lblOffset val="100"/>
        <c:tickLblSkip val="2"/>
        <c:noMultiLvlLbl val="0"/>
      </c:catAx>
      <c:valAx>
        <c:axId val="229990704"/>
        <c:scaling>
          <c:orientation val="minMax"/>
          <c:max val="55"/>
          <c:min val="0"/>
        </c:scaling>
        <c:delete val="0"/>
        <c:axPos val="l"/>
        <c:numFmt formatCode="0" sourceLinked="0"/>
        <c:majorTickMark val="out"/>
        <c:minorTickMark val="none"/>
        <c:tickLblPos val="nextTo"/>
        <c:txPr>
          <a:bodyPr/>
          <a:lstStyle/>
          <a:p>
            <a:pPr>
              <a:defRPr sz="1400">
                <a:latin typeface="+mn-lt"/>
              </a:defRPr>
            </a:pPr>
            <a:endParaRPr lang="en-US"/>
          </a:p>
        </c:txPr>
        <c:crossAx val="229990312"/>
        <c:crosses val="autoZero"/>
        <c:crossBetween val="between"/>
      </c:valAx>
      <c:spPr>
        <a:noFill/>
        <a:ln>
          <a:solidFill>
            <a:schemeClr val="bg1">
              <a:lumMod val="50000"/>
            </a:schemeClr>
          </a:solidFill>
        </a:ln>
      </c:spPr>
    </c:plotArea>
    <c:legend>
      <c:legendPos val="r"/>
      <c:layout>
        <c:manualLayout>
          <c:xMode val="edge"/>
          <c:yMode val="edge"/>
          <c:x val="0.10809599891109195"/>
          <c:y val="5.9707766737830258E-2"/>
          <c:w val="0.39430348007286764"/>
          <c:h val="0.22923654647521691"/>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Hists!$E$1953</c:f>
              <c:strCache>
                <c:ptCount val="1"/>
                <c:pt idx="0">
                  <c:v>Mote (on PCB)</c:v>
                </c:pt>
              </c:strCache>
            </c:strRef>
          </c:tx>
          <c:spPr>
            <a:pattFill prst="pct25">
              <a:fgClr>
                <a:srgbClr val="C00000"/>
              </a:fgClr>
              <a:bgClr>
                <a:schemeClr val="bg1"/>
              </a:bgClr>
            </a:pattFill>
            <a:ln w="25400">
              <a:solidFill>
                <a:srgbClr val="C00000"/>
              </a:solidFill>
            </a:ln>
          </c:spPr>
          <c:invertIfNegative val="0"/>
          <c:cat>
            <c:numRef>
              <c:extLst>
                <c:ext xmlns:c15="http://schemas.microsoft.com/office/drawing/2012/chart" uri="{02D57815-91ED-43cb-92C2-25804820EDAC}">
                  <c15:fullRef>
                    <c15:sqref>Hists!$B$1955:$B$1990</c15:sqref>
                  </c15:fullRef>
                </c:ext>
              </c:extLst>
              <c:f>Hists!$B$1964:$B$1990</c:f>
              <c:numCache>
                <c:formatCode>0.00</c:formatCode>
                <c:ptCount val="27"/>
                <c:pt idx="0" formatCode="0.0">
                  <c:v>0.1</c:v>
                </c:pt>
                <c:pt idx="1" formatCode="0.0">
                  <c:v>0.2</c:v>
                </c:pt>
                <c:pt idx="2" formatCode="0.0">
                  <c:v>0.3</c:v>
                </c:pt>
                <c:pt idx="3" formatCode="0.0">
                  <c:v>0.4</c:v>
                </c:pt>
                <c:pt idx="4" formatCode="0.0">
                  <c:v>0.5</c:v>
                </c:pt>
                <c:pt idx="5" formatCode="0.0">
                  <c:v>0.6</c:v>
                </c:pt>
                <c:pt idx="6" formatCode="0.0">
                  <c:v>0.7</c:v>
                </c:pt>
                <c:pt idx="7" formatCode="0.0">
                  <c:v>0.8</c:v>
                </c:pt>
                <c:pt idx="8" formatCode="0.0">
                  <c:v>0.9</c:v>
                </c:pt>
                <c:pt idx="9" formatCode="0.0">
                  <c:v>1</c:v>
                </c:pt>
                <c:pt idx="10" formatCode="0.0">
                  <c:v>2</c:v>
                </c:pt>
                <c:pt idx="11" formatCode="0.0">
                  <c:v>3</c:v>
                </c:pt>
                <c:pt idx="12" formatCode="0.0">
                  <c:v>4</c:v>
                </c:pt>
                <c:pt idx="13" formatCode="0.0">
                  <c:v>5</c:v>
                </c:pt>
                <c:pt idx="14" formatCode="0.0">
                  <c:v>6</c:v>
                </c:pt>
                <c:pt idx="15" formatCode="0.0">
                  <c:v>7</c:v>
                </c:pt>
                <c:pt idx="16" formatCode="0.0">
                  <c:v>8</c:v>
                </c:pt>
                <c:pt idx="17" formatCode="0.0">
                  <c:v>9</c:v>
                </c:pt>
                <c:pt idx="18" formatCode="0.0">
                  <c:v>10</c:v>
                </c:pt>
                <c:pt idx="19" formatCode="0.0">
                  <c:v>11</c:v>
                </c:pt>
                <c:pt idx="20" formatCode="0.0">
                  <c:v>12</c:v>
                </c:pt>
                <c:pt idx="21" formatCode="0.0">
                  <c:v>13</c:v>
                </c:pt>
                <c:pt idx="22" formatCode="0.0">
                  <c:v>14</c:v>
                </c:pt>
                <c:pt idx="23" formatCode="0.0">
                  <c:v>15</c:v>
                </c:pt>
                <c:pt idx="24" formatCode="0.0">
                  <c:v>16</c:v>
                </c:pt>
                <c:pt idx="25" formatCode="0.0">
                  <c:v>17</c:v>
                </c:pt>
                <c:pt idx="26" formatCode="0.0">
                  <c:v>18</c:v>
                </c:pt>
              </c:numCache>
            </c:numRef>
          </c:cat>
          <c:val>
            <c:numRef>
              <c:extLst>
                <c:ext xmlns:c15="http://schemas.microsoft.com/office/drawing/2012/chart" uri="{02D57815-91ED-43cb-92C2-25804820EDAC}">
                  <c15:fullRef>
                    <c15:sqref>Hists!$F$1955:$F$1990</c15:sqref>
                  </c15:fullRef>
                </c:ext>
              </c:extLst>
              <c:f>Hists!$F$1964:$F$1990</c:f>
              <c:numCache>
                <c:formatCode>0.00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xmlns:c16r2="http://schemas.microsoft.com/office/drawing/2015/06/chart">
            <c:ext xmlns:c16="http://schemas.microsoft.com/office/drawing/2014/chart" uri="{C3380CC4-5D6E-409C-BE32-E72D297353CC}">
              <c16:uniqueId val="{00000000-6D63-4EBD-9B1E-FB10E978876D}"/>
            </c:ext>
          </c:extLst>
        </c:ser>
        <c:ser>
          <c:idx val="2"/>
          <c:order val="2"/>
          <c:tx>
            <c:strRef>
              <c:f>Hists!$G$1953</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extLst>
                <c:ext xmlns:c15="http://schemas.microsoft.com/office/drawing/2012/chart" uri="{02D57815-91ED-43cb-92C2-25804820EDAC}">
                  <c15:fullRef>
                    <c15:sqref>Hists!$B$1955:$B$1990</c15:sqref>
                  </c15:fullRef>
                </c:ext>
              </c:extLst>
              <c:f>Hists!$B$1964:$B$1990</c:f>
              <c:numCache>
                <c:formatCode>0.00</c:formatCode>
                <c:ptCount val="27"/>
                <c:pt idx="0" formatCode="0.0">
                  <c:v>0.1</c:v>
                </c:pt>
                <c:pt idx="1" formatCode="0.0">
                  <c:v>0.2</c:v>
                </c:pt>
                <c:pt idx="2" formatCode="0.0">
                  <c:v>0.3</c:v>
                </c:pt>
                <c:pt idx="3" formatCode="0.0">
                  <c:v>0.4</c:v>
                </c:pt>
                <c:pt idx="4" formatCode="0.0">
                  <c:v>0.5</c:v>
                </c:pt>
                <c:pt idx="5" formatCode="0.0">
                  <c:v>0.6</c:v>
                </c:pt>
                <c:pt idx="6" formatCode="0.0">
                  <c:v>0.7</c:v>
                </c:pt>
                <c:pt idx="7" formatCode="0.0">
                  <c:v>0.8</c:v>
                </c:pt>
                <c:pt idx="8" formatCode="0.0">
                  <c:v>0.9</c:v>
                </c:pt>
                <c:pt idx="9" formatCode="0.0">
                  <c:v>1</c:v>
                </c:pt>
                <c:pt idx="10" formatCode="0.0">
                  <c:v>2</c:v>
                </c:pt>
                <c:pt idx="11" formatCode="0.0">
                  <c:v>3</c:v>
                </c:pt>
                <c:pt idx="12" formatCode="0.0">
                  <c:v>4</c:v>
                </c:pt>
                <c:pt idx="13" formatCode="0.0">
                  <c:v>5</c:v>
                </c:pt>
                <c:pt idx="14" formatCode="0.0">
                  <c:v>6</c:v>
                </c:pt>
                <c:pt idx="15" formatCode="0.0">
                  <c:v>7</c:v>
                </c:pt>
                <c:pt idx="16" formatCode="0.0">
                  <c:v>8</c:v>
                </c:pt>
                <c:pt idx="17" formatCode="0.0">
                  <c:v>9</c:v>
                </c:pt>
                <c:pt idx="18" formatCode="0.0">
                  <c:v>10</c:v>
                </c:pt>
                <c:pt idx="19" formatCode="0.0">
                  <c:v>11</c:v>
                </c:pt>
                <c:pt idx="20" formatCode="0.0">
                  <c:v>12</c:v>
                </c:pt>
                <c:pt idx="21" formatCode="0.0">
                  <c:v>13</c:v>
                </c:pt>
                <c:pt idx="22" formatCode="0.0">
                  <c:v>14</c:v>
                </c:pt>
                <c:pt idx="23" formatCode="0.0">
                  <c:v>15</c:v>
                </c:pt>
                <c:pt idx="24" formatCode="0.0">
                  <c:v>16</c:v>
                </c:pt>
                <c:pt idx="25" formatCode="0.0">
                  <c:v>17</c:v>
                </c:pt>
                <c:pt idx="26" formatCode="0.0">
                  <c:v>18</c:v>
                </c:pt>
              </c:numCache>
            </c:numRef>
          </c:cat>
          <c:val>
            <c:numRef>
              <c:extLst>
                <c:ext xmlns:c15="http://schemas.microsoft.com/office/drawing/2012/chart" uri="{02D57815-91ED-43cb-92C2-25804820EDAC}">
                  <c15:fullRef>
                    <c15:sqref>Hists!$H$1955:$H$1990</c15:sqref>
                  </c15:fullRef>
                </c:ext>
              </c:extLst>
              <c:f>Hists!$H$1964:$H$1990</c:f>
              <c:numCache>
                <c:formatCode>0.00</c:formatCode>
                <c:ptCount val="27"/>
                <c:pt idx="0">
                  <c:v>8.333333333263889</c:v>
                </c:pt>
                <c:pt idx="1">
                  <c:v>0</c:v>
                </c:pt>
                <c:pt idx="2">
                  <c:v>0</c:v>
                </c:pt>
                <c:pt idx="3">
                  <c:v>0</c:v>
                </c:pt>
                <c:pt idx="4">
                  <c:v>0</c:v>
                </c:pt>
                <c:pt idx="5">
                  <c:v>0</c:v>
                </c:pt>
                <c:pt idx="6">
                  <c:v>0</c:v>
                </c:pt>
                <c:pt idx="7">
                  <c:v>0</c:v>
                </c:pt>
                <c:pt idx="8">
                  <c:v>0</c:v>
                </c:pt>
                <c:pt idx="9">
                  <c:v>0</c:v>
                </c:pt>
                <c:pt idx="10">
                  <c:v>33.333333333055556</c:v>
                </c:pt>
                <c:pt idx="11">
                  <c:v>0</c:v>
                </c:pt>
                <c:pt idx="12">
                  <c:v>24.999999999791665</c:v>
                </c:pt>
                <c:pt idx="13">
                  <c:v>0</c:v>
                </c:pt>
                <c:pt idx="14">
                  <c:v>0</c:v>
                </c:pt>
                <c:pt idx="15">
                  <c:v>8.333333333263889</c:v>
                </c:pt>
                <c:pt idx="16">
                  <c:v>0</c:v>
                </c:pt>
                <c:pt idx="17">
                  <c:v>0</c:v>
                </c:pt>
                <c:pt idx="18">
                  <c:v>0</c:v>
                </c:pt>
                <c:pt idx="19">
                  <c:v>0</c:v>
                </c:pt>
                <c:pt idx="20">
                  <c:v>0</c:v>
                </c:pt>
                <c:pt idx="21">
                  <c:v>0</c:v>
                </c:pt>
                <c:pt idx="22">
                  <c:v>24.999999999791665</c:v>
                </c:pt>
                <c:pt idx="23">
                  <c:v>0</c:v>
                </c:pt>
                <c:pt idx="24">
                  <c:v>0</c:v>
                </c:pt>
                <c:pt idx="25">
                  <c:v>0</c:v>
                </c:pt>
                <c:pt idx="26">
                  <c:v>0</c:v>
                </c:pt>
              </c:numCache>
            </c:numRef>
          </c:val>
          <c:extLst xmlns:c16r2="http://schemas.microsoft.com/office/drawing/2015/06/chart">
            <c:ext xmlns:c16="http://schemas.microsoft.com/office/drawing/2014/chart" uri="{C3380CC4-5D6E-409C-BE32-E72D297353CC}">
              <c16:uniqueId val="{00000001-6D63-4EBD-9B1E-FB10E978876D}"/>
            </c:ext>
          </c:extLst>
        </c:ser>
        <c:ser>
          <c:idx val="3"/>
          <c:order val="3"/>
          <c:tx>
            <c:strRef>
              <c:f>Hists!$I$1953</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extLst>
                <c:ext xmlns:c15="http://schemas.microsoft.com/office/drawing/2012/chart" uri="{02D57815-91ED-43cb-92C2-25804820EDAC}">
                  <c15:fullRef>
                    <c15:sqref>Hists!$B$1955:$B$1990</c15:sqref>
                  </c15:fullRef>
                </c:ext>
              </c:extLst>
              <c:f>Hists!$B$1964:$B$1990</c:f>
              <c:numCache>
                <c:formatCode>0.00</c:formatCode>
                <c:ptCount val="27"/>
                <c:pt idx="0" formatCode="0.0">
                  <c:v>0.1</c:v>
                </c:pt>
                <c:pt idx="1" formatCode="0.0">
                  <c:v>0.2</c:v>
                </c:pt>
                <c:pt idx="2" formatCode="0.0">
                  <c:v>0.3</c:v>
                </c:pt>
                <c:pt idx="3" formatCode="0.0">
                  <c:v>0.4</c:v>
                </c:pt>
                <c:pt idx="4" formatCode="0.0">
                  <c:v>0.5</c:v>
                </c:pt>
                <c:pt idx="5" formatCode="0.0">
                  <c:v>0.6</c:v>
                </c:pt>
                <c:pt idx="6" formatCode="0.0">
                  <c:v>0.7</c:v>
                </c:pt>
                <c:pt idx="7" formatCode="0.0">
                  <c:v>0.8</c:v>
                </c:pt>
                <c:pt idx="8" formatCode="0.0">
                  <c:v>0.9</c:v>
                </c:pt>
                <c:pt idx="9" formatCode="0.0">
                  <c:v>1</c:v>
                </c:pt>
                <c:pt idx="10" formatCode="0.0">
                  <c:v>2</c:v>
                </c:pt>
                <c:pt idx="11" formatCode="0.0">
                  <c:v>3</c:v>
                </c:pt>
                <c:pt idx="12" formatCode="0.0">
                  <c:v>4</c:v>
                </c:pt>
                <c:pt idx="13" formatCode="0.0">
                  <c:v>5</c:v>
                </c:pt>
                <c:pt idx="14" formatCode="0.0">
                  <c:v>6</c:v>
                </c:pt>
                <c:pt idx="15" formatCode="0.0">
                  <c:v>7</c:v>
                </c:pt>
                <c:pt idx="16" formatCode="0.0">
                  <c:v>8</c:v>
                </c:pt>
                <c:pt idx="17" formatCode="0.0">
                  <c:v>9</c:v>
                </c:pt>
                <c:pt idx="18" formatCode="0.0">
                  <c:v>10</c:v>
                </c:pt>
                <c:pt idx="19" formatCode="0.0">
                  <c:v>11</c:v>
                </c:pt>
                <c:pt idx="20" formatCode="0.0">
                  <c:v>12</c:v>
                </c:pt>
                <c:pt idx="21" formatCode="0.0">
                  <c:v>13</c:v>
                </c:pt>
                <c:pt idx="22" formatCode="0.0">
                  <c:v>14</c:v>
                </c:pt>
                <c:pt idx="23" formatCode="0.0">
                  <c:v>15</c:v>
                </c:pt>
                <c:pt idx="24" formatCode="0.0">
                  <c:v>16</c:v>
                </c:pt>
                <c:pt idx="25" formatCode="0.0">
                  <c:v>17</c:v>
                </c:pt>
                <c:pt idx="26" formatCode="0.0">
                  <c:v>18</c:v>
                </c:pt>
              </c:numCache>
            </c:numRef>
          </c:cat>
          <c:val>
            <c:numRef>
              <c:extLst>
                <c:ext xmlns:c15="http://schemas.microsoft.com/office/drawing/2012/chart" uri="{02D57815-91ED-43cb-92C2-25804820EDAC}">
                  <c15:fullRef>
                    <c15:sqref>Hists!$J$1955:$J$1990</c15:sqref>
                  </c15:fullRef>
                </c:ext>
              </c:extLst>
              <c:f>Hists!$J$1964:$J$1990</c:f>
              <c:numCache>
                <c:formatCode>0.00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xmlns:c16r2="http://schemas.microsoft.com/office/drawing/2015/06/chart">
            <c:ext xmlns:c16="http://schemas.microsoft.com/office/drawing/2014/chart" uri="{C3380CC4-5D6E-409C-BE32-E72D297353CC}">
              <c16:uniqueId val="{00000002-6D63-4EBD-9B1E-FB10E978876D}"/>
            </c:ext>
          </c:extLst>
        </c:ser>
        <c:dLbls>
          <c:showLegendKey val="0"/>
          <c:showVal val="0"/>
          <c:showCatName val="0"/>
          <c:showSerName val="0"/>
          <c:showPercent val="0"/>
          <c:showBubbleSize val="0"/>
        </c:dLbls>
        <c:gapWidth val="0"/>
        <c:axId val="229991488"/>
        <c:axId val="22999188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Hists!$C$1953</c15:sqref>
                        </c15:formulaRef>
                      </c:ext>
                    </c:extLst>
                    <c:strCache>
                      <c:ptCount val="1"/>
                      <c:pt idx="0">
                        <c:v>Wearable</c:v>
                      </c:pt>
                    </c:strCache>
                  </c:strRef>
                </c:tx>
                <c:invertIfNegative val="0"/>
                <c:cat>
                  <c:numRef>
                    <c:extLst>
                      <c:ext uri="{02D57815-91ED-43cb-92C2-25804820EDAC}">
                        <c15:fullRef>
                          <c15:sqref>Hists!$B$1955:$B$1990</c15:sqref>
                        </c15:fullRef>
                        <c15:formulaRef>
                          <c15:sqref>Hists!$B$1964:$B$1990</c15:sqref>
                        </c15:formulaRef>
                      </c:ext>
                    </c:extLst>
                    <c:numCache>
                      <c:formatCode>0.00</c:formatCode>
                      <c:ptCount val="27"/>
                      <c:pt idx="0" formatCode="0.0">
                        <c:v>0.1</c:v>
                      </c:pt>
                      <c:pt idx="1" formatCode="0.0">
                        <c:v>0.2</c:v>
                      </c:pt>
                      <c:pt idx="2" formatCode="0.0">
                        <c:v>0.3</c:v>
                      </c:pt>
                      <c:pt idx="3" formatCode="0.0">
                        <c:v>0.4</c:v>
                      </c:pt>
                      <c:pt idx="4" formatCode="0.0">
                        <c:v>0.5</c:v>
                      </c:pt>
                      <c:pt idx="5" formatCode="0.0">
                        <c:v>0.6</c:v>
                      </c:pt>
                      <c:pt idx="6" formatCode="0.0">
                        <c:v>0.7</c:v>
                      </c:pt>
                      <c:pt idx="7" formatCode="0.0">
                        <c:v>0.8</c:v>
                      </c:pt>
                      <c:pt idx="8" formatCode="0.0">
                        <c:v>0.9</c:v>
                      </c:pt>
                      <c:pt idx="9" formatCode="0.0">
                        <c:v>1</c:v>
                      </c:pt>
                      <c:pt idx="10" formatCode="0.0">
                        <c:v>2</c:v>
                      </c:pt>
                      <c:pt idx="11" formatCode="0.0">
                        <c:v>3</c:v>
                      </c:pt>
                      <c:pt idx="12" formatCode="0.0">
                        <c:v>4</c:v>
                      </c:pt>
                      <c:pt idx="13" formatCode="0.0">
                        <c:v>5</c:v>
                      </c:pt>
                      <c:pt idx="14" formatCode="0.0">
                        <c:v>6</c:v>
                      </c:pt>
                      <c:pt idx="15" formatCode="0.0">
                        <c:v>7</c:v>
                      </c:pt>
                      <c:pt idx="16" formatCode="0.0">
                        <c:v>8</c:v>
                      </c:pt>
                      <c:pt idx="17" formatCode="0.0">
                        <c:v>9</c:v>
                      </c:pt>
                      <c:pt idx="18" formatCode="0.0">
                        <c:v>10</c:v>
                      </c:pt>
                      <c:pt idx="19" formatCode="0.0">
                        <c:v>11</c:v>
                      </c:pt>
                      <c:pt idx="20" formatCode="0.0">
                        <c:v>12</c:v>
                      </c:pt>
                      <c:pt idx="21" formatCode="0.0">
                        <c:v>13</c:v>
                      </c:pt>
                      <c:pt idx="22" formatCode="0.0">
                        <c:v>14</c:v>
                      </c:pt>
                      <c:pt idx="23" formatCode="0.0">
                        <c:v>15</c:v>
                      </c:pt>
                      <c:pt idx="24" formatCode="0.0">
                        <c:v>16</c:v>
                      </c:pt>
                      <c:pt idx="25" formatCode="0.0">
                        <c:v>17</c:v>
                      </c:pt>
                      <c:pt idx="26" formatCode="0.0">
                        <c:v>18</c:v>
                      </c:pt>
                    </c:numCache>
                  </c:numRef>
                </c:cat>
                <c:val>
                  <c:numRef>
                    <c:extLst>
                      <c:ext uri="{02D57815-91ED-43cb-92C2-25804820EDAC}">
                        <c15:fullRef>
                          <c15:sqref>Hists!$D$1955:$D$1990</c15:sqref>
                        </c15:fullRef>
                        <c15:formulaRef>
                          <c15:sqref>Hists!$D$1964:$D$1990</c15:sqref>
                        </c15:formulaRef>
                      </c:ext>
                    </c:extLst>
                    <c:numCache>
                      <c:formatCode>0.00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xmlns:c16r2="http://schemas.microsoft.com/office/drawing/2015/06/chart">
                  <c:ext xmlns:c16="http://schemas.microsoft.com/office/drawing/2014/chart" uri="{C3380CC4-5D6E-409C-BE32-E72D297353CC}">
                    <c16:uniqueId val="{00000003-6D63-4EBD-9B1E-FB10E978876D}"/>
                  </c:ext>
                </c:extLst>
              </c15:ser>
            </c15:filteredBarSeries>
          </c:ext>
        </c:extLst>
      </c:barChart>
      <c:catAx>
        <c:axId val="229991488"/>
        <c:scaling>
          <c:orientation val="minMax"/>
        </c:scaling>
        <c:delete val="0"/>
        <c:axPos val="b"/>
        <c:title>
          <c:tx>
            <c:rich>
              <a:bodyPr/>
              <a:lstStyle/>
              <a:p>
                <a:pPr>
                  <a:defRPr/>
                </a:pPr>
                <a:r>
                  <a:rPr lang="en-US" sz="1400">
                    <a:latin typeface="+mn-lt"/>
                  </a:rPr>
                  <a:t>idle-to-active</a:t>
                </a:r>
                <a:r>
                  <a:rPr lang="en-US" sz="1400" baseline="0">
                    <a:latin typeface="+mn-lt"/>
                  </a:rPr>
                  <a:t> t</a:t>
                </a:r>
                <a:r>
                  <a:rPr lang="en-US" sz="1400">
                    <a:latin typeface="+mn-lt"/>
                  </a:rPr>
                  <a:t>ime (µs)</a:t>
                </a:r>
              </a:p>
            </c:rich>
          </c:tx>
          <c:layout>
            <c:manualLayout>
              <c:xMode val="edge"/>
              <c:yMode val="edge"/>
              <c:x val="0.4078284799214017"/>
              <c:y val="0.92937754817893592"/>
            </c:manualLayout>
          </c:layout>
          <c:overlay val="0"/>
        </c:title>
        <c:numFmt formatCode="General" sourceLinked="0"/>
        <c:majorTickMark val="out"/>
        <c:minorTickMark val="none"/>
        <c:tickLblPos val="nextTo"/>
        <c:spPr>
          <a:ln/>
        </c:spPr>
        <c:txPr>
          <a:bodyPr rot="0" vert="horz"/>
          <a:lstStyle/>
          <a:p>
            <a:pPr>
              <a:defRPr sz="1400">
                <a:latin typeface="+mn-lt"/>
              </a:defRPr>
            </a:pPr>
            <a:endParaRPr lang="en-US"/>
          </a:p>
        </c:txPr>
        <c:crossAx val="229991880"/>
        <c:crosses val="autoZero"/>
        <c:auto val="1"/>
        <c:lblAlgn val="ctr"/>
        <c:lblOffset val="100"/>
        <c:tickLblSkip val="2"/>
        <c:noMultiLvlLbl val="0"/>
      </c:catAx>
      <c:valAx>
        <c:axId val="229991880"/>
        <c:scaling>
          <c:orientation val="minMax"/>
          <c:max val="35"/>
        </c:scaling>
        <c:delete val="0"/>
        <c:axPos val="l"/>
        <c:numFmt formatCode="0" sourceLinked="0"/>
        <c:majorTickMark val="out"/>
        <c:minorTickMark val="none"/>
        <c:tickLblPos val="nextTo"/>
        <c:txPr>
          <a:bodyPr/>
          <a:lstStyle/>
          <a:p>
            <a:pPr>
              <a:defRPr sz="1400">
                <a:latin typeface="+mn-lt"/>
              </a:defRPr>
            </a:pPr>
            <a:endParaRPr lang="en-US"/>
          </a:p>
        </c:txPr>
        <c:crossAx val="229991488"/>
        <c:crosses val="autoZero"/>
        <c:crossBetween val="between"/>
      </c:valAx>
      <c:spPr>
        <a:noFill/>
        <a:ln>
          <a:solidFill>
            <a:schemeClr val="bg1">
              <a:lumMod val="50000"/>
            </a:schemeClr>
          </a:solidFill>
        </a:ln>
      </c:spPr>
    </c:plotArea>
    <c:legend>
      <c:legendPos val="r"/>
      <c:legendEntry>
        <c:idx val="0"/>
        <c:delete val="1"/>
      </c:legendEntry>
      <c:legendEntry>
        <c:idx val="2"/>
        <c:delete val="1"/>
      </c:legendEntry>
      <c:layout>
        <c:manualLayout>
          <c:xMode val="edge"/>
          <c:yMode val="edge"/>
          <c:x val="0.10392732890248416"/>
          <c:y val="3.0575161745411989E-2"/>
          <c:w val="0.33376526841218207"/>
          <c:h val="0.11804939099177617"/>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Hists!$E$2003</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Hists!$B$2005:$B$2040</c:f>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110</c:v>
                </c:pt>
                <c:pt idx="29">
                  <c:v>120</c:v>
                </c:pt>
                <c:pt idx="30">
                  <c:v>130</c:v>
                </c:pt>
                <c:pt idx="31">
                  <c:v>140</c:v>
                </c:pt>
                <c:pt idx="32">
                  <c:v>150</c:v>
                </c:pt>
                <c:pt idx="33">
                  <c:v>160</c:v>
                </c:pt>
                <c:pt idx="34">
                  <c:v>170</c:v>
                </c:pt>
                <c:pt idx="35">
                  <c:v>180</c:v>
                </c:pt>
              </c:numCache>
            </c:numRef>
          </c:cat>
          <c:val>
            <c:numRef>
              <c:f>Hists!$F$2005:$F$2040</c:f>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0-A556-4B0A-863D-E809826D0187}"/>
            </c:ext>
          </c:extLst>
        </c:ser>
        <c:ser>
          <c:idx val="2"/>
          <c:order val="2"/>
          <c:tx>
            <c:strRef>
              <c:f>Hists!$G$2003</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Hists!$B$2005:$B$2040</c:f>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110</c:v>
                </c:pt>
                <c:pt idx="29">
                  <c:v>120</c:v>
                </c:pt>
                <c:pt idx="30">
                  <c:v>130</c:v>
                </c:pt>
                <c:pt idx="31">
                  <c:v>140</c:v>
                </c:pt>
                <c:pt idx="32">
                  <c:v>150</c:v>
                </c:pt>
                <c:pt idx="33">
                  <c:v>160</c:v>
                </c:pt>
                <c:pt idx="34">
                  <c:v>170</c:v>
                </c:pt>
                <c:pt idx="35">
                  <c:v>180</c:v>
                </c:pt>
              </c:numCache>
            </c:numRef>
          </c:cat>
          <c:val>
            <c:numRef>
              <c:f>Hists!$H$2005:$H$2040</c:f>
              <c:numCache>
                <c:formatCode>0.00</c:formatCode>
                <c:ptCount val="36"/>
                <c:pt idx="0">
                  <c:v>0</c:v>
                </c:pt>
                <c:pt idx="1">
                  <c:v>0</c:v>
                </c:pt>
                <c:pt idx="2">
                  <c:v>0</c:v>
                </c:pt>
                <c:pt idx="3">
                  <c:v>0</c:v>
                </c:pt>
                <c:pt idx="4">
                  <c:v>0</c:v>
                </c:pt>
                <c:pt idx="5">
                  <c:v>0</c:v>
                </c:pt>
                <c:pt idx="6">
                  <c:v>0</c:v>
                </c:pt>
                <c:pt idx="7">
                  <c:v>0</c:v>
                </c:pt>
                <c:pt idx="8">
                  <c:v>0</c:v>
                </c:pt>
                <c:pt idx="9">
                  <c:v>12.49999999984375</c:v>
                </c:pt>
                <c:pt idx="10">
                  <c:v>0</c:v>
                </c:pt>
                <c:pt idx="11">
                  <c:v>0</c:v>
                </c:pt>
                <c:pt idx="12">
                  <c:v>0</c:v>
                </c:pt>
                <c:pt idx="13">
                  <c:v>0</c:v>
                </c:pt>
                <c:pt idx="14">
                  <c:v>0</c:v>
                </c:pt>
                <c:pt idx="15">
                  <c:v>0</c:v>
                </c:pt>
                <c:pt idx="16">
                  <c:v>0</c:v>
                </c:pt>
                <c:pt idx="17">
                  <c:v>0</c:v>
                </c:pt>
                <c:pt idx="18">
                  <c:v>0</c:v>
                </c:pt>
                <c:pt idx="19">
                  <c:v>0</c:v>
                </c:pt>
                <c:pt idx="20">
                  <c:v>0</c:v>
                </c:pt>
                <c:pt idx="21">
                  <c:v>37.499999999531248</c:v>
                </c:pt>
                <c:pt idx="22">
                  <c:v>0</c:v>
                </c:pt>
                <c:pt idx="23">
                  <c:v>0</c:v>
                </c:pt>
                <c:pt idx="24">
                  <c:v>0</c:v>
                </c:pt>
                <c:pt idx="25">
                  <c:v>0</c:v>
                </c:pt>
                <c:pt idx="26">
                  <c:v>12.49999999984375</c:v>
                </c:pt>
                <c:pt idx="27">
                  <c:v>0</c:v>
                </c:pt>
                <c:pt idx="28">
                  <c:v>0</c:v>
                </c:pt>
                <c:pt idx="29">
                  <c:v>0</c:v>
                </c:pt>
                <c:pt idx="30">
                  <c:v>0</c:v>
                </c:pt>
                <c:pt idx="31">
                  <c:v>0</c:v>
                </c:pt>
                <c:pt idx="32">
                  <c:v>24.999999999791665</c:v>
                </c:pt>
                <c:pt idx="33">
                  <c:v>0</c:v>
                </c:pt>
                <c:pt idx="34">
                  <c:v>0</c:v>
                </c:pt>
                <c:pt idx="35">
                  <c:v>0</c:v>
                </c:pt>
              </c:numCache>
            </c:numRef>
          </c:val>
          <c:extLst xmlns:c16r2="http://schemas.microsoft.com/office/drawing/2015/06/chart">
            <c:ext xmlns:c16="http://schemas.microsoft.com/office/drawing/2014/chart" uri="{C3380CC4-5D6E-409C-BE32-E72D297353CC}">
              <c16:uniqueId val="{00000001-A556-4B0A-863D-E809826D0187}"/>
            </c:ext>
          </c:extLst>
        </c:ser>
        <c:ser>
          <c:idx val="3"/>
          <c:order val="3"/>
          <c:tx>
            <c:strRef>
              <c:f>Hists!$I$2003</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Hists!$B$2005:$B$2040</c:f>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110</c:v>
                </c:pt>
                <c:pt idx="29">
                  <c:v>120</c:v>
                </c:pt>
                <c:pt idx="30">
                  <c:v>130</c:v>
                </c:pt>
                <c:pt idx="31">
                  <c:v>140</c:v>
                </c:pt>
                <c:pt idx="32">
                  <c:v>150</c:v>
                </c:pt>
                <c:pt idx="33">
                  <c:v>160</c:v>
                </c:pt>
                <c:pt idx="34">
                  <c:v>170</c:v>
                </c:pt>
                <c:pt idx="35">
                  <c:v>180</c:v>
                </c:pt>
              </c:numCache>
            </c:numRef>
          </c:cat>
          <c:val>
            <c:numRef>
              <c:f>Hists!$J$2005:$J$2040</c:f>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2-A556-4B0A-863D-E809826D0187}"/>
            </c:ext>
          </c:extLst>
        </c:ser>
        <c:dLbls>
          <c:showLegendKey val="0"/>
          <c:showVal val="0"/>
          <c:showCatName val="0"/>
          <c:showSerName val="0"/>
          <c:showPercent val="0"/>
          <c:showBubbleSize val="0"/>
        </c:dLbls>
        <c:gapWidth val="0"/>
        <c:axId val="229992664"/>
        <c:axId val="22999305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Hists!$C$2003</c15:sqref>
                        </c15:formulaRef>
                      </c:ext>
                    </c:extLst>
                    <c:strCache>
                      <c:ptCount val="1"/>
                      <c:pt idx="0">
                        <c:v>Wearable</c:v>
                      </c:pt>
                    </c:strCache>
                  </c:strRef>
                </c:tx>
                <c:invertIfNegative val="0"/>
                <c:cat>
                  <c:numRef>
                    <c:extLst xmlns:c16r2="http://schemas.microsoft.com/office/drawing/2015/06/chart">
                      <c:ext uri="{02D57815-91ED-43cb-92C2-25804820EDAC}">
                        <c15:formulaRef>
                          <c15:sqref>Hists!$B$2005:$B$2040</c15:sqref>
                        </c15:formulaRef>
                      </c:ext>
                    </c:extLst>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110</c:v>
                      </c:pt>
                      <c:pt idx="29">
                        <c:v>120</c:v>
                      </c:pt>
                      <c:pt idx="30">
                        <c:v>130</c:v>
                      </c:pt>
                      <c:pt idx="31">
                        <c:v>140</c:v>
                      </c:pt>
                      <c:pt idx="32">
                        <c:v>150</c:v>
                      </c:pt>
                      <c:pt idx="33">
                        <c:v>160</c:v>
                      </c:pt>
                      <c:pt idx="34">
                        <c:v>170</c:v>
                      </c:pt>
                      <c:pt idx="35">
                        <c:v>180</c:v>
                      </c:pt>
                    </c:numCache>
                  </c:numRef>
                </c:cat>
                <c:val>
                  <c:numRef>
                    <c:extLst xmlns:c16r2="http://schemas.microsoft.com/office/drawing/2015/06/chart">
                      <c:ext uri="{02D57815-91ED-43cb-92C2-25804820EDAC}">
                        <c15:formulaRef>
                          <c15:sqref>Hists!$D$2005:$D$2040</c15:sqref>
                        </c15:formulaRef>
                      </c:ext>
                    </c:extLst>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3-A556-4B0A-863D-E809826D0187}"/>
                  </c:ext>
                </c:extLst>
              </c15:ser>
            </c15:filteredBarSeries>
          </c:ext>
        </c:extLst>
      </c:barChart>
      <c:catAx>
        <c:axId val="229992664"/>
        <c:scaling>
          <c:orientation val="minMax"/>
        </c:scaling>
        <c:delete val="0"/>
        <c:axPos val="b"/>
        <c:title>
          <c:tx>
            <c:rich>
              <a:bodyPr/>
              <a:lstStyle/>
              <a:p>
                <a:pPr>
                  <a:defRPr/>
                </a:pPr>
                <a:r>
                  <a:rPr lang="en-US" sz="1400">
                    <a:latin typeface="+mn-lt"/>
                  </a:rPr>
                  <a:t>Time (µs)</a:t>
                </a:r>
              </a:p>
            </c:rich>
          </c:tx>
          <c:layout>
            <c:manualLayout>
              <c:xMode val="edge"/>
              <c:yMode val="edge"/>
              <c:x val="0.36883639874220953"/>
              <c:y val="0.92937759512972984"/>
            </c:manualLayout>
          </c:layout>
          <c:overlay val="0"/>
        </c:title>
        <c:numFmt formatCode="#,##0.0" sourceLinked="0"/>
        <c:majorTickMark val="out"/>
        <c:minorTickMark val="none"/>
        <c:tickLblPos val="nextTo"/>
        <c:spPr>
          <a:ln/>
        </c:spPr>
        <c:txPr>
          <a:bodyPr rot="5400000" vert="horz"/>
          <a:lstStyle/>
          <a:p>
            <a:pPr>
              <a:defRPr sz="1200">
                <a:latin typeface="+mn-lt"/>
              </a:defRPr>
            </a:pPr>
            <a:endParaRPr lang="en-US"/>
          </a:p>
        </c:txPr>
        <c:crossAx val="229993056"/>
        <c:crosses val="autoZero"/>
        <c:auto val="1"/>
        <c:lblAlgn val="ctr"/>
        <c:lblOffset val="100"/>
        <c:tickLblSkip val="2"/>
        <c:noMultiLvlLbl val="0"/>
      </c:catAx>
      <c:valAx>
        <c:axId val="229993056"/>
        <c:scaling>
          <c:orientation val="minMax"/>
          <c:max val="40"/>
        </c:scaling>
        <c:delete val="0"/>
        <c:axPos val="l"/>
        <c:numFmt formatCode="0" sourceLinked="0"/>
        <c:majorTickMark val="out"/>
        <c:minorTickMark val="none"/>
        <c:tickLblPos val="nextTo"/>
        <c:txPr>
          <a:bodyPr/>
          <a:lstStyle/>
          <a:p>
            <a:pPr>
              <a:defRPr sz="1200">
                <a:latin typeface="+mn-lt"/>
              </a:defRPr>
            </a:pPr>
            <a:endParaRPr lang="en-US"/>
          </a:p>
        </c:txPr>
        <c:crossAx val="229992664"/>
        <c:crosses val="autoZero"/>
        <c:crossBetween val="between"/>
      </c:valAx>
      <c:spPr>
        <a:noFill/>
        <a:ln>
          <a:solidFill>
            <a:schemeClr val="bg1">
              <a:lumMod val="50000"/>
            </a:schemeClr>
          </a:solidFill>
        </a:ln>
      </c:spPr>
    </c:plotArea>
    <c:legend>
      <c:legendPos val="r"/>
      <c:legendEntry>
        <c:idx val="0"/>
        <c:delete val="1"/>
      </c:legendEntry>
      <c:legendEntry>
        <c:idx val="2"/>
        <c:delete val="1"/>
      </c:legendEntry>
      <c:layout>
        <c:manualLayout>
          <c:xMode val="edge"/>
          <c:yMode val="edge"/>
          <c:x val="0.12806985929277714"/>
          <c:y val="0.25202103576486606"/>
          <c:w val="0.28407146516201043"/>
          <c:h val="0.11804939099177617"/>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7461612750595"/>
          <c:y val="2.96420587766126E-2"/>
          <c:w val="0.85858309081363471"/>
          <c:h val="0.8230086030011079"/>
        </c:manualLayout>
      </c:layout>
      <c:barChart>
        <c:barDir val="col"/>
        <c:grouping val="clustered"/>
        <c:varyColors val="0"/>
        <c:ser>
          <c:idx val="1"/>
          <c:order val="1"/>
          <c:tx>
            <c:strRef>
              <c:f>Hists!$E$49</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Hists!$B$51:$B$79</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Hists!$F$51:$F$79</c:f>
              <c:numCache>
                <c:formatCode>0.00</c:formatCode>
                <c:ptCount val="29"/>
                <c:pt idx="0">
                  <c:v>0</c:v>
                </c:pt>
                <c:pt idx="1">
                  <c:v>0</c:v>
                </c:pt>
                <c:pt idx="2">
                  <c:v>9.9999999999500009</c:v>
                </c:pt>
                <c:pt idx="3">
                  <c:v>0</c:v>
                </c:pt>
                <c:pt idx="4">
                  <c:v>4.9999999999750004</c:v>
                </c:pt>
                <c:pt idx="5">
                  <c:v>0</c:v>
                </c:pt>
                <c:pt idx="6">
                  <c:v>0</c:v>
                </c:pt>
                <c:pt idx="7">
                  <c:v>0</c:v>
                </c:pt>
                <c:pt idx="8">
                  <c:v>24.999999999875001</c:v>
                </c:pt>
                <c:pt idx="9">
                  <c:v>0</c:v>
                </c:pt>
                <c:pt idx="10">
                  <c:v>4.9999999999750004</c:v>
                </c:pt>
                <c:pt idx="11">
                  <c:v>0</c:v>
                </c:pt>
                <c:pt idx="12">
                  <c:v>4.9999999999750004</c:v>
                </c:pt>
                <c:pt idx="13">
                  <c:v>4.9999999999750004</c:v>
                </c:pt>
                <c:pt idx="14">
                  <c:v>0</c:v>
                </c:pt>
                <c:pt idx="15">
                  <c:v>4.9999999999750004</c:v>
                </c:pt>
                <c:pt idx="16">
                  <c:v>0</c:v>
                </c:pt>
                <c:pt idx="17">
                  <c:v>4.9999999999750004</c:v>
                </c:pt>
                <c:pt idx="18">
                  <c:v>0</c:v>
                </c:pt>
                <c:pt idx="19">
                  <c:v>4.9999999999750004</c:v>
                </c:pt>
                <c:pt idx="20">
                  <c:v>14.999999999925002</c:v>
                </c:pt>
                <c:pt idx="21">
                  <c:v>0</c:v>
                </c:pt>
                <c:pt idx="22">
                  <c:v>0</c:v>
                </c:pt>
                <c:pt idx="23">
                  <c:v>4.9999999999750004</c:v>
                </c:pt>
                <c:pt idx="24">
                  <c:v>0</c:v>
                </c:pt>
                <c:pt idx="25">
                  <c:v>0</c:v>
                </c:pt>
                <c:pt idx="26">
                  <c:v>0</c:v>
                </c:pt>
                <c:pt idx="27">
                  <c:v>0</c:v>
                </c:pt>
                <c:pt idx="28">
                  <c:v>9.9999999999500009</c:v>
                </c:pt>
              </c:numCache>
            </c:numRef>
          </c:val>
          <c:extLst xmlns:c16r2="http://schemas.microsoft.com/office/drawing/2015/06/chart">
            <c:ext xmlns:c16="http://schemas.microsoft.com/office/drawing/2014/chart" uri="{C3380CC4-5D6E-409C-BE32-E72D297353CC}">
              <c16:uniqueId val="{00000000-9A41-46F9-B99A-BF67D2400F35}"/>
            </c:ext>
          </c:extLst>
        </c:ser>
        <c:ser>
          <c:idx val="2"/>
          <c:order val="2"/>
          <c:tx>
            <c:strRef>
              <c:f>Hists!$G$49</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Hists!$B$51:$B$79</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Hists!$H$51:$H$79</c:f>
              <c:numCache>
                <c:formatCode>0.00</c:formatCode>
                <c:ptCount val="29"/>
                <c:pt idx="0">
                  <c:v>0</c:v>
                </c:pt>
                <c:pt idx="1">
                  <c:v>0</c:v>
                </c:pt>
                <c:pt idx="2">
                  <c:v>6.2499999999609379</c:v>
                </c:pt>
                <c:pt idx="3">
                  <c:v>0</c:v>
                </c:pt>
                <c:pt idx="4">
                  <c:v>31.24999999980469</c:v>
                </c:pt>
                <c:pt idx="5">
                  <c:v>0</c:v>
                </c:pt>
                <c:pt idx="6">
                  <c:v>0</c:v>
                </c:pt>
                <c:pt idx="7">
                  <c:v>0</c:v>
                </c:pt>
                <c:pt idx="8">
                  <c:v>6.2499999999609379</c:v>
                </c:pt>
                <c:pt idx="9">
                  <c:v>0</c:v>
                </c:pt>
                <c:pt idx="10">
                  <c:v>0</c:v>
                </c:pt>
                <c:pt idx="11">
                  <c:v>12.499999999921876</c:v>
                </c:pt>
                <c:pt idx="12">
                  <c:v>31.24999999980469</c:v>
                </c:pt>
                <c:pt idx="13">
                  <c:v>0</c:v>
                </c:pt>
                <c:pt idx="14">
                  <c:v>0</c:v>
                </c:pt>
                <c:pt idx="15">
                  <c:v>0</c:v>
                </c:pt>
                <c:pt idx="16">
                  <c:v>0</c:v>
                </c:pt>
                <c:pt idx="17">
                  <c:v>0</c:v>
                </c:pt>
                <c:pt idx="18">
                  <c:v>0</c:v>
                </c:pt>
                <c:pt idx="19">
                  <c:v>0</c:v>
                </c:pt>
                <c:pt idx="20">
                  <c:v>0</c:v>
                </c:pt>
                <c:pt idx="21">
                  <c:v>0</c:v>
                </c:pt>
                <c:pt idx="22">
                  <c:v>0</c:v>
                </c:pt>
                <c:pt idx="23">
                  <c:v>12.499999999921876</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9A41-46F9-B99A-BF67D2400F35}"/>
            </c:ext>
          </c:extLst>
        </c:ser>
        <c:ser>
          <c:idx val="3"/>
          <c:order val="3"/>
          <c:tx>
            <c:strRef>
              <c:f>Hists!$I$49</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Hists!$B$51:$B$79</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Hists!$J$51:$J$79</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49.999999997499998</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9A41-46F9-B99A-BF67D2400F35}"/>
            </c:ext>
          </c:extLst>
        </c:ser>
        <c:dLbls>
          <c:showLegendKey val="0"/>
          <c:showVal val="0"/>
          <c:showCatName val="0"/>
          <c:showSerName val="0"/>
          <c:showPercent val="0"/>
          <c:showBubbleSize val="0"/>
        </c:dLbls>
        <c:gapWidth val="0"/>
        <c:axId val="229993840"/>
        <c:axId val="22999423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Hists!$C$49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Hists!$B$51:$B$79</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Hists!$D$51:$D$79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9A41-46F9-B99A-BF67D2400F35}"/>
                  </c:ext>
                </c:extLst>
              </c15:ser>
            </c15:filteredBarSeries>
          </c:ext>
        </c:extLst>
      </c:barChart>
      <c:catAx>
        <c:axId val="229993840"/>
        <c:scaling>
          <c:orientation val="minMax"/>
        </c:scaling>
        <c:delete val="0"/>
        <c:axPos val="b"/>
        <c:title>
          <c:tx>
            <c:rich>
              <a:bodyPr/>
              <a:lstStyle/>
              <a:p>
                <a:pPr>
                  <a:defRPr/>
                </a:pPr>
                <a:r>
                  <a:rPr lang="en-US" sz="1400">
                    <a:latin typeface="+mn-lt"/>
                  </a:rPr>
                  <a:t>RAM memory</a:t>
                </a:r>
                <a:r>
                  <a:rPr lang="en-US" sz="1400" baseline="0">
                    <a:latin typeface="+mn-lt"/>
                  </a:rPr>
                  <a:t> capacity</a:t>
                </a:r>
                <a:r>
                  <a:rPr lang="en-US" sz="1400">
                    <a:latin typeface="+mn-lt"/>
                  </a:rPr>
                  <a:t> (kB)</a:t>
                </a:r>
              </a:p>
            </c:rich>
          </c:tx>
          <c:layout>
            <c:manualLayout>
              <c:xMode val="edge"/>
              <c:yMode val="edge"/>
              <c:x val="0.38930407109013954"/>
              <c:y val="0.92937759898258643"/>
            </c:manualLayout>
          </c:layout>
          <c:overlay val="0"/>
        </c:title>
        <c:numFmt formatCode="#,##0" sourceLinked="0"/>
        <c:majorTickMark val="out"/>
        <c:minorTickMark val="none"/>
        <c:tickLblPos val="nextTo"/>
        <c:spPr>
          <a:ln/>
        </c:spPr>
        <c:txPr>
          <a:bodyPr rot="0" vert="horz"/>
          <a:lstStyle/>
          <a:p>
            <a:pPr>
              <a:defRPr sz="1400">
                <a:latin typeface="+mn-lt"/>
              </a:defRPr>
            </a:pPr>
            <a:endParaRPr lang="en-US"/>
          </a:p>
        </c:txPr>
        <c:crossAx val="229994232"/>
        <c:crosses val="autoZero"/>
        <c:auto val="1"/>
        <c:lblAlgn val="ctr"/>
        <c:lblOffset val="100"/>
        <c:tickLblSkip val="2"/>
        <c:noMultiLvlLbl val="0"/>
      </c:catAx>
      <c:valAx>
        <c:axId val="229994232"/>
        <c:scaling>
          <c:orientation val="minMax"/>
          <c:max val="55"/>
          <c:min val="0"/>
        </c:scaling>
        <c:delete val="0"/>
        <c:axPos val="l"/>
        <c:numFmt formatCode="0" sourceLinked="0"/>
        <c:majorTickMark val="out"/>
        <c:minorTickMark val="none"/>
        <c:tickLblPos val="nextTo"/>
        <c:txPr>
          <a:bodyPr/>
          <a:lstStyle/>
          <a:p>
            <a:pPr>
              <a:defRPr sz="1400">
                <a:latin typeface="+mn-lt"/>
              </a:defRPr>
            </a:pPr>
            <a:endParaRPr lang="en-US"/>
          </a:p>
        </c:txPr>
        <c:crossAx val="229993840"/>
        <c:crosses val="autoZero"/>
        <c:crossBetween val="between"/>
      </c:valAx>
      <c:spPr>
        <a:noFill/>
        <a:ln>
          <a:solidFill>
            <a:schemeClr val="bg1">
              <a:lumMod val="50000"/>
            </a:schemeClr>
          </a:solidFill>
        </a:ln>
      </c:spPr>
    </c:plotArea>
    <c:legend>
      <c:legendPos val="r"/>
      <c:layout>
        <c:manualLayout>
          <c:xMode val="edge"/>
          <c:yMode val="edge"/>
          <c:x val="0.10809599891109195"/>
          <c:y val="5.9707766737830258E-2"/>
          <c:w val="0.44163533895503726"/>
          <c:h val="0.23617445059447459"/>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2"/>
          <c:order val="2"/>
          <c:tx>
            <c:strRef>
              <c:f>Hists!$G$1798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Hists!$B$1857:$B$1892</c:f>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f>Hists!$H$1857:$H$1892</c:f>
              <c:numCache>
                <c:formatCode>0.00</c:formatCode>
                <c:ptCount val="36"/>
                <c:pt idx="0">
                  <c:v>0</c:v>
                </c:pt>
                <c:pt idx="1">
                  <c:v>0</c:v>
                </c:pt>
                <c:pt idx="2">
                  <c:v>0</c:v>
                </c:pt>
                <c:pt idx="3">
                  <c:v>0</c:v>
                </c:pt>
                <c:pt idx="4">
                  <c:v>0</c:v>
                </c:pt>
                <c:pt idx="5">
                  <c:v>0</c:v>
                </c:pt>
                <c:pt idx="6">
                  <c:v>0</c:v>
                </c:pt>
                <c:pt idx="7">
                  <c:v>0</c:v>
                </c:pt>
                <c:pt idx="8">
                  <c:v>28.571428571020409</c:v>
                </c:pt>
                <c:pt idx="9">
                  <c:v>28.571428571020409</c:v>
                </c:pt>
                <c:pt idx="10">
                  <c:v>0</c:v>
                </c:pt>
                <c:pt idx="11">
                  <c:v>0</c:v>
                </c:pt>
                <c:pt idx="12">
                  <c:v>0</c:v>
                </c:pt>
                <c:pt idx="13">
                  <c:v>14.285714285510204</c:v>
                </c:pt>
                <c:pt idx="14">
                  <c:v>0</c:v>
                </c:pt>
                <c:pt idx="15">
                  <c:v>0</c:v>
                </c:pt>
                <c:pt idx="16">
                  <c:v>0</c:v>
                </c:pt>
                <c:pt idx="17">
                  <c:v>0</c:v>
                </c:pt>
                <c:pt idx="18">
                  <c:v>14.285714285510204</c:v>
                </c:pt>
                <c:pt idx="19">
                  <c:v>0</c:v>
                </c:pt>
                <c:pt idx="20">
                  <c:v>0</c:v>
                </c:pt>
                <c:pt idx="21">
                  <c:v>0</c:v>
                </c:pt>
                <c:pt idx="22">
                  <c:v>0</c:v>
                </c:pt>
                <c:pt idx="23">
                  <c:v>0</c:v>
                </c:pt>
                <c:pt idx="24">
                  <c:v>0</c:v>
                </c:pt>
                <c:pt idx="25">
                  <c:v>14.285714285510204</c:v>
                </c:pt>
                <c:pt idx="26">
                  <c:v>0</c:v>
                </c:pt>
                <c:pt idx="27">
                  <c:v>0</c:v>
                </c:pt>
                <c:pt idx="28">
                  <c:v>0</c:v>
                </c:pt>
                <c:pt idx="29">
                  <c:v>18.181818181652893</c:v>
                </c:pt>
                <c:pt idx="30">
                  <c:v>0</c:v>
                </c:pt>
                <c:pt idx="31">
                  <c:v>27.27272727247934</c:v>
                </c:pt>
                <c:pt idx="32">
                  <c:v>0</c:v>
                </c:pt>
                <c:pt idx="33">
                  <c:v>9.0909090908264467</c:v>
                </c:pt>
                <c:pt idx="34">
                  <c:v>0</c:v>
                </c:pt>
                <c:pt idx="35">
                  <c:v>0</c:v>
                </c:pt>
              </c:numCache>
            </c:numRef>
          </c:val>
          <c:extLst xmlns:c16r2="http://schemas.microsoft.com/office/drawing/2015/06/chart">
            <c:ext xmlns:c16="http://schemas.microsoft.com/office/drawing/2014/chart" uri="{C3380CC4-5D6E-409C-BE32-E72D297353CC}">
              <c16:uniqueId val="{00000001-C6B0-48B4-909F-59CA0E784F6B}"/>
            </c:ext>
          </c:extLst>
        </c:ser>
        <c:dLbls>
          <c:showLegendKey val="0"/>
          <c:showVal val="0"/>
          <c:showCatName val="0"/>
          <c:showSerName val="0"/>
          <c:showPercent val="0"/>
          <c:showBubbleSize val="0"/>
        </c:dLbls>
        <c:gapWidth val="0"/>
        <c:axId val="229995016"/>
        <c:axId val="22999540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Hists!$C$1798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Hists!$B$1857:$B$1892</c15:sqref>
                        </c15:formulaRef>
                      </c:ext>
                    </c:extLst>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extLst xmlns:c16r2="http://schemas.microsoft.com/office/drawing/2015/06/chart">
                      <c:ext uri="{02D57815-91ED-43cb-92C2-25804820EDAC}">
                        <c15:formulaRef>
                          <c15:sqref>Hists!$D$1800:$D$1835</c15:sqref>
                        </c15:formulaRef>
                      </c:ext>
                    </c:extLst>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3-C6B0-48B4-909F-59CA0E784F6B}"/>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Hists!$E$1798</c15:sqref>
                        </c15:formulaRef>
                      </c:ext>
                    </c:extLst>
                    <c:strCache>
                      <c:ptCount val="1"/>
                      <c:pt idx="0">
                        <c:v>Mote (on PCB)</c:v>
                      </c:pt>
                    </c:strCache>
                  </c:strRef>
                </c:tx>
                <c:spPr>
                  <a:pattFill prst="pct25">
                    <a:fgClr>
                      <a:srgbClr val="C00000"/>
                    </a:fgClr>
                    <a:bgClr>
                      <a:schemeClr val="bg1"/>
                    </a:bgClr>
                  </a:pattFill>
                  <a:ln w="25400">
                    <a:solidFill>
                      <a:srgbClr val="C00000"/>
                    </a:solidFill>
                  </a:ln>
                </c:spPr>
                <c:invertIfNegative val="0"/>
                <c:cat>
                  <c:numRef>
                    <c:extLst xmlns:c16r2="http://schemas.microsoft.com/office/drawing/2015/06/chart" xmlns:c15="http://schemas.microsoft.com/office/drawing/2012/chart">
                      <c:ext xmlns:c15="http://schemas.microsoft.com/office/drawing/2012/chart" uri="{02D57815-91ED-43cb-92C2-25804820EDAC}">
                        <c15:formulaRef>
                          <c15:sqref>Hists!$B$1857:$B$1892</c15:sqref>
                        </c15:formulaRef>
                      </c:ext>
                    </c:extLst>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Hists!$F$1857:$F$1892</c15:sqref>
                        </c15:formulaRef>
                      </c:ext>
                    </c:extLst>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5="http://schemas.microsoft.com/office/drawing/2012/chart" xmlns:c16r2="http://schemas.microsoft.com/office/drawing/2015/06/chart">
                  <c:ext xmlns:c16="http://schemas.microsoft.com/office/drawing/2014/chart" uri="{C3380CC4-5D6E-409C-BE32-E72D297353CC}">
                    <c16:uniqueId val="{00000000-C6B0-48B4-909F-59CA0E784F6B}"/>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Hists!$I$1798</c15:sqref>
                        </c15:formulaRef>
                      </c:ext>
                    </c:extLst>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extLst xmlns:c16r2="http://schemas.microsoft.com/office/drawing/2015/06/chart" xmlns:c15="http://schemas.microsoft.com/office/drawing/2012/chart">
                      <c:ext xmlns:c15="http://schemas.microsoft.com/office/drawing/2012/chart" uri="{02D57815-91ED-43cb-92C2-25804820EDAC}">
                        <c15:formulaRef>
                          <c15:sqref>Hists!$B$1857:$B$1892</c15:sqref>
                        </c15:formulaRef>
                      </c:ext>
                    </c:extLst>
                    <c:numCache>
                      <c:formatCode>0.0</c:formatCode>
                      <c:ptCount val="36"/>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Hists!$J$1857:$J$1892</c15:sqref>
                        </c15:formulaRef>
                      </c:ext>
                    </c:extLst>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5="http://schemas.microsoft.com/office/drawing/2012/chart" xmlns:c16r2="http://schemas.microsoft.com/office/drawing/2015/06/chart">
                  <c:ext xmlns:c16="http://schemas.microsoft.com/office/drawing/2014/chart" uri="{C3380CC4-5D6E-409C-BE32-E72D297353CC}">
                    <c16:uniqueId val="{00000002-C6B0-48B4-909F-59CA0E784F6B}"/>
                  </c:ext>
                </c:extLst>
              </c15:ser>
            </c15:filteredBarSeries>
          </c:ext>
        </c:extLst>
      </c:barChart>
      <c:catAx>
        <c:axId val="229995016"/>
        <c:scaling>
          <c:orientation val="minMax"/>
        </c:scaling>
        <c:delete val="0"/>
        <c:axPos val="b"/>
        <c:title>
          <c:tx>
            <c:rich>
              <a:bodyPr/>
              <a:lstStyle/>
              <a:p>
                <a:pPr>
                  <a:defRPr/>
                </a:pPr>
                <a:r>
                  <a:rPr lang="en-US" sz="1400">
                    <a:latin typeface="+mn-lt"/>
                  </a:rPr>
                  <a:t>current (µA)</a:t>
                </a:r>
              </a:p>
            </c:rich>
          </c:tx>
          <c:layout>
            <c:manualLayout>
              <c:xMode val="edge"/>
              <c:yMode val="edge"/>
              <c:x val="0.42423099353325383"/>
              <c:y val="0.92937754817893592"/>
            </c:manualLayout>
          </c:layout>
          <c:overlay val="0"/>
        </c:title>
        <c:numFmt formatCode="General" sourceLinked="0"/>
        <c:majorTickMark val="out"/>
        <c:minorTickMark val="none"/>
        <c:tickLblPos val="nextTo"/>
        <c:spPr>
          <a:ln/>
        </c:spPr>
        <c:txPr>
          <a:bodyPr rot="0" vert="horz"/>
          <a:lstStyle/>
          <a:p>
            <a:pPr>
              <a:defRPr sz="1400">
                <a:latin typeface="+mn-lt"/>
              </a:defRPr>
            </a:pPr>
            <a:endParaRPr lang="en-US"/>
          </a:p>
        </c:txPr>
        <c:crossAx val="229995408"/>
        <c:crosses val="autoZero"/>
        <c:auto val="1"/>
        <c:lblAlgn val="ctr"/>
        <c:lblOffset val="100"/>
        <c:tickLblSkip val="2"/>
        <c:tickMarkSkip val="2"/>
        <c:noMultiLvlLbl val="0"/>
      </c:catAx>
      <c:valAx>
        <c:axId val="229995408"/>
        <c:scaling>
          <c:orientation val="minMax"/>
          <c:max val="30"/>
        </c:scaling>
        <c:delete val="0"/>
        <c:axPos val="l"/>
        <c:numFmt formatCode="0" sourceLinked="0"/>
        <c:majorTickMark val="out"/>
        <c:minorTickMark val="none"/>
        <c:tickLblPos val="nextTo"/>
        <c:txPr>
          <a:bodyPr/>
          <a:lstStyle/>
          <a:p>
            <a:pPr>
              <a:defRPr sz="1400">
                <a:latin typeface="+mn-lt"/>
              </a:defRPr>
            </a:pPr>
            <a:endParaRPr lang="en-US"/>
          </a:p>
        </c:txPr>
        <c:crossAx val="229995016"/>
        <c:crosses val="autoZero"/>
        <c:crossBetween val="between"/>
      </c:valAx>
      <c:spPr>
        <a:noFill/>
        <a:ln>
          <a:solidFill>
            <a:schemeClr val="bg1">
              <a:lumMod val="50000"/>
            </a:schemeClr>
          </a:solidFill>
        </a:ln>
      </c:spPr>
    </c:plotArea>
    <c:legend>
      <c:legendPos val="r"/>
      <c:layout>
        <c:manualLayout>
          <c:xMode val="edge"/>
          <c:yMode val="edge"/>
          <c:x val="0.35872578054144988"/>
          <c:y val="5.7948542716731999E-2"/>
          <c:w val="0.34096906549259715"/>
          <c:h val="0.10091157725092705"/>
        </c:manualLayout>
      </c:layout>
      <c:overlay val="0"/>
      <c:spPr>
        <a:noFill/>
        <a:ln>
          <a:noFill/>
        </a:ln>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2"/>
          <c:order val="2"/>
          <c:tx>
            <c:strRef>
              <c:f>Hists!$G$1902</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extLst>
                <c:ext xmlns:c15="http://schemas.microsoft.com/office/drawing/2012/chart" uri="{02D57815-91ED-43cb-92C2-25804820EDAC}">
                  <c15:fullRef>
                    <c15:sqref>Hists!$B$1904:$B$1939</c15:sqref>
                  </c15:fullRef>
                </c:ext>
              </c:extLst>
              <c:f>Hists!$B$1904:$B$1918</c:f>
              <c:numCache>
                <c:formatCode>0.0</c:formatCode>
                <c:ptCount val="15"/>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numCache>
            </c:numRef>
          </c:cat>
          <c:val>
            <c:numRef>
              <c:extLst>
                <c:ext xmlns:c15="http://schemas.microsoft.com/office/drawing/2012/chart" uri="{02D57815-91ED-43cb-92C2-25804820EDAC}">
                  <c15:fullRef>
                    <c15:sqref>Hists!$H$1904:$H$1939</c15:sqref>
                  </c15:fullRef>
                </c:ext>
              </c:extLst>
              <c:f>Hists!$H$1904:$H$1918</c:f>
              <c:numCache>
                <c:formatCode>0.00</c:formatCode>
                <c:ptCount val="15"/>
                <c:pt idx="0">
                  <c:v>61.538461537988162</c:v>
                </c:pt>
                <c:pt idx="1">
                  <c:v>0</c:v>
                </c:pt>
                <c:pt idx="2">
                  <c:v>0</c:v>
                </c:pt>
                <c:pt idx="3">
                  <c:v>0</c:v>
                </c:pt>
                <c:pt idx="4">
                  <c:v>15.384615384497041</c:v>
                </c:pt>
                <c:pt idx="5">
                  <c:v>0</c:v>
                </c:pt>
                <c:pt idx="6">
                  <c:v>0</c:v>
                </c:pt>
                <c:pt idx="7">
                  <c:v>0</c:v>
                </c:pt>
                <c:pt idx="8">
                  <c:v>7.6923076922485203</c:v>
                </c:pt>
                <c:pt idx="9">
                  <c:v>7.6923076922485203</c:v>
                </c:pt>
                <c:pt idx="10">
                  <c:v>0</c:v>
                </c:pt>
                <c:pt idx="11">
                  <c:v>0</c:v>
                </c:pt>
                <c:pt idx="12">
                  <c:v>7.6923076922485203</c:v>
                </c:pt>
                <c:pt idx="13">
                  <c:v>0</c:v>
                </c:pt>
                <c:pt idx="14">
                  <c:v>0</c:v>
                </c:pt>
              </c:numCache>
            </c:numRef>
          </c:val>
          <c:extLst xmlns:c16r2="http://schemas.microsoft.com/office/drawing/2015/06/chart">
            <c:ext xmlns:c16="http://schemas.microsoft.com/office/drawing/2014/chart" uri="{C3380CC4-5D6E-409C-BE32-E72D297353CC}">
              <c16:uniqueId val="{00000001-C6B0-48B4-909F-59CA0E784F6B}"/>
            </c:ext>
          </c:extLst>
        </c:ser>
        <c:ser>
          <c:idx val="3"/>
          <c:order val="3"/>
          <c:tx>
            <c:strRef>
              <c:f>Hists!$I$1902</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extLst>
                <c:ext xmlns:c15="http://schemas.microsoft.com/office/drawing/2012/chart" uri="{02D57815-91ED-43cb-92C2-25804820EDAC}">
                  <c15:fullRef>
                    <c15:sqref>Hists!$B$1904:$B$1939</c15:sqref>
                  </c15:fullRef>
                </c:ext>
              </c:extLst>
              <c:f>Hists!$B$1904:$B$1918</c:f>
              <c:numCache>
                <c:formatCode>0.0</c:formatCode>
                <c:ptCount val="15"/>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numCache>
            </c:numRef>
          </c:cat>
          <c:val>
            <c:numRef>
              <c:extLst>
                <c:ext xmlns:c15="http://schemas.microsoft.com/office/drawing/2012/chart" uri="{02D57815-91ED-43cb-92C2-25804820EDAC}">
                  <c15:fullRef>
                    <c15:sqref>Hists!$J$1904:$J$1939</c15:sqref>
                  </c15:fullRef>
                </c:ext>
              </c:extLst>
              <c:f>Hists!$J$1904:$J$1918</c:f>
              <c:numCache>
                <c:formatCode>0.00</c:formatCode>
                <c:ptCount val="15"/>
                <c:pt idx="0">
                  <c:v>0</c:v>
                </c:pt>
                <c:pt idx="1">
                  <c:v>0</c:v>
                </c:pt>
                <c:pt idx="2">
                  <c:v>0</c:v>
                </c:pt>
                <c:pt idx="3">
                  <c:v>0</c:v>
                </c:pt>
                <c:pt idx="4">
                  <c:v>33.333333332222224</c:v>
                </c:pt>
                <c:pt idx="5">
                  <c:v>0</c:v>
                </c:pt>
                <c:pt idx="6">
                  <c:v>0</c:v>
                </c:pt>
                <c:pt idx="7">
                  <c:v>0</c:v>
                </c:pt>
                <c:pt idx="8">
                  <c:v>0</c:v>
                </c:pt>
                <c:pt idx="9">
                  <c:v>66.666666664444449</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2-C6B0-48B4-909F-59CA0E784F6B}"/>
            </c:ext>
          </c:extLst>
        </c:ser>
        <c:dLbls>
          <c:showLegendKey val="0"/>
          <c:showVal val="0"/>
          <c:showCatName val="0"/>
          <c:showSerName val="0"/>
          <c:showPercent val="0"/>
          <c:showBubbleSize val="0"/>
        </c:dLbls>
        <c:gapWidth val="0"/>
        <c:axId val="229996192"/>
        <c:axId val="22999658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Hists!$C$1798</c15:sqref>
                        </c15:formulaRef>
                      </c:ext>
                    </c:extLst>
                    <c:strCache>
                      <c:ptCount val="1"/>
                      <c:pt idx="0">
                        <c:v>Wearable</c:v>
                      </c:pt>
                    </c:strCache>
                  </c:strRef>
                </c:tx>
                <c:invertIfNegative val="0"/>
                <c:cat>
                  <c:numRef>
                    <c:extLst>
                      <c:ext uri="{02D57815-91ED-43cb-92C2-25804820EDAC}">
                        <c15:fullRef>
                          <c15:sqref>Hists!$B$1904:$B$1939</c15:sqref>
                        </c15:fullRef>
                        <c15:formulaRef>
                          <c15:sqref>Hists!$B$1904:$B$1918</c15:sqref>
                        </c15:formulaRef>
                      </c:ext>
                    </c:extLst>
                    <c:numCache>
                      <c:formatCode>0.0</c:formatCode>
                      <c:ptCount val="15"/>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numCache>
                  </c:numRef>
                </c:cat>
                <c:val>
                  <c:numRef>
                    <c:extLst>
                      <c:ext uri="{02D57815-91ED-43cb-92C2-25804820EDAC}">
                        <c15:fullRef>
                          <c15:sqref>Hists!$D$1800:$D$1835</c15:sqref>
                        </c15:fullRef>
                        <c15:formulaRef>
                          <c15:sqref>Hists!$D$1800:$D$1814</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3-C6B0-48B4-909F-59CA0E784F6B}"/>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Hists!$E$1798</c15:sqref>
                        </c15:formulaRef>
                      </c:ext>
                    </c:extLst>
                    <c:strCache>
                      <c:ptCount val="1"/>
                      <c:pt idx="0">
                        <c:v>Mote (on PCB)</c:v>
                      </c:pt>
                    </c:strCache>
                  </c:strRef>
                </c:tx>
                <c:spPr>
                  <a:pattFill prst="pct25">
                    <a:fgClr>
                      <a:srgbClr val="C00000"/>
                    </a:fgClr>
                    <a:bgClr>
                      <a:schemeClr val="bg1"/>
                    </a:bgClr>
                  </a:pattFill>
                  <a:ln w="25400">
                    <a:solidFill>
                      <a:srgbClr val="C00000"/>
                    </a:solidFill>
                  </a:ln>
                </c:spPr>
                <c:invertIfNegative val="0"/>
                <c:cat>
                  <c:numRef>
                    <c:extLst>
                      <c:ext xmlns:c15="http://schemas.microsoft.com/office/drawing/2012/chart" uri="{02D57815-91ED-43cb-92C2-25804820EDAC}">
                        <c15:fullRef>
                          <c15:sqref>Hists!$B$1904:$B$1939</c15:sqref>
                        </c15:fullRef>
                        <c15:formulaRef>
                          <c15:sqref>Hists!$B$1904:$B$1918</c15:sqref>
                        </c15:formulaRef>
                      </c:ext>
                    </c:extLst>
                    <c:numCache>
                      <c:formatCode>0.0</c:formatCode>
                      <c:ptCount val="15"/>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numCache>
                  </c:numRef>
                </c:cat>
                <c:val>
                  <c:numRef>
                    <c:extLst>
                      <c:ext xmlns:c15="http://schemas.microsoft.com/office/drawing/2012/chart" uri="{02D57815-91ED-43cb-92C2-25804820EDAC}">
                        <c15:fullRef>
                          <c15:sqref>Hists!$F$1800:$F$1835</c15:sqref>
                        </c15:fullRef>
                        <c15:formulaRef>
                          <c15:sqref>Hists!$F$1800:$F$1814</c15:sqref>
                        </c15:formulaRef>
                      </c:ext>
                    </c:extLst>
                    <c:numCache>
                      <c:formatCode>0.00</c:formatCode>
                      <c:ptCount val="15"/>
                      <c:pt idx="0">
                        <c:v>0</c:v>
                      </c:pt>
                      <c:pt idx="1">
                        <c:v>0</c:v>
                      </c:pt>
                      <c:pt idx="2">
                        <c:v>0</c:v>
                      </c:pt>
                      <c:pt idx="3">
                        <c:v>0</c:v>
                      </c:pt>
                      <c:pt idx="4">
                        <c:v>0</c:v>
                      </c:pt>
                      <c:pt idx="5">
                        <c:v>0</c:v>
                      </c:pt>
                      <c:pt idx="6">
                        <c:v>0</c:v>
                      </c:pt>
                      <c:pt idx="7">
                        <c:v>0</c:v>
                      </c:pt>
                      <c:pt idx="8">
                        <c:v>0</c:v>
                      </c:pt>
                      <c:pt idx="9">
                        <c:v>99.999999994999996</c:v>
                      </c:pt>
                      <c:pt idx="10">
                        <c:v>0</c:v>
                      </c:pt>
                      <c:pt idx="11">
                        <c:v>0</c:v>
                      </c:pt>
                      <c:pt idx="12">
                        <c:v>0</c:v>
                      </c:pt>
                      <c:pt idx="13">
                        <c:v>0</c:v>
                      </c:pt>
                      <c:pt idx="14">
                        <c:v>0</c:v>
                      </c:pt>
                    </c:numCache>
                  </c:numRef>
                </c:val>
                <c:extLst xmlns:c15="http://schemas.microsoft.com/office/drawing/2012/chart" xmlns:c16r2="http://schemas.microsoft.com/office/drawing/2015/06/chart">
                  <c:ext xmlns:c16="http://schemas.microsoft.com/office/drawing/2014/chart" uri="{C3380CC4-5D6E-409C-BE32-E72D297353CC}">
                    <c16:uniqueId val="{00000000-C6B0-48B4-909F-59CA0E784F6B}"/>
                  </c:ext>
                </c:extLst>
              </c15:ser>
            </c15:filteredBarSeries>
          </c:ext>
        </c:extLst>
      </c:barChart>
      <c:catAx>
        <c:axId val="229996192"/>
        <c:scaling>
          <c:orientation val="minMax"/>
        </c:scaling>
        <c:delete val="0"/>
        <c:axPos val="b"/>
        <c:title>
          <c:tx>
            <c:rich>
              <a:bodyPr/>
              <a:lstStyle/>
              <a:p>
                <a:pPr>
                  <a:defRPr/>
                </a:pPr>
                <a:r>
                  <a:rPr lang="en-US" sz="1400">
                    <a:latin typeface="+mn-lt"/>
                  </a:rPr>
                  <a:t>current (µA)</a:t>
                </a:r>
              </a:p>
            </c:rich>
          </c:tx>
          <c:layout>
            <c:manualLayout>
              <c:xMode val="edge"/>
              <c:yMode val="edge"/>
              <c:x val="0.42423099353325383"/>
              <c:y val="0.92937754817893592"/>
            </c:manualLayout>
          </c:layout>
          <c:overlay val="0"/>
        </c:title>
        <c:numFmt formatCode="General" sourceLinked="0"/>
        <c:majorTickMark val="out"/>
        <c:minorTickMark val="none"/>
        <c:tickLblPos val="nextTo"/>
        <c:spPr>
          <a:ln/>
        </c:spPr>
        <c:txPr>
          <a:bodyPr rot="0" vert="horz"/>
          <a:lstStyle/>
          <a:p>
            <a:pPr>
              <a:defRPr sz="1400">
                <a:latin typeface="+mn-lt"/>
              </a:defRPr>
            </a:pPr>
            <a:endParaRPr lang="en-US"/>
          </a:p>
        </c:txPr>
        <c:crossAx val="229996584"/>
        <c:crosses val="autoZero"/>
        <c:auto val="1"/>
        <c:lblAlgn val="ctr"/>
        <c:lblOffset val="100"/>
        <c:tickLblSkip val="2"/>
        <c:tickMarkSkip val="2"/>
        <c:noMultiLvlLbl val="0"/>
      </c:catAx>
      <c:valAx>
        <c:axId val="229996584"/>
        <c:scaling>
          <c:orientation val="minMax"/>
          <c:max val="100"/>
        </c:scaling>
        <c:delete val="0"/>
        <c:axPos val="l"/>
        <c:numFmt formatCode="0" sourceLinked="0"/>
        <c:majorTickMark val="out"/>
        <c:minorTickMark val="none"/>
        <c:tickLblPos val="nextTo"/>
        <c:txPr>
          <a:bodyPr/>
          <a:lstStyle/>
          <a:p>
            <a:pPr>
              <a:defRPr sz="1400">
                <a:latin typeface="+mn-lt"/>
              </a:defRPr>
            </a:pPr>
            <a:endParaRPr lang="en-US"/>
          </a:p>
        </c:txPr>
        <c:crossAx val="229996192"/>
        <c:crosses val="autoZero"/>
        <c:crossBetween val="between"/>
      </c:valAx>
      <c:spPr>
        <a:noFill/>
        <a:ln>
          <a:solidFill>
            <a:schemeClr val="bg1">
              <a:lumMod val="50000"/>
            </a:schemeClr>
          </a:solidFill>
        </a:ln>
      </c:spPr>
    </c:plotArea>
    <c:legend>
      <c:legendPos val="r"/>
      <c:layout>
        <c:manualLayout>
          <c:xMode val="edge"/>
          <c:yMode val="edge"/>
          <c:x val="0.7251270974922982"/>
          <c:y val="3.6260881412753014E-2"/>
          <c:w val="0.26079104217096066"/>
          <c:h val="0.2629147991555964"/>
        </c:manualLayout>
      </c:layout>
      <c:overlay val="0"/>
      <c:spPr>
        <a:noFill/>
        <a:ln>
          <a:noFill/>
        </a:ln>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0661394105506E-2"/>
          <c:y val="5.2169578684410162E-2"/>
          <c:w val="0.82695781336264718"/>
          <c:h val="0.85169349192172705"/>
        </c:manualLayout>
      </c:layout>
      <c:barChart>
        <c:barDir val="col"/>
        <c:grouping val="clustered"/>
        <c:varyColors val="0"/>
        <c:ser>
          <c:idx val="0"/>
          <c:order val="0"/>
          <c:tx>
            <c:v>Resolution</c:v>
          </c:tx>
          <c:invertIfNegative val="0"/>
          <c:cat>
            <c:numRef>
              <c:f>Hists!$B$601:$B$628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Hists!$K$601:$K$628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172E-480A-9461-8F52FAF9EF16}"/>
            </c:ext>
          </c:extLst>
        </c:ser>
        <c:ser>
          <c:idx val="1"/>
          <c:order val="1"/>
          <c:tx>
            <c:v>Accuracy</c:v>
          </c:tx>
          <c:invertIfNegative val="0"/>
          <c:cat>
            <c:numRef>
              <c:f>Hists!$B$601:$B$628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Hists!$L$601:$L$628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172E-480A-9461-8F52FAF9EF16}"/>
            </c:ext>
          </c:extLst>
        </c:ser>
        <c:dLbls>
          <c:showLegendKey val="0"/>
          <c:showVal val="0"/>
          <c:showCatName val="0"/>
          <c:showSerName val="0"/>
          <c:showPercent val="0"/>
          <c:showBubbleSize val="0"/>
        </c:dLbls>
        <c:gapWidth val="150"/>
        <c:axId val="215971600"/>
        <c:axId val="215971992"/>
      </c:barChart>
      <c:catAx>
        <c:axId val="215971600"/>
        <c:scaling>
          <c:orientation val="minMax"/>
        </c:scaling>
        <c:delete val="0"/>
        <c:axPos val="b"/>
        <c:title>
          <c:tx>
            <c:rich>
              <a:bodyPr/>
              <a:lstStyle/>
              <a:p>
                <a:pPr>
                  <a:defRPr/>
                </a:pPr>
                <a:r>
                  <a:rPr lang="en-US"/>
                  <a:t>Bits</a:t>
                </a:r>
              </a:p>
            </c:rich>
          </c:tx>
          <c:overlay val="0"/>
        </c:title>
        <c:numFmt formatCode="General" sourceLinked="1"/>
        <c:majorTickMark val="out"/>
        <c:minorTickMark val="none"/>
        <c:tickLblPos val="nextTo"/>
        <c:txPr>
          <a:bodyPr rot="5400000" vert="horz"/>
          <a:lstStyle/>
          <a:p>
            <a:pPr>
              <a:defRPr/>
            </a:pPr>
            <a:endParaRPr lang="en-US"/>
          </a:p>
        </c:txPr>
        <c:crossAx val="215971992"/>
        <c:crosses val="autoZero"/>
        <c:auto val="1"/>
        <c:lblAlgn val="ctr"/>
        <c:lblOffset val="100"/>
        <c:noMultiLvlLbl val="0"/>
      </c:catAx>
      <c:valAx>
        <c:axId val="215971992"/>
        <c:scaling>
          <c:orientation val="minMax"/>
        </c:scaling>
        <c:delete val="0"/>
        <c:axPos val="l"/>
        <c:majorGridlines/>
        <c:numFmt formatCode="0.00" sourceLinked="1"/>
        <c:majorTickMark val="out"/>
        <c:minorTickMark val="none"/>
        <c:tickLblPos val="nextTo"/>
        <c:crossAx val="215971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Calcs!$J$31</c:f>
          <c:strCache>
            <c:ptCount val="1"/>
            <c:pt idx="0">
              <c:v># of
ADCs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2"/>
          <c:order val="0"/>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Calcs!$J$32:$J$43</c:f>
              <c:numCache>
                <c:formatCode>General</c:formatCode>
                <c:ptCount val="12"/>
                <c:pt idx="0">
                  <c:v>#N/A</c:v>
                </c:pt>
                <c:pt idx="1">
                  <c:v>#N/A</c:v>
                </c:pt>
                <c:pt idx="2">
                  <c:v>#N/A</c:v>
                </c:pt>
                <c:pt idx="3">
                  <c:v>#N/A</c:v>
                </c:pt>
                <c:pt idx="4">
                  <c:v>1</c:v>
                </c:pt>
                <c:pt idx="5">
                  <c:v>#N/A</c:v>
                </c:pt>
                <c:pt idx="6">
                  <c:v>1</c:v>
                </c:pt>
                <c:pt idx="7">
                  <c:v>1</c:v>
                </c:pt>
                <c:pt idx="8">
                  <c:v>2</c:v>
                </c:pt>
                <c:pt idx="9">
                  <c:v>1</c:v>
                </c:pt>
                <c:pt idx="10">
                  <c:v>1</c:v>
                </c:pt>
                <c:pt idx="11">
                  <c:v>#N/A</c:v>
                </c:pt>
              </c:numCache>
            </c:numRef>
          </c:val>
          <c:smooth val="0"/>
          <c:extLst xmlns:c16r2="http://schemas.microsoft.com/office/drawing/2015/06/chart">
            <c:ext xmlns:c16="http://schemas.microsoft.com/office/drawing/2014/chart" uri="{C3380CC4-5D6E-409C-BE32-E72D297353CC}">
              <c16:uniqueId val="{00000002-A6B5-41E3-9212-77578ED2821B}"/>
            </c:ext>
          </c:extLst>
        </c:ser>
        <c:ser>
          <c:idx val="3"/>
          <c:order val="1"/>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Calcs!$J$44:$J$55</c:f>
              <c:numCache>
                <c:formatCode>General</c:formatCode>
                <c:ptCount val="12"/>
                <c:pt idx="0">
                  <c:v>#N/A</c:v>
                </c:pt>
                <c:pt idx="1">
                  <c:v>#N/A</c:v>
                </c:pt>
                <c:pt idx="2">
                  <c:v>#N/A</c:v>
                </c:pt>
                <c:pt idx="3">
                  <c:v>#N/A</c:v>
                </c:pt>
                <c:pt idx="4">
                  <c:v>#N/A</c:v>
                </c:pt>
                <c:pt idx="5">
                  <c:v>#N/A</c:v>
                </c:pt>
                <c:pt idx="6">
                  <c:v>#N/A</c:v>
                </c:pt>
                <c:pt idx="7">
                  <c:v>#N/A</c:v>
                </c:pt>
                <c:pt idx="8">
                  <c:v>1</c:v>
                </c:pt>
                <c:pt idx="9">
                  <c:v>1</c:v>
                </c:pt>
                <c:pt idx="10">
                  <c:v>1</c:v>
                </c:pt>
                <c:pt idx="11">
                  <c:v>#N/A</c:v>
                </c:pt>
              </c:numCache>
            </c:numRef>
          </c:val>
          <c:smooth val="0"/>
          <c:extLst xmlns:c16r2="http://schemas.microsoft.com/office/drawing/2015/06/chart">
            <c:ext xmlns:c16="http://schemas.microsoft.com/office/drawing/2014/chart" uri="{C3380CC4-5D6E-409C-BE32-E72D297353CC}">
              <c16:uniqueId val="{00000003-A6B5-41E3-9212-77578ED2821B}"/>
            </c:ext>
          </c:extLst>
        </c:ser>
        <c:dLbls>
          <c:showLegendKey val="0"/>
          <c:showVal val="0"/>
          <c:showCatName val="0"/>
          <c:showSerName val="0"/>
          <c:showPercent val="0"/>
          <c:showBubbleSize val="0"/>
        </c:dLbls>
        <c:marker val="1"/>
        <c:smooth val="0"/>
        <c:axId val="229997368"/>
        <c:axId val="229997760"/>
      </c:lineChart>
      <c:catAx>
        <c:axId val="229997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997760"/>
        <c:crosses val="autoZero"/>
        <c:auto val="1"/>
        <c:lblAlgn val="ctr"/>
        <c:lblOffset val="100"/>
        <c:noMultiLvlLbl val="0"/>
      </c:catAx>
      <c:valAx>
        <c:axId val="229997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997368"/>
        <c:crosses val="autoZero"/>
        <c:crossBetween val="between"/>
      </c:valAx>
      <c:spPr>
        <a:noFill/>
        <a:ln>
          <a:noFill/>
        </a:ln>
        <a:effectLst/>
      </c:spPr>
    </c:plotArea>
    <c:legend>
      <c:legendPos val="r"/>
      <c:layout>
        <c:manualLayout>
          <c:xMode val="edge"/>
          <c:yMode val="edge"/>
          <c:x val="0.7436382327209099"/>
          <c:y val="0.54344779819189259"/>
          <c:w val="0.24912344372816297"/>
          <c:h val="0.157938488340729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Calcs!$I$31</c:f>
          <c:strCache>
            <c:ptCount val="1"/>
            <c:pt idx="0">
              <c:v># of Analog
Channels</c:v>
            </c:pt>
          </c:strCache>
        </c:strRef>
      </c:tx>
      <c:layout>
        <c:manualLayout>
          <c:xMode val="edge"/>
          <c:yMode val="edge"/>
          <c:x val="0.75469444444444445"/>
          <c:y val="0.1296296296296296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2"/>
          <c:order val="0"/>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Calcs!$I$32:$I$43</c:f>
              <c:numCache>
                <c:formatCode>General</c:formatCode>
                <c:ptCount val="12"/>
                <c:pt idx="0">
                  <c:v>#N/A</c:v>
                </c:pt>
                <c:pt idx="1">
                  <c:v>#N/A</c:v>
                </c:pt>
                <c:pt idx="2">
                  <c:v>#N/A</c:v>
                </c:pt>
                <c:pt idx="3">
                  <c:v>#N/A</c:v>
                </c:pt>
                <c:pt idx="4">
                  <c:v>#N/A</c:v>
                </c:pt>
                <c:pt idx="5">
                  <c:v>#N/A</c:v>
                </c:pt>
                <c:pt idx="6">
                  <c:v>#N/A</c:v>
                </c:pt>
                <c:pt idx="7">
                  <c:v>#N/A</c:v>
                </c:pt>
                <c:pt idx="8">
                  <c:v>1</c:v>
                </c:pt>
                <c:pt idx="9">
                  <c:v>8</c:v>
                </c:pt>
                <c:pt idx="10">
                  <c:v>8</c:v>
                </c:pt>
                <c:pt idx="11">
                  <c:v>#N/A</c:v>
                </c:pt>
              </c:numCache>
            </c:numRef>
          </c:val>
          <c:smooth val="0"/>
          <c:extLst xmlns:c16r2="http://schemas.microsoft.com/office/drawing/2015/06/chart">
            <c:ext xmlns:c16="http://schemas.microsoft.com/office/drawing/2014/chart" uri="{C3380CC4-5D6E-409C-BE32-E72D297353CC}">
              <c16:uniqueId val="{00000002-9247-4968-A40D-236F134E09C3}"/>
            </c:ext>
          </c:extLst>
        </c:ser>
        <c:ser>
          <c:idx val="3"/>
          <c:order val="1"/>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Calcs!$I$44:$I$55</c:f>
              <c:numCache>
                <c:formatCode>General</c:formatCode>
                <c:ptCount val="12"/>
                <c:pt idx="0">
                  <c:v>#N/A</c:v>
                </c:pt>
                <c:pt idx="1">
                  <c:v>#N/A</c:v>
                </c:pt>
                <c:pt idx="2">
                  <c:v>#N/A</c:v>
                </c:pt>
                <c:pt idx="3">
                  <c:v>#N/A</c:v>
                </c:pt>
                <c:pt idx="4">
                  <c:v>#N/A</c:v>
                </c:pt>
                <c:pt idx="5">
                  <c:v>#N/A</c:v>
                </c:pt>
                <c:pt idx="6">
                  <c:v>#N/A</c:v>
                </c:pt>
                <c:pt idx="7">
                  <c:v>#N/A</c:v>
                </c:pt>
                <c:pt idx="8">
                  <c:v>3</c:v>
                </c:pt>
                <c:pt idx="9">
                  <c:v>3.5</c:v>
                </c:pt>
                <c:pt idx="10">
                  <c:v>1.6</c:v>
                </c:pt>
                <c:pt idx="11">
                  <c:v>#N/A</c:v>
                </c:pt>
              </c:numCache>
            </c:numRef>
          </c:val>
          <c:smooth val="0"/>
          <c:extLst xmlns:c16r2="http://schemas.microsoft.com/office/drawing/2015/06/chart">
            <c:ext xmlns:c16="http://schemas.microsoft.com/office/drawing/2014/chart" uri="{C3380CC4-5D6E-409C-BE32-E72D297353CC}">
              <c16:uniqueId val="{00000003-9247-4968-A40D-236F134E09C3}"/>
            </c:ext>
          </c:extLst>
        </c:ser>
        <c:dLbls>
          <c:showLegendKey val="0"/>
          <c:showVal val="0"/>
          <c:showCatName val="0"/>
          <c:showSerName val="0"/>
          <c:showPercent val="0"/>
          <c:showBubbleSize val="0"/>
        </c:dLbls>
        <c:marker val="1"/>
        <c:smooth val="0"/>
        <c:axId val="229998544"/>
        <c:axId val="229998936"/>
      </c:lineChart>
      <c:catAx>
        <c:axId val="229998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998936"/>
        <c:crosses val="autoZero"/>
        <c:auto val="1"/>
        <c:lblAlgn val="ctr"/>
        <c:lblOffset val="100"/>
        <c:noMultiLvlLbl val="0"/>
      </c:catAx>
      <c:valAx>
        <c:axId val="229998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998544"/>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Calcs!$C$2</c:f>
          <c:strCache>
            <c:ptCount val="1"/>
            <c:pt idx="0">
              <c:v>ADC
Res
(bits)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Calcs!$C$3:$C$14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EE60-4002-92C7-879ECB84E620}"/>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Calcs!$C$15:$C$26</c:f>
              <c:numCache>
                <c:formatCode>General</c:formatCode>
                <c:ptCount val="12"/>
                <c:pt idx="0">
                  <c:v>#N/A</c:v>
                </c:pt>
                <c:pt idx="1">
                  <c:v>10</c:v>
                </c:pt>
                <c:pt idx="2">
                  <c:v>#N/A</c:v>
                </c:pt>
                <c:pt idx="3">
                  <c:v>#N/A</c:v>
                </c:pt>
                <c:pt idx="4">
                  <c:v>12</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EE60-4002-92C7-879ECB84E620}"/>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Calcs!$L$32:$L$43</c:f>
              <c:numCache>
                <c:formatCode>General</c:formatCode>
                <c:ptCount val="12"/>
                <c:pt idx="0">
                  <c:v>#N/A</c:v>
                </c:pt>
                <c:pt idx="1">
                  <c:v>#N/A</c:v>
                </c:pt>
                <c:pt idx="2">
                  <c:v>#N/A</c:v>
                </c:pt>
                <c:pt idx="3">
                  <c:v>#N/A</c:v>
                </c:pt>
                <c:pt idx="4">
                  <c:v>12</c:v>
                </c:pt>
                <c:pt idx="5">
                  <c:v>#N/A</c:v>
                </c:pt>
                <c:pt idx="6">
                  <c:v>12</c:v>
                </c:pt>
                <c:pt idx="7">
                  <c:v>12</c:v>
                </c:pt>
                <c:pt idx="8">
                  <c:v>12</c:v>
                </c:pt>
                <c:pt idx="9">
                  <c:v>12</c:v>
                </c:pt>
                <c:pt idx="10">
                  <c:v>12</c:v>
                </c:pt>
                <c:pt idx="11">
                  <c:v>#N/A</c:v>
                </c:pt>
              </c:numCache>
            </c:numRef>
          </c:val>
          <c:smooth val="0"/>
          <c:extLst xmlns:c16r2="http://schemas.microsoft.com/office/drawing/2015/06/chart">
            <c:ext xmlns:c16="http://schemas.microsoft.com/office/drawing/2014/chart" uri="{C3380CC4-5D6E-409C-BE32-E72D297353CC}">
              <c16:uniqueId val="{00000002-EE60-4002-92C7-879ECB84E620}"/>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Calcs!$L$44:$L$55</c:f>
              <c:numCache>
                <c:formatCode>General</c:formatCode>
                <c:ptCount val="12"/>
                <c:pt idx="0">
                  <c:v>#N/A</c:v>
                </c:pt>
                <c:pt idx="1">
                  <c:v>#N/A</c:v>
                </c:pt>
                <c:pt idx="2">
                  <c:v>#N/A</c:v>
                </c:pt>
                <c:pt idx="3">
                  <c:v>#N/A</c:v>
                </c:pt>
                <c:pt idx="4">
                  <c:v>#N/A</c:v>
                </c:pt>
                <c:pt idx="5">
                  <c:v>#N/A</c:v>
                </c:pt>
                <c:pt idx="6">
                  <c:v>#N/A</c:v>
                </c:pt>
                <c:pt idx="7">
                  <c:v>#N/A</c:v>
                </c:pt>
                <c:pt idx="8">
                  <c:v>16.666666666666668</c:v>
                </c:pt>
                <c:pt idx="9">
                  <c:v>16.5</c:v>
                </c:pt>
                <c:pt idx="10">
                  <c:v>14.2</c:v>
                </c:pt>
                <c:pt idx="11">
                  <c:v>#N/A</c:v>
                </c:pt>
              </c:numCache>
            </c:numRef>
          </c:val>
          <c:smooth val="0"/>
          <c:extLst xmlns:c16r2="http://schemas.microsoft.com/office/drawing/2015/06/chart">
            <c:ext xmlns:c16="http://schemas.microsoft.com/office/drawing/2014/chart" uri="{C3380CC4-5D6E-409C-BE32-E72D297353CC}">
              <c16:uniqueId val="{00000003-EE60-4002-92C7-879ECB84E620}"/>
            </c:ext>
          </c:extLst>
        </c:ser>
        <c:dLbls>
          <c:showLegendKey val="0"/>
          <c:showVal val="0"/>
          <c:showCatName val="0"/>
          <c:showSerName val="0"/>
          <c:showPercent val="0"/>
          <c:showBubbleSize val="0"/>
        </c:dLbls>
        <c:marker val="1"/>
        <c:smooth val="0"/>
        <c:axId val="229999720"/>
        <c:axId val="231924552"/>
      </c:lineChart>
      <c:catAx>
        <c:axId val="229999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24552"/>
        <c:crosses val="autoZero"/>
        <c:auto val="1"/>
        <c:lblAlgn val="ctr"/>
        <c:lblOffset val="100"/>
        <c:noMultiLvlLbl val="0"/>
      </c:catAx>
      <c:valAx>
        <c:axId val="231924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999720"/>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Calcs!$U$31</c:f>
          <c:strCache>
            <c:ptCount val="1"/>
            <c:pt idx="0">
              <c:v>ADC
INL
(LSB)</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2"/>
          <c:order val="0"/>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Calcs!$U$32:$U$43</c:f>
              <c:numCache>
                <c:formatCode>General</c:formatCode>
                <c:ptCount val="12"/>
                <c:pt idx="0">
                  <c:v>#N/A</c:v>
                </c:pt>
                <c:pt idx="1">
                  <c:v>#N/A</c:v>
                </c:pt>
                <c:pt idx="2">
                  <c:v>#N/A</c:v>
                </c:pt>
                <c:pt idx="3">
                  <c:v>#N/A</c:v>
                </c:pt>
                <c:pt idx="4">
                  <c:v>0.7</c:v>
                </c:pt>
                <c:pt idx="5">
                  <c:v>#N/A</c:v>
                </c:pt>
                <c:pt idx="6">
                  <c:v>2.0333333333333337</c:v>
                </c:pt>
                <c:pt idx="7">
                  <c:v>2.7</c:v>
                </c:pt>
                <c:pt idx="8">
                  <c:v>1.2</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A6B5-41E3-9212-77578ED2821B}"/>
            </c:ext>
          </c:extLst>
        </c:ser>
        <c:ser>
          <c:idx val="3"/>
          <c:order val="1"/>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Calcs!$U$44:$U$55</c:f>
              <c:numCache>
                <c:formatCode>General</c:formatCode>
                <c:ptCount val="12"/>
                <c:pt idx="0">
                  <c:v>#N/A</c:v>
                </c:pt>
                <c:pt idx="1">
                  <c:v>#N/A</c:v>
                </c:pt>
                <c:pt idx="2">
                  <c:v>#N/A</c:v>
                </c:pt>
                <c:pt idx="3">
                  <c:v>#N/A</c:v>
                </c:pt>
                <c:pt idx="4">
                  <c:v>#N/A</c:v>
                </c:pt>
                <c:pt idx="5">
                  <c:v>#N/A</c:v>
                </c:pt>
                <c:pt idx="6">
                  <c:v>#N/A</c:v>
                </c:pt>
                <c:pt idx="7">
                  <c:v>#N/A</c:v>
                </c:pt>
                <c:pt idx="8">
                  <c:v>#N/A</c:v>
                </c:pt>
                <c:pt idx="9">
                  <c:v>#N/A</c:v>
                </c:pt>
                <c:pt idx="10">
                  <c:v>1</c:v>
                </c:pt>
                <c:pt idx="11">
                  <c:v>#N/A</c:v>
                </c:pt>
              </c:numCache>
            </c:numRef>
          </c:val>
          <c:smooth val="0"/>
          <c:extLst xmlns:c16r2="http://schemas.microsoft.com/office/drawing/2015/06/chart">
            <c:ext xmlns:c16="http://schemas.microsoft.com/office/drawing/2014/chart" uri="{C3380CC4-5D6E-409C-BE32-E72D297353CC}">
              <c16:uniqueId val="{00000003-A6B5-41E3-9212-77578ED2821B}"/>
            </c:ext>
          </c:extLst>
        </c:ser>
        <c:dLbls>
          <c:showLegendKey val="0"/>
          <c:showVal val="0"/>
          <c:showCatName val="0"/>
          <c:showSerName val="0"/>
          <c:showPercent val="0"/>
          <c:showBubbleSize val="0"/>
        </c:dLbls>
        <c:marker val="1"/>
        <c:smooth val="0"/>
        <c:axId val="231925336"/>
        <c:axId val="231925728"/>
      </c:lineChart>
      <c:catAx>
        <c:axId val="231925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25728"/>
        <c:crosses val="autoZero"/>
        <c:auto val="1"/>
        <c:lblAlgn val="ctr"/>
        <c:lblOffset val="100"/>
        <c:noMultiLvlLbl val="0"/>
      </c:catAx>
      <c:valAx>
        <c:axId val="231925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25336"/>
        <c:crosses val="autoZero"/>
        <c:crossBetween val="between"/>
      </c:valAx>
      <c:spPr>
        <a:noFill/>
        <a:ln>
          <a:noFill/>
        </a:ln>
        <a:effectLst/>
      </c:spPr>
    </c:plotArea>
    <c:legend>
      <c:legendPos val="r"/>
      <c:layout>
        <c:manualLayout>
          <c:xMode val="edge"/>
          <c:yMode val="edge"/>
          <c:x val="0.7436382327209099"/>
          <c:y val="0.54344779819189259"/>
          <c:w val="0.24912344372816297"/>
          <c:h val="0.157938488340729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Calcs!$T$31</c:f>
          <c:strCache>
            <c:ptCount val="1"/>
            <c:pt idx="0">
              <c:v>ADC
DNL
(LSB)</c:v>
            </c:pt>
          </c:strCache>
        </c:strRef>
      </c:tx>
      <c:layout>
        <c:manualLayout>
          <c:xMode val="edge"/>
          <c:yMode val="edge"/>
          <c:x val="0.75469444444444445"/>
          <c:y val="0.1296296296296296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2"/>
          <c:order val="0"/>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Calcs!$T$32:$T$43</c:f>
              <c:numCache>
                <c:formatCode>General</c:formatCode>
                <c:ptCount val="12"/>
                <c:pt idx="0">
                  <c:v>#N/A</c:v>
                </c:pt>
                <c:pt idx="1">
                  <c:v>#N/A</c:v>
                </c:pt>
                <c:pt idx="2">
                  <c:v>#N/A</c:v>
                </c:pt>
                <c:pt idx="3">
                  <c:v>#N/A</c:v>
                </c:pt>
                <c:pt idx="4">
                  <c:v>1.2</c:v>
                </c:pt>
                <c:pt idx="5">
                  <c:v>#N/A</c:v>
                </c:pt>
                <c:pt idx="6">
                  <c:v>1.6666666666666667</c:v>
                </c:pt>
                <c:pt idx="7">
                  <c:v>1.9</c:v>
                </c:pt>
                <c:pt idx="8">
                  <c:v>4</c:v>
                </c:pt>
                <c:pt idx="9">
                  <c:v>0</c:v>
                </c:pt>
                <c:pt idx="10">
                  <c:v>1</c:v>
                </c:pt>
                <c:pt idx="11">
                  <c:v>#N/A</c:v>
                </c:pt>
              </c:numCache>
            </c:numRef>
          </c:val>
          <c:smooth val="0"/>
          <c:extLst xmlns:c16r2="http://schemas.microsoft.com/office/drawing/2015/06/chart">
            <c:ext xmlns:c16="http://schemas.microsoft.com/office/drawing/2014/chart" uri="{C3380CC4-5D6E-409C-BE32-E72D297353CC}">
              <c16:uniqueId val="{00000002-9247-4968-A40D-236F134E09C3}"/>
            </c:ext>
          </c:extLst>
        </c:ser>
        <c:ser>
          <c:idx val="3"/>
          <c:order val="1"/>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Calcs!$T$44:$T$55</c:f>
              <c:numCache>
                <c:formatCode>General</c:formatCode>
                <c:ptCount val="12"/>
                <c:pt idx="0">
                  <c:v>#N/A</c:v>
                </c:pt>
                <c:pt idx="1">
                  <c:v>#N/A</c:v>
                </c:pt>
                <c:pt idx="2">
                  <c:v>#N/A</c:v>
                </c:pt>
                <c:pt idx="3">
                  <c:v>#N/A</c:v>
                </c:pt>
                <c:pt idx="4">
                  <c:v>#N/A</c:v>
                </c:pt>
                <c:pt idx="5">
                  <c:v>#N/A</c:v>
                </c:pt>
                <c:pt idx="6">
                  <c:v>#N/A</c:v>
                </c:pt>
                <c:pt idx="7">
                  <c:v>#N/A</c:v>
                </c:pt>
                <c:pt idx="8">
                  <c:v>#N/A</c:v>
                </c:pt>
                <c:pt idx="9">
                  <c:v>#N/A</c:v>
                </c:pt>
                <c:pt idx="10">
                  <c:v>1</c:v>
                </c:pt>
                <c:pt idx="11">
                  <c:v>#N/A</c:v>
                </c:pt>
              </c:numCache>
            </c:numRef>
          </c:val>
          <c:smooth val="0"/>
          <c:extLst xmlns:c16r2="http://schemas.microsoft.com/office/drawing/2015/06/chart">
            <c:ext xmlns:c16="http://schemas.microsoft.com/office/drawing/2014/chart" uri="{C3380CC4-5D6E-409C-BE32-E72D297353CC}">
              <c16:uniqueId val="{00000003-9247-4968-A40D-236F134E09C3}"/>
            </c:ext>
          </c:extLst>
        </c:ser>
        <c:dLbls>
          <c:showLegendKey val="0"/>
          <c:showVal val="0"/>
          <c:showCatName val="0"/>
          <c:showSerName val="0"/>
          <c:showPercent val="0"/>
          <c:showBubbleSize val="0"/>
        </c:dLbls>
        <c:marker val="1"/>
        <c:smooth val="0"/>
        <c:axId val="231926512"/>
        <c:axId val="231926904"/>
      </c:lineChart>
      <c:catAx>
        <c:axId val="231926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26904"/>
        <c:crosses val="autoZero"/>
        <c:auto val="1"/>
        <c:lblAlgn val="ctr"/>
        <c:lblOffset val="100"/>
        <c:noMultiLvlLbl val="0"/>
      </c:catAx>
      <c:valAx>
        <c:axId val="231926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26512"/>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Calcs!$D$2</c:f>
          <c:strCache>
            <c:ptCount val="1"/>
            <c:pt idx="0">
              <c:v># DACs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Calcs!$D$3:$D$14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EE60-4002-92C7-879ECB84E620}"/>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Calcs!$D$15:$D$26</c:f>
              <c:numCache>
                <c:formatCode>General</c:formatCode>
                <c:ptCount val="12"/>
                <c:pt idx="0">
                  <c:v>#N/A</c:v>
                </c:pt>
                <c:pt idx="1">
                  <c:v>#N/A</c:v>
                </c:pt>
                <c:pt idx="2">
                  <c:v>#N/A</c:v>
                </c:pt>
                <c:pt idx="3">
                  <c:v>#N/A</c:v>
                </c:pt>
                <c:pt idx="4">
                  <c:v>2</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EE60-4002-92C7-879ECB84E620}"/>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Calcs!$Z$32:$Z$43</c:f>
              <c:numCache>
                <c:formatCode>General</c:formatCode>
                <c:ptCount val="12"/>
                <c:pt idx="0">
                  <c:v>#N/A</c:v>
                </c:pt>
                <c:pt idx="1">
                  <c:v>#N/A</c:v>
                </c:pt>
                <c:pt idx="2">
                  <c:v>#N/A</c:v>
                </c:pt>
                <c:pt idx="3">
                  <c:v>#N/A</c:v>
                </c:pt>
                <c:pt idx="4">
                  <c:v>1</c:v>
                </c:pt>
                <c:pt idx="5">
                  <c:v>#N/A</c:v>
                </c:pt>
                <c:pt idx="6">
                  <c:v>1</c:v>
                </c:pt>
                <c:pt idx="7">
                  <c:v>1</c:v>
                </c:pt>
                <c:pt idx="8">
                  <c:v>1</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EE60-4002-92C7-879ECB84E620}"/>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Calcs!$Z$44:$Z$55</c:f>
              <c:numCache>
                <c:formatCode>General</c:formatCode>
                <c:ptCount val="12"/>
                <c:pt idx="0">
                  <c:v>#N/A</c:v>
                </c:pt>
                <c:pt idx="1">
                  <c:v>#N/A</c:v>
                </c:pt>
                <c:pt idx="2">
                  <c:v>#N/A</c:v>
                </c:pt>
                <c:pt idx="3">
                  <c:v>#N/A</c:v>
                </c:pt>
                <c:pt idx="4">
                  <c:v>#N/A</c:v>
                </c:pt>
                <c:pt idx="5">
                  <c:v>#N/A</c:v>
                </c:pt>
                <c:pt idx="6">
                  <c:v>#N/A</c:v>
                </c:pt>
                <c:pt idx="7">
                  <c:v>#N/A</c:v>
                </c:pt>
                <c:pt idx="8">
                  <c:v>0</c:v>
                </c:pt>
                <c:pt idx="9">
                  <c:v>0</c:v>
                </c:pt>
                <c:pt idx="10">
                  <c:v>0</c:v>
                </c:pt>
                <c:pt idx="11">
                  <c:v>#N/A</c:v>
                </c:pt>
              </c:numCache>
            </c:numRef>
          </c:val>
          <c:smooth val="0"/>
          <c:extLst xmlns:c16r2="http://schemas.microsoft.com/office/drawing/2015/06/chart">
            <c:ext xmlns:c16="http://schemas.microsoft.com/office/drawing/2014/chart" uri="{C3380CC4-5D6E-409C-BE32-E72D297353CC}">
              <c16:uniqueId val="{00000003-EE60-4002-92C7-879ECB84E620}"/>
            </c:ext>
          </c:extLst>
        </c:ser>
        <c:dLbls>
          <c:showLegendKey val="0"/>
          <c:showVal val="0"/>
          <c:showCatName val="0"/>
          <c:showSerName val="0"/>
          <c:showPercent val="0"/>
          <c:showBubbleSize val="0"/>
        </c:dLbls>
        <c:marker val="1"/>
        <c:smooth val="0"/>
        <c:axId val="231927688"/>
        <c:axId val="231928080"/>
      </c:lineChart>
      <c:catAx>
        <c:axId val="231927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28080"/>
        <c:crosses val="autoZero"/>
        <c:auto val="1"/>
        <c:lblAlgn val="ctr"/>
        <c:lblOffset val="100"/>
        <c:noMultiLvlLbl val="0"/>
      </c:catAx>
      <c:valAx>
        <c:axId val="231928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27688"/>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Calcs!$E$2</c:f>
          <c:strCache>
            <c:ptCount val="1"/>
            <c:pt idx="0">
              <c:v>DAC
Res
(bits)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Calcs!$E$3:$E$14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527A-4007-856D-7647AB54D2AA}"/>
            </c:ext>
          </c:extLst>
        </c:ser>
        <c:ser>
          <c:idx val="0"/>
          <c:order val="1"/>
          <c:tx>
            <c:strRef>
              <c:f>Calcs!$A$15</c:f>
              <c:strCache>
                <c:ptCount val="1"/>
                <c:pt idx="0">
                  <c:v>Mote  Ave</c:v>
                </c:pt>
              </c:strCache>
            </c:strRef>
          </c:tx>
          <c:spPr>
            <a:ln w="28575" cap="rnd">
              <a:solidFill>
                <a:schemeClr val="accent1"/>
              </a:solidFill>
              <a:prstDash val="dashDot"/>
              <a:round/>
            </a:ln>
            <a:effectLst/>
          </c:spPr>
          <c:marker>
            <c:symbol val="circle"/>
            <c:size val="5"/>
            <c:spPr>
              <a:solidFill>
                <a:schemeClr val="accent1"/>
              </a:solidFill>
              <a:ln w="9525">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Calcs!$E$15:$E$26</c:f>
              <c:numCache>
                <c:formatCode>General</c:formatCode>
                <c:ptCount val="12"/>
                <c:pt idx="0">
                  <c:v>#N/A</c:v>
                </c:pt>
                <c:pt idx="1">
                  <c:v>#N/A</c:v>
                </c:pt>
                <c:pt idx="2">
                  <c:v>#N/A</c:v>
                </c:pt>
                <c:pt idx="3">
                  <c:v>#N/A</c:v>
                </c:pt>
                <c:pt idx="4">
                  <c:v>12</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527A-4007-856D-7647AB54D2AA}"/>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Calcs!$AA$32:$AA$43</c:f>
              <c:numCache>
                <c:formatCode>General</c:formatCode>
                <c:ptCount val="12"/>
                <c:pt idx="0">
                  <c:v>#N/A</c:v>
                </c:pt>
                <c:pt idx="1">
                  <c:v>#N/A</c:v>
                </c:pt>
                <c:pt idx="2">
                  <c:v>#N/A</c:v>
                </c:pt>
                <c:pt idx="3">
                  <c:v>#N/A</c:v>
                </c:pt>
                <c:pt idx="4">
                  <c:v>12</c:v>
                </c:pt>
                <c:pt idx="5">
                  <c:v>#N/A</c:v>
                </c:pt>
                <c:pt idx="6">
                  <c:v>10</c:v>
                </c:pt>
                <c:pt idx="7">
                  <c:v>6</c:v>
                </c:pt>
                <c:pt idx="8">
                  <c:v>5</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527A-4007-856D-7647AB54D2AA}"/>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Calcs!$AA$44:$AA$55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527A-4007-856D-7647AB54D2AA}"/>
            </c:ext>
          </c:extLst>
        </c:ser>
        <c:dLbls>
          <c:showLegendKey val="0"/>
          <c:showVal val="0"/>
          <c:showCatName val="0"/>
          <c:showSerName val="0"/>
          <c:showPercent val="0"/>
          <c:showBubbleSize val="0"/>
        </c:dLbls>
        <c:marker val="1"/>
        <c:smooth val="0"/>
        <c:axId val="231928864"/>
        <c:axId val="231929256"/>
      </c:lineChart>
      <c:catAx>
        <c:axId val="231928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29256"/>
        <c:crosses val="autoZero"/>
        <c:auto val="1"/>
        <c:lblAlgn val="ctr"/>
        <c:lblOffset val="100"/>
        <c:noMultiLvlLbl val="0"/>
      </c:catAx>
      <c:valAx>
        <c:axId val="231929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28864"/>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Calcs!$F$2</c:f>
          <c:strCache>
            <c:ptCount val="1"/>
            <c:pt idx="0">
              <c:v>Weight
(gr)</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Calcs!$F$3:$F$14</c:f>
              <c:numCache>
                <c:formatCode>General</c:formatCode>
                <c:ptCount val="12"/>
                <c:pt idx="0">
                  <c:v>#N/A</c:v>
                </c:pt>
                <c:pt idx="1">
                  <c:v>#N/A</c:v>
                </c:pt>
                <c:pt idx="2">
                  <c:v>#N/A</c:v>
                </c:pt>
                <c:pt idx="3">
                  <c:v>#N/A</c:v>
                </c:pt>
                <c:pt idx="4">
                  <c:v>#N/A</c:v>
                </c:pt>
                <c:pt idx="5">
                  <c:v>#N/A</c:v>
                </c:pt>
                <c:pt idx="6">
                  <c:v>#N/A</c:v>
                </c:pt>
                <c:pt idx="7">
                  <c:v>8</c:v>
                </c:pt>
                <c:pt idx="8">
                  <c:v>83.89500000000001</c:v>
                </c:pt>
                <c:pt idx="9">
                  <c:v>37</c:v>
                </c:pt>
                <c:pt idx="10">
                  <c:v>#N/A</c:v>
                </c:pt>
                <c:pt idx="11">
                  <c:v>#N/A</c:v>
                </c:pt>
              </c:numCache>
            </c:numRef>
          </c:val>
          <c:smooth val="0"/>
          <c:extLst xmlns:c16r2="http://schemas.microsoft.com/office/drawing/2015/06/chart">
            <c:ext xmlns:c16="http://schemas.microsoft.com/office/drawing/2014/chart" uri="{C3380CC4-5D6E-409C-BE32-E72D297353CC}">
              <c16:uniqueId val="{00000000-9654-4C70-A330-B91C093FE032}"/>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Calcs!$F$15:$F$26</c:f>
              <c:numCache>
                <c:formatCode>General</c:formatCode>
                <c:ptCount val="12"/>
                <c:pt idx="0">
                  <c:v>#N/A</c:v>
                </c:pt>
                <c:pt idx="1">
                  <c:v>31</c:v>
                </c:pt>
                <c:pt idx="2">
                  <c:v>31</c:v>
                </c:pt>
                <c:pt idx="3">
                  <c:v>580</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9654-4C70-A330-B91C093FE032}"/>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Calcs!$AB$32:$AB$43</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9654-4C70-A330-B91C093FE032}"/>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Calcs!$AB$44:$AB$55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9654-4C70-A330-B91C093FE032}"/>
            </c:ext>
          </c:extLst>
        </c:ser>
        <c:dLbls>
          <c:showLegendKey val="0"/>
          <c:showVal val="0"/>
          <c:showCatName val="0"/>
          <c:showSerName val="0"/>
          <c:showPercent val="0"/>
          <c:showBubbleSize val="0"/>
        </c:dLbls>
        <c:marker val="1"/>
        <c:smooth val="0"/>
        <c:axId val="231930040"/>
        <c:axId val="231930432"/>
      </c:lineChart>
      <c:catAx>
        <c:axId val="231930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0432"/>
        <c:crosses val="autoZero"/>
        <c:auto val="1"/>
        <c:lblAlgn val="ctr"/>
        <c:lblOffset val="100"/>
        <c:noMultiLvlLbl val="0"/>
      </c:catAx>
      <c:valAx>
        <c:axId val="231930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0040"/>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Calcs!$J$2</c:f>
          <c:strCache>
            <c:ptCount val="1"/>
            <c:pt idx="0">
              <c:v>Max
Dimension
(mm)</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Calcs!$J$3:$J$14</c:f>
              <c:numCache>
                <c:formatCode>General</c:formatCode>
                <c:ptCount val="12"/>
                <c:pt idx="0">
                  <c:v>#N/A</c:v>
                </c:pt>
                <c:pt idx="1">
                  <c:v>#N/A</c:v>
                </c:pt>
                <c:pt idx="2">
                  <c:v>#N/A</c:v>
                </c:pt>
                <c:pt idx="3">
                  <c:v>#N/A</c:v>
                </c:pt>
                <c:pt idx="4">
                  <c:v>#N/A</c:v>
                </c:pt>
                <c:pt idx="5">
                  <c:v>#N/A</c:v>
                </c:pt>
                <c:pt idx="6">
                  <c:v>#N/A</c:v>
                </c:pt>
                <c:pt idx="7">
                  <c:v>48</c:v>
                </c:pt>
                <c:pt idx="8">
                  <c:v>69</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8EC5-4E06-8601-E1639C1D97A8}"/>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Calcs!$J$15:$J$26</c:f>
              <c:numCache>
                <c:formatCode>General</c:formatCode>
                <c:ptCount val="12"/>
                <c:pt idx="0">
                  <c:v>#N/A</c:v>
                </c:pt>
                <c:pt idx="1">
                  <c:v>80.518000000000001</c:v>
                </c:pt>
                <c:pt idx="2">
                  <c:v>80.518000000000001</c:v>
                </c:pt>
                <c:pt idx="3">
                  <c:v>76</c:v>
                </c:pt>
                <c:pt idx="4">
                  <c:v>56.8</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8EC5-4E06-8601-E1639C1D97A8}"/>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Calcs!$AF$32:$AF$43</c:f>
              <c:numCache>
                <c:formatCode>General</c:formatCode>
                <c:ptCount val="12"/>
                <c:pt idx="0">
                  <c:v>#N/A</c:v>
                </c:pt>
                <c:pt idx="1">
                  <c:v>#N/A</c:v>
                </c:pt>
                <c:pt idx="2">
                  <c:v>#N/A</c:v>
                </c:pt>
                <c:pt idx="3">
                  <c:v>#N/A</c:v>
                </c:pt>
                <c:pt idx="4">
                  <c:v>4</c:v>
                </c:pt>
                <c:pt idx="5">
                  <c:v>#N/A</c:v>
                </c:pt>
                <c:pt idx="6">
                  <c:v>5</c:v>
                </c:pt>
                <c:pt idx="7">
                  <c:v>1.99</c:v>
                </c:pt>
                <c:pt idx="8">
                  <c:v>5.333333333333333</c:v>
                </c:pt>
                <c:pt idx="9">
                  <c:v>#N/A</c:v>
                </c:pt>
                <c:pt idx="10">
                  <c:v>4</c:v>
                </c:pt>
                <c:pt idx="11">
                  <c:v>#N/A</c:v>
                </c:pt>
              </c:numCache>
            </c:numRef>
          </c:val>
          <c:smooth val="0"/>
          <c:extLst xmlns:c16r2="http://schemas.microsoft.com/office/drawing/2015/06/chart">
            <c:ext xmlns:c16="http://schemas.microsoft.com/office/drawing/2014/chart" uri="{C3380CC4-5D6E-409C-BE32-E72D297353CC}">
              <c16:uniqueId val="{00000002-8EC5-4E06-8601-E1639C1D97A8}"/>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Calcs!$AF$44:$AF$55</c:f>
              <c:numCache>
                <c:formatCode>General</c:formatCode>
                <c:ptCount val="12"/>
                <c:pt idx="0">
                  <c:v>#N/A</c:v>
                </c:pt>
                <c:pt idx="1">
                  <c:v>#N/A</c:v>
                </c:pt>
                <c:pt idx="2">
                  <c:v>#N/A</c:v>
                </c:pt>
                <c:pt idx="3">
                  <c:v>#N/A</c:v>
                </c:pt>
                <c:pt idx="4">
                  <c:v>#N/A</c:v>
                </c:pt>
                <c:pt idx="5">
                  <c:v>#N/A</c:v>
                </c:pt>
                <c:pt idx="6">
                  <c:v>#N/A</c:v>
                </c:pt>
                <c:pt idx="7">
                  <c:v>3.5</c:v>
                </c:pt>
                <c:pt idx="8">
                  <c:v>2.625</c:v>
                </c:pt>
                <c:pt idx="9">
                  <c:v>2.5</c:v>
                </c:pt>
                <c:pt idx="10">
                  <c:v>2.52</c:v>
                </c:pt>
                <c:pt idx="11">
                  <c:v>#N/A</c:v>
                </c:pt>
              </c:numCache>
            </c:numRef>
          </c:val>
          <c:smooth val="0"/>
          <c:extLst xmlns:c16r2="http://schemas.microsoft.com/office/drawing/2015/06/chart">
            <c:ext xmlns:c16="http://schemas.microsoft.com/office/drawing/2014/chart" uri="{C3380CC4-5D6E-409C-BE32-E72D297353CC}">
              <c16:uniqueId val="{00000003-8EC5-4E06-8601-E1639C1D97A8}"/>
            </c:ext>
          </c:extLst>
        </c:ser>
        <c:dLbls>
          <c:showLegendKey val="0"/>
          <c:showVal val="0"/>
          <c:showCatName val="0"/>
          <c:showSerName val="0"/>
          <c:showPercent val="0"/>
          <c:showBubbleSize val="0"/>
        </c:dLbls>
        <c:marker val="1"/>
        <c:smooth val="0"/>
        <c:axId val="231931216"/>
        <c:axId val="231931608"/>
      </c:lineChart>
      <c:catAx>
        <c:axId val="231931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1608"/>
        <c:crosses val="autoZero"/>
        <c:auto val="1"/>
        <c:lblAlgn val="ctr"/>
        <c:lblOffset val="100"/>
        <c:noMultiLvlLbl val="0"/>
      </c:catAx>
      <c:valAx>
        <c:axId val="231931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1216"/>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Calcs!$K$2</c:f>
          <c:strCache>
            <c:ptCount val="1"/>
            <c:pt idx="0">
              <c:v>Volume
(mm3)</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Calcs!$K$3:$K$14</c:f>
              <c:numCache>
                <c:formatCode>General</c:formatCode>
                <c:ptCount val="12"/>
                <c:pt idx="0">
                  <c:v>#N/A</c:v>
                </c:pt>
                <c:pt idx="1">
                  <c:v>#N/A</c:v>
                </c:pt>
                <c:pt idx="2">
                  <c:v>#N/A</c:v>
                </c:pt>
                <c:pt idx="3">
                  <c:v>#N/A</c:v>
                </c:pt>
                <c:pt idx="4">
                  <c:v>#N/A</c:v>
                </c:pt>
                <c:pt idx="5">
                  <c:v>#N/A</c:v>
                </c:pt>
                <c:pt idx="6">
                  <c:v>#N/A</c:v>
                </c:pt>
                <c:pt idx="7">
                  <c:v>8939.760000000002</c:v>
                </c:pt>
                <c:pt idx="8">
                  <c:v>124587.245</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4BC4-4953-B3B1-2C42194DA6F9}"/>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Calcs!$K$15:$K$26</c:f>
              <c:numCache>
                <c:formatCode>General</c:formatCode>
                <c:ptCount val="12"/>
                <c:pt idx="0">
                  <c:v>#N/A</c:v>
                </c:pt>
                <c:pt idx="1">
                  <c:v>25911.160048543992</c:v>
                </c:pt>
                <c:pt idx="2">
                  <c:v>25911.160048543992</c:v>
                </c:pt>
                <c:pt idx="3">
                  <c:v>548720</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4BC4-4953-B3B1-2C42194DA6F9}"/>
            </c:ext>
          </c:extLst>
        </c:ser>
        <c:dLbls>
          <c:showLegendKey val="0"/>
          <c:showVal val="0"/>
          <c:showCatName val="0"/>
          <c:showSerName val="0"/>
          <c:showPercent val="0"/>
          <c:showBubbleSize val="0"/>
        </c:dLbls>
        <c:marker val="1"/>
        <c:smooth val="0"/>
        <c:axId val="231932784"/>
        <c:axId val="231933176"/>
      </c:lineChart>
      <c:catAx>
        <c:axId val="231932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3176"/>
        <c:crosses val="autoZero"/>
        <c:auto val="1"/>
        <c:lblAlgn val="ctr"/>
        <c:lblOffset val="100"/>
        <c:noMultiLvlLbl val="0"/>
      </c:catAx>
      <c:valAx>
        <c:axId val="231933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2784"/>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0661394105506E-2"/>
          <c:y val="5.5699908007486448E-2"/>
          <c:w val="0.82695781336264718"/>
          <c:h val="0.84847708244155184"/>
        </c:manualLayout>
      </c:layout>
      <c:barChart>
        <c:barDir val="col"/>
        <c:grouping val="clustered"/>
        <c:varyColors val="0"/>
        <c:ser>
          <c:idx val="0"/>
          <c:order val="0"/>
          <c:tx>
            <c:v>Resolution</c:v>
          </c:tx>
          <c:invertIfNegative val="0"/>
          <c:cat>
            <c:numRef>
              <c:f>Hists!$B$651:$B$678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Hists!$K$651:$K$678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7EA3-48D5-B34C-BFCF50836992}"/>
            </c:ext>
          </c:extLst>
        </c:ser>
        <c:ser>
          <c:idx val="1"/>
          <c:order val="1"/>
          <c:tx>
            <c:v>Accuracy</c:v>
          </c:tx>
          <c:invertIfNegative val="0"/>
          <c:cat>
            <c:numRef>
              <c:f>Hists!$B$651:$B$678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Hists!$L$651:$L$678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7EA3-48D5-B34C-BFCF50836992}"/>
            </c:ext>
          </c:extLst>
        </c:ser>
        <c:dLbls>
          <c:showLegendKey val="0"/>
          <c:showVal val="0"/>
          <c:showCatName val="0"/>
          <c:showSerName val="0"/>
          <c:showPercent val="0"/>
          <c:showBubbleSize val="0"/>
        </c:dLbls>
        <c:gapWidth val="150"/>
        <c:axId val="215972776"/>
        <c:axId val="215973168"/>
      </c:barChart>
      <c:catAx>
        <c:axId val="215972776"/>
        <c:scaling>
          <c:orientation val="minMax"/>
        </c:scaling>
        <c:delete val="0"/>
        <c:axPos val="b"/>
        <c:title>
          <c:tx>
            <c:rich>
              <a:bodyPr/>
              <a:lstStyle/>
              <a:p>
                <a:pPr>
                  <a:defRPr/>
                </a:pPr>
                <a:r>
                  <a:rPr lang="en-US"/>
                  <a:t>Bits</a:t>
                </a:r>
              </a:p>
            </c:rich>
          </c:tx>
          <c:overlay val="0"/>
        </c:title>
        <c:numFmt formatCode="General" sourceLinked="1"/>
        <c:majorTickMark val="out"/>
        <c:minorTickMark val="none"/>
        <c:tickLblPos val="nextTo"/>
        <c:txPr>
          <a:bodyPr rot="5400000" vert="horz"/>
          <a:lstStyle/>
          <a:p>
            <a:pPr>
              <a:defRPr/>
            </a:pPr>
            <a:endParaRPr lang="en-US"/>
          </a:p>
        </c:txPr>
        <c:crossAx val="215973168"/>
        <c:crosses val="autoZero"/>
        <c:auto val="1"/>
        <c:lblAlgn val="ctr"/>
        <c:lblOffset val="100"/>
        <c:noMultiLvlLbl val="0"/>
      </c:catAx>
      <c:valAx>
        <c:axId val="215973168"/>
        <c:scaling>
          <c:orientation val="minMax"/>
        </c:scaling>
        <c:delete val="0"/>
        <c:axPos val="l"/>
        <c:majorGridlines/>
        <c:numFmt formatCode="0.00" sourceLinked="1"/>
        <c:majorTickMark val="out"/>
        <c:minorTickMark val="none"/>
        <c:tickLblPos val="nextTo"/>
        <c:crossAx val="215972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Calcs!$AG$31</c:f>
          <c:strCache>
            <c:ptCount val="1"/>
            <c:pt idx="0">
              <c:v>Area
mm2</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2"/>
          <c:order val="0"/>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Calcs!$AG$32:$AG$43</c:f>
              <c:numCache>
                <c:formatCode>General</c:formatCode>
                <c:ptCount val="12"/>
                <c:pt idx="0">
                  <c:v>0.03</c:v>
                </c:pt>
                <c:pt idx="1">
                  <c:v>#N/A</c:v>
                </c:pt>
                <c:pt idx="2">
                  <c:v>#N/A</c:v>
                </c:pt>
                <c:pt idx="3">
                  <c:v>2.5000000000000001E-2</c:v>
                </c:pt>
                <c:pt idx="4">
                  <c:v>16</c:v>
                </c:pt>
                <c:pt idx="5">
                  <c:v>#N/A</c:v>
                </c:pt>
                <c:pt idx="6">
                  <c:v>20.25225</c:v>
                </c:pt>
                <c:pt idx="7">
                  <c:v>3.8605999999999998</c:v>
                </c:pt>
                <c:pt idx="8">
                  <c:v>14.1</c:v>
                </c:pt>
                <c:pt idx="9">
                  <c:v>#N/A</c:v>
                </c:pt>
                <c:pt idx="10">
                  <c:v>16</c:v>
                </c:pt>
                <c:pt idx="11">
                  <c:v>#N/A</c:v>
                </c:pt>
              </c:numCache>
            </c:numRef>
          </c:val>
          <c:smooth val="0"/>
          <c:extLst xmlns:c16r2="http://schemas.microsoft.com/office/drawing/2015/06/chart">
            <c:ext xmlns:c16="http://schemas.microsoft.com/office/drawing/2014/chart" uri="{C3380CC4-5D6E-409C-BE32-E72D297353CC}">
              <c16:uniqueId val="{00000002-077B-4EC2-BBB1-1D4741D74831}"/>
            </c:ext>
          </c:extLst>
        </c:ser>
        <c:ser>
          <c:idx val="3"/>
          <c:order val="1"/>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Calcs!$AG$44:$AG$55</c:f>
              <c:numCache>
                <c:formatCode>General</c:formatCode>
                <c:ptCount val="12"/>
                <c:pt idx="0">
                  <c:v>#N/A</c:v>
                </c:pt>
                <c:pt idx="1">
                  <c:v>#N/A</c:v>
                </c:pt>
                <c:pt idx="2">
                  <c:v>#N/A</c:v>
                </c:pt>
                <c:pt idx="3">
                  <c:v>#N/A</c:v>
                </c:pt>
                <c:pt idx="4">
                  <c:v>#N/A</c:v>
                </c:pt>
                <c:pt idx="5">
                  <c:v>#N/A</c:v>
                </c:pt>
                <c:pt idx="6">
                  <c:v>#N/A</c:v>
                </c:pt>
                <c:pt idx="7">
                  <c:v>10.85</c:v>
                </c:pt>
                <c:pt idx="8">
                  <c:v>6.1312500000000005</c:v>
                </c:pt>
                <c:pt idx="9">
                  <c:v>6.5</c:v>
                </c:pt>
                <c:pt idx="10">
                  <c:v>6.2320000000000002</c:v>
                </c:pt>
                <c:pt idx="11">
                  <c:v>#N/A</c:v>
                </c:pt>
              </c:numCache>
            </c:numRef>
          </c:val>
          <c:smooth val="0"/>
          <c:extLst xmlns:c16r2="http://schemas.microsoft.com/office/drawing/2015/06/chart">
            <c:ext xmlns:c16="http://schemas.microsoft.com/office/drawing/2014/chart" uri="{C3380CC4-5D6E-409C-BE32-E72D297353CC}">
              <c16:uniqueId val="{00000003-077B-4EC2-BBB1-1D4741D74831}"/>
            </c:ext>
          </c:extLst>
        </c:ser>
        <c:dLbls>
          <c:showLegendKey val="0"/>
          <c:showVal val="0"/>
          <c:showCatName val="0"/>
          <c:showSerName val="0"/>
          <c:showPercent val="0"/>
          <c:showBubbleSize val="0"/>
        </c:dLbls>
        <c:marker val="1"/>
        <c:smooth val="0"/>
        <c:axId val="231933960"/>
        <c:axId val="231934352"/>
      </c:lineChart>
      <c:catAx>
        <c:axId val="231933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4352"/>
        <c:crosses val="autoZero"/>
        <c:auto val="1"/>
        <c:lblAlgn val="ctr"/>
        <c:lblOffset val="100"/>
        <c:noMultiLvlLbl val="0"/>
      </c:catAx>
      <c:valAx>
        <c:axId val="231934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3960"/>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Calcs!$M$2</c:f>
          <c:strCache>
            <c:ptCount val="1"/>
            <c:pt idx="0">
              <c:v>Supply
(V)
From</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Calcs!$M$3:$M$14</c:f>
              <c:numCache>
                <c:formatCode>General</c:formatCode>
                <c:ptCount val="12"/>
                <c:pt idx="0">
                  <c:v>#N/A</c:v>
                </c:pt>
                <c:pt idx="1">
                  <c:v>#N/A</c:v>
                </c:pt>
                <c:pt idx="2">
                  <c:v>#N/A</c:v>
                </c:pt>
                <c:pt idx="3">
                  <c:v>#N/A</c:v>
                </c:pt>
                <c:pt idx="4">
                  <c:v>#N/A</c:v>
                </c:pt>
                <c:pt idx="5">
                  <c:v>#N/A</c:v>
                </c:pt>
                <c:pt idx="6">
                  <c:v>#N/A</c:v>
                </c:pt>
                <c:pt idx="7">
                  <c:v>3</c:v>
                </c:pt>
                <c:pt idx="8">
                  <c:v>3.3</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44A1-42CB-9614-469CFE00EE3F}"/>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Calcs!$M$15:$M$26</c:f>
              <c:numCache>
                <c:formatCode>General</c:formatCode>
                <c:ptCount val="12"/>
                <c:pt idx="0">
                  <c:v>#N/A</c:v>
                </c:pt>
                <c:pt idx="1">
                  <c:v>1.8</c:v>
                </c:pt>
                <c:pt idx="2">
                  <c:v>3</c:v>
                </c:pt>
                <c:pt idx="3">
                  <c:v>9</c:v>
                </c:pt>
                <c:pt idx="4">
                  <c:v>2.7</c:v>
                </c:pt>
                <c:pt idx="5">
                  <c:v>#N/A</c:v>
                </c:pt>
                <c:pt idx="6">
                  <c:v>#N/A</c:v>
                </c:pt>
                <c:pt idx="7">
                  <c:v>#N/A</c:v>
                </c:pt>
                <c:pt idx="8">
                  <c:v>3.3</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44A1-42CB-9614-469CFE00EE3F}"/>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Calcs!$AI$32:$AI$43</c:f>
              <c:numCache>
                <c:formatCode>General</c:formatCode>
                <c:ptCount val="12"/>
                <c:pt idx="0">
                  <c:v>#N/A</c:v>
                </c:pt>
                <c:pt idx="1">
                  <c:v>#N/A</c:v>
                </c:pt>
                <c:pt idx="2">
                  <c:v>#N/A</c:v>
                </c:pt>
                <c:pt idx="3">
                  <c:v>1.1000000000000001</c:v>
                </c:pt>
                <c:pt idx="4">
                  <c:v>1.98</c:v>
                </c:pt>
                <c:pt idx="5">
                  <c:v>#N/A</c:v>
                </c:pt>
                <c:pt idx="6">
                  <c:v>1.8</c:v>
                </c:pt>
                <c:pt idx="7">
                  <c:v>1.71</c:v>
                </c:pt>
                <c:pt idx="8">
                  <c:v>1.93</c:v>
                </c:pt>
                <c:pt idx="9">
                  <c:v>#N/A</c:v>
                </c:pt>
                <c:pt idx="10">
                  <c:v>1.8</c:v>
                </c:pt>
                <c:pt idx="11">
                  <c:v>#N/A</c:v>
                </c:pt>
              </c:numCache>
            </c:numRef>
          </c:val>
          <c:smooth val="0"/>
          <c:extLst xmlns:c16r2="http://schemas.microsoft.com/office/drawing/2015/06/chart">
            <c:ext xmlns:c16="http://schemas.microsoft.com/office/drawing/2014/chart" uri="{C3380CC4-5D6E-409C-BE32-E72D297353CC}">
              <c16:uniqueId val="{00000002-44A1-42CB-9614-469CFE00EE3F}"/>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Calcs!$AI$44:$AI$55</c:f>
              <c:numCache>
                <c:formatCode>General</c:formatCode>
                <c:ptCount val="12"/>
                <c:pt idx="0">
                  <c:v>#N/A</c:v>
                </c:pt>
                <c:pt idx="1">
                  <c:v>#N/A</c:v>
                </c:pt>
                <c:pt idx="2">
                  <c:v>#N/A</c:v>
                </c:pt>
                <c:pt idx="3">
                  <c:v>#N/A</c:v>
                </c:pt>
                <c:pt idx="4">
                  <c:v>#N/A</c:v>
                </c:pt>
                <c:pt idx="5">
                  <c:v>#N/A</c:v>
                </c:pt>
                <c:pt idx="6">
                  <c:v>#N/A</c:v>
                </c:pt>
                <c:pt idx="7">
                  <c:v>1.9</c:v>
                </c:pt>
                <c:pt idx="8">
                  <c:v>1.88</c:v>
                </c:pt>
                <c:pt idx="9">
                  <c:v>2.355</c:v>
                </c:pt>
                <c:pt idx="10">
                  <c:v>2.0200000000000005</c:v>
                </c:pt>
                <c:pt idx="11">
                  <c:v>#N/A</c:v>
                </c:pt>
              </c:numCache>
            </c:numRef>
          </c:val>
          <c:smooth val="0"/>
          <c:extLst xmlns:c16r2="http://schemas.microsoft.com/office/drawing/2015/06/chart">
            <c:ext xmlns:c16="http://schemas.microsoft.com/office/drawing/2014/chart" uri="{C3380CC4-5D6E-409C-BE32-E72D297353CC}">
              <c16:uniqueId val="{00000003-44A1-42CB-9614-469CFE00EE3F}"/>
            </c:ext>
          </c:extLst>
        </c:ser>
        <c:dLbls>
          <c:showLegendKey val="0"/>
          <c:showVal val="0"/>
          <c:showCatName val="0"/>
          <c:showSerName val="0"/>
          <c:showPercent val="0"/>
          <c:showBubbleSize val="0"/>
        </c:dLbls>
        <c:marker val="1"/>
        <c:smooth val="0"/>
        <c:axId val="231934744"/>
        <c:axId val="231935136"/>
      </c:lineChart>
      <c:catAx>
        <c:axId val="231934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5136"/>
        <c:crosses val="autoZero"/>
        <c:auto val="1"/>
        <c:lblAlgn val="ctr"/>
        <c:lblOffset val="100"/>
        <c:noMultiLvlLbl val="0"/>
      </c:catAx>
      <c:valAx>
        <c:axId val="231935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4744"/>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Calcs!$N$2</c:f>
          <c:strCache>
            <c:ptCount val="1"/>
            <c:pt idx="0">
              <c:v>Supply
(V)
To</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Calcs!$N$3:$N$14</c:f>
              <c:numCache>
                <c:formatCode>General</c:formatCode>
                <c:ptCount val="12"/>
                <c:pt idx="0">
                  <c:v>#N/A</c:v>
                </c:pt>
                <c:pt idx="1">
                  <c:v>#N/A</c:v>
                </c:pt>
                <c:pt idx="2">
                  <c:v>#N/A</c:v>
                </c:pt>
                <c:pt idx="3">
                  <c:v>#N/A</c:v>
                </c:pt>
                <c:pt idx="4">
                  <c:v>#N/A</c:v>
                </c:pt>
                <c:pt idx="5">
                  <c:v>#N/A</c:v>
                </c:pt>
                <c:pt idx="6">
                  <c:v>#N/A</c:v>
                </c:pt>
                <c:pt idx="7">
                  <c:v>3</c:v>
                </c:pt>
                <c:pt idx="8">
                  <c:v>3.3</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31F8-49CF-92FB-4A5F55E5DBA0}"/>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Calcs!$N$15:$N$26</c:f>
              <c:numCache>
                <c:formatCode>General</c:formatCode>
                <c:ptCount val="12"/>
                <c:pt idx="0">
                  <c:v>#N/A</c:v>
                </c:pt>
                <c:pt idx="1">
                  <c:v>3.6</c:v>
                </c:pt>
                <c:pt idx="2">
                  <c:v>3</c:v>
                </c:pt>
                <c:pt idx="3">
                  <c:v>42</c:v>
                </c:pt>
                <c:pt idx="4">
                  <c:v>3.45</c:v>
                </c:pt>
                <c:pt idx="5">
                  <c:v>#N/A</c:v>
                </c:pt>
                <c:pt idx="6">
                  <c:v>#N/A</c:v>
                </c:pt>
                <c:pt idx="7">
                  <c:v>#N/A</c:v>
                </c:pt>
                <c:pt idx="8">
                  <c:v>3.3</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31F8-49CF-92FB-4A5F55E5DBA0}"/>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Calcs!$AJ$32:$AJ$43</c:f>
              <c:numCache>
                <c:formatCode>General</c:formatCode>
                <c:ptCount val="12"/>
                <c:pt idx="0">
                  <c:v>#N/A</c:v>
                </c:pt>
                <c:pt idx="1">
                  <c:v>#N/A</c:v>
                </c:pt>
                <c:pt idx="2">
                  <c:v>#N/A</c:v>
                </c:pt>
                <c:pt idx="3">
                  <c:v>1.1000000000000001</c:v>
                </c:pt>
                <c:pt idx="4">
                  <c:v>3.8</c:v>
                </c:pt>
                <c:pt idx="5">
                  <c:v>#N/A</c:v>
                </c:pt>
                <c:pt idx="6">
                  <c:v>3.6666666666666665</c:v>
                </c:pt>
                <c:pt idx="7">
                  <c:v>3.6</c:v>
                </c:pt>
                <c:pt idx="8">
                  <c:v>3.6666666666666665</c:v>
                </c:pt>
                <c:pt idx="9">
                  <c:v>#N/A</c:v>
                </c:pt>
                <c:pt idx="10">
                  <c:v>3.8</c:v>
                </c:pt>
                <c:pt idx="11">
                  <c:v>#N/A</c:v>
                </c:pt>
              </c:numCache>
            </c:numRef>
          </c:val>
          <c:smooth val="0"/>
          <c:extLst xmlns:c16r2="http://schemas.microsoft.com/office/drawing/2015/06/chart">
            <c:ext xmlns:c16="http://schemas.microsoft.com/office/drawing/2014/chart" uri="{C3380CC4-5D6E-409C-BE32-E72D297353CC}">
              <c16:uniqueId val="{00000002-31F8-49CF-92FB-4A5F55E5DBA0}"/>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Calcs!$AJ$44:$AJ$55</c:f>
              <c:numCache>
                <c:formatCode>General</c:formatCode>
                <c:ptCount val="12"/>
                <c:pt idx="0">
                  <c:v>#N/A</c:v>
                </c:pt>
                <c:pt idx="1">
                  <c:v>#N/A</c:v>
                </c:pt>
                <c:pt idx="2">
                  <c:v>#N/A</c:v>
                </c:pt>
                <c:pt idx="3">
                  <c:v>#N/A</c:v>
                </c:pt>
                <c:pt idx="4">
                  <c:v>#N/A</c:v>
                </c:pt>
                <c:pt idx="5">
                  <c:v>#N/A</c:v>
                </c:pt>
                <c:pt idx="6">
                  <c:v>#N/A</c:v>
                </c:pt>
                <c:pt idx="7">
                  <c:v>3.6</c:v>
                </c:pt>
                <c:pt idx="8">
                  <c:v>4.0750000000000002</c:v>
                </c:pt>
                <c:pt idx="9">
                  <c:v>3.55</c:v>
                </c:pt>
                <c:pt idx="10">
                  <c:v>3.9</c:v>
                </c:pt>
                <c:pt idx="11">
                  <c:v>#N/A</c:v>
                </c:pt>
              </c:numCache>
            </c:numRef>
          </c:val>
          <c:smooth val="0"/>
          <c:extLst xmlns:c16r2="http://schemas.microsoft.com/office/drawing/2015/06/chart">
            <c:ext xmlns:c16="http://schemas.microsoft.com/office/drawing/2014/chart" uri="{C3380CC4-5D6E-409C-BE32-E72D297353CC}">
              <c16:uniqueId val="{00000003-31F8-49CF-92FB-4A5F55E5DBA0}"/>
            </c:ext>
          </c:extLst>
        </c:ser>
        <c:dLbls>
          <c:showLegendKey val="0"/>
          <c:showVal val="0"/>
          <c:showCatName val="0"/>
          <c:showSerName val="0"/>
          <c:showPercent val="0"/>
          <c:showBubbleSize val="0"/>
        </c:dLbls>
        <c:marker val="1"/>
        <c:smooth val="0"/>
        <c:axId val="231935920"/>
        <c:axId val="231936312"/>
      </c:lineChart>
      <c:catAx>
        <c:axId val="231935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6312"/>
        <c:crosses val="autoZero"/>
        <c:auto val="1"/>
        <c:lblAlgn val="ctr"/>
        <c:lblOffset val="100"/>
        <c:noMultiLvlLbl val="0"/>
      </c:catAx>
      <c:valAx>
        <c:axId val="231936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5920"/>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Calcs!$V$2</c:f>
          <c:strCache>
            <c:ptCount val="1"/>
            <c:pt idx="0">
              <c:v>Active
Pwr(W)</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Calcs!$V$3:$V$14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9A2D-4052-B173-DE6061326A9F}"/>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Calcs!$V$15:$V$26</c:f>
              <c:numCache>
                <c:formatCode>General</c:formatCode>
                <c:ptCount val="12"/>
                <c:pt idx="0">
                  <c:v>#N/A</c:v>
                </c:pt>
                <c:pt idx="1">
                  <c:v>0.10311300000000001</c:v>
                </c:pt>
                <c:pt idx="2">
                  <c:v>#N/A</c:v>
                </c:pt>
                <c:pt idx="3">
                  <c:v>4</c:v>
                </c:pt>
                <c:pt idx="4">
                  <c:v>0.12271244999999999</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9A2D-4052-B173-DE6061326A9F}"/>
            </c:ext>
          </c:extLst>
        </c:ser>
        <c:dLbls>
          <c:showLegendKey val="0"/>
          <c:showVal val="0"/>
          <c:showCatName val="0"/>
          <c:showSerName val="0"/>
          <c:showPercent val="0"/>
          <c:showBubbleSize val="0"/>
        </c:dLbls>
        <c:marker val="1"/>
        <c:smooth val="0"/>
        <c:axId val="231937096"/>
        <c:axId val="231937488"/>
      </c:lineChart>
      <c:catAx>
        <c:axId val="231937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7488"/>
        <c:crosses val="autoZero"/>
        <c:auto val="1"/>
        <c:lblAlgn val="ctr"/>
        <c:lblOffset val="100"/>
        <c:noMultiLvlLbl val="0"/>
      </c:catAx>
      <c:valAx>
        <c:axId val="231937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7096"/>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Calcs!$AP$31</c:f>
          <c:strCache>
            <c:ptCount val="1"/>
            <c:pt idx="0">
              <c:v>Max
Current
(mA)</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Calcs!$O$3:$O$14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EB08-40B9-8F69-B411BEB65B02}"/>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Calcs!$O$15:$O$26</c:f>
              <c:numCache>
                <c:formatCode>General</c:formatCode>
                <c:ptCount val="12"/>
                <c:pt idx="0">
                  <c:v>#N/A</c:v>
                </c:pt>
                <c:pt idx="1">
                  <c:v>0.39</c:v>
                </c:pt>
                <c:pt idx="2">
                  <c:v>#N/A</c:v>
                </c:pt>
                <c:pt idx="3">
                  <c:v>#N/A</c:v>
                </c:pt>
                <c:pt idx="4">
                  <c:v>5.9569999999999999</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EB08-40B9-8F69-B411BEB65B02}"/>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Calcs!$AP$32:$AP$43</c:f>
              <c:numCache>
                <c:formatCode>General</c:formatCode>
                <c:ptCount val="12"/>
                <c:pt idx="0">
                  <c:v>#N/A</c:v>
                </c:pt>
                <c:pt idx="1">
                  <c:v>#N/A</c:v>
                </c:pt>
                <c:pt idx="2">
                  <c:v>#N/A</c:v>
                </c:pt>
                <c:pt idx="3">
                  <c:v>#N/A</c:v>
                </c:pt>
                <c:pt idx="4">
                  <c:v>5.8010000000000002</c:v>
                </c:pt>
                <c:pt idx="5">
                  <c:v>#N/A</c:v>
                </c:pt>
                <c:pt idx="6">
                  <c:v>12.077</c:v>
                </c:pt>
                <c:pt idx="7">
                  <c:v>7.7</c:v>
                </c:pt>
                <c:pt idx="8">
                  <c:v>141.7765</c:v>
                </c:pt>
                <c:pt idx="9">
                  <c:v>#N/A</c:v>
                </c:pt>
                <c:pt idx="10">
                  <c:v>29.027900000000002</c:v>
                </c:pt>
                <c:pt idx="11">
                  <c:v>#N/A</c:v>
                </c:pt>
              </c:numCache>
            </c:numRef>
          </c:val>
          <c:smooth val="0"/>
          <c:extLst xmlns:c16r2="http://schemas.microsoft.com/office/drawing/2015/06/chart">
            <c:ext xmlns:c16="http://schemas.microsoft.com/office/drawing/2014/chart" uri="{C3380CC4-5D6E-409C-BE32-E72D297353CC}">
              <c16:uniqueId val="{00000002-EB08-40B9-8F69-B411BEB65B02}"/>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Calcs!$AP$44:$AP$55</c:f>
              <c:numCache>
                <c:formatCode>General</c:formatCode>
                <c:ptCount val="12"/>
                <c:pt idx="0">
                  <c:v>#N/A</c:v>
                </c:pt>
                <c:pt idx="1">
                  <c:v>#N/A</c:v>
                </c:pt>
                <c:pt idx="2">
                  <c:v>#N/A</c:v>
                </c:pt>
                <c:pt idx="3">
                  <c:v>#N/A</c:v>
                </c:pt>
                <c:pt idx="4">
                  <c:v>#N/A</c:v>
                </c:pt>
                <c:pt idx="5">
                  <c:v>#N/A</c:v>
                </c:pt>
                <c:pt idx="6">
                  <c:v>#N/A</c:v>
                </c:pt>
                <c:pt idx="7">
                  <c:v>1.9</c:v>
                </c:pt>
                <c:pt idx="8">
                  <c:v>3.4509249999999998</c:v>
                </c:pt>
                <c:pt idx="9">
                  <c:v>3.2250000000000001</c:v>
                </c:pt>
                <c:pt idx="10">
                  <c:v>2.4460000000000002</c:v>
                </c:pt>
                <c:pt idx="11">
                  <c:v>#N/A</c:v>
                </c:pt>
              </c:numCache>
            </c:numRef>
          </c:val>
          <c:smooth val="0"/>
          <c:extLst xmlns:c16r2="http://schemas.microsoft.com/office/drawing/2015/06/chart">
            <c:ext xmlns:c16="http://schemas.microsoft.com/office/drawing/2014/chart" uri="{C3380CC4-5D6E-409C-BE32-E72D297353CC}">
              <c16:uniqueId val="{00000003-EB08-40B9-8F69-B411BEB65B02}"/>
            </c:ext>
          </c:extLst>
        </c:ser>
        <c:dLbls>
          <c:showLegendKey val="0"/>
          <c:showVal val="0"/>
          <c:showCatName val="0"/>
          <c:showSerName val="0"/>
          <c:showPercent val="0"/>
          <c:showBubbleSize val="0"/>
        </c:dLbls>
        <c:marker val="1"/>
        <c:smooth val="0"/>
        <c:axId val="231938272"/>
        <c:axId val="231938664"/>
      </c:lineChart>
      <c:catAx>
        <c:axId val="2319382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8664"/>
        <c:crosses val="autoZero"/>
        <c:auto val="1"/>
        <c:lblAlgn val="ctr"/>
        <c:lblOffset val="100"/>
        <c:noMultiLvlLbl val="0"/>
      </c:catAx>
      <c:valAx>
        <c:axId val="231938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8272"/>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Calcs!$W$2</c:f>
          <c:strCache>
            <c:ptCount val="1"/>
            <c:pt idx="0">
              <c:v>Sleep
Pwr(W)</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Calcs!$W$3:$W$14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4139-4E7B-B118-AD49305B0766}"/>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Calcs!$W$15:$W$26</c:f>
              <c:numCache>
                <c:formatCode>General</c:formatCode>
                <c:ptCount val="12"/>
                <c:pt idx="0">
                  <c:v>#N/A</c:v>
                </c:pt>
                <c:pt idx="1">
                  <c:v>1.26E-6</c:v>
                </c:pt>
                <c:pt idx="2">
                  <c:v>2.0999999999999998E-6</c:v>
                </c:pt>
                <c:pt idx="3">
                  <c:v>#N/A</c:v>
                </c:pt>
                <c:pt idx="4">
                  <c:v>5.8425000000000004E-5</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4139-4E7B-B118-AD49305B0766}"/>
            </c:ext>
          </c:extLst>
        </c:ser>
        <c:dLbls>
          <c:showLegendKey val="0"/>
          <c:showVal val="0"/>
          <c:showCatName val="0"/>
          <c:showSerName val="0"/>
          <c:showPercent val="0"/>
          <c:showBubbleSize val="0"/>
        </c:dLbls>
        <c:marker val="1"/>
        <c:smooth val="0"/>
        <c:axId val="231939448"/>
        <c:axId val="231939840"/>
      </c:lineChart>
      <c:catAx>
        <c:axId val="231939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9840"/>
        <c:crosses val="autoZero"/>
        <c:auto val="1"/>
        <c:lblAlgn val="ctr"/>
        <c:lblOffset val="100"/>
        <c:noMultiLvlLbl val="0"/>
      </c:catAx>
      <c:valAx>
        <c:axId val="231939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39448"/>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Calcs!$AQ$31</c:f>
          <c:strCache>
            <c:ptCount val="1"/>
            <c:pt idx="0">
              <c:v>Idle
Current
(μA)</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2"/>
          <c:order val="0"/>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Calcs!$AQ$32:$AQ$43</c:f>
              <c:numCache>
                <c:formatCode>General</c:formatCode>
                <c:ptCount val="12"/>
                <c:pt idx="0">
                  <c:v>#N/A</c:v>
                </c:pt>
                <c:pt idx="1">
                  <c:v>#N/A</c:v>
                </c:pt>
                <c:pt idx="2">
                  <c:v>#N/A</c:v>
                </c:pt>
                <c:pt idx="3">
                  <c:v>#N/A</c:v>
                </c:pt>
                <c:pt idx="4">
                  <c:v>1</c:v>
                </c:pt>
                <c:pt idx="5">
                  <c:v>#N/A</c:v>
                </c:pt>
                <c:pt idx="6">
                  <c:v>208.98333333333335</c:v>
                </c:pt>
                <c:pt idx="7">
                  <c:v>#N/A</c:v>
                </c:pt>
                <c:pt idx="8">
                  <c:v>375.45</c:v>
                </c:pt>
                <c:pt idx="9">
                  <c:v>#N/A</c:v>
                </c:pt>
                <c:pt idx="10">
                  <c:v>550</c:v>
                </c:pt>
                <c:pt idx="11">
                  <c:v>#N/A</c:v>
                </c:pt>
              </c:numCache>
            </c:numRef>
          </c:val>
          <c:smooth val="0"/>
          <c:extLst xmlns:c16r2="http://schemas.microsoft.com/office/drawing/2015/06/chart">
            <c:ext xmlns:c16="http://schemas.microsoft.com/office/drawing/2014/chart" uri="{C3380CC4-5D6E-409C-BE32-E72D297353CC}">
              <c16:uniqueId val="{00000002-8487-449F-B00B-F1A9A988F4F9}"/>
            </c:ext>
          </c:extLst>
        </c:ser>
        <c:ser>
          <c:idx val="3"/>
          <c:order val="1"/>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Calcs!$AQ$44:$AQ$55</c:f>
              <c:numCache>
                <c:formatCode>General</c:formatCode>
                <c:ptCount val="12"/>
                <c:pt idx="0">
                  <c:v>#N/A</c:v>
                </c:pt>
                <c:pt idx="1">
                  <c:v>#N/A</c:v>
                </c:pt>
                <c:pt idx="2">
                  <c:v>#N/A</c:v>
                </c:pt>
                <c:pt idx="3">
                  <c:v>#N/A</c:v>
                </c:pt>
                <c:pt idx="4">
                  <c:v>#N/A</c:v>
                </c:pt>
                <c:pt idx="5">
                  <c:v>#N/A</c:v>
                </c:pt>
                <c:pt idx="6">
                  <c:v>#N/A</c:v>
                </c:pt>
                <c:pt idx="7">
                  <c:v>#N/A</c:v>
                </c:pt>
                <c:pt idx="8">
                  <c:v>10</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8487-449F-B00B-F1A9A988F4F9}"/>
            </c:ext>
          </c:extLst>
        </c:ser>
        <c:dLbls>
          <c:showLegendKey val="0"/>
          <c:showVal val="0"/>
          <c:showCatName val="0"/>
          <c:showSerName val="0"/>
          <c:showPercent val="0"/>
          <c:showBubbleSize val="0"/>
        </c:dLbls>
        <c:marker val="1"/>
        <c:smooth val="0"/>
        <c:axId val="232628104"/>
        <c:axId val="232628496"/>
      </c:lineChart>
      <c:catAx>
        <c:axId val="232628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28496"/>
        <c:crosses val="autoZero"/>
        <c:auto val="1"/>
        <c:lblAlgn val="ctr"/>
        <c:lblOffset val="100"/>
        <c:noMultiLvlLbl val="0"/>
      </c:catAx>
      <c:valAx>
        <c:axId val="232628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28104"/>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Calcs!$AR$31</c:f>
          <c:strCache>
            <c:ptCount val="1"/>
            <c:pt idx="0">
              <c:v>Standby
Current
(μA)</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2"/>
          <c:order val="0"/>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Calcs!$AR$32:$AR$43</c:f>
              <c:numCache>
                <c:formatCode>General</c:formatCode>
                <c:ptCount val="12"/>
                <c:pt idx="0">
                  <c:v>#N/A</c:v>
                </c:pt>
                <c:pt idx="1">
                  <c:v>#N/A</c:v>
                </c:pt>
                <c:pt idx="2">
                  <c:v>#N/A</c:v>
                </c:pt>
                <c:pt idx="3">
                  <c:v>#N/A</c:v>
                </c:pt>
                <c:pt idx="4">
                  <c:v>0.6</c:v>
                </c:pt>
                <c:pt idx="5">
                  <c:v>#N/A</c:v>
                </c:pt>
                <c:pt idx="6">
                  <c:v>113.55</c:v>
                </c:pt>
                <c:pt idx="7">
                  <c:v>#N/A</c:v>
                </c:pt>
                <c:pt idx="8">
                  <c:v>143.86666666666667</c:v>
                </c:pt>
                <c:pt idx="9">
                  <c:v>#N/A</c:v>
                </c:pt>
                <c:pt idx="10">
                  <c:v>412.75</c:v>
                </c:pt>
                <c:pt idx="11">
                  <c:v>#N/A</c:v>
                </c:pt>
              </c:numCache>
            </c:numRef>
          </c:val>
          <c:smooth val="0"/>
          <c:extLst xmlns:c16r2="http://schemas.microsoft.com/office/drawing/2015/06/chart">
            <c:ext xmlns:c16="http://schemas.microsoft.com/office/drawing/2014/chart" uri="{C3380CC4-5D6E-409C-BE32-E72D297353CC}">
              <c16:uniqueId val="{00000002-8AED-41E8-AB4A-5F837E140AA2}"/>
            </c:ext>
          </c:extLst>
        </c:ser>
        <c:ser>
          <c:idx val="3"/>
          <c:order val="1"/>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Calcs!$AR$44:$AR$55</c:f>
              <c:numCache>
                <c:formatCode>General</c:formatCode>
                <c:ptCount val="12"/>
                <c:pt idx="0">
                  <c:v>#N/A</c:v>
                </c:pt>
                <c:pt idx="1">
                  <c:v>#N/A</c:v>
                </c:pt>
                <c:pt idx="2">
                  <c:v>#N/A</c:v>
                </c:pt>
                <c:pt idx="3">
                  <c:v>#N/A</c:v>
                </c:pt>
                <c:pt idx="4">
                  <c:v>#N/A</c:v>
                </c:pt>
                <c:pt idx="5">
                  <c:v>#N/A</c:v>
                </c:pt>
                <c:pt idx="6">
                  <c:v>#N/A</c:v>
                </c:pt>
                <c:pt idx="7">
                  <c:v>#N/A</c:v>
                </c:pt>
                <c:pt idx="8">
                  <c:v>1.2666666666666666</c:v>
                </c:pt>
                <c:pt idx="9">
                  <c:v>35.700000000000003</c:v>
                </c:pt>
                <c:pt idx="10">
                  <c:v>2.9</c:v>
                </c:pt>
                <c:pt idx="11">
                  <c:v>#N/A</c:v>
                </c:pt>
              </c:numCache>
            </c:numRef>
          </c:val>
          <c:smooth val="0"/>
          <c:extLst xmlns:c16r2="http://schemas.microsoft.com/office/drawing/2015/06/chart">
            <c:ext xmlns:c16="http://schemas.microsoft.com/office/drawing/2014/chart" uri="{C3380CC4-5D6E-409C-BE32-E72D297353CC}">
              <c16:uniqueId val="{00000003-8AED-41E8-AB4A-5F837E140AA2}"/>
            </c:ext>
          </c:extLst>
        </c:ser>
        <c:dLbls>
          <c:showLegendKey val="0"/>
          <c:showVal val="0"/>
          <c:showCatName val="0"/>
          <c:showSerName val="0"/>
          <c:showPercent val="0"/>
          <c:showBubbleSize val="0"/>
        </c:dLbls>
        <c:marker val="1"/>
        <c:smooth val="0"/>
        <c:axId val="232629280"/>
        <c:axId val="232629672"/>
      </c:lineChart>
      <c:catAx>
        <c:axId val="232629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29672"/>
        <c:crosses val="autoZero"/>
        <c:auto val="1"/>
        <c:lblAlgn val="ctr"/>
        <c:lblOffset val="100"/>
        <c:noMultiLvlLbl val="0"/>
      </c:catAx>
      <c:valAx>
        <c:axId val="232629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29280"/>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Calcs!$X$2</c:f>
          <c:strCache>
            <c:ptCount val="1"/>
            <c:pt idx="0">
              <c:v>Pwr (mW),
Duty Cycl</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Calcs!$X$3:$X$14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CD4A-444D-84AF-87AED93FE8FF}"/>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Calcs!$X$15:$X$26</c:f>
              <c:numCache>
                <c:formatCode>General</c:formatCode>
                <c:ptCount val="12"/>
                <c:pt idx="0">
                  <c:v>#N/A</c:v>
                </c:pt>
                <c:pt idx="1">
                  <c:v>1.0323774000000001</c:v>
                </c:pt>
                <c:pt idx="2">
                  <c:v>#N/A</c:v>
                </c:pt>
                <c:pt idx="3">
                  <c:v>40</c:v>
                </c:pt>
                <c:pt idx="4">
                  <c:v>1.2849652499999999</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CD4A-444D-84AF-87AED93FE8FF}"/>
            </c:ext>
          </c:extLst>
        </c:ser>
        <c:dLbls>
          <c:showLegendKey val="0"/>
          <c:showVal val="0"/>
          <c:showCatName val="0"/>
          <c:showSerName val="0"/>
          <c:showPercent val="0"/>
          <c:showBubbleSize val="0"/>
        </c:dLbls>
        <c:marker val="1"/>
        <c:smooth val="0"/>
        <c:axId val="232630456"/>
        <c:axId val="232630848"/>
      </c:lineChart>
      <c:catAx>
        <c:axId val="232630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0848"/>
        <c:crosses val="autoZero"/>
        <c:auto val="1"/>
        <c:lblAlgn val="ctr"/>
        <c:lblOffset val="100"/>
        <c:noMultiLvlLbl val="0"/>
      </c:catAx>
      <c:valAx>
        <c:axId val="232630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0456"/>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Calcs!$BB$31</c:f>
          <c:strCache>
            <c:ptCount val="1"/>
            <c:pt idx="0">
              <c:v>Power (mW)
@ Duty
Cycle
@3 V</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2"/>
          <c:order val="0"/>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Calcs!$BB$32:$BB$43</c:f>
              <c:numCache>
                <c:formatCode>General</c:formatCode>
                <c:ptCount val="12"/>
                <c:pt idx="0">
                  <c:v>#N/A</c:v>
                </c:pt>
                <c:pt idx="1">
                  <c:v>#N/A</c:v>
                </c:pt>
                <c:pt idx="2">
                  <c:v>#N/A</c:v>
                </c:pt>
                <c:pt idx="3">
                  <c:v>#N/A</c:v>
                </c:pt>
                <c:pt idx="4">
                  <c:v>0.152502</c:v>
                </c:pt>
                <c:pt idx="5">
                  <c:v>#N/A</c:v>
                </c:pt>
                <c:pt idx="6">
                  <c:v>0.36424050000000002</c:v>
                </c:pt>
                <c:pt idx="7">
                  <c:v>0.23099999999999998</c:v>
                </c:pt>
                <c:pt idx="8">
                  <c:v>0.16837199999999999</c:v>
                </c:pt>
                <c:pt idx="9">
                  <c:v>#N/A</c:v>
                </c:pt>
                <c:pt idx="10">
                  <c:v>2.0967044999999995</c:v>
                </c:pt>
                <c:pt idx="11">
                  <c:v>#N/A</c:v>
                </c:pt>
              </c:numCache>
            </c:numRef>
          </c:val>
          <c:smooth val="0"/>
          <c:extLst xmlns:c16r2="http://schemas.microsoft.com/office/drawing/2015/06/chart">
            <c:ext xmlns:c16="http://schemas.microsoft.com/office/drawing/2014/chart" uri="{C3380CC4-5D6E-409C-BE32-E72D297353CC}">
              <c16:uniqueId val="{00000002-E916-41EC-9D86-8D54B5D50F30}"/>
            </c:ext>
          </c:extLst>
        </c:ser>
        <c:ser>
          <c:idx val="3"/>
          <c:order val="1"/>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Calcs!$BB$44:$BB$55</c:f>
              <c:numCache>
                <c:formatCode>General</c:formatCode>
                <c:ptCount val="12"/>
                <c:pt idx="0">
                  <c:v>#N/A</c:v>
                </c:pt>
                <c:pt idx="1">
                  <c:v>#N/A</c:v>
                </c:pt>
                <c:pt idx="2">
                  <c:v>#N/A</c:v>
                </c:pt>
                <c:pt idx="3">
                  <c:v>#N/A</c:v>
                </c:pt>
                <c:pt idx="4">
                  <c:v>#N/A</c:v>
                </c:pt>
                <c:pt idx="5">
                  <c:v>#N/A</c:v>
                </c:pt>
                <c:pt idx="6">
                  <c:v>#N/A</c:v>
                </c:pt>
                <c:pt idx="7">
                  <c:v>5.6999999999999995E-2</c:v>
                </c:pt>
                <c:pt idx="8">
                  <c:v>0.10634925000000001</c:v>
                </c:pt>
                <c:pt idx="9">
                  <c:v>0.20277899999999999</c:v>
                </c:pt>
                <c:pt idx="10">
                  <c:v>8.0270400000000006E-2</c:v>
                </c:pt>
                <c:pt idx="11">
                  <c:v>#N/A</c:v>
                </c:pt>
              </c:numCache>
            </c:numRef>
          </c:val>
          <c:smooth val="0"/>
          <c:extLst xmlns:c16r2="http://schemas.microsoft.com/office/drawing/2015/06/chart">
            <c:ext xmlns:c16="http://schemas.microsoft.com/office/drawing/2014/chart" uri="{C3380CC4-5D6E-409C-BE32-E72D297353CC}">
              <c16:uniqueId val="{00000003-E916-41EC-9D86-8D54B5D50F30}"/>
            </c:ext>
          </c:extLst>
        </c:ser>
        <c:dLbls>
          <c:showLegendKey val="0"/>
          <c:showVal val="0"/>
          <c:showCatName val="0"/>
          <c:showSerName val="0"/>
          <c:showPercent val="0"/>
          <c:showBubbleSize val="0"/>
        </c:dLbls>
        <c:marker val="1"/>
        <c:smooth val="0"/>
        <c:axId val="232632024"/>
        <c:axId val="232632416"/>
      </c:lineChart>
      <c:catAx>
        <c:axId val="232632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2416"/>
        <c:crosses val="autoZero"/>
        <c:auto val="1"/>
        <c:lblAlgn val="ctr"/>
        <c:lblOffset val="100"/>
        <c:noMultiLvlLbl val="0"/>
      </c:catAx>
      <c:valAx>
        <c:axId val="232632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2024"/>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223009345198754E-2"/>
          <c:y val="4.8215597324377746E-2"/>
          <c:w val="0.92361921375716427"/>
          <c:h val="0.85612596194263324"/>
        </c:manualLayout>
      </c:layout>
      <c:barChart>
        <c:barDir val="col"/>
        <c:grouping val="clustered"/>
        <c:varyColors val="0"/>
        <c:ser>
          <c:idx val="0"/>
          <c:order val="0"/>
          <c:tx>
            <c:v>Resolution</c:v>
          </c:tx>
          <c:invertIfNegative val="0"/>
          <c:cat>
            <c:numRef>
              <c:f>Hists!$B$701:$B$728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Hists!$K$701:$K$728</c:f>
              <c:numCache>
                <c:formatCode>0.00</c:formatCode>
                <c:ptCount val="28"/>
                <c:pt idx="0">
                  <c:v>0</c:v>
                </c:pt>
                <c:pt idx="1">
                  <c:v>0</c:v>
                </c:pt>
                <c:pt idx="2">
                  <c:v>0</c:v>
                </c:pt>
                <c:pt idx="3">
                  <c:v>0</c:v>
                </c:pt>
                <c:pt idx="4">
                  <c:v>49.999999998333337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5F93-49BE-A39F-0DF493F2C0A3}"/>
            </c:ext>
          </c:extLst>
        </c:ser>
        <c:ser>
          <c:idx val="1"/>
          <c:order val="1"/>
          <c:tx>
            <c:v>Accuracy</c:v>
          </c:tx>
          <c:invertIfNegative val="0"/>
          <c:cat>
            <c:numRef>
              <c:f>Hists!$B$701:$B$728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Hists!$L$701:$L$728</c:f>
              <c:numCache>
                <c:formatCode>0.00</c:formatCode>
                <c:ptCount val="28"/>
                <c:pt idx="0">
                  <c:v>0</c:v>
                </c:pt>
                <c:pt idx="1">
                  <c:v>0</c:v>
                </c:pt>
                <c:pt idx="2">
                  <c:v>0</c:v>
                </c:pt>
                <c:pt idx="3">
                  <c:v>0</c:v>
                </c:pt>
                <c:pt idx="4">
                  <c:v>0</c:v>
                </c:pt>
                <c:pt idx="5">
                  <c:v>0</c:v>
                </c:pt>
                <c:pt idx="6">
                  <c:v>0</c:v>
                </c:pt>
                <c:pt idx="7">
                  <c:v>0</c:v>
                </c:pt>
                <c:pt idx="8">
                  <c:v>49.999999998333337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5F93-49BE-A39F-0DF493F2C0A3}"/>
            </c:ext>
          </c:extLst>
        </c:ser>
        <c:dLbls>
          <c:showLegendKey val="0"/>
          <c:showVal val="0"/>
          <c:showCatName val="0"/>
          <c:showSerName val="0"/>
          <c:showPercent val="0"/>
          <c:showBubbleSize val="0"/>
        </c:dLbls>
        <c:gapWidth val="150"/>
        <c:axId val="216596832"/>
        <c:axId val="216597224"/>
      </c:barChart>
      <c:catAx>
        <c:axId val="216596832"/>
        <c:scaling>
          <c:orientation val="minMax"/>
        </c:scaling>
        <c:delete val="0"/>
        <c:axPos val="b"/>
        <c:title>
          <c:tx>
            <c:rich>
              <a:bodyPr/>
              <a:lstStyle/>
              <a:p>
                <a:pPr>
                  <a:defRPr/>
                </a:pPr>
                <a:r>
                  <a:rPr lang="en-US"/>
                  <a:t>Bits</a:t>
                </a:r>
              </a:p>
            </c:rich>
          </c:tx>
          <c:overlay val="0"/>
        </c:title>
        <c:numFmt formatCode="General" sourceLinked="1"/>
        <c:majorTickMark val="out"/>
        <c:minorTickMark val="none"/>
        <c:tickLblPos val="nextTo"/>
        <c:txPr>
          <a:bodyPr rot="5400000" vert="horz"/>
          <a:lstStyle/>
          <a:p>
            <a:pPr>
              <a:defRPr/>
            </a:pPr>
            <a:endParaRPr lang="en-US"/>
          </a:p>
        </c:txPr>
        <c:crossAx val="216597224"/>
        <c:crosses val="autoZero"/>
        <c:auto val="1"/>
        <c:lblAlgn val="ctr"/>
        <c:lblOffset val="100"/>
        <c:noMultiLvlLbl val="0"/>
      </c:catAx>
      <c:valAx>
        <c:axId val="216597224"/>
        <c:scaling>
          <c:orientation val="minMax"/>
          <c:max val="55"/>
          <c:min val="0"/>
        </c:scaling>
        <c:delete val="0"/>
        <c:axPos val="l"/>
        <c:majorGridlines/>
        <c:numFmt formatCode="0" sourceLinked="0"/>
        <c:majorTickMark val="out"/>
        <c:minorTickMark val="none"/>
        <c:tickLblPos val="nextTo"/>
        <c:crossAx val="216596832"/>
        <c:crosses val="autoZero"/>
        <c:crossBetween val="between"/>
      </c:valAx>
    </c:plotArea>
    <c:legend>
      <c:legendPos val="r"/>
      <c:layout>
        <c:manualLayout>
          <c:xMode val="edge"/>
          <c:yMode val="edge"/>
          <c:x val="0.48699936720923276"/>
          <c:y val="0.45551494383607666"/>
          <c:w val="9.4224304702227216E-2"/>
          <c:h val="6.6804161497277983E-2"/>
        </c:manualLayout>
      </c:layout>
      <c:overlay val="0"/>
      <c:spPr>
        <a:solidFill>
          <a:schemeClr val="bg1"/>
        </a:solidFill>
      </c:spPr>
    </c:legend>
    <c:plotVisOnly val="1"/>
    <c:dispBlanksAs val="gap"/>
    <c:showDLblsOverMax val="0"/>
  </c:chart>
  <c:printSettings>
    <c:headerFooter/>
    <c:pageMargins b="0.75" l="0.7" r="0.7" t="0.75" header="0.3" footer="0.3"/>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Calcs!$S$2</c:f>
          <c:strCache>
            <c:ptCount val="1"/>
            <c:pt idx="0">
              <c:v>Battery
Cap (J)</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Calcs!$D$3:$D$14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D719-409E-B1A8-0FBE8DD408F0}"/>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Calcs!$S$15:$S$26</c:f>
              <c:numCache>
                <c:formatCode>General</c:formatCode>
                <c:ptCount val="12"/>
                <c:pt idx="0">
                  <c:v>#N/A</c:v>
                </c:pt>
                <c:pt idx="1">
                  <c:v>58320.000000000007</c:v>
                </c:pt>
                <c:pt idx="2">
                  <c:v>64800</c:v>
                </c:pt>
                <c:pt idx="3">
                  <c:v>#N/A</c:v>
                </c:pt>
                <c:pt idx="4">
                  <c:v>43092</c:v>
                </c:pt>
                <c:pt idx="5">
                  <c:v>#N/A</c:v>
                </c:pt>
                <c:pt idx="6">
                  <c:v>#N/A</c:v>
                </c:pt>
                <c:pt idx="7">
                  <c:v>#N/A</c:v>
                </c:pt>
                <c:pt idx="8">
                  <c:v>9504</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D719-409E-B1A8-0FBE8DD408F0}"/>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Calcs!$AX$32:$AX$43</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D719-409E-B1A8-0FBE8DD408F0}"/>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Calcs!$AX$44:$AX$55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D719-409E-B1A8-0FBE8DD408F0}"/>
            </c:ext>
          </c:extLst>
        </c:ser>
        <c:dLbls>
          <c:showLegendKey val="0"/>
          <c:showVal val="0"/>
          <c:showCatName val="0"/>
          <c:showSerName val="0"/>
          <c:showPercent val="0"/>
          <c:showBubbleSize val="0"/>
        </c:dLbls>
        <c:marker val="1"/>
        <c:smooth val="0"/>
        <c:axId val="232632808"/>
        <c:axId val="232633200"/>
      </c:lineChart>
      <c:catAx>
        <c:axId val="232632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3200"/>
        <c:crosses val="autoZero"/>
        <c:auto val="1"/>
        <c:lblAlgn val="ctr"/>
        <c:lblOffset val="100"/>
        <c:noMultiLvlLbl val="0"/>
      </c:catAx>
      <c:valAx>
        <c:axId val="232633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2808"/>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Calcs!$AA$2</c:f>
          <c:strCache>
            <c:ptCount val="1"/>
            <c:pt idx="0">
              <c:v>Lifetime
(Hours)
By vendor</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Calcs!$AA$3:$AA$14</c:f>
              <c:numCache>
                <c:formatCode>General</c:formatCode>
                <c:ptCount val="12"/>
                <c:pt idx="0">
                  <c:v>#N/A</c:v>
                </c:pt>
                <c:pt idx="1">
                  <c:v>#N/A</c:v>
                </c:pt>
                <c:pt idx="2">
                  <c:v>#N/A</c:v>
                </c:pt>
                <c:pt idx="3">
                  <c:v>#N/A</c:v>
                </c:pt>
                <c:pt idx="4">
                  <c:v>#N/A</c:v>
                </c:pt>
                <c:pt idx="5">
                  <c:v>#N/A</c:v>
                </c:pt>
                <c:pt idx="6">
                  <c:v>#N/A</c:v>
                </c:pt>
                <c:pt idx="7">
                  <c:v>288</c:v>
                </c:pt>
                <c:pt idx="8">
                  <c:v>8760</c:v>
                </c:pt>
                <c:pt idx="9">
                  <c:v>5760</c:v>
                </c:pt>
                <c:pt idx="10">
                  <c:v>#N/A</c:v>
                </c:pt>
                <c:pt idx="11">
                  <c:v>#N/A</c:v>
                </c:pt>
              </c:numCache>
            </c:numRef>
          </c:val>
          <c:smooth val="0"/>
          <c:extLst xmlns:c16r2="http://schemas.microsoft.com/office/drawing/2015/06/chart">
            <c:ext xmlns:c16="http://schemas.microsoft.com/office/drawing/2014/chart" uri="{C3380CC4-5D6E-409C-BE32-E72D297353CC}">
              <c16:uniqueId val="{00000000-02EC-4A45-A9C1-BF97B67B0E86}"/>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Calcs!$AA$15:$AA$26</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02EC-4A45-A9C1-BF97B67B0E86}"/>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Calcs!$BC$32:$BC$43</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02EC-4A45-A9C1-BF97B67B0E86}"/>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Calcs!$BC$44:$BC$55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02EC-4A45-A9C1-BF97B67B0E86}"/>
            </c:ext>
          </c:extLst>
        </c:ser>
        <c:dLbls>
          <c:showLegendKey val="0"/>
          <c:showVal val="0"/>
          <c:showCatName val="0"/>
          <c:showSerName val="0"/>
          <c:showPercent val="0"/>
          <c:showBubbleSize val="0"/>
        </c:dLbls>
        <c:marker val="1"/>
        <c:smooth val="0"/>
        <c:axId val="232633984"/>
        <c:axId val="232634376"/>
      </c:lineChart>
      <c:catAx>
        <c:axId val="232633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4376"/>
        <c:crosses val="autoZero"/>
        <c:auto val="1"/>
        <c:lblAlgn val="ctr"/>
        <c:lblOffset val="100"/>
        <c:noMultiLvlLbl val="0"/>
      </c:catAx>
      <c:valAx>
        <c:axId val="232634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3984"/>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Calcs!$AB$2</c:f>
          <c:strCache>
            <c:ptCount val="1"/>
            <c:pt idx="0">
              <c:v>Real Lifetime
@ Duty Cycle
(Hours)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Calcs!$AB$3:$AB$14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B67C-433D-A92B-BEBA994843FF}"/>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Calcs!$AB$15:$AB$26</c:f>
              <c:numCache>
                <c:formatCode>General</c:formatCode>
                <c:ptCount val="12"/>
                <c:pt idx="0">
                  <c:v>#N/A</c:v>
                </c:pt>
                <c:pt idx="1">
                  <c:v>15691.935914133728</c:v>
                </c:pt>
                <c:pt idx="2">
                  <c:v>#N/A</c:v>
                </c:pt>
                <c:pt idx="3">
                  <c:v>#N/A</c:v>
                </c:pt>
                <c:pt idx="4">
                  <c:v>9315.4270125203766</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B67C-433D-A92B-BEBA994843FF}"/>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Calcs!$BD$32:$BD$43</c:f>
              <c:numCache>
                <c:formatCode>General</c:formatCode>
                <c:ptCount val="12"/>
                <c:pt idx="0">
                  <c:v>#N/A</c:v>
                </c:pt>
                <c:pt idx="1">
                  <c:v>#N/A</c:v>
                </c:pt>
                <c:pt idx="2">
                  <c:v>#N/A</c:v>
                </c:pt>
                <c:pt idx="3">
                  <c:v>#N/A</c:v>
                </c:pt>
                <c:pt idx="4">
                  <c:v>4917.968288940473</c:v>
                </c:pt>
                <c:pt idx="5">
                  <c:v>#N/A</c:v>
                </c:pt>
                <c:pt idx="6">
                  <c:v>2059.0790974644497</c:v>
                </c:pt>
                <c:pt idx="7">
                  <c:v>3246.7532467532469</c:v>
                </c:pt>
                <c:pt idx="8">
                  <c:v>4454.4223505095861</c:v>
                </c:pt>
                <c:pt idx="9">
                  <c:v>#N/A</c:v>
                </c:pt>
                <c:pt idx="10">
                  <c:v>538.84208900876399</c:v>
                </c:pt>
                <c:pt idx="11">
                  <c:v>#N/A</c:v>
                </c:pt>
              </c:numCache>
            </c:numRef>
          </c:val>
          <c:smooth val="0"/>
          <c:extLst xmlns:c16r2="http://schemas.microsoft.com/office/drawing/2015/06/chart">
            <c:ext xmlns:c16="http://schemas.microsoft.com/office/drawing/2014/chart" uri="{C3380CC4-5D6E-409C-BE32-E72D297353CC}">
              <c16:uniqueId val="{00000002-B67C-433D-A92B-BEBA994843FF}"/>
            </c:ext>
          </c:extLst>
        </c:ser>
        <c:dLbls>
          <c:showLegendKey val="0"/>
          <c:showVal val="0"/>
          <c:showCatName val="0"/>
          <c:showSerName val="0"/>
          <c:showPercent val="0"/>
          <c:showBubbleSize val="0"/>
        </c:dLbls>
        <c:marker val="1"/>
        <c:smooth val="0"/>
        <c:axId val="232635160"/>
        <c:axId val="232635552"/>
      </c:lineChart>
      <c:catAx>
        <c:axId val="232635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5552"/>
        <c:crosses val="autoZero"/>
        <c:auto val="1"/>
        <c:lblAlgn val="ctr"/>
        <c:lblOffset val="100"/>
        <c:noMultiLvlLbl val="0"/>
      </c:catAx>
      <c:valAx>
        <c:axId val="232635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5160"/>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Calcs!$AB$2</c:f>
          <c:strCache>
            <c:ptCount val="1"/>
            <c:pt idx="0">
              <c:v>Real Lifetime
@ Duty Cycle
(Hours)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3"/>
          <c:order val="0"/>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Calcs!$BD$44:$BD$55</c:f>
              <c:numCache>
                <c:formatCode>General</c:formatCode>
                <c:ptCount val="12"/>
                <c:pt idx="0">
                  <c:v>#N/A</c:v>
                </c:pt>
                <c:pt idx="1">
                  <c:v>#N/A</c:v>
                </c:pt>
                <c:pt idx="2">
                  <c:v>#N/A</c:v>
                </c:pt>
                <c:pt idx="3">
                  <c:v>#N/A</c:v>
                </c:pt>
                <c:pt idx="4">
                  <c:v>#N/A</c:v>
                </c:pt>
                <c:pt idx="5">
                  <c:v>#N/A</c:v>
                </c:pt>
                <c:pt idx="6">
                  <c:v>#N/A</c:v>
                </c:pt>
                <c:pt idx="7">
                  <c:v>13157.894736842107</c:v>
                </c:pt>
                <c:pt idx="8">
                  <c:v>1693561.9673639508</c:v>
                </c:pt>
                <c:pt idx="9">
                  <c:v>3803.1567579596835</c:v>
                </c:pt>
                <c:pt idx="10">
                  <c:v>524278.34020238149</c:v>
                </c:pt>
                <c:pt idx="11">
                  <c:v>#N/A</c:v>
                </c:pt>
              </c:numCache>
            </c:numRef>
          </c:val>
          <c:smooth val="0"/>
          <c:extLst xmlns:c16r2="http://schemas.microsoft.com/office/drawing/2015/06/chart">
            <c:ext xmlns:c16="http://schemas.microsoft.com/office/drawing/2014/chart" uri="{C3380CC4-5D6E-409C-BE32-E72D297353CC}">
              <c16:uniqueId val="{00000003-2CB5-46EE-86AD-A5E78AEA193A}"/>
            </c:ext>
          </c:extLst>
        </c:ser>
        <c:dLbls>
          <c:showLegendKey val="0"/>
          <c:showVal val="0"/>
          <c:showCatName val="0"/>
          <c:showSerName val="0"/>
          <c:showPercent val="0"/>
          <c:showBubbleSize val="0"/>
        </c:dLbls>
        <c:marker val="1"/>
        <c:smooth val="0"/>
        <c:axId val="232636336"/>
        <c:axId val="232636728"/>
      </c:lineChart>
      <c:catAx>
        <c:axId val="232636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6728"/>
        <c:crosses val="autoZero"/>
        <c:auto val="1"/>
        <c:lblAlgn val="ctr"/>
        <c:lblOffset val="100"/>
        <c:noMultiLvlLbl val="0"/>
      </c:catAx>
      <c:valAx>
        <c:axId val="232636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6336"/>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Calcs!$AC$2</c:f>
          <c:strCache>
            <c:ptCount val="1"/>
            <c:pt idx="0">
              <c:v>Lifetime
@ Duty Cycle
if Coin Cell</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Calcs!$AC$3:$AC$14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BC50-4D53-A8D7-356B47326E89}"/>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Calcs!$AC$15:$AC$26</c:f>
              <c:numCache>
                <c:formatCode>General</c:formatCode>
                <c:ptCount val="12"/>
                <c:pt idx="0">
                  <c:v>#N/A</c:v>
                </c:pt>
                <c:pt idx="1">
                  <c:v>726.47851454322802</c:v>
                </c:pt>
                <c:pt idx="2">
                  <c:v>#N/A</c:v>
                </c:pt>
                <c:pt idx="3">
                  <c:v>18.75</c:v>
                </c:pt>
                <c:pt idx="4">
                  <c:v>583.67337171180316</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BC50-4D53-A8D7-356B47326E89}"/>
            </c:ext>
          </c:extLst>
        </c:ser>
        <c:dLbls>
          <c:showLegendKey val="0"/>
          <c:showVal val="0"/>
          <c:showCatName val="0"/>
          <c:showSerName val="0"/>
          <c:showPercent val="0"/>
          <c:showBubbleSize val="0"/>
        </c:dLbls>
        <c:marker val="1"/>
        <c:smooth val="0"/>
        <c:axId val="232637512"/>
        <c:axId val="232637904"/>
      </c:lineChart>
      <c:catAx>
        <c:axId val="232637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7904"/>
        <c:crosses val="autoZero"/>
        <c:auto val="1"/>
        <c:lblAlgn val="ctr"/>
        <c:lblOffset val="100"/>
        <c:noMultiLvlLbl val="0"/>
      </c:catAx>
      <c:valAx>
        <c:axId val="23263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7512"/>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Calcs!$AE$2</c:f>
          <c:strCache>
            <c:ptCount val="1"/>
            <c:pt idx="0">
              <c:v>Bits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Calcs!$AE$3:$AE$14</c:f>
              <c:numCache>
                <c:formatCode>General</c:formatCode>
                <c:ptCount val="12"/>
                <c:pt idx="0">
                  <c:v>#N/A</c:v>
                </c:pt>
                <c:pt idx="1">
                  <c:v>#N/A</c:v>
                </c:pt>
                <c:pt idx="2">
                  <c:v>#N/A</c:v>
                </c:pt>
                <c:pt idx="3">
                  <c:v>#N/A</c:v>
                </c:pt>
                <c:pt idx="4">
                  <c:v>#N/A</c:v>
                </c:pt>
                <c:pt idx="5">
                  <c:v>#N/A</c:v>
                </c:pt>
                <c:pt idx="6">
                  <c:v>#N/A</c:v>
                </c:pt>
                <c:pt idx="7">
                  <c:v>#N/A</c:v>
                </c:pt>
                <c:pt idx="8">
                  <c:v>32</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80B2-48E9-B456-53BADEB2B9FD}"/>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Calcs!$AE$15:$AE$26</c:f>
              <c:numCache>
                <c:formatCode>General</c:formatCode>
                <c:ptCount val="12"/>
                <c:pt idx="0">
                  <c:v>#N/A</c:v>
                </c:pt>
                <c:pt idx="1">
                  <c:v>#N/A</c:v>
                </c:pt>
                <c:pt idx="2">
                  <c:v>#N/A</c:v>
                </c:pt>
                <c:pt idx="3">
                  <c:v>#N/A</c:v>
                </c:pt>
                <c:pt idx="4">
                  <c:v>16</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80B2-48E9-B456-53BADEB2B9FD}"/>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Calcs!$BF$32:$BF$43</c:f>
              <c:numCache>
                <c:formatCode>General</c:formatCode>
                <c:ptCount val="12"/>
                <c:pt idx="0">
                  <c:v>32</c:v>
                </c:pt>
                <c:pt idx="1">
                  <c:v>#N/A</c:v>
                </c:pt>
                <c:pt idx="2">
                  <c:v>32</c:v>
                </c:pt>
                <c:pt idx="3">
                  <c:v>20</c:v>
                </c:pt>
                <c:pt idx="4">
                  <c:v>32</c:v>
                </c:pt>
                <c:pt idx="5">
                  <c:v>#N/A</c:v>
                </c:pt>
                <c:pt idx="6">
                  <c:v>26</c:v>
                </c:pt>
                <c:pt idx="7">
                  <c:v>32</c:v>
                </c:pt>
                <c:pt idx="8">
                  <c:v>32</c:v>
                </c:pt>
                <c:pt idx="9">
                  <c:v>32</c:v>
                </c:pt>
                <c:pt idx="10">
                  <c:v>32</c:v>
                </c:pt>
                <c:pt idx="11">
                  <c:v>#N/A</c:v>
                </c:pt>
              </c:numCache>
            </c:numRef>
          </c:val>
          <c:smooth val="0"/>
          <c:extLst xmlns:c16r2="http://schemas.microsoft.com/office/drawing/2015/06/chart">
            <c:ext xmlns:c16="http://schemas.microsoft.com/office/drawing/2014/chart" uri="{C3380CC4-5D6E-409C-BE32-E72D297353CC}">
              <c16:uniqueId val="{00000002-80B2-48E9-B456-53BADEB2B9FD}"/>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Calcs!$BF$44:$BF$55</c:f>
              <c:numCache>
                <c:formatCode>General</c:formatCode>
                <c:ptCount val="12"/>
                <c:pt idx="0">
                  <c:v>#N/A</c:v>
                </c:pt>
                <c:pt idx="1">
                  <c:v>#N/A</c:v>
                </c:pt>
                <c:pt idx="2">
                  <c:v>#N/A</c:v>
                </c:pt>
                <c:pt idx="3">
                  <c:v>#N/A</c:v>
                </c:pt>
                <c:pt idx="4">
                  <c:v>#N/A</c:v>
                </c:pt>
                <c:pt idx="5">
                  <c:v>#N/A</c:v>
                </c:pt>
                <c:pt idx="6">
                  <c:v>#N/A</c:v>
                </c:pt>
                <c:pt idx="7">
                  <c:v>32</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80B2-48E9-B456-53BADEB2B9FD}"/>
            </c:ext>
          </c:extLst>
        </c:ser>
        <c:dLbls>
          <c:showLegendKey val="0"/>
          <c:showVal val="0"/>
          <c:showCatName val="0"/>
          <c:showSerName val="0"/>
          <c:showPercent val="0"/>
          <c:showBubbleSize val="0"/>
        </c:dLbls>
        <c:marker val="1"/>
        <c:smooth val="0"/>
        <c:axId val="232638688"/>
        <c:axId val="232639080"/>
      </c:lineChart>
      <c:catAx>
        <c:axId val="232638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9080"/>
        <c:crosses val="autoZero"/>
        <c:auto val="1"/>
        <c:lblAlgn val="ctr"/>
        <c:lblOffset val="100"/>
        <c:noMultiLvlLbl val="0"/>
      </c:catAx>
      <c:valAx>
        <c:axId val="232639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8688"/>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Calcs!$AG$2</c:f>
          <c:strCache>
            <c:ptCount val="1"/>
            <c:pt idx="0">
              <c:v>RAM
(kB)</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0"/>
          <c:order val="0"/>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Calcs!$AG$15:$AG$26</c:f>
              <c:numCache>
                <c:formatCode>General</c:formatCode>
                <c:ptCount val="12"/>
                <c:pt idx="0">
                  <c:v>#N/A</c:v>
                </c:pt>
                <c:pt idx="1">
                  <c:v>#N/A</c:v>
                </c:pt>
                <c:pt idx="2">
                  <c:v>#N/A</c:v>
                </c:pt>
                <c:pt idx="3">
                  <c:v>#N/A</c:v>
                </c:pt>
                <c:pt idx="4">
                  <c:v>8</c:v>
                </c:pt>
                <c:pt idx="5">
                  <c:v>#N/A</c:v>
                </c:pt>
                <c:pt idx="6">
                  <c:v>#N/A</c:v>
                </c:pt>
                <c:pt idx="7">
                  <c:v>#N/A</c:v>
                </c:pt>
                <c:pt idx="8">
                  <c:v>2</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49EC-4EF2-A7A1-FF6D5A4964EB}"/>
            </c:ext>
          </c:extLst>
        </c:ser>
        <c:ser>
          <c:idx val="2"/>
          <c:order val="1"/>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Calcs!$BI$32:$BI$43</c:f>
              <c:numCache>
                <c:formatCode>General</c:formatCode>
                <c:ptCount val="12"/>
                <c:pt idx="0">
                  <c:v>#N/A</c:v>
                </c:pt>
                <c:pt idx="1">
                  <c:v>#N/A</c:v>
                </c:pt>
                <c:pt idx="2">
                  <c:v>#N/A</c:v>
                </c:pt>
                <c:pt idx="3">
                  <c:v>#N/A</c:v>
                </c:pt>
                <c:pt idx="4">
                  <c:v>4</c:v>
                </c:pt>
                <c:pt idx="5">
                  <c:v>#N/A</c:v>
                </c:pt>
                <c:pt idx="6">
                  <c:v>13.333333333333334</c:v>
                </c:pt>
                <c:pt idx="7">
                  <c:v>4</c:v>
                </c:pt>
                <c:pt idx="8">
                  <c:v>5</c:v>
                </c:pt>
                <c:pt idx="9">
                  <c:v>24</c:v>
                </c:pt>
                <c:pt idx="10">
                  <c:v>30</c:v>
                </c:pt>
                <c:pt idx="11">
                  <c:v>#N/A</c:v>
                </c:pt>
              </c:numCache>
            </c:numRef>
          </c:val>
          <c:smooth val="0"/>
          <c:extLst xmlns:c16r2="http://schemas.microsoft.com/office/drawing/2015/06/chart">
            <c:ext xmlns:c16="http://schemas.microsoft.com/office/drawing/2014/chart" uri="{C3380CC4-5D6E-409C-BE32-E72D297353CC}">
              <c16:uniqueId val="{00000002-49EC-4EF2-A7A1-FF6D5A4964EB}"/>
            </c:ext>
          </c:extLst>
        </c:ser>
        <c:ser>
          <c:idx val="3"/>
          <c:order val="2"/>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Calcs!$BI$44:$BI$55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49EC-4EF2-A7A1-FF6D5A4964EB}"/>
            </c:ext>
          </c:extLst>
        </c:ser>
        <c:dLbls>
          <c:showLegendKey val="0"/>
          <c:showVal val="0"/>
          <c:showCatName val="0"/>
          <c:showSerName val="0"/>
          <c:showPercent val="0"/>
          <c:showBubbleSize val="0"/>
        </c:dLbls>
        <c:marker val="1"/>
        <c:smooth val="0"/>
        <c:axId val="232639864"/>
        <c:axId val="232640256"/>
      </c:lineChart>
      <c:catAx>
        <c:axId val="232639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40256"/>
        <c:crosses val="autoZero"/>
        <c:auto val="1"/>
        <c:lblAlgn val="ctr"/>
        <c:lblOffset val="100"/>
        <c:noMultiLvlLbl val="0"/>
      </c:catAx>
      <c:valAx>
        <c:axId val="232640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39864"/>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Calcs!$AJ$2</c:f>
          <c:strCache>
            <c:ptCount val="1"/>
            <c:pt idx="0">
              <c:v>Timer
(bits)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Calcs!$AJ$3:$AJ$14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9B4F-4FA8-BA7E-EC06FC0755A3}"/>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Calcs!$AJ$15:$AJ$26</c:f>
              <c:numCache>
                <c:formatCode>General</c:formatCode>
                <c:ptCount val="12"/>
                <c:pt idx="0">
                  <c:v>#N/A</c:v>
                </c:pt>
                <c:pt idx="1">
                  <c:v>16</c:v>
                </c:pt>
                <c:pt idx="2">
                  <c:v>#N/A</c:v>
                </c:pt>
                <c:pt idx="3">
                  <c:v>#N/A</c:v>
                </c:pt>
                <c:pt idx="4">
                  <c:v>16</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9B4F-4FA8-BA7E-EC06FC0755A3}"/>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Calcs!$BL$32:$BL$43</c:f>
              <c:numCache>
                <c:formatCode>General</c:formatCode>
                <c:ptCount val="12"/>
                <c:pt idx="0">
                  <c:v>#N/A</c:v>
                </c:pt>
                <c:pt idx="1">
                  <c:v>#N/A</c:v>
                </c:pt>
                <c:pt idx="2">
                  <c:v>#N/A</c:v>
                </c:pt>
                <c:pt idx="3">
                  <c:v>#N/A</c:v>
                </c:pt>
                <c:pt idx="4">
                  <c:v>#N/A</c:v>
                </c:pt>
                <c:pt idx="5">
                  <c:v>#N/A</c:v>
                </c:pt>
                <c:pt idx="6">
                  <c:v>16</c:v>
                </c:pt>
                <c:pt idx="7">
                  <c:v>16</c:v>
                </c:pt>
                <c:pt idx="8">
                  <c:v>16</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9B4F-4FA8-BA7E-EC06FC0755A3}"/>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Calcs!$BL$44:$BL$55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9B4F-4FA8-BA7E-EC06FC0755A3}"/>
            </c:ext>
          </c:extLst>
        </c:ser>
        <c:dLbls>
          <c:showLegendKey val="0"/>
          <c:showVal val="0"/>
          <c:showCatName val="0"/>
          <c:showSerName val="0"/>
          <c:showPercent val="0"/>
          <c:showBubbleSize val="0"/>
        </c:dLbls>
        <c:marker val="1"/>
        <c:smooth val="0"/>
        <c:axId val="232641040"/>
        <c:axId val="232641432"/>
      </c:lineChart>
      <c:catAx>
        <c:axId val="232641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41432"/>
        <c:crosses val="autoZero"/>
        <c:auto val="1"/>
        <c:lblAlgn val="ctr"/>
        <c:lblOffset val="100"/>
        <c:noMultiLvlLbl val="0"/>
      </c:catAx>
      <c:valAx>
        <c:axId val="232641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41040"/>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Calcs!$AM$2</c:f>
          <c:strCache>
            <c:ptCount val="1"/>
            <c:pt idx="0">
              <c:v>Data Rate (bps)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Calcs!$AM$3:$AM$14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E2A8-425E-9233-BB8AD00AC155}"/>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Calcs!$AM$15:$AM$26</c:f>
              <c:numCache>
                <c:formatCode>General</c:formatCode>
                <c:ptCount val="12"/>
                <c:pt idx="0">
                  <c:v>#N/A</c:v>
                </c:pt>
                <c:pt idx="1">
                  <c:v>#N/A</c:v>
                </c:pt>
                <c:pt idx="2">
                  <c:v>#N/A</c:v>
                </c:pt>
                <c:pt idx="3">
                  <c:v>100</c:v>
                </c:pt>
                <c:pt idx="4">
                  <c:v>32768</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E2A8-425E-9233-BB8AD00AC155}"/>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Calcs!$BM$32:$BM$43</c:f>
              <c:numCache>
                <c:formatCode>General</c:formatCode>
                <c:ptCount val="12"/>
                <c:pt idx="0">
                  <c:v>#N/A</c:v>
                </c:pt>
                <c:pt idx="1">
                  <c:v>#N/A</c:v>
                </c:pt>
                <c:pt idx="2">
                  <c:v>#N/A</c:v>
                </c:pt>
                <c:pt idx="3">
                  <c:v>#N/A</c:v>
                </c:pt>
                <c:pt idx="4">
                  <c:v>#N/A</c:v>
                </c:pt>
                <c:pt idx="5">
                  <c:v>#N/A</c:v>
                </c:pt>
                <c:pt idx="6">
                  <c:v>#N/A</c:v>
                </c:pt>
                <c:pt idx="7">
                  <c:v>#N/A</c:v>
                </c:pt>
                <c:pt idx="8">
                  <c:v>#N/A</c:v>
                </c:pt>
                <c:pt idx="9">
                  <c:v>#N/A</c:v>
                </c:pt>
                <c:pt idx="10">
                  <c:v>999999.75</c:v>
                </c:pt>
                <c:pt idx="11">
                  <c:v>#N/A</c:v>
                </c:pt>
              </c:numCache>
            </c:numRef>
          </c:val>
          <c:smooth val="0"/>
          <c:extLst xmlns:c16r2="http://schemas.microsoft.com/office/drawing/2015/06/chart">
            <c:ext xmlns:c16="http://schemas.microsoft.com/office/drawing/2014/chart" uri="{C3380CC4-5D6E-409C-BE32-E72D297353CC}">
              <c16:uniqueId val="{00000002-E2A8-425E-9233-BB8AD00AC155}"/>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Calcs!$BM$44:$BM$55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E2A8-425E-9233-BB8AD00AC155}"/>
            </c:ext>
          </c:extLst>
        </c:ser>
        <c:dLbls>
          <c:showLegendKey val="0"/>
          <c:showVal val="0"/>
          <c:showCatName val="0"/>
          <c:showSerName val="0"/>
          <c:showPercent val="0"/>
          <c:showBubbleSize val="0"/>
        </c:dLbls>
        <c:marker val="1"/>
        <c:smooth val="0"/>
        <c:axId val="232642216"/>
        <c:axId val="232642608"/>
      </c:lineChart>
      <c:catAx>
        <c:axId val="232642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42608"/>
        <c:crosses val="autoZero"/>
        <c:auto val="1"/>
        <c:lblAlgn val="ctr"/>
        <c:lblOffset val="100"/>
        <c:noMultiLvlLbl val="0"/>
      </c:catAx>
      <c:valAx>
        <c:axId val="232642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42216"/>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Calcs!$BJ$31</c:f>
          <c:strCache>
            <c:ptCount val="1"/>
            <c:pt idx="0">
              <c:v>Flash
(kB)</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0"/>
          <c:order val="0"/>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Calcs!$AH$15:$AH$26</c:f>
              <c:numCache>
                <c:formatCode>General</c:formatCode>
                <c:ptCount val="12"/>
                <c:pt idx="0">
                  <c:v>#N/A</c:v>
                </c:pt>
                <c:pt idx="1">
                  <c:v>#N/A</c:v>
                </c:pt>
                <c:pt idx="2">
                  <c:v>#N/A</c:v>
                </c:pt>
                <c:pt idx="3">
                  <c:v>#N/A</c:v>
                </c:pt>
                <c:pt idx="4">
                  <c:v>92</c:v>
                </c:pt>
                <c:pt idx="5">
                  <c:v>#N/A</c:v>
                </c:pt>
                <c:pt idx="6">
                  <c:v>#N/A</c:v>
                </c:pt>
                <c:pt idx="7">
                  <c:v>#N/A</c:v>
                </c:pt>
                <c:pt idx="8">
                  <c:v>2016</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9F9A-4F7E-9525-C8BD9F23ABAE}"/>
            </c:ext>
          </c:extLst>
        </c:ser>
        <c:ser>
          <c:idx val="2"/>
          <c:order val="1"/>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Calcs!$BJ$32:$BJ$44</c:f>
              <c:numCache>
                <c:formatCode>General</c:formatCode>
                <c:ptCount val="13"/>
                <c:pt idx="0">
                  <c:v>#N/A</c:v>
                </c:pt>
                <c:pt idx="1">
                  <c:v>#N/A</c:v>
                </c:pt>
                <c:pt idx="2">
                  <c:v>#N/A</c:v>
                </c:pt>
                <c:pt idx="3">
                  <c:v>#N/A</c:v>
                </c:pt>
                <c:pt idx="4">
                  <c:v>32</c:v>
                </c:pt>
                <c:pt idx="5">
                  <c:v>#N/A</c:v>
                </c:pt>
                <c:pt idx="6">
                  <c:v>106.66666666666667</c:v>
                </c:pt>
                <c:pt idx="7">
                  <c:v>32</c:v>
                </c:pt>
                <c:pt idx="8">
                  <c:v>117.33333333333333</c:v>
                </c:pt>
                <c:pt idx="9">
                  <c:v>128</c:v>
                </c:pt>
                <c:pt idx="10">
                  <c:v>127.75</c:v>
                </c:pt>
                <c:pt idx="11">
                  <c:v>#N/A</c:v>
                </c:pt>
                <c:pt idx="12">
                  <c:v>#N/A</c:v>
                </c:pt>
              </c:numCache>
            </c:numRef>
          </c:val>
          <c:smooth val="0"/>
          <c:extLst xmlns:c16r2="http://schemas.microsoft.com/office/drawing/2015/06/chart">
            <c:ext xmlns:c16="http://schemas.microsoft.com/office/drawing/2014/chart" uri="{C3380CC4-5D6E-409C-BE32-E72D297353CC}">
              <c16:uniqueId val="{00000002-9F9A-4F7E-9525-C8BD9F23ABAE}"/>
            </c:ext>
          </c:extLst>
        </c:ser>
        <c:ser>
          <c:idx val="3"/>
          <c:order val="2"/>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Calcs!$BJ$44:$BJ$55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9F9A-4F7E-9525-C8BD9F23ABAE}"/>
            </c:ext>
          </c:extLst>
        </c:ser>
        <c:dLbls>
          <c:showLegendKey val="0"/>
          <c:showVal val="0"/>
          <c:showCatName val="0"/>
          <c:showSerName val="0"/>
          <c:showPercent val="0"/>
          <c:showBubbleSize val="0"/>
        </c:dLbls>
        <c:marker val="1"/>
        <c:smooth val="0"/>
        <c:axId val="232643392"/>
        <c:axId val="232643784"/>
      </c:lineChart>
      <c:catAx>
        <c:axId val="232643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43784"/>
        <c:crosses val="autoZero"/>
        <c:auto val="1"/>
        <c:lblAlgn val="ctr"/>
        <c:lblOffset val="100"/>
        <c:noMultiLvlLbl val="0"/>
      </c:catAx>
      <c:valAx>
        <c:axId val="232643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43392"/>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0661394105506E-2"/>
          <c:y val="5.6991962154065955E-2"/>
          <c:w val="0.82695781336264718"/>
          <c:h val="0.84811459279737789"/>
        </c:manualLayout>
      </c:layout>
      <c:barChart>
        <c:barDir val="col"/>
        <c:grouping val="clustered"/>
        <c:varyColors val="0"/>
        <c:ser>
          <c:idx val="0"/>
          <c:order val="0"/>
          <c:tx>
            <c:v>Resolution</c:v>
          </c:tx>
          <c:invertIfNegative val="0"/>
          <c:cat>
            <c:numRef>
              <c:f>Hists!$B$751:$B$778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Hists!$K$751:$K$778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CE61-4AAC-B03C-61F2DE67A7ED}"/>
            </c:ext>
          </c:extLst>
        </c:ser>
        <c:ser>
          <c:idx val="1"/>
          <c:order val="1"/>
          <c:tx>
            <c:v>Accuracy</c:v>
          </c:tx>
          <c:invertIfNegative val="0"/>
          <c:cat>
            <c:numRef>
              <c:f>Hists!$B$751:$B$778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Hists!$L$751:$L$778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CE61-4AAC-B03C-61F2DE67A7ED}"/>
            </c:ext>
          </c:extLst>
        </c:ser>
        <c:dLbls>
          <c:showLegendKey val="0"/>
          <c:showVal val="0"/>
          <c:showCatName val="0"/>
          <c:showSerName val="0"/>
          <c:showPercent val="0"/>
          <c:showBubbleSize val="0"/>
        </c:dLbls>
        <c:gapWidth val="150"/>
        <c:axId val="216598008"/>
        <c:axId val="216598400"/>
      </c:barChart>
      <c:catAx>
        <c:axId val="216598008"/>
        <c:scaling>
          <c:orientation val="minMax"/>
        </c:scaling>
        <c:delete val="0"/>
        <c:axPos val="b"/>
        <c:title>
          <c:tx>
            <c:rich>
              <a:bodyPr/>
              <a:lstStyle/>
              <a:p>
                <a:pPr>
                  <a:defRPr/>
                </a:pPr>
                <a:r>
                  <a:rPr lang="en-US"/>
                  <a:t>Bits</a:t>
                </a:r>
              </a:p>
            </c:rich>
          </c:tx>
          <c:overlay val="0"/>
        </c:title>
        <c:numFmt formatCode="General" sourceLinked="1"/>
        <c:majorTickMark val="out"/>
        <c:minorTickMark val="none"/>
        <c:tickLblPos val="nextTo"/>
        <c:txPr>
          <a:bodyPr rot="5400000" vert="horz"/>
          <a:lstStyle/>
          <a:p>
            <a:pPr>
              <a:defRPr/>
            </a:pPr>
            <a:endParaRPr lang="en-US"/>
          </a:p>
        </c:txPr>
        <c:crossAx val="216598400"/>
        <c:crosses val="autoZero"/>
        <c:auto val="1"/>
        <c:lblAlgn val="ctr"/>
        <c:lblOffset val="100"/>
        <c:noMultiLvlLbl val="0"/>
      </c:catAx>
      <c:valAx>
        <c:axId val="216598400"/>
        <c:scaling>
          <c:orientation val="minMax"/>
        </c:scaling>
        <c:delete val="0"/>
        <c:axPos val="l"/>
        <c:majorGridlines/>
        <c:numFmt formatCode="0.00" sourceLinked="1"/>
        <c:majorTickMark val="out"/>
        <c:minorTickMark val="none"/>
        <c:tickLblPos val="nextTo"/>
        <c:crossAx val="2165980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Calcs!$AV$2</c:f>
          <c:strCache>
            <c:ptCount val="1"/>
            <c:pt idx="0">
              <c:v>Sensitivity
(dBm)</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Calcs!$AV$3:$AV$14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5F7D-48EB-904F-59EBB0B44E3B}"/>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Calcs!$AV$15:$AV$26</c:f>
              <c:numCache>
                <c:formatCode>General</c:formatCode>
                <c:ptCount val="12"/>
                <c:pt idx="0">
                  <c:v>#N/A</c:v>
                </c:pt>
                <c:pt idx="1">
                  <c:v>-101</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5F7D-48EB-904F-59EBB0B44E3B}"/>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Calcs!$BV$32:$BV$43</c:f>
              <c:numCache>
                <c:formatCode>General</c:formatCode>
                <c:ptCount val="12"/>
                <c:pt idx="0">
                  <c:v>#N/A</c:v>
                </c:pt>
                <c:pt idx="1">
                  <c:v>#N/A</c:v>
                </c:pt>
                <c:pt idx="2">
                  <c:v>#N/A</c:v>
                </c:pt>
                <c:pt idx="3">
                  <c:v>#N/A</c:v>
                </c:pt>
                <c:pt idx="4">
                  <c:v>#N/A</c:v>
                </c:pt>
                <c:pt idx="5">
                  <c:v>#N/A</c:v>
                </c:pt>
                <c:pt idx="6">
                  <c:v>#N/A</c:v>
                </c:pt>
                <c:pt idx="7">
                  <c:v>#N/A</c:v>
                </c:pt>
                <c:pt idx="8">
                  <c:v>-95.7</c:v>
                </c:pt>
                <c:pt idx="9">
                  <c:v>-97</c:v>
                </c:pt>
                <c:pt idx="10">
                  <c:v>-98.5</c:v>
                </c:pt>
                <c:pt idx="11">
                  <c:v>#N/A</c:v>
                </c:pt>
              </c:numCache>
            </c:numRef>
          </c:val>
          <c:smooth val="0"/>
          <c:extLst xmlns:c16r2="http://schemas.microsoft.com/office/drawing/2015/06/chart">
            <c:ext xmlns:c16="http://schemas.microsoft.com/office/drawing/2014/chart" uri="{C3380CC4-5D6E-409C-BE32-E72D297353CC}">
              <c16:uniqueId val="{00000002-5F7D-48EB-904F-59EBB0B44E3B}"/>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Calcs!$BV$44:$BV$55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5F7D-48EB-904F-59EBB0B44E3B}"/>
            </c:ext>
          </c:extLst>
        </c:ser>
        <c:dLbls>
          <c:showLegendKey val="0"/>
          <c:showVal val="0"/>
          <c:showCatName val="0"/>
          <c:showSerName val="0"/>
          <c:showPercent val="0"/>
          <c:showBubbleSize val="0"/>
        </c:dLbls>
        <c:marker val="1"/>
        <c:smooth val="0"/>
        <c:axId val="232612032"/>
        <c:axId val="232612424"/>
      </c:lineChart>
      <c:catAx>
        <c:axId val="232612032"/>
        <c:scaling>
          <c:orientation val="minMax"/>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2424"/>
        <c:crosses val="autoZero"/>
        <c:auto val="1"/>
        <c:lblAlgn val="ctr"/>
        <c:lblOffset val="100"/>
        <c:noMultiLvlLbl val="0"/>
      </c:catAx>
      <c:valAx>
        <c:axId val="232612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2032"/>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Calcs!$AM$2</c:f>
          <c:strCache>
            <c:ptCount val="1"/>
            <c:pt idx="0">
              <c:v>Data Rate (bps)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Calcs!$AW$3:$AW$14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7B08-4665-A8F2-1E53688A1093}"/>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Calcs!$AW$15:$AW$26</c:f>
              <c:numCache>
                <c:formatCode>General</c:formatCode>
                <c:ptCount val="12"/>
                <c:pt idx="0">
                  <c:v>#N/A</c:v>
                </c:pt>
                <c:pt idx="1">
                  <c:v>0</c:v>
                </c:pt>
                <c:pt idx="2">
                  <c:v>#N/A</c:v>
                </c:pt>
                <c:pt idx="3">
                  <c:v>#N/A</c:v>
                </c:pt>
                <c:pt idx="4">
                  <c:v>0</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7B08-4665-A8F2-1E53688A1093}"/>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Calcs!$BW$32:$BW$43</c:f>
              <c:numCache>
                <c:formatCode>General</c:formatCode>
                <c:ptCount val="12"/>
                <c:pt idx="0">
                  <c:v>#N/A</c:v>
                </c:pt>
                <c:pt idx="1">
                  <c:v>#N/A</c:v>
                </c:pt>
                <c:pt idx="2">
                  <c:v>#N/A</c:v>
                </c:pt>
                <c:pt idx="3">
                  <c:v>#N/A</c:v>
                </c:pt>
                <c:pt idx="4">
                  <c:v>#N/A</c:v>
                </c:pt>
                <c:pt idx="5">
                  <c:v>#N/A</c:v>
                </c:pt>
                <c:pt idx="6">
                  <c:v>#N/A</c:v>
                </c:pt>
                <c:pt idx="7">
                  <c:v>#N/A</c:v>
                </c:pt>
                <c:pt idx="8">
                  <c:v>18</c:v>
                </c:pt>
                <c:pt idx="9">
                  <c:v>5</c:v>
                </c:pt>
                <c:pt idx="10">
                  <c:v>4.75</c:v>
                </c:pt>
                <c:pt idx="11">
                  <c:v>#N/A</c:v>
                </c:pt>
              </c:numCache>
            </c:numRef>
          </c:val>
          <c:smooth val="0"/>
          <c:extLst xmlns:c16r2="http://schemas.microsoft.com/office/drawing/2015/06/chart">
            <c:ext xmlns:c16="http://schemas.microsoft.com/office/drawing/2014/chart" uri="{C3380CC4-5D6E-409C-BE32-E72D297353CC}">
              <c16:uniqueId val="{00000002-7B08-4665-A8F2-1E53688A1093}"/>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Calcs!$BW$44:$BW$55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7B08-4665-A8F2-1E53688A1093}"/>
            </c:ext>
          </c:extLst>
        </c:ser>
        <c:dLbls>
          <c:showLegendKey val="0"/>
          <c:showVal val="0"/>
          <c:showCatName val="0"/>
          <c:showSerName val="0"/>
          <c:showPercent val="0"/>
          <c:showBubbleSize val="0"/>
        </c:dLbls>
        <c:marker val="1"/>
        <c:smooth val="0"/>
        <c:axId val="232613208"/>
        <c:axId val="232613600"/>
      </c:lineChart>
      <c:catAx>
        <c:axId val="232613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3600"/>
        <c:crosses val="autoZero"/>
        <c:auto val="1"/>
        <c:lblAlgn val="ctr"/>
        <c:lblOffset val="100"/>
        <c:noMultiLvlLbl val="0"/>
      </c:catAx>
      <c:valAx>
        <c:axId val="232613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3208"/>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Calcs!$AT$2</c:f>
          <c:strCache>
            <c:ptCount val="1"/>
            <c:pt idx="0">
              <c:v>fC
(MHz)</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Calcs!$AT$3:$AT$14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4-3FD6-4536-A611-66D156962BE2}"/>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Calcs!$AT$15:$AT$26</c:f>
              <c:numCache>
                <c:formatCode>General</c:formatCode>
                <c:ptCount val="12"/>
                <c:pt idx="0">
                  <c:v>#N/A</c:v>
                </c:pt>
                <c:pt idx="1">
                  <c:v>2400</c:v>
                </c:pt>
                <c:pt idx="2">
                  <c:v>2400</c:v>
                </c:pt>
                <c:pt idx="3">
                  <c:v>#N/A</c:v>
                </c:pt>
                <c:pt idx="4">
                  <c:v>2400</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3FD6-4536-A611-66D156962BE2}"/>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Calcs!$BU$32:$BU$43</c:f>
              <c:numCache>
                <c:formatCode>General</c:formatCode>
                <c:ptCount val="12"/>
                <c:pt idx="0">
                  <c:v>#N/A</c:v>
                </c:pt>
                <c:pt idx="1">
                  <c:v>#N/A</c:v>
                </c:pt>
                <c:pt idx="2">
                  <c:v>#N/A</c:v>
                </c:pt>
                <c:pt idx="3">
                  <c:v>#N/A</c:v>
                </c:pt>
                <c:pt idx="4">
                  <c:v>#N/A</c:v>
                </c:pt>
                <c:pt idx="5">
                  <c:v>#N/A</c:v>
                </c:pt>
                <c:pt idx="6">
                  <c:v>#N/A</c:v>
                </c:pt>
                <c:pt idx="7">
                  <c:v>#N/A</c:v>
                </c:pt>
                <c:pt idx="8">
                  <c:v>2400</c:v>
                </c:pt>
                <c:pt idx="9">
                  <c:v>2401</c:v>
                </c:pt>
                <c:pt idx="10">
                  <c:v>2400</c:v>
                </c:pt>
                <c:pt idx="11">
                  <c:v>#N/A</c:v>
                </c:pt>
              </c:numCache>
            </c:numRef>
          </c:val>
          <c:smooth val="0"/>
          <c:extLst xmlns:c16r2="http://schemas.microsoft.com/office/drawing/2015/06/chart">
            <c:ext xmlns:c16="http://schemas.microsoft.com/office/drawing/2014/chart" uri="{C3380CC4-5D6E-409C-BE32-E72D297353CC}">
              <c16:uniqueId val="{00000001-3FD6-4536-A611-66D156962BE2}"/>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Calcs!$BU$44:$BU$55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3FD6-4536-A611-66D156962BE2}"/>
            </c:ext>
          </c:extLst>
        </c:ser>
        <c:dLbls>
          <c:showLegendKey val="0"/>
          <c:showVal val="0"/>
          <c:showCatName val="0"/>
          <c:showSerName val="0"/>
          <c:showPercent val="0"/>
          <c:showBubbleSize val="0"/>
        </c:dLbls>
        <c:marker val="1"/>
        <c:smooth val="0"/>
        <c:axId val="232614384"/>
        <c:axId val="232614776"/>
      </c:lineChart>
      <c:catAx>
        <c:axId val="232614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4776"/>
        <c:crosses val="autoZero"/>
        <c:auto val="1"/>
        <c:lblAlgn val="ctr"/>
        <c:lblOffset val="100"/>
        <c:noMultiLvlLbl val="0"/>
      </c:catAx>
      <c:valAx>
        <c:axId val="232614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4384"/>
        <c:crosses val="autoZero"/>
        <c:crossBetween val="between"/>
      </c:valAx>
      <c:spPr>
        <a:noFill/>
        <a:ln>
          <a:noFill/>
        </a:ln>
        <a:effectLst/>
      </c:spPr>
    </c:plotArea>
    <c:legend>
      <c:legendPos val="r"/>
      <c:layout>
        <c:manualLayout>
          <c:xMode val="edge"/>
          <c:yMode val="edge"/>
          <c:x val="0.7436382327209099"/>
          <c:y val="0.54344779819189259"/>
          <c:w val="0.24898609371346264"/>
          <c:h val="0.315876976681459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Calcs!$AY$2</c:f>
          <c:strCache>
            <c:ptCount val="1"/>
            <c:pt idx="0">
              <c:v>Standby
2active
(μs)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Calcs!$AY$3:$AY$14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1D41-4DE4-B1A8-857996A1F197}"/>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Calcs!$AY$15:$AY$26</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1D41-4DE4-B1A8-857996A1F197}"/>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Calcs!$BY$32:$BY$43</c:f>
              <c:numCache>
                <c:formatCode>General</c:formatCode>
                <c:ptCount val="12"/>
                <c:pt idx="0">
                  <c:v>#N/A</c:v>
                </c:pt>
                <c:pt idx="1">
                  <c:v>#N/A</c:v>
                </c:pt>
                <c:pt idx="2">
                  <c:v>#N/A</c:v>
                </c:pt>
                <c:pt idx="3">
                  <c:v>#N/A</c:v>
                </c:pt>
                <c:pt idx="4">
                  <c:v>#N/A</c:v>
                </c:pt>
                <c:pt idx="5">
                  <c:v>#N/A</c:v>
                </c:pt>
                <c:pt idx="6">
                  <c:v>42</c:v>
                </c:pt>
                <c:pt idx="7">
                  <c:v>42</c:v>
                </c:pt>
                <c:pt idx="8">
                  <c:v>93</c:v>
                </c:pt>
                <c:pt idx="9">
                  <c:v>#N/A</c:v>
                </c:pt>
                <c:pt idx="10">
                  <c:v>151</c:v>
                </c:pt>
                <c:pt idx="11">
                  <c:v>#N/A</c:v>
                </c:pt>
              </c:numCache>
            </c:numRef>
          </c:val>
          <c:smooth val="0"/>
          <c:extLst xmlns:c16r2="http://schemas.microsoft.com/office/drawing/2015/06/chart">
            <c:ext xmlns:c16="http://schemas.microsoft.com/office/drawing/2014/chart" uri="{C3380CC4-5D6E-409C-BE32-E72D297353CC}">
              <c16:uniqueId val="{00000002-1D41-4DE4-B1A8-857996A1F197}"/>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Calcs!$BY$44:$BY$55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1D41-4DE4-B1A8-857996A1F197}"/>
            </c:ext>
          </c:extLst>
        </c:ser>
        <c:dLbls>
          <c:showLegendKey val="0"/>
          <c:showVal val="0"/>
          <c:showCatName val="0"/>
          <c:showSerName val="0"/>
          <c:showPercent val="0"/>
          <c:showBubbleSize val="0"/>
        </c:dLbls>
        <c:marker val="1"/>
        <c:smooth val="0"/>
        <c:axId val="232615560"/>
        <c:axId val="232615952"/>
      </c:lineChart>
      <c:catAx>
        <c:axId val="232615560"/>
        <c:scaling>
          <c:orientation val="minMax"/>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5952"/>
        <c:crosses val="autoZero"/>
        <c:auto val="1"/>
        <c:lblAlgn val="ctr"/>
        <c:lblOffset val="100"/>
        <c:noMultiLvlLbl val="0"/>
      </c:catAx>
      <c:valAx>
        <c:axId val="232615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5560"/>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Calcs!$AZ$2</c:f>
          <c:strCache>
            <c:ptCount val="1"/>
            <c:pt idx="0">
              <c:v>Shutdown
2active
(μs)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prstDash val="lgDashDot"/>
              <a:round/>
            </a:ln>
            <a:effectLst/>
          </c:spPr>
          <c:marker>
            <c:symbol val="circle"/>
            <c:size val="5"/>
            <c:spPr>
              <a:solidFill>
                <a:schemeClr val="accent2"/>
              </a:solidFill>
              <a:ln w="9525">
                <a:solidFill>
                  <a:schemeClr val="accent2"/>
                </a:solidFill>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Calcs!$AZ$3:$AZ$14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D181-44F4-AE2F-65AEF68139AC}"/>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Calcs!$AZ$15:$AZ$26</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D181-44F4-AE2F-65AEF68139AC}"/>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Calcs!$BZ$32:$BZ$43</c:f>
              <c:numCache>
                <c:formatCode>General</c:formatCode>
                <c:ptCount val="12"/>
                <c:pt idx="0">
                  <c:v>#N/A</c:v>
                </c:pt>
                <c:pt idx="1">
                  <c:v>#N/A</c:v>
                </c:pt>
                <c:pt idx="2">
                  <c:v>#N/A</c:v>
                </c:pt>
                <c:pt idx="3">
                  <c:v>#N/A</c:v>
                </c:pt>
                <c:pt idx="4">
                  <c:v>163</c:v>
                </c:pt>
                <c:pt idx="5">
                  <c:v>#N/A</c:v>
                </c:pt>
                <c:pt idx="6">
                  <c:v>116.33333333333333</c:v>
                </c:pt>
                <c:pt idx="7">
                  <c:v>93</c:v>
                </c:pt>
                <c:pt idx="8">
                  <c:v>157.5</c:v>
                </c:pt>
                <c:pt idx="9">
                  <c:v>#N/A</c:v>
                </c:pt>
                <c:pt idx="10">
                  <c:v>1015</c:v>
                </c:pt>
                <c:pt idx="11">
                  <c:v>#N/A</c:v>
                </c:pt>
              </c:numCache>
            </c:numRef>
          </c:val>
          <c:smooth val="0"/>
          <c:extLst xmlns:c16r2="http://schemas.microsoft.com/office/drawing/2015/06/chart">
            <c:ext xmlns:c16="http://schemas.microsoft.com/office/drawing/2014/chart" uri="{C3380CC4-5D6E-409C-BE32-E72D297353CC}">
              <c16:uniqueId val="{00000002-D181-44F4-AE2F-65AEF68139AC}"/>
            </c:ext>
          </c:extLst>
        </c:ser>
        <c:dLbls>
          <c:showLegendKey val="0"/>
          <c:showVal val="0"/>
          <c:showCatName val="0"/>
          <c:showSerName val="0"/>
          <c:showPercent val="0"/>
          <c:showBubbleSize val="0"/>
        </c:dLbls>
        <c:marker val="1"/>
        <c:smooth val="0"/>
        <c:axId val="232616736"/>
        <c:axId val="232617128"/>
      </c:lineChart>
      <c:catAx>
        <c:axId val="2326167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7128"/>
        <c:crosses val="autoZero"/>
        <c:auto val="1"/>
        <c:lblAlgn val="ctr"/>
        <c:lblOffset val="100"/>
        <c:noMultiLvlLbl val="0"/>
      </c:catAx>
      <c:valAx>
        <c:axId val="232617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6736"/>
        <c:crosses val="autoZero"/>
        <c:crossBetween val="between"/>
      </c:valAx>
      <c:spPr>
        <a:noFill/>
        <a:ln>
          <a:noFill/>
        </a:ln>
        <a:effectLst/>
      </c:spPr>
    </c:plotArea>
    <c:legend>
      <c:legendPos val="r"/>
      <c:layout>
        <c:manualLayout>
          <c:xMode val="edge"/>
          <c:yMode val="edge"/>
          <c:x val="0.7436382327209099"/>
          <c:y val="0.54344779819189259"/>
          <c:w val="0.24802843394575677"/>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Calcs!$AX$2</c:f>
          <c:strCache>
            <c:ptCount val="1"/>
            <c:pt idx="0">
              <c:v>Idle
2active
(μs)</c:v>
            </c:pt>
          </c:strCache>
        </c:strRef>
      </c:tx>
      <c:layout>
        <c:manualLayout>
          <c:xMode val="edge"/>
          <c:yMode val="edge"/>
          <c:x val="0.8177430008748906"/>
          <c:y val="0.1064814814814814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692038495188118E-2"/>
          <c:y val="9.8472222222222197E-2"/>
          <c:w val="0.65564129483814537"/>
          <c:h val="0.75709135316418785"/>
        </c:manualLayout>
      </c:layout>
      <c:lineChart>
        <c:grouping val="standard"/>
        <c:varyColors val="0"/>
        <c:ser>
          <c:idx val="1"/>
          <c:order val="0"/>
          <c:tx>
            <c:strRef>
              <c:f>Calcs!$A$3</c:f>
              <c:strCache>
                <c:ptCount val="1"/>
                <c:pt idx="0">
                  <c:v>Wearable Ave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Calcs!$AX$3:$AX$14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172A-406F-B762-3A6BB29B355F}"/>
            </c:ext>
          </c:extLst>
        </c:ser>
        <c:ser>
          <c:idx val="0"/>
          <c:order val="1"/>
          <c:tx>
            <c:strRef>
              <c:f>Calcs!$A$15</c:f>
              <c:strCache>
                <c:ptCount val="1"/>
                <c:pt idx="0">
                  <c:v>Mote  Ave</c:v>
                </c:pt>
              </c:strCache>
            </c:strRef>
          </c:tx>
          <c:spPr>
            <a:ln w="12700" cap="rnd">
              <a:solidFill>
                <a:schemeClr val="accent1"/>
              </a:solidFill>
              <a:prstDash val="dashDot"/>
              <a:round/>
            </a:ln>
            <a:effectLst/>
          </c:spPr>
          <c:marker>
            <c:symbol val="circle"/>
            <c:size val="5"/>
            <c:spPr>
              <a:solidFill>
                <a:schemeClr val="accent1"/>
              </a:solidFill>
              <a:ln w="12700">
                <a:solidFill>
                  <a:schemeClr val="accent1"/>
                </a:solidFill>
                <a:prstDash val="dash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Calcs!$AX$15:$AX$26</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172A-406F-B762-3A6BB29B355F}"/>
            </c:ext>
          </c:extLst>
        </c:ser>
        <c:ser>
          <c:idx val="2"/>
          <c:order val="2"/>
          <c:tx>
            <c:strRef>
              <c:f>Calcs!$A$32</c:f>
              <c:strCache>
                <c:ptCount val="1"/>
                <c:pt idx="0">
                  <c:v>MCU  Ave</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prstDash val="sysDot"/>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Calcs!$BX$32:$BX$43</c:f>
              <c:numCache>
                <c:formatCode>General</c:formatCode>
                <c:ptCount val="12"/>
                <c:pt idx="0">
                  <c:v>#N/A</c:v>
                </c:pt>
                <c:pt idx="1">
                  <c:v>#N/A</c:v>
                </c:pt>
                <c:pt idx="2">
                  <c:v>#N/A</c:v>
                </c:pt>
                <c:pt idx="3">
                  <c:v>#N/A</c:v>
                </c:pt>
                <c:pt idx="4">
                  <c:v>2</c:v>
                </c:pt>
                <c:pt idx="5">
                  <c:v>#N/A</c:v>
                </c:pt>
                <c:pt idx="6">
                  <c:v>3.3333333333333335</c:v>
                </c:pt>
                <c:pt idx="7">
                  <c:v>4</c:v>
                </c:pt>
                <c:pt idx="8">
                  <c:v>4.75</c:v>
                </c:pt>
                <c:pt idx="9">
                  <c:v>#N/A</c:v>
                </c:pt>
                <c:pt idx="10">
                  <c:v>14</c:v>
                </c:pt>
                <c:pt idx="11">
                  <c:v>#N/A</c:v>
                </c:pt>
              </c:numCache>
            </c:numRef>
          </c:val>
          <c:smooth val="0"/>
          <c:extLst xmlns:c16r2="http://schemas.microsoft.com/office/drawing/2015/06/chart">
            <c:ext xmlns:c16="http://schemas.microsoft.com/office/drawing/2014/chart" uri="{C3380CC4-5D6E-409C-BE32-E72D297353CC}">
              <c16:uniqueId val="{00000002-172A-406F-B762-3A6BB29B355F}"/>
            </c:ext>
          </c:extLst>
        </c:ser>
        <c:ser>
          <c:idx val="3"/>
          <c:order val="3"/>
          <c:tx>
            <c:strRef>
              <c:f>Calcs!$A$44</c:f>
              <c:strCache>
                <c:ptCount val="1"/>
                <c:pt idx="0">
                  <c:v>Sens Hub  Ave</c:v>
                </c:pt>
              </c:strCache>
            </c:strRef>
          </c:tx>
          <c:spPr>
            <a:ln w="3175" cap="rnd">
              <a:solidFill>
                <a:schemeClr val="accent4"/>
              </a:solidFill>
              <a:prstDash val="sysDash"/>
              <a:round/>
            </a:ln>
            <a:effectLst/>
          </c:spPr>
          <c:marker>
            <c:symbol val="circle"/>
            <c:size val="5"/>
            <c:spPr>
              <a:solidFill>
                <a:schemeClr val="accent4"/>
              </a:solidFill>
              <a:ln w="3175">
                <a:solidFill>
                  <a:schemeClr val="accent4"/>
                </a:solidFill>
                <a:prstDash val="sysDash"/>
              </a:ln>
              <a:effectLst/>
            </c:spPr>
          </c:marker>
          <c:cat>
            <c:numRef>
              <c:f>Calcs!$B$3:$B$14</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Calcs!$BX$44:$BX$55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3-172A-406F-B762-3A6BB29B355F}"/>
            </c:ext>
          </c:extLst>
        </c:ser>
        <c:dLbls>
          <c:showLegendKey val="0"/>
          <c:showVal val="0"/>
          <c:showCatName val="0"/>
          <c:showSerName val="0"/>
          <c:showPercent val="0"/>
          <c:showBubbleSize val="0"/>
        </c:dLbls>
        <c:marker val="1"/>
        <c:smooth val="0"/>
        <c:axId val="232617912"/>
        <c:axId val="232618304"/>
      </c:lineChart>
      <c:catAx>
        <c:axId val="232617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8304"/>
        <c:crosses val="autoZero"/>
        <c:auto val="1"/>
        <c:lblAlgn val="ctr"/>
        <c:lblOffset val="100"/>
        <c:noMultiLvlLbl val="0"/>
      </c:catAx>
      <c:valAx>
        <c:axId val="232618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617912"/>
        <c:crosses val="autoZero"/>
        <c:crossBetween val="between"/>
      </c:valAx>
      <c:spPr>
        <a:noFill/>
        <a:ln>
          <a:noFill/>
        </a:ln>
        <a:effectLst/>
      </c:spPr>
    </c:plotArea>
    <c:legend>
      <c:legendPos val="r"/>
      <c:layout>
        <c:manualLayout>
          <c:xMode val="edge"/>
          <c:yMode val="edge"/>
          <c:x val="0.7436382327209099"/>
          <c:y val="0.54344779819189259"/>
          <c:w val="0.24898609371346264"/>
          <c:h val="0.315876976681459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IC!$B$4</c:f>
              <c:strCache>
                <c:ptCount val="1"/>
                <c:pt idx="0">
                  <c:v>CC2620</c:v>
                </c:pt>
              </c:strCache>
            </c:strRef>
          </c:tx>
          <c:dPt>
            <c:idx val="0"/>
            <c:bubble3D val="0"/>
            <c:spPr>
              <a:solidFill>
                <a:schemeClr val="tx1"/>
              </a:solidFill>
            </c:spPr>
            <c:extLst xmlns:c16r2="http://schemas.microsoft.com/office/drawing/2015/06/chart">
              <c:ext xmlns:c16="http://schemas.microsoft.com/office/drawing/2014/chart" uri="{C3380CC4-5D6E-409C-BE32-E72D297353CC}">
                <c16:uniqueId val="{00000001-DF6D-4C93-B3B0-13B3837F56D7}"/>
              </c:ext>
            </c:extLst>
          </c:dPt>
          <c:dLbls>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IC!$AU$2:$AY$2</c:f>
              <c:strCache>
                <c:ptCount val="5"/>
                <c:pt idx="0">
                  <c:v>Max
ADC
(mA)</c:v>
                </c:pt>
                <c:pt idx="1">
                  <c:v>Max
Inter
face
(mA)</c:v>
                </c:pt>
                <c:pt idx="2">
                  <c:v>Max
Digital
(mA)</c:v>
                </c:pt>
                <c:pt idx="3">
                  <c:v>Max
TX
(mA)</c:v>
                </c:pt>
                <c:pt idx="4">
                  <c:v>Max
RX
(mA)</c:v>
                </c:pt>
              </c:strCache>
            </c:strRef>
          </c:cat>
          <c:val>
            <c:numRef>
              <c:f>IC!$AU$4:$AY$4</c:f>
              <c:numCache>
                <c:formatCode>General</c:formatCode>
                <c:ptCount val="5"/>
                <c:pt idx="0">
                  <c:v>0.75</c:v>
                </c:pt>
                <c:pt idx="1">
                  <c:v>0.39360000000000006</c:v>
                </c:pt>
                <c:pt idx="2">
                  <c:v>2.9279999999999999</c:v>
                </c:pt>
                <c:pt idx="3">
                  <c:v>9.1</c:v>
                </c:pt>
                <c:pt idx="4">
                  <c:v>6.1</c:v>
                </c:pt>
              </c:numCache>
            </c:numRef>
          </c:val>
          <c:extLst xmlns:c16r2="http://schemas.microsoft.com/office/drawing/2015/06/chart">
            <c:ext xmlns:c16="http://schemas.microsoft.com/office/drawing/2014/chart" uri="{C3380CC4-5D6E-409C-BE32-E72D297353CC}">
              <c16:uniqueId val="{00000002-DF6D-4C93-B3B0-13B3837F56D7}"/>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CC2630</a:t>
            </a:r>
          </a:p>
        </c:rich>
      </c:tx>
      <c:overlay val="0"/>
    </c:title>
    <c:autoTitleDeleted val="0"/>
    <c:plotArea>
      <c:layout/>
      <c:pieChart>
        <c:varyColors val="1"/>
        <c:ser>
          <c:idx val="0"/>
          <c:order val="0"/>
          <c:tx>
            <c:strRef>
              <c:f>IC!$B$5</c:f>
              <c:strCache>
                <c:ptCount val="1"/>
                <c:pt idx="0">
                  <c:v>CC2630</c:v>
                </c:pt>
              </c:strCache>
            </c:strRef>
          </c:tx>
          <c:dPt>
            <c:idx val="0"/>
            <c:bubble3D val="0"/>
            <c:spPr>
              <a:solidFill>
                <a:schemeClr val="tx1"/>
              </a:solidFill>
            </c:spPr>
            <c:extLst xmlns:c16r2="http://schemas.microsoft.com/office/drawing/2015/06/chart">
              <c:ext xmlns:c16="http://schemas.microsoft.com/office/drawing/2014/chart" uri="{C3380CC4-5D6E-409C-BE32-E72D297353CC}">
                <c16:uniqueId val="{00000001-94E2-4F9C-BC54-AD6AC88C886C}"/>
              </c:ext>
            </c:extLst>
          </c:dPt>
          <c:dLbls>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IC!$AU$2:$AY$2</c:f>
              <c:strCache>
                <c:ptCount val="5"/>
                <c:pt idx="0">
                  <c:v>Max
ADC
(mA)</c:v>
                </c:pt>
                <c:pt idx="1">
                  <c:v>Max
Inter
face
(mA)</c:v>
                </c:pt>
                <c:pt idx="2">
                  <c:v>Max
Digital
(mA)</c:v>
                </c:pt>
                <c:pt idx="3">
                  <c:v>Max
TX
(mA)</c:v>
                </c:pt>
                <c:pt idx="4">
                  <c:v>Max
RX
(mA)</c:v>
                </c:pt>
              </c:strCache>
            </c:strRef>
          </c:cat>
          <c:val>
            <c:numRef>
              <c:f>IC!$AU$5:$AY$5</c:f>
              <c:numCache>
                <c:formatCode>General</c:formatCode>
                <c:ptCount val="5"/>
                <c:pt idx="0">
                  <c:v>0.75</c:v>
                </c:pt>
                <c:pt idx="1">
                  <c:v>0</c:v>
                </c:pt>
                <c:pt idx="2">
                  <c:v>16.329999999999998</c:v>
                </c:pt>
                <c:pt idx="3">
                  <c:v>9.1</c:v>
                </c:pt>
                <c:pt idx="4">
                  <c:v>6.1</c:v>
                </c:pt>
              </c:numCache>
            </c:numRef>
          </c:val>
          <c:extLst xmlns:c16r2="http://schemas.microsoft.com/office/drawing/2015/06/chart">
            <c:ext xmlns:c16="http://schemas.microsoft.com/office/drawing/2014/chart" uri="{C3380CC4-5D6E-409C-BE32-E72D297353CC}">
              <c16:uniqueId val="{00000002-94E2-4F9C-BC54-AD6AC88C886C}"/>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CC2640</a:t>
            </a:r>
          </a:p>
        </c:rich>
      </c:tx>
      <c:overlay val="0"/>
    </c:title>
    <c:autoTitleDeleted val="0"/>
    <c:plotArea>
      <c:layout/>
      <c:pieChart>
        <c:varyColors val="1"/>
        <c:ser>
          <c:idx val="0"/>
          <c:order val="0"/>
          <c:tx>
            <c:strRef>
              <c:f>IC!$B$6</c:f>
              <c:strCache>
                <c:ptCount val="1"/>
                <c:pt idx="0">
                  <c:v>CC2640</c:v>
                </c:pt>
              </c:strCache>
            </c:strRef>
          </c:tx>
          <c:dPt>
            <c:idx val="0"/>
            <c:bubble3D val="0"/>
            <c:spPr>
              <a:solidFill>
                <a:schemeClr val="tx1"/>
              </a:solidFill>
            </c:spPr>
            <c:extLst xmlns:c16r2="http://schemas.microsoft.com/office/drawing/2015/06/chart">
              <c:ext xmlns:c16="http://schemas.microsoft.com/office/drawing/2014/chart" uri="{C3380CC4-5D6E-409C-BE32-E72D297353CC}">
                <c16:uniqueId val="{00000001-8BD7-461F-976D-076CD545958F}"/>
              </c:ext>
            </c:extLst>
          </c:dPt>
          <c:dLbls>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IC!$AU$2:$AY$2</c:f>
              <c:strCache>
                <c:ptCount val="5"/>
                <c:pt idx="0">
                  <c:v>Max
ADC
(mA)</c:v>
                </c:pt>
                <c:pt idx="1">
                  <c:v>Max
Inter
face
(mA)</c:v>
                </c:pt>
                <c:pt idx="2">
                  <c:v>Max
Digital
(mA)</c:v>
                </c:pt>
                <c:pt idx="3">
                  <c:v>Max
TX
(mA)</c:v>
                </c:pt>
                <c:pt idx="4">
                  <c:v>Max
RX
(mA)</c:v>
                </c:pt>
              </c:strCache>
            </c:strRef>
          </c:cat>
          <c:val>
            <c:numRef>
              <c:f>IC!$AU$6:$AY$6</c:f>
              <c:numCache>
                <c:formatCode>General</c:formatCode>
                <c:ptCount val="5"/>
                <c:pt idx="0">
                  <c:v>0.75</c:v>
                </c:pt>
                <c:pt idx="1">
                  <c:v>0</c:v>
                </c:pt>
                <c:pt idx="2">
                  <c:v>16.329999999999998</c:v>
                </c:pt>
                <c:pt idx="3">
                  <c:v>9.1</c:v>
                </c:pt>
                <c:pt idx="4">
                  <c:v>6.1</c:v>
                </c:pt>
              </c:numCache>
            </c:numRef>
          </c:val>
          <c:extLst xmlns:c16r2="http://schemas.microsoft.com/office/drawing/2015/06/chart">
            <c:ext xmlns:c16="http://schemas.microsoft.com/office/drawing/2014/chart" uri="{C3380CC4-5D6E-409C-BE32-E72D297353CC}">
              <c16:uniqueId val="{00000002-8BD7-461F-976D-076CD545958F}"/>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IC!$B$7</c:f>
              <c:strCache>
                <c:ptCount val="1"/>
                <c:pt idx="0">
                  <c:v>CC2650</c:v>
                </c:pt>
              </c:strCache>
            </c:strRef>
          </c:tx>
          <c:dPt>
            <c:idx val="0"/>
            <c:bubble3D val="0"/>
            <c:spPr>
              <a:solidFill>
                <a:schemeClr val="tx1"/>
              </a:solidFill>
            </c:spPr>
            <c:extLst xmlns:c16r2="http://schemas.microsoft.com/office/drawing/2015/06/chart">
              <c:ext xmlns:c16="http://schemas.microsoft.com/office/drawing/2014/chart" uri="{C3380CC4-5D6E-409C-BE32-E72D297353CC}">
                <c16:uniqueId val="{00000001-C4F1-45CD-8292-CA7824CFD113}"/>
              </c:ext>
            </c:extLst>
          </c:dPt>
          <c:dLbls>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IC!$AU$2:$AY$2</c:f>
              <c:strCache>
                <c:ptCount val="5"/>
                <c:pt idx="0">
                  <c:v>Max
ADC
(mA)</c:v>
                </c:pt>
                <c:pt idx="1">
                  <c:v>Max
Inter
face
(mA)</c:v>
                </c:pt>
                <c:pt idx="2">
                  <c:v>Max
Digital
(mA)</c:v>
                </c:pt>
                <c:pt idx="3">
                  <c:v>Max
TX
(mA)</c:v>
                </c:pt>
                <c:pt idx="4">
                  <c:v>Max
RX
(mA)</c:v>
                </c:pt>
              </c:strCache>
            </c:strRef>
          </c:cat>
          <c:val>
            <c:numRef>
              <c:f>IC!$AU$7:$AY$7</c:f>
              <c:numCache>
                <c:formatCode>General</c:formatCode>
                <c:ptCount val="5"/>
                <c:pt idx="0">
                  <c:v>0.75</c:v>
                </c:pt>
                <c:pt idx="1">
                  <c:v>0</c:v>
                </c:pt>
                <c:pt idx="2">
                  <c:v>16.329999999999998</c:v>
                </c:pt>
                <c:pt idx="3">
                  <c:v>9.1</c:v>
                </c:pt>
                <c:pt idx="4">
                  <c:v>6.1</c:v>
                </c:pt>
              </c:numCache>
            </c:numRef>
          </c:val>
          <c:extLst xmlns:c16r2="http://schemas.microsoft.com/office/drawing/2015/06/chart">
            <c:ext xmlns:c16="http://schemas.microsoft.com/office/drawing/2014/chart" uri="{C3380CC4-5D6E-409C-BE32-E72D297353CC}">
              <c16:uniqueId val="{00000002-C4F1-45CD-8292-CA7824CFD113}"/>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0661394105506E-2"/>
          <c:y val="5.6437044533068199E-2"/>
          <c:w val="0.82695781336264718"/>
          <c:h val="0.84647181742423738"/>
        </c:manualLayout>
      </c:layout>
      <c:barChart>
        <c:barDir val="col"/>
        <c:grouping val="clustered"/>
        <c:varyColors val="0"/>
        <c:ser>
          <c:idx val="0"/>
          <c:order val="0"/>
          <c:tx>
            <c:v>Resolution</c:v>
          </c:tx>
          <c:invertIfNegative val="0"/>
          <c:cat>
            <c:numRef>
              <c:f>Hists!$B$801:$B$828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Hists!$K$801:$K$828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E71C-41DA-B891-12AC736521B8}"/>
            </c:ext>
          </c:extLst>
        </c:ser>
        <c:ser>
          <c:idx val="1"/>
          <c:order val="1"/>
          <c:tx>
            <c:v>Accuracy</c:v>
          </c:tx>
          <c:invertIfNegative val="0"/>
          <c:cat>
            <c:numRef>
              <c:f>Hists!$B$801:$B$828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Hists!$L$801:$L$828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E71C-41DA-B891-12AC736521B8}"/>
            </c:ext>
          </c:extLst>
        </c:ser>
        <c:dLbls>
          <c:showLegendKey val="0"/>
          <c:showVal val="0"/>
          <c:showCatName val="0"/>
          <c:showSerName val="0"/>
          <c:showPercent val="0"/>
          <c:showBubbleSize val="0"/>
        </c:dLbls>
        <c:gapWidth val="150"/>
        <c:axId val="216599184"/>
        <c:axId val="216599576"/>
      </c:barChart>
      <c:catAx>
        <c:axId val="216599184"/>
        <c:scaling>
          <c:orientation val="minMax"/>
        </c:scaling>
        <c:delete val="0"/>
        <c:axPos val="b"/>
        <c:title>
          <c:tx>
            <c:rich>
              <a:bodyPr/>
              <a:lstStyle/>
              <a:p>
                <a:pPr>
                  <a:defRPr/>
                </a:pPr>
                <a:r>
                  <a:rPr lang="en-US"/>
                  <a:t>Bits</a:t>
                </a:r>
              </a:p>
            </c:rich>
          </c:tx>
          <c:overlay val="0"/>
        </c:title>
        <c:numFmt formatCode="General" sourceLinked="1"/>
        <c:majorTickMark val="out"/>
        <c:minorTickMark val="none"/>
        <c:tickLblPos val="nextTo"/>
        <c:txPr>
          <a:bodyPr rot="5400000" vert="horz"/>
          <a:lstStyle/>
          <a:p>
            <a:pPr>
              <a:defRPr/>
            </a:pPr>
            <a:endParaRPr lang="en-US"/>
          </a:p>
        </c:txPr>
        <c:crossAx val="216599576"/>
        <c:crosses val="autoZero"/>
        <c:auto val="1"/>
        <c:lblAlgn val="ctr"/>
        <c:lblOffset val="100"/>
        <c:noMultiLvlLbl val="0"/>
      </c:catAx>
      <c:valAx>
        <c:axId val="216599576"/>
        <c:scaling>
          <c:orientation val="minMax"/>
        </c:scaling>
        <c:delete val="0"/>
        <c:axPos val="l"/>
        <c:majorGridlines/>
        <c:numFmt formatCode="0.00" sourceLinked="1"/>
        <c:majorTickMark val="out"/>
        <c:minorTickMark val="none"/>
        <c:tickLblPos val="nextTo"/>
        <c:crossAx val="216599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Kinetis KL2</a:t>
            </a:r>
          </a:p>
        </c:rich>
      </c:tx>
      <c:overlay val="0"/>
    </c:title>
    <c:autoTitleDeleted val="0"/>
    <c:plotArea>
      <c:layout/>
      <c:pieChart>
        <c:varyColors val="1"/>
        <c:ser>
          <c:idx val="0"/>
          <c:order val="0"/>
          <c:tx>
            <c:strRef>
              <c:f>IC!$B$14</c:f>
              <c:strCache>
                <c:ptCount val="1"/>
                <c:pt idx="0">
                  <c:v>Kinetis KL02</c:v>
                </c:pt>
              </c:strCache>
            </c:strRef>
          </c:tx>
          <c:dPt>
            <c:idx val="0"/>
            <c:bubble3D val="0"/>
            <c:spPr>
              <a:solidFill>
                <a:schemeClr val="tx1"/>
              </a:solidFill>
            </c:spPr>
            <c:extLst xmlns:c16r2="http://schemas.microsoft.com/office/drawing/2015/06/chart">
              <c:ext xmlns:c16="http://schemas.microsoft.com/office/drawing/2014/chart" uri="{C3380CC4-5D6E-409C-BE32-E72D297353CC}">
                <c16:uniqueId val="{00000001-056A-4AF0-A4BC-7153BA655E6F}"/>
              </c:ext>
            </c:extLst>
          </c:dPt>
          <c:dLbls>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IC!$AU$2:$AY$2</c:f>
              <c:strCache>
                <c:ptCount val="5"/>
                <c:pt idx="0">
                  <c:v>Max
ADC
(mA)</c:v>
                </c:pt>
                <c:pt idx="1">
                  <c:v>Max
Inter
face
(mA)</c:v>
                </c:pt>
                <c:pt idx="2">
                  <c:v>Max
Digital
(mA)</c:v>
                </c:pt>
                <c:pt idx="3">
                  <c:v>Max
TX
(mA)</c:v>
                </c:pt>
                <c:pt idx="4">
                  <c:v>Max
RX
(mA)</c:v>
                </c:pt>
              </c:strCache>
            </c:strRef>
          </c:cat>
          <c:val>
            <c:numRef>
              <c:f>IC!$AU$14:$AY$14</c:f>
              <c:numCache>
                <c:formatCode>General</c:formatCode>
                <c:ptCount val="5"/>
                <c:pt idx="0">
                  <c:v>1.7</c:v>
                </c:pt>
                <c:pt idx="1">
                  <c:v>0</c:v>
                </c:pt>
                <c:pt idx="2">
                  <c:v>6</c:v>
                </c:pt>
                <c:pt idx="3">
                  <c:v>0</c:v>
                </c:pt>
                <c:pt idx="4">
                  <c:v>0</c:v>
                </c:pt>
              </c:numCache>
            </c:numRef>
          </c:val>
          <c:extLst xmlns:c16r2="http://schemas.microsoft.com/office/drawing/2015/06/chart">
            <c:ext xmlns:c16="http://schemas.microsoft.com/office/drawing/2014/chart" uri="{C3380CC4-5D6E-409C-BE32-E72D297353CC}">
              <c16:uniqueId val="{00000002-056A-4AF0-A4BC-7153BA655E6F}"/>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EFM8SB20F64G</a:t>
            </a:r>
          </a:p>
        </c:rich>
      </c:tx>
      <c:layout>
        <c:manualLayout>
          <c:xMode val="edge"/>
          <c:yMode val="edge"/>
          <c:x val="2.6972854019988446E-2"/>
          <c:y val="0.36574074074074081"/>
        </c:manualLayout>
      </c:layout>
      <c:overlay val="0"/>
    </c:title>
    <c:autoTitleDeleted val="0"/>
    <c:plotArea>
      <c:layout/>
      <c:pieChart>
        <c:varyColors val="1"/>
        <c:ser>
          <c:idx val="0"/>
          <c:order val="0"/>
          <c:tx>
            <c:strRef>
              <c:f>IC!$B$19</c:f>
              <c:strCache>
                <c:ptCount val="1"/>
                <c:pt idx="0">
                  <c:v>EFM8SB20F64G</c:v>
                </c:pt>
              </c:strCache>
            </c:strRef>
          </c:tx>
          <c:dPt>
            <c:idx val="0"/>
            <c:bubble3D val="0"/>
            <c:spPr>
              <a:solidFill>
                <a:schemeClr val="tx1"/>
              </a:solidFill>
            </c:spPr>
            <c:extLst xmlns:c16r2="http://schemas.microsoft.com/office/drawing/2015/06/chart">
              <c:ext xmlns:c16="http://schemas.microsoft.com/office/drawing/2014/chart" uri="{C3380CC4-5D6E-409C-BE32-E72D297353CC}">
                <c16:uniqueId val="{00000001-DAC0-4D6E-9E83-F031AF382402}"/>
              </c:ext>
            </c:extLst>
          </c:dPt>
          <c:dLbls>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IC!$AU$2:$AY$2</c:f>
              <c:strCache>
                <c:ptCount val="5"/>
                <c:pt idx="0">
                  <c:v>Max
ADC
(mA)</c:v>
                </c:pt>
                <c:pt idx="1">
                  <c:v>Max
Inter
face
(mA)</c:v>
                </c:pt>
                <c:pt idx="2">
                  <c:v>Max
Digital
(mA)</c:v>
                </c:pt>
                <c:pt idx="3">
                  <c:v>Max
TX
(mA)</c:v>
                </c:pt>
                <c:pt idx="4">
                  <c:v>Max
RX
(mA)</c:v>
                </c:pt>
              </c:strCache>
            </c:strRef>
          </c:cat>
          <c:val>
            <c:numRef>
              <c:f>IC!$AU$19:$AY$19</c:f>
              <c:numCache>
                <c:formatCode>General</c:formatCode>
                <c:ptCount val="5"/>
                <c:pt idx="0">
                  <c:v>0.8</c:v>
                </c:pt>
                <c:pt idx="1">
                  <c:v>3.5000000000000003E-2</c:v>
                </c:pt>
                <c:pt idx="2">
                  <c:v>5</c:v>
                </c:pt>
                <c:pt idx="3">
                  <c:v>0</c:v>
                </c:pt>
                <c:pt idx="4">
                  <c:v>0</c:v>
                </c:pt>
              </c:numCache>
            </c:numRef>
          </c:val>
          <c:extLst xmlns:c16r2="http://schemas.microsoft.com/office/drawing/2015/06/chart">
            <c:ext xmlns:c16="http://schemas.microsoft.com/office/drawing/2014/chart" uri="{C3380CC4-5D6E-409C-BE32-E72D297353CC}">
              <c16:uniqueId val="{00000002-DAC0-4D6E-9E83-F031AF382402}"/>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EFM32HG110F64-QFN24</a:t>
            </a:r>
          </a:p>
        </c:rich>
      </c:tx>
      <c:overlay val="0"/>
    </c:title>
    <c:autoTitleDeleted val="0"/>
    <c:plotArea>
      <c:layout/>
      <c:pieChart>
        <c:varyColors val="1"/>
        <c:ser>
          <c:idx val="0"/>
          <c:order val="0"/>
          <c:tx>
            <c:strRef>
              <c:f>IC!$B$20</c:f>
              <c:strCache>
                <c:ptCount val="1"/>
                <c:pt idx="0">
                  <c:v>EFM32HG110F64-QFN24</c:v>
                </c:pt>
              </c:strCache>
            </c:strRef>
          </c:tx>
          <c:dPt>
            <c:idx val="0"/>
            <c:bubble3D val="0"/>
            <c:spPr>
              <a:solidFill>
                <a:schemeClr val="tx1"/>
              </a:solidFill>
            </c:spPr>
            <c:extLst xmlns:c16r2="http://schemas.microsoft.com/office/drawing/2015/06/chart">
              <c:ext xmlns:c16="http://schemas.microsoft.com/office/drawing/2014/chart" uri="{C3380CC4-5D6E-409C-BE32-E72D297353CC}">
                <c16:uniqueId val="{00000001-9A4F-4CE6-A5EB-106DD012AC79}"/>
              </c:ext>
            </c:extLst>
          </c:dPt>
          <c:dLbls>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IC!$AU$2:$AY$2</c:f>
              <c:strCache>
                <c:ptCount val="5"/>
                <c:pt idx="0">
                  <c:v>Max
ADC
(mA)</c:v>
                </c:pt>
                <c:pt idx="1">
                  <c:v>Max
Inter
face
(mA)</c:v>
                </c:pt>
                <c:pt idx="2">
                  <c:v>Max
Digital
(mA)</c:v>
                </c:pt>
                <c:pt idx="3">
                  <c:v>Max
TX
(mA)</c:v>
                </c:pt>
                <c:pt idx="4">
                  <c:v>Max
RX
(mA)</c:v>
                </c:pt>
              </c:strCache>
            </c:strRef>
          </c:cat>
          <c:val>
            <c:numRef>
              <c:f>IC!$AU$20:$AY$20</c:f>
              <c:numCache>
                <c:formatCode>General</c:formatCode>
                <c:ptCount val="5"/>
                <c:pt idx="0">
                  <c:v>0.57200000000000006</c:v>
                </c:pt>
                <c:pt idx="1">
                  <c:v>0</c:v>
                </c:pt>
                <c:pt idx="2">
                  <c:v>3.95</c:v>
                </c:pt>
                <c:pt idx="3">
                  <c:v>0</c:v>
                </c:pt>
                <c:pt idx="4">
                  <c:v>1.0309999999999997</c:v>
                </c:pt>
              </c:numCache>
            </c:numRef>
          </c:val>
          <c:extLst xmlns:c16r2="http://schemas.microsoft.com/office/drawing/2015/06/chart">
            <c:ext xmlns:c16="http://schemas.microsoft.com/office/drawing/2014/chart" uri="{C3380CC4-5D6E-409C-BE32-E72D297353CC}">
              <c16:uniqueId val="{00000002-9A4F-4CE6-A5EB-106DD012AC79}"/>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EFM32HG110F64-QFN24</a:t>
            </a:r>
          </a:p>
        </c:rich>
      </c:tx>
      <c:overlay val="0"/>
    </c:title>
    <c:autoTitleDeleted val="0"/>
    <c:plotArea>
      <c:layout/>
      <c:pieChart>
        <c:varyColors val="1"/>
        <c:ser>
          <c:idx val="0"/>
          <c:order val="0"/>
          <c:tx>
            <c:strRef>
              <c:f>IC!$B$20</c:f>
              <c:strCache>
                <c:ptCount val="1"/>
                <c:pt idx="0">
                  <c:v>EFM32HG110F64-QFN24</c:v>
                </c:pt>
              </c:strCache>
            </c:strRef>
          </c:tx>
          <c:dPt>
            <c:idx val="0"/>
            <c:bubble3D val="0"/>
            <c:spPr>
              <a:solidFill>
                <a:schemeClr val="tx1"/>
              </a:solidFill>
            </c:spPr>
            <c:extLst xmlns:c16r2="http://schemas.microsoft.com/office/drawing/2015/06/chart">
              <c:ext xmlns:c16="http://schemas.microsoft.com/office/drawing/2014/chart" uri="{C3380CC4-5D6E-409C-BE32-E72D297353CC}">
                <c16:uniqueId val="{00000001-498F-480B-A6A3-FD71BDB66F70}"/>
              </c:ext>
            </c:extLst>
          </c:dPt>
          <c:dLbls>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IC!$AU$2:$AY$2</c:f>
              <c:strCache>
                <c:ptCount val="5"/>
                <c:pt idx="0">
                  <c:v>Max
ADC
(mA)</c:v>
                </c:pt>
                <c:pt idx="1">
                  <c:v>Max
Inter
face
(mA)</c:v>
                </c:pt>
                <c:pt idx="2">
                  <c:v>Max
Digital
(mA)</c:v>
                </c:pt>
                <c:pt idx="3">
                  <c:v>Max
TX
(mA)</c:v>
                </c:pt>
                <c:pt idx="4">
                  <c:v>Max
RX
(mA)</c:v>
                </c:pt>
              </c:strCache>
            </c:strRef>
          </c:cat>
          <c:val>
            <c:numRef>
              <c:f>IC!$AU$20:$AY$20</c:f>
              <c:numCache>
                <c:formatCode>General</c:formatCode>
                <c:ptCount val="5"/>
                <c:pt idx="0">
                  <c:v>0.57200000000000006</c:v>
                </c:pt>
                <c:pt idx="1">
                  <c:v>0</c:v>
                </c:pt>
                <c:pt idx="2">
                  <c:v>3.95</c:v>
                </c:pt>
                <c:pt idx="3">
                  <c:v>0</c:v>
                </c:pt>
                <c:pt idx="4">
                  <c:v>1.0309999999999997</c:v>
                </c:pt>
              </c:numCache>
            </c:numRef>
          </c:val>
          <c:extLst xmlns:c16r2="http://schemas.microsoft.com/office/drawing/2015/06/chart">
            <c:ext xmlns:c16="http://schemas.microsoft.com/office/drawing/2014/chart" uri="{C3380CC4-5D6E-409C-BE32-E72D297353CC}">
              <c16:uniqueId val="{00000002-498F-480B-A6A3-FD71BDB66F70}"/>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Discrete</a:t>
            </a:r>
          </a:p>
        </c:rich>
      </c:tx>
      <c:overlay val="0"/>
    </c:title>
    <c:autoTitleDeleted val="0"/>
    <c:plotArea>
      <c:layout/>
      <c:pieChart>
        <c:varyColors val="1"/>
        <c:ser>
          <c:idx val="0"/>
          <c:order val="0"/>
          <c:tx>
            <c:strRef>
              <c:f>Pies!$A$150</c:f>
              <c:strCache>
                <c:ptCount val="1"/>
                <c:pt idx="0">
                  <c:v>Discrete</c:v>
                </c:pt>
              </c:strCache>
            </c:strRef>
          </c:tx>
          <c:dPt>
            <c:idx val="0"/>
            <c:bubble3D val="0"/>
            <c:spPr>
              <a:solidFill>
                <a:schemeClr val="tx1"/>
              </a:solidFill>
            </c:spPr>
            <c:extLst xmlns:c16r2="http://schemas.microsoft.com/office/drawing/2015/06/chart">
              <c:ext xmlns:c16="http://schemas.microsoft.com/office/drawing/2014/chart" uri="{C3380CC4-5D6E-409C-BE32-E72D297353CC}">
                <c16:uniqueId val="{00000001-6118-4BCB-8E15-D835A3904FF2}"/>
              </c:ext>
            </c:extLst>
          </c:dPt>
          <c:dLbls>
            <c:dLbl>
              <c:idx val="0"/>
              <c:layout>
                <c:manualLayout>
                  <c:x val="-4.7575839853874063E-2"/>
                  <c:y val="-0.2059624230139549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6118-4BCB-8E15-D835A3904FF2}"/>
                </c:ext>
                <c:ext xmlns:c15="http://schemas.microsoft.com/office/drawing/2012/chart" uri="{CE6537A1-D6FC-4f65-9D91-7224C49458BB}"/>
              </c:extLst>
            </c:dLbl>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Pies!$C$149:$D$149</c:f>
              <c:strCache>
                <c:ptCount val="2"/>
                <c:pt idx="0">
                  <c:v>IP66 
compliant</c:v>
                </c:pt>
                <c:pt idx="1">
                  <c:v>DIP 24</c:v>
                </c:pt>
              </c:strCache>
            </c:strRef>
          </c:cat>
          <c:val>
            <c:numRef>
              <c:f>Pies!$C$150:$D$150</c:f>
              <c:numCache>
                <c:formatCode>General</c:formatCode>
                <c:ptCount val="2"/>
                <c:pt idx="0">
                  <c:v>2</c:v>
                </c:pt>
                <c:pt idx="1">
                  <c:v>2</c:v>
                </c:pt>
              </c:numCache>
            </c:numRef>
          </c:val>
          <c:extLst xmlns:c16r2="http://schemas.microsoft.com/office/drawing/2015/06/chart">
            <c:ext xmlns:c16="http://schemas.microsoft.com/office/drawing/2014/chart" uri="{C3380CC4-5D6E-409C-BE32-E72D297353CC}">
              <c16:uniqueId val="{00000002-6118-4BCB-8E15-D835A3904FF2}"/>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IC</a:t>
            </a:r>
          </a:p>
        </c:rich>
      </c:tx>
      <c:overlay val="0"/>
    </c:title>
    <c:autoTitleDeleted val="0"/>
    <c:plotArea>
      <c:layout/>
      <c:pieChart>
        <c:varyColors val="1"/>
        <c:ser>
          <c:idx val="0"/>
          <c:order val="0"/>
          <c:tx>
            <c:strRef>
              <c:f>Pies!$A$151</c:f>
              <c:strCache>
                <c:ptCount val="1"/>
                <c:pt idx="0">
                  <c:v>IC</c:v>
                </c:pt>
              </c:strCache>
            </c:strRef>
          </c:tx>
          <c:dPt>
            <c:idx val="0"/>
            <c:bubble3D val="0"/>
            <c:spPr>
              <a:solidFill>
                <a:schemeClr val="tx1"/>
              </a:solidFill>
            </c:spPr>
            <c:extLst xmlns:c16r2="http://schemas.microsoft.com/office/drawing/2015/06/chart">
              <c:ext xmlns:c16="http://schemas.microsoft.com/office/drawing/2014/chart" uri="{C3380CC4-5D6E-409C-BE32-E72D297353CC}">
                <c16:uniqueId val="{00000001-E6A5-4386-AB10-8C8EBC10F00B}"/>
              </c:ext>
            </c:extLst>
          </c:dPt>
          <c:dLbls>
            <c:dLbl>
              <c:idx val="0"/>
              <c:layout>
                <c:manualLayout>
                  <c:x val="-4.7575839853874063E-2"/>
                  <c:y val="-0.2059624230139549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E6A5-4386-AB10-8C8EBC10F00B}"/>
                </c:ext>
                <c:ext xmlns:c15="http://schemas.microsoft.com/office/drawing/2012/chart" uri="{CE6537A1-D6FC-4f65-9D91-7224C49458BB}"/>
              </c:extLst>
            </c:dLbl>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Pies!$E$149:$K$149</c:f>
              <c:strCache>
                <c:ptCount val="7"/>
                <c:pt idx="0">
                  <c:v>WLCSP</c:v>
                </c:pt>
                <c:pt idx="1">
                  <c:v>QFN (FK)</c:v>
                </c:pt>
                <c:pt idx="2">
                  <c:v>QFN24</c:v>
                </c:pt>
                <c:pt idx="3">
                  <c:v>QFN25</c:v>
                </c:pt>
                <c:pt idx="4">
                  <c:v>LGA-24L</c:v>
                </c:pt>
                <c:pt idx="5">
                  <c:v>QFN</c:v>
                </c:pt>
                <c:pt idx="6">
                  <c:v>DFN</c:v>
                </c:pt>
              </c:strCache>
            </c:strRef>
          </c:cat>
          <c:val>
            <c:numRef>
              <c:f>Pies!$E$151:$K$151</c:f>
              <c:numCache>
                <c:formatCode>General</c:formatCode>
                <c:ptCount val="7"/>
                <c:pt idx="0">
                  <c:v>6</c:v>
                </c:pt>
                <c:pt idx="1">
                  <c:v>3</c:v>
                </c:pt>
                <c:pt idx="2">
                  <c:v>3</c:v>
                </c:pt>
                <c:pt idx="3">
                  <c:v>1</c:v>
                </c:pt>
                <c:pt idx="4">
                  <c:v>10</c:v>
                </c:pt>
                <c:pt idx="5">
                  <c:v>3</c:v>
                </c:pt>
                <c:pt idx="6">
                  <c:v>1</c:v>
                </c:pt>
              </c:numCache>
            </c:numRef>
          </c:val>
          <c:extLst xmlns:c16r2="http://schemas.microsoft.com/office/drawing/2015/06/chart">
            <c:ext xmlns:c16="http://schemas.microsoft.com/office/drawing/2014/chart" uri="{C3380CC4-5D6E-409C-BE32-E72D297353CC}">
              <c16:uniqueId val="{00000002-E6A5-4386-AB10-8C8EBC10F00B}"/>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Price</a:t>
            </a:r>
            <a:r>
              <a:rPr lang="en-US" baseline="0"/>
              <a:t> Vs RAM</a:t>
            </a:r>
            <a:endParaRPr lang="en-US"/>
          </a:p>
        </c:rich>
      </c:tx>
      <c:layout>
        <c:manualLayout>
          <c:xMode val="edge"/>
          <c:yMode val="edge"/>
          <c:x val="0.35121597096188745"/>
          <c:y val="4.1612478064025876E-2"/>
        </c:manualLayout>
      </c:layout>
      <c:overlay val="0"/>
    </c:title>
    <c:autoTitleDeleted val="0"/>
    <c:plotArea>
      <c:layout>
        <c:manualLayout>
          <c:layoutTarget val="inner"/>
          <c:xMode val="edge"/>
          <c:yMode val="edge"/>
          <c:x val="7.5033219100887505E-2"/>
          <c:y val="4.6624746874202268E-2"/>
          <c:w val="0.87022720413223453"/>
          <c:h val="0.53321366560332772"/>
        </c:manualLayout>
      </c:layout>
      <c:scatterChart>
        <c:scatterStyle val="lineMarker"/>
        <c:varyColors val="0"/>
        <c:ser>
          <c:idx val="1"/>
          <c:order val="0"/>
          <c:tx>
            <c:v>Mote</c:v>
          </c:tx>
          <c:spPr>
            <a:ln w="28575">
              <a:noFill/>
            </a:ln>
          </c:spPr>
          <c:xVal>
            <c:numRef>
              <c:f>Discrete!$AW$34:$AW$35</c:f>
              <c:numCache>
                <c:formatCode>General</c:formatCode>
                <c:ptCount val="2"/>
                <c:pt idx="0">
                  <c:v>2</c:v>
                </c:pt>
                <c:pt idx="1">
                  <c:v>4</c:v>
                </c:pt>
              </c:numCache>
            </c:numRef>
          </c:xVal>
          <c:yVal>
            <c:numRef>
              <c:f>Discrete!$J$34:$J$35</c:f>
              <c:numCache>
                <c:formatCode>0</c:formatCode>
                <c:ptCount val="2"/>
                <c:pt idx="0">
                  <c:v>16.720124400000003</c:v>
                </c:pt>
                <c:pt idx="1">
                  <c:v>17.0800488</c:v>
                </c:pt>
              </c:numCache>
            </c:numRef>
          </c:yVal>
          <c:smooth val="0"/>
          <c:extLst xmlns:c16r2="http://schemas.microsoft.com/office/drawing/2015/06/chart">
            <c:ext xmlns:c16="http://schemas.microsoft.com/office/drawing/2014/chart" uri="{C3380CC4-5D6E-409C-BE32-E72D297353CC}">
              <c16:uniqueId val="{00000000-3896-408F-BAF2-F5049D148ED5}"/>
            </c:ext>
          </c:extLst>
        </c:ser>
        <c:ser>
          <c:idx val="2"/>
          <c:order val="1"/>
          <c:tx>
            <c:v>MCU</c:v>
          </c:tx>
          <c:spPr>
            <a:ln w="28575">
              <a:noFill/>
            </a:ln>
          </c:spPr>
          <c:xVal>
            <c:strRef>
              <c:f>IC!$BT$5:$BT$23</c:f>
              <c:strCache>
                <c:ptCount val="19"/>
                <c:pt idx="0">
                  <c:v>29</c:v>
                </c:pt>
                <c:pt idx="1">
                  <c:v>30</c:v>
                </c:pt>
                <c:pt idx="2">
                  <c:v>31</c:v>
                </c:pt>
                <c:pt idx="3">
                  <c:v>24</c:v>
                </c:pt>
                <c:pt idx="4">
                  <c:v>N.S</c:v>
                </c:pt>
                <c:pt idx="5">
                  <c:v>N.S</c:v>
                </c:pt>
                <c:pt idx="6">
                  <c:v>N.S</c:v>
                </c:pt>
                <c:pt idx="7">
                  <c:v>N.S</c:v>
                </c:pt>
                <c:pt idx="8">
                  <c:v>N.S</c:v>
                </c:pt>
                <c:pt idx="9">
                  <c:v>4</c:v>
                </c:pt>
                <c:pt idx="10">
                  <c:v>2</c:v>
                </c:pt>
                <c:pt idx="11">
                  <c:v>4</c:v>
                </c:pt>
                <c:pt idx="12">
                  <c:v>4</c:v>
                </c:pt>
                <c:pt idx="13">
                  <c:v>N.S</c:v>
                </c:pt>
                <c:pt idx="14">
                  <c:v>4.352</c:v>
                </c:pt>
                <c:pt idx="15">
                  <c:v>8</c:v>
                </c:pt>
                <c:pt idx="16">
                  <c:v>4</c:v>
                </c:pt>
                <c:pt idx="17">
                  <c:v>32</c:v>
                </c:pt>
                <c:pt idx="18">
                  <c:v>32</c:v>
                </c:pt>
              </c:strCache>
            </c:strRef>
          </c:xVal>
          <c:yVal>
            <c:numRef>
              <c:f>IC!$J$5:$J$23</c:f>
              <c:numCache>
                <c:formatCode>0.00</c:formatCode>
                <c:ptCount val="19"/>
                <c:pt idx="0">
                  <c:v>2.95</c:v>
                </c:pt>
                <c:pt idx="1">
                  <c:v>2.15</c:v>
                </c:pt>
                <c:pt idx="2">
                  <c:v>3.3</c:v>
                </c:pt>
                <c:pt idx="3">
                  <c:v>29</c:v>
                </c:pt>
                <c:pt idx="4">
                  <c:v>5.54</c:v>
                </c:pt>
                <c:pt idx="9">
                  <c:v>0.85</c:v>
                </c:pt>
                <c:pt idx="10">
                  <c:v>0.8</c:v>
                </c:pt>
                <c:pt idx="11">
                  <c:v>1.08</c:v>
                </c:pt>
                <c:pt idx="12">
                  <c:v>1.06</c:v>
                </c:pt>
                <c:pt idx="13">
                  <c:v>0</c:v>
                </c:pt>
                <c:pt idx="14">
                  <c:v>1.95</c:v>
                </c:pt>
                <c:pt idx="15">
                  <c:v>2.12</c:v>
                </c:pt>
                <c:pt idx="16">
                  <c:v>1.42</c:v>
                </c:pt>
                <c:pt idx="17">
                  <c:v>3.83</c:v>
                </c:pt>
                <c:pt idx="18">
                  <c:v>7</c:v>
                </c:pt>
              </c:numCache>
            </c:numRef>
          </c:yVal>
          <c:smooth val="0"/>
          <c:extLst xmlns:c16r2="http://schemas.microsoft.com/office/drawing/2015/06/chart">
            <c:ext xmlns:c16="http://schemas.microsoft.com/office/drawing/2014/chart" uri="{C3380CC4-5D6E-409C-BE32-E72D297353CC}">
              <c16:uniqueId val="{00000001-3896-408F-BAF2-F5049D148ED5}"/>
            </c:ext>
          </c:extLst>
        </c:ser>
        <c:dLbls>
          <c:showLegendKey val="0"/>
          <c:showVal val="0"/>
          <c:showCatName val="0"/>
          <c:showSerName val="0"/>
          <c:showPercent val="0"/>
          <c:showBubbleSize val="0"/>
        </c:dLbls>
        <c:axId val="234413912"/>
        <c:axId val="234414304"/>
      </c:scatterChart>
      <c:valAx>
        <c:axId val="234413912"/>
        <c:scaling>
          <c:orientation val="minMax"/>
        </c:scaling>
        <c:delete val="0"/>
        <c:axPos val="b"/>
        <c:title>
          <c:tx>
            <c:rich>
              <a:bodyPr/>
              <a:lstStyle/>
              <a:p>
                <a:pPr>
                  <a:defRPr/>
                </a:pPr>
                <a:r>
                  <a:rPr lang="en-US"/>
                  <a:t>RAM (kB)</a:t>
                </a:r>
              </a:p>
            </c:rich>
          </c:tx>
          <c:overlay val="0"/>
        </c:title>
        <c:numFmt formatCode="#,##0" sourceLinked="0"/>
        <c:majorTickMark val="out"/>
        <c:minorTickMark val="none"/>
        <c:tickLblPos val="nextTo"/>
        <c:crossAx val="234414304"/>
        <c:crosses val="autoZero"/>
        <c:crossBetween val="midCat"/>
      </c:valAx>
      <c:valAx>
        <c:axId val="234414304"/>
        <c:scaling>
          <c:orientation val="minMax"/>
          <c:max val="30"/>
        </c:scaling>
        <c:delete val="0"/>
        <c:axPos val="l"/>
        <c:majorGridlines/>
        <c:title>
          <c:tx>
            <c:rich>
              <a:bodyPr rot="0" vert="horz"/>
              <a:lstStyle/>
              <a:p>
                <a:pPr>
                  <a:defRPr/>
                </a:pPr>
                <a:r>
                  <a:rPr lang="en-US"/>
                  <a:t>Price</a:t>
                </a:r>
                <a:r>
                  <a:rPr lang="en-US" baseline="0"/>
                  <a:t> (US$)</a:t>
                </a:r>
                <a:endParaRPr lang="en-US"/>
              </a:p>
            </c:rich>
          </c:tx>
          <c:layout>
            <c:manualLayout>
              <c:xMode val="edge"/>
              <c:yMode val="edge"/>
              <c:x val="8.5617274247252656E-2"/>
              <c:y val="6.1976652778547622E-2"/>
            </c:manualLayout>
          </c:layout>
          <c:overlay val="0"/>
        </c:title>
        <c:numFmt formatCode="0" sourceLinked="1"/>
        <c:majorTickMark val="out"/>
        <c:minorTickMark val="none"/>
        <c:tickLblPos val="nextTo"/>
        <c:crossAx val="234413912"/>
        <c:crosses val="autoZero"/>
        <c:crossBetween val="midCat"/>
      </c:valAx>
    </c:plotArea>
    <c:legend>
      <c:legendPos val="r"/>
      <c:layout>
        <c:manualLayout>
          <c:xMode val="edge"/>
          <c:yMode val="edge"/>
          <c:x val="0.12831719179207399"/>
          <c:y val="0.77366115811021463"/>
          <c:w val="0.25897050343039768"/>
          <c:h val="0.14848620363610127"/>
        </c:manualLayout>
      </c:layout>
      <c:overlay val="0"/>
    </c:legend>
    <c:plotVisOnly val="1"/>
    <c:dispBlanksAs val="gap"/>
    <c:showDLblsOverMax val="0"/>
  </c:chart>
  <c:printSettings>
    <c:headerFooter/>
    <c:pageMargins b="0.75" l="0.7" r="0.7" t="0.75" header="0.3" footer="0.3"/>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Price Vs Flash Memory</a:t>
            </a:r>
          </a:p>
        </c:rich>
      </c:tx>
      <c:layout>
        <c:manualLayout>
          <c:xMode val="edge"/>
          <c:yMode val="edge"/>
          <c:x val="0.36617650561374926"/>
          <c:y val="4.8547891074696856E-2"/>
        </c:manualLayout>
      </c:layout>
      <c:overlay val="0"/>
    </c:title>
    <c:autoTitleDeleted val="0"/>
    <c:plotArea>
      <c:layout>
        <c:manualLayout>
          <c:layoutTarget val="inner"/>
          <c:xMode val="edge"/>
          <c:yMode val="edge"/>
          <c:x val="7.5033219100887505E-2"/>
          <c:y val="4.6624746874202268E-2"/>
          <c:w val="0.87022720413223453"/>
          <c:h val="0.53321366560332772"/>
        </c:manualLayout>
      </c:layout>
      <c:scatterChart>
        <c:scatterStyle val="lineMarker"/>
        <c:varyColors val="0"/>
        <c:ser>
          <c:idx val="1"/>
          <c:order val="0"/>
          <c:tx>
            <c:v>Mote</c:v>
          </c:tx>
          <c:spPr>
            <a:ln w="28575">
              <a:noFill/>
            </a:ln>
          </c:spPr>
          <c:xVal>
            <c:numRef>
              <c:f>Discrete!$AX$34:$AX$35</c:f>
              <c:numCache>
                <c:formatCode>General</c:formatCode>
                <c:ptCount val="2"/>
                <c:pt idx="0">
                  <c:v>32</c:v>
                </c:pt>
                <c:pt idx="1">
                  <c:v>32</c:v>
                </c:pt>
              </c:numCache>
            </c:numRef>
          </c:xVal>
          <c:yVal>
            <c:numRef>
              <c:f>Discrete!$J$34:$J$35</c:f>
              <c:numCache>
                <c:formatCode>0</c:formatCode>
                <c:ptCount val="2"/>
                <c:pt idx="0">
                  <c:v>16.720124400000003</c:v>
                </c:pt>
                <c:pt idx="1">
                  <c:v>17.0800488</c:v>
                </c:pt>
              </c:numCache>
            </c:numRef>
          </c:yVal>
          <c:smooth val="0"/>
          <c:extLst xmlns:c16r2="http://schemas.microsoft.com/office/drawing/2015/06/chart">
            <c:ext xmlns:c16="http://schemas.microsoft.com/office/drawing/2014/chart" uri="{C3380CC4-5D6E-409C-BE32-E72D297353CC}">
              <c16:uniqueId val="{00000000-B6E3-4ED0-B2AB-EE202F12645B}"/>
            </c:ext>
          </c:extLst>
        </c:ser>
        <c:ser>
          <c:idx val="0"/>
          <c:order val="1"/>
          <c:tx>
            <c:v>MCU</c:v>
          </c:tx>
          <c:spPr>
            <a:ln w="28575">
              <a:noFill/>
            </a:ln>
          </c:spPr>
          <c:xVal>
            <c:strRef>
              <c:f>IC!$BU$5:$BU$23</c:f>
              <c:strCache>
                <c:ptCount val="19"/>
                <c:pt idx="0">
                  <c:v>127</c:v>
                </c:pt>
                <c:pt idx="1">
                  <c:v>128</c:v>
                </c:pt>
                <c:pt idx="2">
                  <c:v>128</c:v>
                </c:pt>
                <c:pt idx="3">
                  <c:v>128</c:v>
                </c:pt>
                <c:pt idx="4">
                  <c:v>256</c:v>
                </c:pt>
                <c:pt idx="5">
                  <c:v>N.S</c:v>
                </c:pt>
                <c:pt idx="6">
                  <c:v>N.S</c:v>
                </c:pt>
                <c:pt idx="7">
                  <c:v>N.S</c:v>
                </c:pt>
                <c:pt idx="8">
                  <c:v>N.S</c:v>
                </c:pt>
                <c:pt idx="9">
                  <c:v>32</c:v>
                </c:pt>
                <c:pt idx="10">
                  <c:v>32</c:v>
                </c:pt>
                <c:pt idx="11">
                  <c:v>32</c:v>
                </c:pt>
                <c:pt idx="12">
                  <c:v>32</c:v>
                </c:pt>
                <c:pt idx="13">
                  <c:v>N.S</c:v>
                </c:pt>
                <c:pt idx="14">
                  <c:v>64</c:v>
                </c:pt>
                <c:pt idx="15">
                  <c:v>64</c:v>
                </c:pt>
                <c:pt idx="16">
                  <c:v>32</c:v>
                </c:pt>
                <c:pt idx="17">
                  <c:v>256</c:v>
                </c:pt>
                <c:pt idx="18">
                  <c:v>256</c:v>
                </c:pt>
              </c:strCache>
            </c:strRef>
          </c:xVal>
          <c:yVal>
            <c:numRef>
              <c:f>IC!$J$5:$J$23</c:f>
              <c:numCache>
                <c:formatCode>0.00</c:formatCode>
                <c:ptCount val="19"/>
                <c:pt idx="0">
                  <c:v>2.95</c:v>
                </c:pt>
                <c:pt idx="1">
                  <c:v>2.15</c:v>
                </c:pt>
                <c:pt idx="2">
                  <c:v>3.3</c:v>
                </c:pt>
                <c:pt idx="3">
                  <c:v>29</c:v>
                </c:pt>
                <c:pt idx="4">
                  <c:v>5.54</c:v>
                </c:pt>
                <c:pt idx="9">
                  <c:v>0.85</c:v>
                </c:pt>
                <c:pt idx="10">
                  <c:v>0.8</c:v>
                </c:pt>
                <c:pt idx="11">
                  <c:v>1.08</c:v>
                </c:pt>
                <c:pt idx="12">
                  <c:v>1.06</c:v>
                </c:pt>
                <c:pt idx="13">
                  <c:v>0</c:v>
                </c:pt>
                <c:pt idx="14">
                  <c:v>1.95</c:v>
                </c:pt>
                <c:pt idx="15">
                  <c:v>2.12</c:v>
                </c:pt>
                <c:pt idx="16">
                  <c:v>1.42</c:v>
                </c:pt>
                <c:pt idx="17">
                  <c:v>3.83</c:v>
                </c:pt>
                <c:pt idx="18">
                  <c:v>7</c:v>
                </c:pt>
              </c:numCache>
            </c:numRef>
          </c:yVal>
          <c:smooth val="0"/>
          <c:extLst xmlns:c16r2="http://schemas.microsoft.com/office/drawing/2015/06/chart">
            <c:ext xmlns:c16="http://schemas.microsoft.com/office/drawing/2014/chart" uri="{C3380CC4-5D6E-409C-BE32-E72D297353CC}">
              <c16:uniqueId val="{00000001-B6E3-4ED0-B2AB-EE202F12645B}"/>
            </c:ext>
          </c:extLst>
        </c:ser>
        <c:dLbls>
          <c:showLegendKey val="0"/>
          <c:showVal val="0"/>
          <c:showCatName val="0"/>
          <c:showSerName val="0"/>
          <c:showPercent val="0"/>
          <c:showBubbleSize val="0"/>
        </c:dLbls>
        <c:axId val="234415088"/>
        <c:axId val="234415480"/>
      </c:scatterChart>
      <c:valAx>
        <c:axId val="234415088"/>
        <c:scaling>
          <c:orientation val="minMax"/>
        </c:scaling>
        <c:delete val="0"/>
        <c:axPos val="b"/>
        <c:title>
          <c:tx>
            <c:rich>
              <a:bodyPr/>
              <a:lstStyle/>
              <a:p>
                <a:pPr>
                  <a:defRPr/>
                </a:pPr>
                <a:r>
                  <a:rPr lang="en-US"/>
                  <a:t>Flash (kB)</a:t>
                </a:r>
              </a:p>
            </c:rich>
          </c:tx>
          <c:overlay val="0"/>
        </c:title>
        <c:numFmt formatCode="#,##0" sourceLinked="0"/>
        <c:majorTickMark val="out"/>
        <c:minorTickMark val="none"/>
        <c:tickLblPos val="nextTo"/>
        <c:crossAx val="234415480"/>
        <c:crosses val="autoZero"/>
        <c:crossBetween val="midCat"/>
      </c:valAx>
      <c:valAx>
        <c:axId val="234415480"/>
        <c:scaling>
          <c:orientation val="minMax"/>
          <c:max val="30"/>
        </c:scaling>
        <c:delete val="0"/>
        <c:axPos val="l"/>
        <c:majorGridlines/>
        <c:title>
          <c:tx>
            <c:rich>
              <a:bodyPr rot="0" vert="horz"/>
              <a:lstStyle/>
              <a:p>
                <a:pPr>
                  <a:defRPr/>
                </a:pPr>
                <a:r>
                  <a:rPr lang="en-US"/>
                  <a:t>Price</a:t>
                </a:r>
                <a:r>
                  <a:rPr lang="en-US" baseline="0"/>
                  <a:t> (US$)</a:t>
                </a:r>
                <a:endParaRPr lang="en-US"/>
              </a:p>
            </c:rich>
          </c:tx>
          <c:layout>
            <c:manualLayout>
              <c:xMode val="edge"/>
              <c:yMode val="edge"/>
              <c:x val="8.3197431537028826E-2"/>
              <c:y val="6.1976652778547622E-2"/>
            </c:manualLayout>
          </c:layout>
          <c:overlay val="0"/>
        </c:title>
        <c:numFmt formatCode="0" sourceLinked="1"/>
        <c:majorTickMark val="out"/>
        <c:minorTickMark val="none"/>
        <c:tickLblPos val="nextTo"/>
        <c:crossAx val="234415088"/>
        <c:crosses val="autoZero"/>
        <c:crossBetween val="midCat"/>
      </c:valAx>
    </c:plotArea>
    <c:legend>
      <c:legendPos val="r"/>
      <c:layout>
        <c:manualLayout>
          <c:xMode val="edge"/>
          <c:yMode val="edge"/>
          <c:x val="0.12831719179207399"/>
          <c:y val="0.77366115811021463"/>
          <c:w val="9.4699496501231356E-2"/>
          <c:h val="0.1254124727668994"/>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0661394105506E-2"/>
          <c:y val="6.3830762453536471E-2"/>
          <c:w val="0.82695781336264718"/>
          <c:h val="0.83923844990561036"/>
        </c:manualLayout>
      </c:layout>
      <c:barChart>
        <c:barDir val="col"/>
        <c:grouping val="clustered"/>
        <c:varyColors val="0"/>
        <c:ser>
          <c:idx val="0"/>
          <c:order val="0"/>
          <c:tx>
            <c:v>Resolution</c:v>
          </c:tx>
          <c:invertIfNegative val="0"/>
          <c:cat>
            <c:numRef>
              <c:f>Hists!$B$851:$B$878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Hists!$K$851:$K$878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1BDD-4DF0-959B-26476F8A6A5C}"/>
            </c:ext>
          </c:extLst>
        </c:ser>
        <c:ser>
          <c:idx val="1"/>
          <c:order val="1"/>
          <c:tx>
            <c:v>Accuracy</c:v>
          </c:tx>
          <c:invertIfNegative val="0"/>
          <c:cat>
            <c:numRef>
              <c:f>Hists!$B$851:$B$878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Hists!$L$851:$L$878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1BDD-4DF0-959B-26476F8A6A5C}"/>
            </c:ext>
          </c:extLst>
        </c:ser>
        <c:dLbls>
          <c:showLegendKey val="0"/>
          <c:showVal val="0"/>
          <c:showCatName val="0"/>
          <c:showSerName val="0"/>
          <c:showPercent val="0"/>
          <c:showBubbleSize val="0"/>
        </c:dLbls>
        <c:gapWidth val="150"/>
        <c:axId val="216695744"/>
        <c:axId val="216696136"/>
      </c:barChart>
      <c:catAx>
        <c:axId val="216695744"/>
        <c:scaling>
          <c:orientation val="minMax"/>
        </c:scaling>
        <c:delete val="0"/>
        <c:axPos val="b"/>
        <c:title>
          <c:tx>
            <c:rich>
              <a:bodyPr/>
              <a:lstStyle/>
              <a:p>
                <a:pPr>
                  <a:defRPr/>
                </a:pPr>
                <a:r>
                  <a:rPr lang="en-US"/>
                  <a:t>Bits</a:t>
                </a:r>
              </a:p>
            </c:rich>
          </c:tx>
          <c:overlay val="0"/>
        </c:title>
        <c:numFmt formatCode="General" sourceLinked="1"/>
        <c:majorTickMark val="out"/>
        <c:minorTickMark val="none"/>
        <c:tickLblPos val="nextTo"/>
        <c:txPr>
          <a:bodyPr rot="5400000" vert="horz"/>
          <a:lstStyle/>
          <a:p>
            <a:pPr>
              <a:defRPr/>
            </a:pPr>
            <a:endParaRPr lang="en-US"/>
          </a:p>
        </c:txPr>
        <c:crossAx val="216696136"/>
        <c:crosses val="autoZero"/>
        <c:auto val="1"/>
        <c:lblAlgn val="ctr"/>
        <c:lblOffset val="100"/>
        <c:noMultiLvlLbl val="0"/>
      </c:catAx>
      <c:valAx>
        <c:axId val="216696136"/>
        <c:scaling>
          <c:orientation val="minMax"/>
        </c:scaling>
        <c:delete val="0"/>
        <c:axPos val="l"/>
        <c:majorGridlines/>
        <c:numFmt formatCode="0.00" sourceLinked="1"/>
        <c:majorTickMark val="out"/>
        <c:minorTickMark val="none"/>
        <c:tickLblPos val="nextTo"/>
        <c:crossAx val="2166957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0661394105506E-2"/>
          <c:y val="6.3620617803143639E-2"/>
          <c:w val="0.82695781336264718"/>
          <c:h val="0.83976771163526265"/>
        </c:manualLayout>
      </c:layout>
      <c:barChart>
        <c:barDir val="col"/>
        <c:grouping val="clustered"/>
        <c:varyColors val="0"/>
        <c:ser>
          <c:idx val="0"/>
          <c:order val="0"/>
          <c:tx>
            <c:v>Resolution</c:v>
          </c:tx>
          <c:invertIfNegative val="0"/>
          <c:cat>
            <c:numRef>
              <c:f>Hists!$B$901:$B$928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Hists!$K$901:$K$928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F7AA-4E51-91EE-52A06D4B096B}"/>
            </c:ext>
          </c:extLst>
        </c:ser>
        <c:ser>
          <c:idx val="1"/>
          <c:order val="1"/>
          <c:tx>
            <c:v>Accuracy</c:v>
          </c:tx>
          <c:invertIfNegative val="0"/>
          <c:cat>
            <c:numRef>
              <c:f>Hists!$B$901:$B$928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Hists!$L$901:$L$928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F7AA-4E51-91EE-52A06D4B096B}"/>
            </c:ext>
          </c:extLst>
        </c:ser>
        <c:dLbls>
          <c:showLegendKey val="0"/>
          <c:showVal val="0"/>
          <c:showCatName val="0"/>
          <c:showSerName val="0"/>
          <c:showPercent val="0"/>
          <c:showBubbleSize val="0"/>
        </c:dLbls>
        <c:gapWidth val="150"/>
        <c:axId val="216696920"/>
        <c:axId val="216697312"/>
      </c:barChart>
      <c:catAx>
        <c:axId val="216696920"/>
        <c:scaling>
          <c:orientation val="minMax"/>
        </c:scaling>
        <c:delete val="0"/>
        <c:axPos val="b"/>
        <c:title>
          <c:tx>
            <c:rich>
              <a:bodyPr/>
              <a:lstStyle/>
              <a:p>
                <a:pPr>
                  <a:defRPr/>
                </a:pPr>
                <a:r>
                  <a:rPr lang="en-US"/>
                  <a:t>Bits</a:t>
                </a:r>
              </a:p>
            </c:rich>
          </c:tx>
          <c:overlay val="0"/>
        </c:title>
        <c:numFmt formatCode="General" sourceLinked="1"/>
        <c:majorTickMark val="out"/>
        <c:minorTickMark val="none"/>
        <c:tickLblPos val="nextTo"/>
        <c:txPr>
          <a:bodyPr rot="5400000" vert="horz"/>
          <a:lstStyle/>
          <a:p>
            <a:pPr>
              <a:defRPr/>
            </a:pPr>
            <a:endParaRPr lang="en-US"/>
          </a:p>
        </c:txPr>
        <c:crossAx val="216697312"/>
        <c:crosses val="autoZero"/>
        <c:auto val="1"/>
        <c:lblAlgn val="ctr"/>
        <c:lblOffset val="100"/>
        <c:noMultiLvlLbl val="0"/>
      </c:catAx>
      <c:valAx>
        <c:axId val="216697312"/>
        <c:scaling>
          <c:orientation val="minMax"/>
        </c:scaling>
        <c:delete val="0"/>
        <c:axPos val="l"/>
        <c:majorGridlines/>
        <c:numFmt formatCode="0.00" sourceLinked="1"/>
        <c:majorTickMark val="out"/>
        <c:minorTickMark val="none"/>
        <c:tickLblPos val="nextTo"/>
        <c:crossAx val="216696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4.8079951544518461E-2"/>
          <c:w val="0.906129665021426"/>
          <c:h val="0.8376052672903066"/>
        </c:manualLayout>
      </c:layout>
      <c:barChart>
        <c:barDir val="col"/>
        <c:grouping val="clustered"/>
        <c:varyColors val="0"/>
        <c:ser>
          <c:idx val="0"/>
          <c:order val="0"/>
          <c:tx>
            <c:v>Wearable</c:v>
          </c:tx>
          <c:invertIfNegative val="0"/>
          <c:cat>
            <c:numRef>
              <c:f>Hists!$B$61:$B$69</c:f>
              <c:numCache>
                <c:formatCode>General</c:formatCode>
                <c:ptCount val="9"/>
                <c:pt idx="0">
                  <c:v>10</c:v>
                </c:pt>
                <c:pt idx="1">
                  <c:v>20</c:v>
                </c:pt>
                <c:pt idx="2">
                  <c:v>30</c:v>
                </c:pt>
                <c:pt idx="3">
                  <c:v>40</c:v>
                </c:pt>
                <c:pt idx="4">
                  <c:v>50</c:v>
                </c:pt>
                <c:pt idx="5">
                  <c:v>60</c:v>
                </c:pt>
                <c:pt idx="6">
                  <c:v>70</c:v>
                </c:pt>
                <c:pt idx="7">
                  <c:v>80</c:v>
                </c:pt>
                <c:pt idx="8">
                  <c:v>90</c:v>
                </c:pt>
              </c:numCache>
            </c:numRef>
          </c:cat>
          <c:val>
            <c:numRef>
              <c:f>Hists!$D$61:$D$69</c:f>
              <c:numCache>
                <c:formatCode>0.00</c:formatCode>
                <c:ptCount val="9"/>
                <c:pt idx="0">
                  <c:v>49.999999997499998</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6FD7-49DA-A51F-E73286C19753}"/>
            </c:ext>
          </c:extLst>
        </c:ser>
        <c:ser>
          <c:idx val="1"/>
          <c:order val="1"/>
          <c:tx>
            <c:strRef>
              <c:f>Hists!$E$49</c:f>
              <c:strCache>
                <c:ptCount val="1"/>
                <c:pt idx="0">
                  <c:v>Mote (on PCB)</c:v>
                </c:pt>
              </c:strCache>
            </c:strRef>
          </c:tx>
          <c:invertIfNegative val="0"/>
          <c:cat>
            <c:numRef>
              <c:f>Hists!$B$61:$B$69</c:f>
              <c:numCache>
                <c:formatCode>General</c:formatCode>
                <c:ptCount val="9"/>
                <c:pt idx="0">
                  <c:v>10</c:v>
                </c:pt>
                <c:pt idx="1">
                  <c:v>20</c:v>
                </c:pt>
                <c:pt idx="2">
                  <c:v>30</c:v>
                </c:pt>
                <c:pt idx="3">
                  <c:v>40</c:v>
                </c:pt>
                <c:pt idx="4">
                  <c:v>50</c:v>
                </c:pt>
                <c:pt idx="5">
                  <c:v>60</c:v>
                </c:pt>
                <c:pt idx="6">
                  <c:v>70</c:v>
                </c:pt>
                <c:pt idx="7">
                  <c:v>80</c:v>
                </c:pt>
                <c:pt idx="8">
                  <c:v>90</c:v>
                </c:pt>
              </c:numCache>
            </c:numRef>
          </c:cat>
          <c:val>
            <c:numRef>
              <c:f>Hists!$F$61:$F$69</c:f>
              <c:numCache>
                <c:formatCode>0.00</c:formatCode>
                <c:ptCount val="9"/>
                <c:pt idx="0">
                  <c:v>4.9999999999750004</c:v>
                </c:pt>
                <c:pt idx="1">
                  <c:v>0</c:v>
                </c:pt>
                <c:pt idx="2">
                  <c:v>4.9999999999750004</c:v>
                </c:pt>
                <c:pt idx="3">
                  <c:v>4.9999999999750004</c:v>
                </c:pt>
                <c:pt idx="4">
                  <c:v>0</c:v>
                </c:pt>
                <c:pt idx="5">
                  <c:v>4.9999999999750004</c:v>
                </c:pt>
                <c:pt idx="6">
                  <c:v>0</c:v>
                </c:pt>
                <c:pt idx="7">
                  <c:v>4.9999999999750004</c:v>
                </c:pt>
                <c:pt idx="8">
                  <c:v>0</c:v>
                </c:pt>
              </c:numCache>
            </c:numRef>
          </c:val>
          <c:extLst xmlns:c16r2="http://schemas.microsoft.com/office/drawing/2015/06/chart">
            <c:ext xmlns:c16="http://schemas.microsoft.com/office/drawing/2014/chart" uri="{C3380CC4-5D6E-409C-BE32-E72D297353CC}">
              <c16:uniqueId val="{00000001-6FD7-49DA-A51F-E73286C19753}"/>
            </c:ext>
          </c:extLst>
        </c:ser>
        <c:ser>
          <c:idx val="2"/>
          <c:order val="2"/>
          <c:tx>
            <c:v>MCU</c:v>
          </c:tx>
          <c:spPr>
            <a:solidFill>
              <a:srgbClr val="00B050"/>
            </a:solidFill>
          </c:spPr>
          <c:invertIfNegative val="0"/>
          <c:cat>
            <c:numRef>
              <c:f>Hists!$B$61:$B$69</c:f>
              <c:numCache>
                <c:formatCode>General</c:formatCode>
                <c:ptCount val="9"/>
                <c:pt idx="0">
                  <c:v>10</c:v>
                </c:pt>
                <c:pt idx="1">
                  <c:v>20</c:v>
                </c:pt>
                <c:pt idx="2">
                  <c:v>30</c:v>
                </c:pt>
                <c:pt idx="3">
                  <c:v>40</c:v>
                </c:pt>
                <c:pt idx="4">
                  <c:v>50</c:v>
                </c:pt>
                <c:pt idx="5">
                  <c:v>60</c:v>
                </c:pt>
                <c:pt idx="6">
                  <c:v>70</c:v>
                </c:pt>
                <c:pt idx="7">
                  <c:v>80</c:v>
                </c:pt>
                <c:pt idx="8">
                  <c:v>90</c:v>
                </c:pt>
              </c:numCache>
            </c:numRef>
          </c:cat>
          <c:val>
            <c:numRef>
              <c:f>Hists!$H$61:$H$69</c:f>
              <c:numCache>
                <c:formatCode>0.00</c:formatCode>
                <c:ptCount val="9"/>
                <c:pt idx="0">
                  <c:v>0</c:v>
                </c:pt>
                <c:pt idx="1">
                  <c:v>12.499999999921876</c:v>
                </c:pt>
                <c:pt idx="2">
                  <c:v>31.24999999980469</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6FD7-49DA-A51F-E73286C19753}"/>
            </c:ext>
          </c:extLst>
        </c:ser>
        <c:ser>
          <c:idx val="3"/>
          <c:order val="3"/>
          <c:tx>
            <c:v>SensHub</c:v>
          </c:tx>
          <c:spPr>
            <a:solidFill>
              <a:schemeClr val="tx1"/>
            </a:solidFill>
          </c:spPr>
          <c:invertIfNegative val="0"/>
          <c:cat>
            <c:numRef>
              <c:f>Hists!$B$61:$B$69</c:f>
              <c:numCache>
                <c:formatCode>General</c:formatCode>
                <c:ptCount val="9"/>
                <c:pt idx="0">
                  <c:v>10</c:v>
                </c:pt>
                <c:pt idx="1">
                  <c:v>20</c:v>
                </c:pt>
                <c:pt idx="2">
                  <c:v>30</c:v>
                </c:pt>
                <c:pt idx="3">
                  <c:v>40</c:v>
                </c:pt>
                <c:pt idx="4">
                  <c:v>50</c:v>
                </c:pt>
                <c:pt idx="5">
                  <c:v>60</c:v>
                </c:pt>
                <c:pt idx="6">
                  <c:v>70</c:v>
                </c:pt>
                <c:pt idx="7">
                  <c:v>80</c:v>
                </c:pt>
                <c:pt idx="8">
                  <c:v>90</c:v>
                </c:pt>
              </c:numCache>
            </c:numRef>
          </c:cat>
          <c:val>
            <c:numRef>
              <c:f>Hists!$J$61:$J$69</c:f>
              <c:numCache>
                <c:formatCode>0.00</c:formatCode>
                <c:ptCount val="9"/>
                <c:pt idx="0">
                  <c:v>0</c:v>
                </c:pt>
                <c:pt idx="1">
                  <c:v>0</c:v>
                </c:pt>
                <c:pt idx="2">
                  <c:v>0</c:v>
                </c:pt>
                <c:pt idx="3">
                  <c:v>0</c:v>
                </c:pt>
                <c:pt idx="4">
                  <c:v>0</c:v>
                </c:pt>
                <c:pt idx="5">
                  <c:v>49.999999997499998</c:v>
                </c:pt>
                <c:pt idx="6">
                  <c:v>0</c:v>
                </c:pt>
                <c:pt idx="7">
                  <c:v>0</c:v>
                </c:pt>
                <c:pt idx="8">
                  <c:v>0</c:v>
                </c:pt>
              </c:numCache>
            </c:numRef>
          </c:val>
          <c:extLst xmlns:c16r2="http://schemas.microsoft.com/office/drawing/2015/06/chart">
            <c:ext xmlns:c16="http://schemas.microsoft.com/office/drawing/2014/chart" uri="{C3380CC4-5D6E-409C-BE32-E72D297353CC}">
              <c16:uniqueId val="{00000003-6FD7-49DA-A51F-E73286C19753}"/>
            </c:ext>
          </c:extLst>
        </c:ser>
        <c:dLbls>
          <c:showLegendKey val="0"/>
          <c:showVal val="0"/>
          <c:showCatName val="0"/>
          <c:showSerName val="0"/>
          <c:showPercent val="0"/>
          <c:showBubbleSize val="0"/>
        </c:dLbls>
        <c:gapWidth val="150"/>
        <c:axId val="134615000"/>
        <c:axId val="172238352"/>
      </c:barChart>
      <c:catAx>
        <c:axId val="134615000"/>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RAM (kB)</a:t>
                </a:r>
              </a:p>
            </c:rich>
          </c:tx>
          <c:layout>
            <c:manualLayout>
              <c:xMode val="edge"/>
              <c:yMode val="edge"/>
              <c:x val="0.36220245941941959"/>
              <c:y val="0.94547614240527622"/>
            </c:manualLayout>
          </c:layout>
          <c:overlay val="0"/>
        </c:title>
        <c:numFmt formatCode="#,##0" sourceLinked="0"/>
        <c:majorTickMark val="out"/>
        <c:minorTickMark val="none"/>
        <c:tickLblPos val="nextTo"/>
        <c:txPr>
          <a:bodyPr rot="5400000" vert="horz"/>
          <a:lstStyle/>
          <a:p>
            <a:pPr>
              <a:defRPr/>
            </a:pPr>
            <a:endParaRPr lang="en-US"/>
          </a:p>
        </c:txPr>
        <c:crossAx val="172238352"/>
        <c:crosses val="autoZero"/>
        <c:auto val="1"/>
        <c:lblAlgn val="ctr"/>
        <c:lblOffset val="100"/>
        <c:noMultiLvlLbl val="0"/>
      </c:catAx>
      <c:valAx>
        <c:axId val="172238352"/>
        <c:scaling>
          <c:orientation val="minMax"/>
          <c:max val="55"/>
          <c:min val="0"/>
        </c:scaling>
        <c:delete val="1"/>
        <c:axPos val="l"/>
        <c:majorGridlines/>
        <c:minorGridlines/>
        <c:numFmt formatCode="0.00" sourceLinked="1"/>
        <c:majorTickMark val="out"/>
        <c:minorTickMark val="none"/>
        <c:tickLblPos val="nextTo"/>
        <c:crossAx val="134615000"/>
        <c:crosses val="autoZero"/>
        <c:crossBetween val="between"/>
      </c:valAx>
    </c:plotArea>
    <c:legend>
      <c:legendPos val="l"/>
      <c:layout>
        <c:manualLayout>
          <c:xMode val="edge"/>
          <c:yMode val="edge"/>
          <c:x val="0.19907318687130757"/>
          <c:y val="0.17964421114027412"/>
          <c:w val="0.66059419016012688"/>
          <c:h val="0.13632166191991962"/>
        </c:manualLayout>
      </c:layout>
      <c:overlay val="0"/>
      <c:spPr>
        <a:solidFill>
          <a:schemeClr val="bg1"/>
        </a:solidFill>
      </c:spPr>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0661394105506E-2"/>
          <c:y val="5.6437052864545582E-2"/>
          <c:w val="0.82695781336264718"/>
          <c:h val="0.84647179475975187"/>
        </c:manualLayout>
      </c:layout>
      <c:barChart>
        <c:barDir val="col"/>
        <c:grouping val="clustered"/>
        <c:varyColors val="0"/>
        <c:ser>
          <c:idx val="0"/>
          <c:order val="0"/>
          <c:tx>
            <c:v>Resolution</c:v>
          </c:tx>
          <c:invertIfNegative val="0"/>
          <c:cat>
            <c:numRef>
              <c:f>Hists!$B$951:$B$978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Hists!$K$951:$K$978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72BE-4531-A636-E69B81B04632}"/>
            </c:ext>
          </c:extLst>
        </c:ser>
        <c:ser>
          <c:idx val="1"/>
          <c:order val="1"/>
          <c:tx>
            <c:v>Accuracy</c:v>
          </c:tx>
          <c:invertIfNegative val="0"/>
          <c:cat>
            <c:numRef>
              <c:f>Hists!$B$951:$B$978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Hists!$L$951:$L$978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72BE-4531-A636-E69B81B04632}"/>
            </c:ext>
          </c:extLst>
        </c:ser>
        <c:dLbls>
          <c:showLegendKey val="0"/>
          <c:showVal val="0"/>
          <c:showCatName val="0"/>
          <c:showSerName val="0"/>
          <c:showPercent val="0"/>
          <c:showBubbleSize val="0"/>
        </c:dLbls>
        <c:gapWidth val="150"/>
        <c:axId val="216406800"/>
        <c:axId val="216407192"/>
      </c:barChart>
      <c:catAx>
        <c:axId val="216406800"/>
        <c:scaling>
          <c:orientation val="minMax"/>
        </c:scaling>
        <c:delete val="0"/>
        <c:axPos val="b"/>
        <c:title>
          <c:tx>
            <c:rich>
              <a:bodyPr/>
              <a:lstStyle/>
              <a:p>
                <a:pPr>
                  <a:defRPr/>
                </a:pPr>
                <a:r>
                  <a:rPr lang="en-US"/>
                  <a:t>Bits</a:t>
                </a:r>
              </a:p>
            </c:rich>
          </c:tx>
          <c:overlay val="0"/>
        </c:title>
        <c:numFmt formatCode="General" sourceLinked="1"/>
        <c:majorTickMark val="out"/>
        <c:minorTickMark val="none"/>
        <c:tickLblPos val="nextTo"/>
        <c:txPr>
          <a:bodyPr rot="5400000" vert="horz"/>
          <a:lstStyle/>
          <a:p>
            <a:pPr>
              <a:defRPr/>
            </a:pPr>
            <a:endParaRPr lang="en-US"/>
          </a:p>
        </c:txPr>
        <c:crossAx val="216407192"/>
        <c:crosses val="autoZero"/>
        <c:auto val="1"/>
        <c:lblAlgn val="ctr"/>
        <c:lblOffset val="100"/>
        <c:noMultiLvlLbl val="0"/>
      </c:catAx>
      <c:valAx>
        <c:axId val="216407192"/>
        <c:scaling>
          <c:orientation val="minMax"/>
        </c:scaling>
        <c:delete val="0"/>
        <c:axPos val="l"/>
        <c:majorGridlines/>
        <c:numFmt formatCode="0.00" sourceLinked="1"/>
        <c:majorTickMark val="out"/>
        <c:minorTickMark val="none"/>
        <c:tickLblPos val="nextTo"/>
        <c:crossAx val="2164068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247987438319765E-2"/>
          <c:y val="6.5811184160508893E-2"/>
          <c:w val="0.81904048731843293"/>
          <c:h val="0.83709767779679667"/>
        </c:manualLayout>
      </c:layout>
      <c:barChart>
        <c:barDir val="col"/>
        <c:grouping val="clustered"/>
        <c:varyColors val="0"/>
        <c:ser>
          <c:idx val="0"/>
          <c:order val="0"/>
          <c:tx>
            <c:v>Resolution</c:v>
          </c:tx>
          <c:invertIfNegative val="0"/>
          <c:cat>
            <c:numRef>
              <c:f>Hists!$B$1001:$B$1028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Hists!$K$1001:$K$1028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F89B-4429-87AF-60BC926A4F9F}"/>
            </c:ext>
          </c:extLst>
        </c:ser>
        <c:ser>
          <c:idx val="1"/>
          <c:order val="1"/>
          <c:tx>
            <c:v>Accuracy</c:v>
          </c:tx>
          <c:invertIfNegative val="0"/>
          <c:cat>
            <c:numRef>
              <c:f>Hists!$B$1001:$B$1028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Hists!$L$1001:$L$1028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49.999999995000003</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F89B-4429-87AF-60BC926A4F9F}"/>
            </c:ext>
          </c:extLst>
        </c:ser>
        <c:dLbls>
          <c:showLegendKey val="0"/>
          <c:showVal val="0"/>
          <c:showCatName val="0"/>
          <c:showSerName val="0"/>
          <c:showPercent val="0"/>
          <c:showBubbleSize val="0"/>
        </c:dLbls>
        <c:gapWidth val="150"/>
        <c:axId val="216407584"/>
        <c:axId val="216407976"/>
      </c:barChart>
      <c:catAx>
        <c:axId val="216407584"/>
        <c:scaling>
          <c:orientation val="minMax"/>
        </c:scaling>
        <c:delete val="0"/>
        <c:axPos val="b"/>
        <c:title>
          <c:tx>
            <c:rich>
              <a:bodyPr/>
              <a:lstStyle/>
              <a:p>
                <a:pPr>
                  <a:defRPr/>
                </a:pPr>
                <a:r>
                  <a:rPr lang="en-US"/>
                  <a:t>Bits</a:t>
                </a:r>
              </a:p>
            </c:rich>
          </c:tx>
          <c:overlay val="0"/>
        </c:title>
        <c:numFmt formatCode="General" sourceLinked="1"/>
        <c:majorTickMark val="out"/>
        <c:minorTickMark val="none"/>
        <c:tickLblPos val="nextTo"/>
        <c:txPr>
          <a:bodyPr rot="5400000" vert="horz"/>
          <a:lstStyle/>
          <a:p>
            <a:pPr>
              <a:defRPr/>
            </a:pPr>
            <a:endParaRPr lang="en-US"/>
          </a:p>
        </c:txPr>
        <c:crossAx val="216407976"/>
        <c:crosses val="autoZero"/>
        <c:auto val="1"/>
        <c:lblAlgn val="ctr"/>
        <c:lblOffset val="100"/>
        <c:noMultiLvlLbl val="0"/>
      </c:catAx>
      <c:valAx>
        <c:axId val="216407976"/>
        <c:scaling>
          <c:orientation val="minMax"/>
        </c:scaling>
        <c:delete val="0"/>
        <c:axPos val="l"/>
        <c:majorGridlines/>
        <c:numFmt formatCode="0.00" sourceLinked="1"/>
        <c:majorTickMark val="out"/>
        <c:minorTickMark val="none"/>
        <c:tickLblPos val="nextTo"/>
        <c:crossAx val="2164075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0661394105506E-2"/>
          <c:y val="5.6437044533068199E-2"/>
          <c:w val="0.82695781336264718"/>
          <c:h val="0.84647181742423738"/>
        </c:manualLayout>
      </c:layout>
      <c:barChart>
        <c:barDir val="col"/>
        <c:grouping val="clustered"/>
        <c:varyColors val="0"/>
        <c:ser>
          <c:idx val="0"/>
          <c:order val="0"/>
          <c:tx>
            <c:v>Resolution</c:v>
          </c:tx>
          <c:invertIfNegative val="0"/>
          <c:cat>
            <c:numRef>
              <c:f>Hists!$B$1051:$B$1078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Hists!$K$1051:$K$1078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BD57-4002-BDC9-5EDF6B4AE5A8}"/>
            </c:ext>
          </c:extLst>
        </c:ser>
        <c:ser>
          <c:idx val="1"/>
          <c:order val="1"/>
          <c:tx>
            <c:v>Accuracy</c:v>
          </c:tx>
          <c:invertIfNegative val="0"/>
          <c:cat>
            <c:numRef>
              <c:f>Hists!$B$1051:$B$1078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Hists!$L$1051:$L$1078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BD57-4002-BDC9-5EDF6B4AE5A8}"/>
            </c:ext>
          </c:extLst>
        </c:ser>
        <c:dLbls>
          <c:showLegendKey val="0"/>
          <c:showVal val="0"/>
          <c:showCatName val="0"/>
          <c:showSerName val="0"/>
          <c:showPercent val="0"/>
          <c:showBubbleSize val="0"/>
        </c:dLbls>
        <c:gapWidth val="150"/>
        <c:axId val="216408760"/>
        <c:axId val="216409152"/>
      </c:barChart>
      <c:catAx>
        <c:axId val="216408760"/>
        <c:scaling>
          <c:orientation val="minMax"/>
        </c:scaling>
        <c:delete val="0"/>
        <c:axPos val="b"/>
        <c:title>
          <c:tx>
            <c:rich>
              <a:bodyPr/>
              <a:lstStyle/>
              <a:p>
                <a:pPr>
                  <a:defRPr/>
                </a:pPr>
                <a:r>
                  <a:rPr lang="en-US"/>
                  <a:t>Bits</a:t>
                </a:r>
              </a:p>
            </c:rich>
          </c:tx>
          <c:overlay val="0"/>
        </c:title>
        <c:numFmt formatCode="General" sourceLinked="1"/>
        <c:majorTickMark val="out"/>
        <c:minorTickMark val="none"/>
        <c:tickLblPos val="nextTo"/>
        <c:txPr>
          <a:bodyPr rot="5400000" vert="horz"/>
          <a:lstStyle/>
          <a:p>
            <a:pPr>
              <a:defRPr/>
            </a:pPr>
            <a:endParaRPr lang="en-US"/>
          </a:p>
        </c:txPr>
        <c:crossAx val="216409152"/>
        <c:crosses val="autoZero"/>
        <c:auto val="1"/>
        <c:lblAlgn val="ctr"/>
        <c:lblOffset val="100"/>
        <c:noMultiLvlLbl val="0"/>
      </c:catAx>
      <c:valAx>
        <c:axId val="216409152"/>
        <c:scaling>
          <c:orientation val="minMax"/>
        </c:scaling>
        <c:delete val="0"/>
        <c:axPos val="l"/>
        <c:majorGridlines/>
        <c:numFmt formatCode="0.00" sourceLinked="1"/>
        <c:majorTickMark val="out"/>
        <c:minorTickMark val="none"/>
        <c:tickLblPos val="nextTo"/>
        <c:crossAx val="216408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0661394105506E-2"/>
          <c:y val="5.6907750533088712E-2"/>
          <c:w val="0.82695781336264718"/>
          <c:h val="0.84519133512208"/>
        </c:manualLayout>
      </c:layout>
      <c:barChart>
        <c:barDir val="col"/>
        <c:grouping val="clustered"/>
        <c:varyColors val="0"/>
        <c:ser>
          <c:idx val="0"/>
          <c:order val="0"/>
          <c:tx>
            <c:v>Resolution</c:v>
          </c:tx>
          <c:invertIfNegative val="0"/>
          <c:cat>
            <c:numRef>
              <c:f>Hists!$B$1101:$B$1128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Hists!$K$1101:$K$1128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7B67-490F-AE47-E5B217525103}"/>
            </c:ext>
          </c:extLst>
        </c:ser>
        <c:ser>
          <c:idx val="1"/>
          <c:order val="1"/>
          <c:tx>
            <c:v>Accuracy</c:v>
          </c:tx>
          <c:invertIfNegative val="0"/>
          <c:cat>
            <c:numRef>
              <c:f>Hists!$B$1101:$B$1128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Hists!$L$1101:$L$1128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7B67-490F-AE47-E5B217525103}"/>
            </c:ext>
          </c:extLst>
        </c:ser>
        <c:dLbls>
          <c:showLegendKey val="0"/>
          <c:showVal val="0"/>
          <c:showCatName val="0"/>
          <c:showSerName val="0"/>
          <c:showPercent val="0"/>
          <c:showBubbleSize val="0"/>
        </c:dLbls>
        <c:gapWidth val="150"/>
        <c:axId val="217263840"/>
        <c:axId val="217264232"/>
      </c:barChart>
      <c:catAx>
        <c:axId val="217263840"/>
        <c:scaling>
          <c:orientation val="minMax"/>
        </c:scaling>
        <c:delete val="0"/>
        <c:axPos val="b"/>
        <c:title>
          <c:tx>
            <c:rich>
              <a:bodyPr/>
              <a:lstStyle/>
              <a:p>
                <a:pPr>
                  <a:defRPr/>
                </a:pPr>
                <a:r>
                  <a:rPr lang="en-US"/>
                  <a:t>Bits</a:t>
                </a:r>
              </a:p>
            </c:rich>
          </c:tx>
          <c:overlay val="0"/>
        </c:title>
        <c:numFmt formatCode="General" sourceLinked="1"/>
        <c:majorTickMark val="out"/>
        <c:minorTickMark val="none"/>
        <c:tickLblPos val="nextTo"/>
        <c:txPr>
          <a:bodyPr rot="5400000" vert="horz"/>
          <a:lstStyle/>
          <a:p>
            <a:pPr>
              <a:defRPr/>
            </a:pPr>
            <a:endParaRPr lang="en-US"/>
          </a:p>
        </c:txPr>
        <c:crossAx val="217264232"/>
        <c:crosses val="autoZero"/>
        <c:auto val="1"/>
        <c:lblAlgn val="ctr"/>
        <c:lblOffset val="100"/>
        <c:noMultiLvlLbl val="0"/>
      </c:catAx>
      <c:valAx>
        <c:axId val="217264232"/>
        <c:scaling>
          <c:orientation val="minMax"/>
        </c:scaling>
        <c:delete val="0"/>
        <c:axPos val="l"/>
        <c:majorGridlines/>
        <c:numFmt formatCode="0.00" sourceLinked="1"/>
        <c:majorTickMark val="out"/>
        <c:minorTickMark val="none"/>
        <c:tickLblPos val="nextTo"/>
        <c:crossAx val="217263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56750278682243E-2"/>
          <c:y val="3.1339031339031341E-2"/>
          <c:w val="0.88808649944263551"/>
          <c:h val="0.84075016263992641"/>
        </c:manualLayout>
      </c:layout>
      <c:barChart>
        <c:barDir val="col"/>
        <c:grouping val="clustered"/>
        <c:varyColors val="0"/>
        <c:ser>
          <c:idx val="0"/>
          <c:order val="0"/>
          <c:tx>
            <c:v>Wearable</c:v>
          </c:tx>
          <c:invertIfNegative val="0"/>
          <c:cat>
            <c:numRef>
              <c:f>Hists!$B$120:$B$129</c:f>
              <c:numCache>
                <c:formatCode>General</c:formatCode>
                <c:ptCount val="10"/>
                <c:pt idx="0">
                  <c:v>1000</c:v>
                </c:pt>
                <c:pt idx="1">
                  <c:v>2000</c:v>
                </c:pt>
                <c:pt idx="2">
                  <c:v>3000</c:v>
                </c:pt>
                <c:pt idx="3">
                  <c:v>4000</c:v>
                </c:pt>
                <c:pt idx="4">
                  <c:v>5000</c:v>
                </c:pt>
                <c:pt idx="5">
                  <c:v>6000</c:v>
                </c:pt>
                <c:pt idx="6">
                  <c:v>7000</c:v>
                </c:pt>
                <c:pt idx="7">
                  <c:v>8000</c:v>
                </c:pt>
                <c:pt idx="8">
                  <c:v>9000</c:v>
                </c:pt>
                <c:pt idx="9">
                  <c:v>10000</c:v>
                </c:pt>
              </c:numCache>
            </c:numRef>
          </c:cat>
          <c:val>
            <c:numRef>
              <c:f>Hists!$D$120:$D$129</c:f>
              <c:numCache>
                <c:formatCode>0.00</c:formatCode>
                <c:ptCount val="10"/>
                <c:pt idx="0">
                  <c:v>0</c:v>
                </c:pt>
                <c:pt idx="1">
                  <c:v>0</c:v>
                </c:pt>
                <c:pt idx="2">
                  <c:v>0</c:v>
                </c:pt>
                <c:pt idx="3">
                  <c:v>0</c:v>
                </c:pt>
                <c:pt idx="4">
                  <c:v>0</c:v>
                </c:pt>
                <c:pt idx="5">
                  <c:v>0</c:v>
                </c:pt>
                <c:pt idx="6">
                  <c:v>0</c:v>
                </c:pt>
                <c:pt idx="7">
                  <c:v>0</c:v>
                </c:pt>
                <c:pt idx="8">
                  <c:v>0</c:v>
                </c:pt>
                <c:pt idx="9">
                  <c:v>49.999999997499998</c:v>
                </c:pt>
              </c:numCache>
            </c:numRef>
          </c:val>
          <c:extLst xmlns:c16r2="http://schemas.microsoft.com/office/drawing/2015/06/chart">
            <c:ext xmlns:c16="http://schemas.microsoft.com/office/drawing/2014/chart" uri="{C3380CC4-5D6E-409C-BE32-E72D297353CC}">
              <c16:uniqueId val="{00000000-299E-4071-A01D-5DAEE78788D3}"/>
            </c:ext>
          </c:extLst>
        </c:ser>
        <c:ser>
          <c:idx val="1"/>
          <c:order val="1"/>
          <c:tx>
            <c:v>Motes</c:v>
          </c:tx>
          <c:invertIfNegative val="0"/>
          <c:cat>
            <c:numRef>
              <c:f>Hists!$B$120:$B$129</c:f>
              <c:numCache>
                <c:formatCode>General</c:formatCode>
                <c:ptCount val="10"/>
                <c:pt idx="0">
                  <c:v>1000</c:v>
                </c:pt>
                <c:pt idx="1">
                  <c:v>2000</c:v>
                </c:pt>
                <c:pt idx="2">
                  <c:v>3000</c:v>
                </c:pt>
                <c:pt idx="3">
                  <c:v>4000</c:v>
                </c:pt>
                <c:pt idx="4">
                  <c:v>5000</c:v>
                </c:pt>
                <c:pt idx="5">
                  <c:v>6000</c:v>
                </c:pt>
                <c:pt idx="6">
                  <c:v>7000</c:v>
                </c:pt>
                <c:pt idx="7">
                  <c:v>8000</c:v>
                </c:pt>
                <c:pt idx="8">
                  <c:v>9000</c:v>
                </c:pt>
                <c:pt idx="9">
                  <c:v>10000</c:v>
                </c:pt>
              </c:numCache>
            </c:numRef>
          </c:cat>
          <c:val>
            <c:numRef>
              <c:f>Hists!$F$120:$F$129</c:f>
              <c:numCache>
                <c:formatCode>0.00</c:formatCode>
                <c:ptCount val="10"/>
                <c:pt idx="0">
                  <c:v>12.499999999947917</c:v>
                </c:pt>
                <c:pt idx="1">
                  <c:v>4.1666666666493057</c:v>
                </c:pt>
                <c:pt idx="2">
                  <c:v>0</c:v>
                </c:pt>
                <c:pt idx="3">
                  <c:v>12.499999999947917</c:v>
                </c:pt>
                <c:pt idx="4">
                  <c:v>0</c:v>
                </c:pt>
                <c:pt idx="5">
                  <c:v>0</c:v>
                </c:pt>
                <c:pt idx="6">
                  <c:v>0</c:v>
                </c:pt>
                <c:pt idx="7">
                  <c:v>0</c:v>
                </c:pt>
                <c:pt idx="8">
                  <c:v>0</c:v>
                </c:pt>
                <c:pt idx="9">
                  <c:v>12.499999999947917</c:v>
                </c:pt>
              </c:numCache>
            </c:numRef>
          </c:val>
          <c:extLst xmlns:c16r2="http://schemas.microsoft.com/office/drawing/2015/06/chart">
            <c:ext xmlns:c16="http://schemas.microsoft.com/office/drawing/2014/chart" uri="{C3380CC4-5D6E-409C-BE32-E72D297353CC}">
              <c16:uniqueId val="{00000001-299E-4071-A01D-5DAEE78788D3}"/>
            </c:ext>
          </c:extLst>
        </c:ser>
        <c:ser>
          <c:idx val="2"/>
          <c:order val="2"/>
          <c:tx>
            <c:v>MCU</c:v>
          </c:tx>
          <c:invertIfNegative val="0"/>
          <c:cat>
            <c:numRef>
              <c:f>Hists!$B$120:$B$129</c:f>
              <c:numCache>
                <c:formatCode>General</c:formatCode>
                <c:ptCount val="10"/>
                <c:pt idx="0">
                  <c:v>1000</c:v>
                </c:pt>
                <c:pt idx="1">
                  <c:v>2000</c:v>
                </c:pt>
                <c:pt idx="2">
                  <c:v>3000</c:v>
                </c:pt>
                <c:pt idx="3">
                  <c:v>4000</c:v>
                </c:pt>
                <c:pt idx="4">
                  <c:v>5000</c:v>
                </c:pt>
                <c:pt idx="5">
                  <c:v>6000</c:v>
                </c:pt>
                <c:pt idx="6">
                  <c:v>7000</c:v>
                </c:pt>
                <c:pt idx="7">
                  <c:v>8000</c:v>
                </c:pt>
                <c:pt idx="8">
                  <c:v>9000</c:v>
                </c:pt>
                <c:pt idx="9">
                  <c:v>10000</c:v>
                </c:pt>
              </c:numCache>
            </c:numRef>
          </c:cat>
          <c:val>
            <c:numRef>
              <c:f>Hists!$H$120:$H$129</c:f>
              <c:numCache>
                <c:formatCode>0.00</c:formatCode>
                <c:ptCount val="10"/>
                <c:pt idx="0">
                  <c:v>6.2499999999609379</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299E-4071-A01D-5DAEE78788D3}"/>
            </c:ext>
          </c:extLst>
        </c:ser>
        <c:ser>
          <c:idx val="3"/>
          <c:order val="3"/>
          <c:tx>
            <c:v>SensHub</c:v>
          </c:tx>
          <c:spPr>
            <a:solidFill>
              <a:schemeClr val="tx1"/>
            </a:solidFill>
          </c:spPr>
          <c:invertIfNegative val="0"/>
          <c:cat>
            <c:numRef>
              <c:f>Hists!$B$120:$B$129</c:f>
              <c:numCache>
                <c:formatCode>General</c:formatCode>
                <c:ptCount val="10"/>
                <c:pt idx="0">
                  <c:v>1000</c:v>
                </c:pt>
                <c:pt idx="1">
                  <c:v>2000</c:v>
                </c:pt>
                <c:pt idx="2">
                  <c:v>3000</c:v>
                </c:pt>
                <c:pt idx="3">
                  <c:v>4000</c:v>
                </c:pt>
                <c:pt idx="4">
                  <c:v>5000</c:v>
                </c:pt>
                <c:pt idx="5">
                  <c:v>6000</c:v>
                </c:pt>
                <c:pt idx="6">
                  <c:v>7000</c:v>
                </c:pt>
                <c:pt idx="7">
                  <c:v>8000</c:v>
                </c:pt>
                <c:pt idx="8">
                  <c:v>9000</c:v>
                </c:pt>
                <c:pt idx="9">
                  <c:v>10000</c:v>
                </c:pt>
              </c:numCache>
            </c:numRef>
          </c:cat>
          <c:val>
            <c:numRef>
              <c:f>Hists!$J$120:$J$129</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299E-4071-A01D-5DAEE78788D3}"/>
            </c:ext>
          </c:extLst>
        </c:ser>
        <c:dLbls>
          <c:showLegendKey val="0"/>
          <c:showVal val="0"/>
          <c:showCatName val="0"/>
          <c:showSerName val="0"/>
          <c:showPercent val="0"/>
          <c:showBubbleSize val="0"/>
        </c:dLbls>
        <c:gapWidth val="150"/>
        <c:axId val="217265016"/>
        <c:axId val="217265408"/>
      </c:barChart>
      <c:catAx>
        <c:axId val="217265016"/>
        <c:scaling>
          <c:orientation val="minMax"/>
        </c:scaling>
        <c:delete val="0"/>
        <c:axPos val="b"/>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Flash (kB)</a:t>
                </a:r>
              </a:p>
            </c:rich>
          </c:tx>
          <c:layout/>
          <c:overlay val="0"/>
        </c:title>
        <c:numFmt formatCode="#,##0" sourceLinked="0"/>
        <c:majorTickMark val="out"/>
        <c:minorTickMark val="none"/>
        <c:tickLblPos val="nextTo"/>
        <c:txPr>
          <a:bodyPr rot="5400000" vert="horz"/>
          <a:lstStyle/>
          <a:p>
            <a:pPr>
              <a:defRPr/>
            </a:pPr>
            <a:endParaRPr lang="en-US"/>
          </a:p>
        </c:txPr>
        <c:crossAx val="217265408"/>
        <c:crosses val="autoZero"/>
        <c:auto val="1"/>
        <c:lblAlgn val="ctr"/>
        <c:lblOffset val="100"/>
        <c:noMultiLvlLbl val="0"/>
      </c:catAx>
      <c:valAx>
        <c:axId val="217265408"/>
        <c:scaling>
          <c:orientation val="minMax"/>
          <c:max val="55"/>
          <c:min val="0"/>
        </c:scaling>
        <c:delete val="1"/>
        <c:axPos val="l"/>
        <c:majorGridlines/>
        <c:minorGridlines/>
        <c:numFmt formatCode="0.00" sourceLinked="1"/>
        <c:majorTickMark val="out"/>
        <c:minorTickMark val="none"/>
        <c:tickLblPos val="nextTo"/>
        <c:crossAx val="217265016"/>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6369852041241"/>
          <c:y val="3.1196196609730446E-2"/>
          <c:w val="0.83070328469725818"/>
          <c:h val="0.84122096152171344"/>
        </c:manualLayout>
      </c:layout>
      <c:barChart>
        <c:barDir val="col"/>
        <c:grouping val="clustered"/>
        <c:varyColors val="0"/>
        <c:ser>
          <c:idx val="0"/>
          <c:order val="0"/>
          <c:tx>
            <c:v>Wearable</c:v>
          </c:tx>
          <c:invertIfNegative val="0"/>
          <c:cat>
            <c:numRef>
              <c:f>Hists!$B$101:$B$110</c:f>
              <c:numCache>
                <c:formatCode>General</c:formatCode>
                <c:ptCount val="10"/>
                <c:pt idx="0">
                  <c:v>0</c:v>
                </c:pt>
                <c:pt idx="1">
                  <c:v>10</c:v>
                </c:pt>
                <c:pt idx="2">
                  <c:v>20</c:v>
                </c:pt>
                <c:pt idx="3">
                  <c:v>30</c:v>
                </c:pt>
                <c:pt idx="4">
                  <c:v>40</c:v>
                </c:pt>
                <c:pt idx="5">
                  <c:v>50</c:v>
                </c:pt>
                <c:pt idx="6">
                  <c:v>60</c:v>
                </c:pt>
                <c:pt idx="7">
                  <c:v>70</c:v>
                </c:pt>
                <c:pt idx="8">
                  <c:v>80</c:v>
                </c:pt>
                <c:pt idx="9">
                  <c:v>90</c:v>
                </c:pt>
              </c:numCache>
            </c:numRef>
          </c:cat>
          <c:val>
            <c:numRef>
              <c:f>Hists!$D$101:$D$110</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9CC9-46DE-A5C7-3AC35BF1BA93}"/>
            </c:ext>
          </c:extLst>
        </c:ser>
        <c:ser>
          <c:idx val="1"/>
          <c:order val="1"/>
          <c:tx>
            <c:strRef>
              <c:f>Hists!$E$99</c:f>
              <c:strCache>
                <c:ptCount val="1"/>
                <c:pt idx="0">
                  <c:v>Mote (on PCB)</c:v>
                </c:pt>
              </c:strCache>
            </c:strRef>
          </c:tx>
          <c:invertIfNegative val="0"/>
          <c:cat>
            <c:numRef>
              <c:f>Hists!$B$101:$B$110</c:f>
              <c:numCache>
                <c:formatCode>General</c:formatCode>
                <c:ptCount val="10"/>
                <c:pt idx="0">
                  <c:v>0</c:v>
                </c:pt>
                <c:pt idx="1">
                  <c:v>10</c:v>
                </c:pt>
                <c:pt idx="2">
                  <c:v>20</c:v>
                </c:pt>
                <c:pt idx="3">
                  <c:v>30</c:v>
                </c:pt>
                <c:pt idx="4">
                  <c:v>40</c:v>
                </c:pt>
                <c:pt idx="5">
                  <c:v>50</c:v>
                </c:pt>
                <c:pt idx="6">
                  <c:v>60</c:v>
                </c:pt>
                <c:pt idx="7">
                  <c:v>70</c:v>
                </c:pt>
                <c:pt idx="8">
                  <c:v>80</c:v>
                </c:pt>
                <c:pt idx="9">
                  <c:v>90</c:v>
                </c:pt>
              </c:numCache>
            </c:numRef>
          </c:cat>
          <c:val>
            <c:numRef>
              <c:f>Hists!$F$101:$F$110</c:f>
              <c:numCache>
                <c:formatCode>0.00</c:formatCode>
                <c:ptCount val="10"/>
                <c:pt idx="0">
                  <c:v>0</c:v>
                </c:pt>
                <c:pt idx="1">
                  <c:v>0</c:v>
                </c:pt>
                <c:pt idx="2">
                  <c:v>0</c:v>
                </c:pt>
                <c:pt idx="3">
                  <c:v>12.499999999947917</c:v>
                </c:pt>
                <c:pt idx="4">
                  <c:v>4.1666666666493057</c:v>
                </c:pt>
                <c:pt idx="5">
                  <c:v>0</c:v>
                </c:pt>
                <c:pt idx="6">
                  <c:v>0</c:v>
                </c:pt>
                <c:pt idx="7">
                  <c:v>0</c:v>
                </c:pt>
                <c:pt idx="8">
                  <c:v>0</c:v>
                </c:pt>
                <c:pt idx="9">
                  <c:v>4.1666666666493057</c:v>
                </c:pt>
              </c:numCache>
            </c:numRef>
          </c:val>
          <c:extLst xmlns:c16r2="http://schemas.microsoft.com/office/drawing/2015/06/chart">
            <c:ext xmlns:c16="http://schemas.microsoft.com/office/drawing/2014/chart" uri="{C3380CC4-5D6E-409C-BE32-E72D297353CC}">
              <c16:uniqueId val="{00000001-9CC9-46DE-A5C7-3AC35BF1BA93}"/>
            </c:ext>
          </c:extLst>
        </c:ser>
        <c:ser>
          <c:idx val="2"/>
          <c:order val="2"/>
          <c:tx>
            <c:v>MCU</c:v>
          </c:tx>
          <c:spPr>
            <a:solidFill>
              <a:srgbClr val="00B050"/>
            </a:solidFill>
          </c:spPr>
          <c:invertIfNegative val="0"/>
          <c:cat>
            <c:numRef>
              <c:f>Hists!$B$101:$B$110</c:f>
              <c:numCache>
                <c:formatCode>General</c:formatCode>
                <c:ptCount val="10"/>
                <c:pt idx="0">
                  <c:v>0</c:v>
                </c:pt>
                <c:pt idx="1">
                  <c:v>10</c:v>
                </c:pt>
                <c:pt idx="2">
                  <c:v>20</c:v>
                </c:pt>
                <c:pt idx="3">
                  <c:v>30</c:v>
                </c:pt>
                <c:pt idx="4">
                  <c:v>40</c:v>
                </c:pt>
                <c:pt idx="5">
                  <c:v>50</c:v>
                </c:pt>
                <c:pt idx="6">
                  <c:v>60</c:v>
                </c:pt>
                <c:pt idx="7">
                  <c:v>70</c:v>
                </c:pt>
                <c:pt idx="8">
                  <c:v>80</c:v>
                </c:pt>
                <c:pt idx="9">
                  <c:v>90</c:v>
                </c:pt>
              </c:numCache>
            </c:numRef>
          </c:cat>
          <c:val>
            <c:numRef>
              <c:f>Hists!$H$101:$H$110</c:f>
              <c:numCache>
                <c:formatCode>0.00</c:formatCode>
                <c:ptCount val="10"/>
                <c:pt idx="0">
                  <c:v>0</c:v>
                </c:pt>
                <c:pt idx="1">
                  <c:v>0</c:v>
                </c:pt>
                <c:pt idx="2">
                  <c:v>0</c:v>
                </c:pt>
                <c:pt idx="3">
                  <c:v>31.24999999980469</c:v>
                </c:pt>
                <c:pt idx="4">
                  <c:v>0</c:v>
                </c:pt>
                <c:pt idx="5">
                  <c:v>0</c:v>
                </c:pt>
                <c:pt idx="6">
                  <c:v>12.499999999921876</c:v>
                </c:pt>
                <c:pt idx="7">
                  <c:v>0</c:v>
                </c:pt>
                <c:pt idx="8">
                  <c:v>0</c:v>
                </c:pt>
                <c:pt idx="9">
                  <c:v>0</c:v>
                </c:pt>
              </c:numCache>
            </c:numRef>
          </c:val>
          <c:extLst xmlns:c16r2="http://schemas.microsoft.com/office/drawing/2015/06/chart">
            <c:ext xmlns:c16="http://schemas.microsoft.com/office/drawing/2014/chart" uri="{C3380CC4-5D6E-409C-BE32-E72D297353CC}">
              <c16:uniqueId val="{00000002-9CC9-46DE-A5C7-3AC35BF1BA93}"/>
            </c:ext>
          </c:extLst>
        </c:ser>
        <c:ser>
          <c:idx val="3"/>
          <c:order val="3"/>
          <c:tx>
            <c:v>SensHub</c:v>
          </c:tx>
          <c:spPr>
            <a:solidFill>
              <a:schemeClr val="tx1"/>
            </a:solidFill>
            <a:ln>
              <a:noFill/>
            </a:ln>
          </c:spPr>
          <c:invertIfNegative val="0"/>
          <c:cat>
            <c:numRef>
              <c:f>Hists!$B$101:$B$110</c:f>
              <c:numCache>
                <c:formatCode>General</c:formatCode>
                <c:ptCount val="10"/>
                <c:pt idx="0">
                  <c:v>0</c:v>
                </c:pt>
                <c:pt idx="1">
                  <c:v>10</c:v>
                </c:pt>
                <c:pt idx="2">
                  <c:v>20</c:v>
                </c:pt>
                <c:pt idx="3">
                  <c:v>30</c:v>
                </c:pt>
                <c:pt idx="4">
                  <c:v>40</c:v>
                </c:pt>
                <c:pt idx="5">
                  <c:v>50</c:v>
                </c:pt>
                <c:pt idx="6">
                  <c:v>60</c:v>
                </c:pt>
                <c:pt idx="7">
                  <c:v>70</c:v>
                </c:pt>
                <c:pt idx="8">
                  <c:v>80</c:v>
                </c:pt>
                <c:pt idx="9">
                  <c:v>90</c:v>
                </c:pt>
              </c:numCache>
            </c:numRef>
          </c:cat>
          <c:val>
            <c:numRef>
              <c:f>Hists!$J$101:$J$110</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9CC9-46DE-A5C7-3AC35BF1BA93}"/>
            </c:ext>
          </c:extLst>
        </c:ser>
        <c:dLbls>
          <c:showLegendKey val="0"/>
          <c:showVal val="0"/>
          <c:showCatName val="0"/>
          <c:showSerName val="0"/>
          <c:showPercent val="0"/>
          <c:showBubbleSize val="0"/>
        </c:dLbls>
        <c:gapWidth val="150"/>
        <c:axId val="217266192"/>
        <c:axId val="217266584"/>
      </c:barChart>
      <c:catAx>
        <c:axId val="217266192"/>
        <c:scaling>
          <c:orientation val="minMax"/>
        </c:scaling>
        <c:delete val="0"/>
        <c:axPos val="b"/>
        <c:title>
          <c:tx>
            <c:rich>
              <a:bodyPr anchor="t" anchorCtr="0"/>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Flash (kB)</a:t>
                </a:r>
              </a:p>
            </c:rich>
          </c:tx>
          <c:layout>
            <c:manualLayout>
              <c:xMode val="edge"/>
              <c:yMode val="edge"/>
              <c:x val="0.3694368909432828"/>
              <c:y val="0.95462371402221025"/>
            </c:manualLayout>
          </c:layout>
          <c:overlay val="0"/>
        </c:title>
        <c:numFmt formatCode="#,##0;\-#,##0" sourceLinked="0"/>
        <c:majorTickMark val="out"/>
        <c:minorTickMark val="none"/>
        <c:tickLblPos val="nextTo"/>
        <c:txPr>
          <a:bodyPr rot="5400000" vert="horz"/>
          <a:lstStyle/>
          <a:p>
            <a:pPr>
              <a:defRPr>
                <a:latin typeface="+mn-lt"/>
              </a:defRPr>
            </a:pPr>
            <a:endParaRPr lang="en-US"/>
          </a:p>
        </c:txPr>
        <c:crossAx val="217266584"/>
        <c:crosses val="autoZero"/>
        <c:auto val="1"/>
        <c:lblAlgn val="ctr"/>
        <c:lblOffset val="100"/>
        <c:noMultiLvlLbl val="0"/>
      </c:catAx>
      <c:valAx>
        <c:axId val="217266584"/>
        <c:scaling>
          <c:orientation val="minMax"/>
          <c:max val="55"/>
          <c:min val="0"/>
        </c:scaling>
        <c:delete val="0"/>
        <c:axPos val="l"/>
        <c:majorGridlines/>
        <c:minorGridlines/>
        <c:numFmt formatCode="0" sourceLinked="0"/>
        <c:majorTickMark val="out"/>
        <c:minorTickMark val="none"/>
        <c:tickLblPos val="nextTo"/>
        <c:spPr>
          <a:noFill/>
          <a:ln>
            <a:solidFill>
              <a:schemeClr val="tx1">
                <a:tint val="75000"/>
                <a:shade val="95000"/>
                <a:satMod val="105000"/>
                <a:alpha val="92000"/>
              </a:schemeClr>
            </a:solidFill>
          </a:ln>
        </c:spPr>
        <c:crossAx val="217266192"/>
        <c:crosses val="autoZero"/>
        <c:crossBetween val="between"/>
      </c:valAx>
    </c:plotArea>
    <c:legend>
      <c:legendPos val="r"/>
      <c:layout>
        <c:manualLayout>
          <c:xMode val="edge"/>
          <c:yMode val="edge"/>
          <c:x val="0.18986972708689775"/>
          <c:y val="8.8980619055807009E-2"/>
          <c:w val="0.61176525243981361"/>
          <c:h val="0.19811482969377706"/>
        </c:manualLayout>
      </c:layout>
      <c:overlay val="0"/>
      <c:spPr>
        <a:solidFill>
          <a:sysClr val="window" lastClr="FFFFFF"/>
        </a:solidFill>
      </c:spPr>
    </c:legend>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146335758303086E-2"/>
          <c:y val="3.1339031339031341E-2"/>
          <c:w val="0.88770732848339384"/>
          <c:h val="0.84314354936402169"/>
        </c:manualLayout>
      </c:layout>
      <c:barChart>
        <c:barDir val="col"/>
        <c:grouping val="clustered"/>
        <c:varyColors val="0"/>
        <c:ser>
          <c:idx val="0"/>
          <c:order val="0"/>
          <c:tx>
            <c:v>Wearable</c:v>
          </c:tx>
          <c:invertIfNegative val="0"/>
          <c:cat>
            <c:numRef>
              <c:f>Hists!$B$111:$B$119</c:f>
              <c:numCache>
                <c:formatCode>General</c:formatCode>
                <c:ptCount val="9"/>
                <c:pt idx="0">
                  <c:v>100</c:v>
                </c:pt>
                <c:pt idx="1">
                  <c:v>200</c:v>
                </c:pt>
                <c:pt idx="2">
                  <c:v>300</c:v>
                </c:pt>
                <c:pt idx="3">
                  <c:v>400</c:v>
                </c:pt>
                <c:pt idx="4">
                  <c:v>500</c:v>
                </c:pt>
                <c:pt idx="5">
                  <c:v>600</c:v>
                </c:pt>
                <c:pt idx="6">
                  <c:v>700</c:v>
                </c:pt>
                <c:pt idx="7">
                  <c:v>800</c:v>
                </c:pt>
                <c:pt idx="8">
                  <c:v>900</c:v>
                </c:pt>
              </c:numCache>
            </c:numRef>
          </c:cat>
          <c:val>
            <c:numRef>
              <c:f>Hists!$D$111:$D$119</c:f>
              <c:numCache>
                <c:formatCode>0.00</c:formatCode>
                <c:ptCount val="9"/>
                <c:pt idx="0">
                  <c:v>0</c:v>
                </c:pt>
                <c:pt idx="1">
                  <c:v>49.999999997499998</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DE75-4F42-8382-0854B7541287}"/>
            </c:ext>
          </c:extLst>
        </c:ser>
        <c:ser>
          <c:idx val="1"/>
          <c:order val="1"/>
          <c:tx>
            <c:v>Motes</c:v>
          </c:tx>
          <c:invertIfNegative val="0"/>
          <c:cat>
            <c:numRef>
              <c:f>Hists!$B$111:$B$119</c:f>
              <c:numCache>
                <c:formatCode>General</c:formatCode>
                <c:ptCount val="9"/>
                <c:pt idx="0">
                  <c:v>100</c:v>
                </c:pt>
                <c:pt idx="1">
                  <c:v>200</c:v>
                </c:pt>
                <c:pt idx="2">
                  <c:v>300</c:v>
                </c:pt>
                <c:pt idx="3">
                  <c:v>400</c:v>
                </c:pt>
                <c:pt idx="4">
                  <c:v>500</c:v>
                </c:pt>
                <c:pt idx="5">
                  <c:v>600</c:v>
                </c:pt>
                <c:pt idx="6">
                  <c:v>700</c:v>
                </c:pt>
                <c:pt idx="7">
                  <c:v>800</c:v>
                </c:pt>
                <c:pt idx="8">
                  <c:v>900</c:v>
                </c:pt>
              </c:numCache>
            </c:numRef>
          </c:cat>
          <c:val>
            <c:numRef>
              <c:f>Hists!$F$111:$F$119</c:f>
              <c:numCache>
                <c:formatCode>0.00</c:formatCode>
                <c:ptCount val="9"/>
                <c:pt idx="0">
                  <c:v>24.999999999895834</c:v>
                </c:pt>
                <c:pt idx="1">
                  <c:v>8.3333333332986115</c:v>
                </c:pt>
                <c:pt idx="2">
                  <c:v>4.1666666666493057</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DE75-4F42-8382-0854B7541287}"/>
            </c:ext>
          </c:extLst>
        </c:ser>
        <c:ser>
          <c:idx val="2"/>
          <c:order val="2"/>
          <c:tx>
            <c:v>MCU</c:v>
          </c:tx>
          <c:spPr>
            <a:solidFill>
              <a:srgbClr val="00B050"/>
            </a:solidFill>
          </c:spPr>
          <c:invertIfNegative val="0"/>
          <c:cat>
            <c:numRef>
              <c:f>Hists!$B$111:$B$119</c:f>
              <c:numCache>
                <c:formatCode>General</c:formatCode>
                <c:ptCount val="9"/>
                <c:pt idx="0">
                  <c:v>100</c:v>
                </c:pt>
                <c:pt idx="1">
                  <c:v>200</c:v>
                </c:pt>
                <c:pt idx="2">
                  <c:v>300</c:v>
                </c:pt>
                <c:pt idx="3">
                  <c:v>400</c:v>
                </c:pt>
                <c:pt idx="4">
                  <c:v>500</c:v>
                </c:pt>
                <c:pt idx="5">
                  <c:v>600</c:v>
                </c:pt>
                <c:pt idx="6">
                  <c:v>700</c:v>
                </c:pt>
                <c:pt idx="7">
                  <c:v>800</c:v>
                </c:pt>
                <c:pt idx="8">
                  <c:v>900</c:v>
                </c:pt>
              </c:numCache>
            </c:numRef>
          </c:cat>
          <c:val>
            <c:numRef>
              <c:f>Hists!$H$111:$H$119</c:f>
              <c:numCache>
                <c:formatCode>0.00</c:formatCode>
                <c:ptCount val="9"/>
                <c:pt idx="0">
                  <c:v>31.24999999980469</c:v>
                </c:pt>
                <c:pt idx="1">
                  <c:v>18.749999999882814</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DE75-4F42-8382-0854B7541287}"/>
            </c:ext>
          </c:extLst>
        </c:ser>
        <c:ser>
          <c:idx val="3"/>
          <c:order val="3"/>
          <c:tx>
            <c:v>SensHub</c:v>
          </c:tx>
          <c:spPr>
            <a:solidFill>
              <a:schemeClr val="tx1"/>
            </a:solidFill>
          </c:spPr>
          <c:invertIfNegative val="0"/>
          <c:cat>
            <c:numRef>
              <c:f>Hists!$B$111:$B$119</c:f>
              <c:numCache>
                <c:formatCode>General</c:formatCode>
                <c:ptCount val="9"/>
                <c:pt idx="0">
                  <c:v>100</c:v>
                </c:pt>
                <c:pt idx="1">
                  <c:v>200</c:v>
                </c:pt>
                <c:pt idx="2">
                  <c:v>300</c:v>
                </c:pt>
                <c:pt idx="3">
                  <c:v>400</c:v>
                </c:pt>
                <c:pt idx="4">
                  <c:v>500</c:v>
                </c:pt>
                <c:pt idx="5">
                  <c:v>600</c:v>
                </c:pt>
                <c:pt idx="6">
                  <c:v>700</c:v>
                </c:pt>
                <c:pt idx="7">
                  <c:v>800</c:v>
                </c:pt>
                <c:pt idx="8">
                  <c:v>900</c:v>
                </c:pt>
              </c:numCache>
            </c:numRef>
          </c:cat>
          <c:val>
            <c:numRef>
              <c:f>Hists!$J$111:$J$119</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3-DE75-4F42-8382-0854B7541287}"/>
            </c:ext>
          </c:extLst>
        </c:ser>
        <c:dLbls>
          <c:showLegendKey val="0"/>
          <c:showVal val="0"/>
          <c:showCatName val="0"/>
          <c:showSerName val="0"/>
          <c:showPercent val="0"/>
          <c:showBubbleSize val="0"/>
        </c:dLbls>
        <c:gapWidth val="150"/>
        <c:axId val="217267368"/>
        <c:axId val="216952784"/>
      </c:barChart>
      <c:catAx>
        <c:axId val="217267368"/>
        <c:scaling>
          <c:orientation val="minMax"/>
        </c:scaling>
        <c:delete val="0"/>
        <c:axPos val="b"/>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Flash (kB)</a:t>
                </a:r>
              </a:p>
            </c:rich>
          </c:tx>
          <c:layout>
            <c:manualLayout>
              <c:xMode val="edge"/>
              <c:yMode val="edge"/>
              <c:x val="0.37324951677920626"/>
              <c:y val="0.95156695156695159"/>
            </c:manualLayout>
          </c:layout>
          <c:overlay val="0"/>
        </c:title>
        <c:numFmt formatCode="#,##0" sourceLinked="0"/>
        <c:majorTickMark val="out"/>
        <c:minorTickMark val="none"/>
        <c:tickLblPos val="nextTo"/>
        <c:txPr>
          <a:bodyPr rot="5400000" vert="horz"/>
          <a:lstStyle/>
          <a:p>
            <a:pPr>
              <a:defRPr/>
            </a:pPr>
            <a:endParaRPr lang="en-US"/>
          </a:p>
        </c:txPr>
        <c:crossAx val="216952784"/>
        <c:crosses val="autoZero"/>
        <c:auto val="1"/>
        <c:lblAlgn val="ctr"/>
        <c:lblOffset val="100"/>
        <c:noMultiLvlLbl val="0"/>
      </c:catAx>
      <c:valAx>
        <c:axId val="216952784"/>
        <c:scaling>
          <c:orientation val="minMax"/>
          <c:max val="55"/>
          <c:min val="0"/>
        </c:scaling>
        <c:delete val="1"/>
        <c:axPos val="l"/>
        <c:majorGridlines/>
        <c:minorGridlines/>
        <c:numFmt formatCode="0.00" sourceLinked="1"/>
        <c:majorTickMark val="out"/>
        <c:minorTickMark val="none"/>
        <c:tickLblPos val="nextTo"/>
        <c:crossAx val="217267368"/>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5.2063083322628177E-2"/>
          <c:w val="0.84530602877202499"/>
          <c:h val="0.81528076001133454"/>
        </c:manualLayout>
      </c:layout>
      <c:barChart>
        <c:barDir val="col"/>
        <c:grouping val="clustered"/>
        <c:varyColors val="0"/>
        <c:ser>
          <c:idx val="1"/>
          <c:order val="0"/>
          <c:tx>
            <c:v>Wearable</c:v>
          </c:tx>
          <c:invertIfNegative val="0"/>
          <c:cat>
            <c:numRef>
              <c:f>Hists!$B$1200:$B$1209</c:f>
              <c:numCache>
                <c:formatCode>General</c:formatCode>
                <c:ptCount val="10"/>
                <c:pt idx="0">
                  <c:v>0</c:v>
                </c:pt>
                <c:pt idx="1">
                  <c:v>100</c:v>
                </c:pt>
                <c:pt idx="2">
                  <c:v>200</c:v>
                </c:pt>
                <c:pt idx="3">
                  <c:v>300</c:v>
                </c:pt>
                <c:pt idx="4">
                  <c:v>400</c:v>
                </c:pt>
                <c:pt idx="5">
                  <c:v>500</c:v>
                </c:pt>
                <c:pt idx="6">
                  <c:v>600</c:v>
                </c:pt>
                <c:pt idx="7">
                  <c:v>700</c:v>
                </c:pt>
                <c:pt idx="8">
                  <c:v>800</c:v>
                </c:pt>
                <c:pt idx="9">
                  <c:v>900</c:v>
                </c:pt>
              </c:numCache>
            </c:numRef>
          </c:cat>
          <c:val>
            <c:numRef>
              <c:f>Hists!$D$1200:$D$1209</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3F0F-42E4-A236-2848D5B73AE4}"/>
            </c:ext>
          </c:extLst>
        </c:ser>
        <c:ser>
          <c:idx val="0"/>
          <c:order val="1"/>
          <c:tx>
            <c:strRef>
              <c:f>Hists!$E$1198</c:f>
              <c:strCache>
                <c:ptCount val="1"/>
                <c:pt idx="0">
                  <c:v>Mote (on PCB)</c:v>
                </c:pt>
              </c:strCache>
            </c:strRef>
          </c:tx>
          <c:invertIfNegative val="0"/>
          <c:cat>
            <c:numRef>
              <c:f>Hists!$B$1200:$B$1209</c:f>
              <c:numCache>
                <c:formatCode>General</c:formatCode>
                <c:ptCount val="10"/>
                <c:pt idx="0">
                  <c:v>0</c:v>
                </c:pt>
                <c:pt idx="1">
                  <c:v>100</c:v>
                </c:pt>
                <c:pt idx="2">
                  <c:v>200</c:v>
                </c:pt>
                <c:pt idx="3">
                  <c:v>300</c:v>
                </c:pt>
                <c:pt idx="4">
                  <c:v>400</c:v>
                </c:pt>
                <c:pt idx="5">
                  <c:v>500</c:v>
                </c:pt>
                <c:pt idx="6">
                  <c:v>600</c:v>
                </c:pt>
                <c:pt idx="7">
                  <c:v>700</c:v>
                </c:pt>
                <c:pt idx="8">
                  <c:v>800</c:v>
                </c:pt>
                <c:pt idx="9">
                  <c:v>900</c:v>
                </c:pt>
              </c:numCache>
            </c:numRef>
          </c:cat>
          <c:val>
            <c:numRef>
              <c:f>Hists!$F$1200:$F$1209</c:f>
              <c:numCache>
                <c:formatCode>0.00</c:formatCode>
                <c:ptCount val="10"/>
                <c:pt idx="0">
                  <c:v>0</c:v>
                </c:pt>
                <c:pt idx="1">
                  <c:v>0</c:v>
                </c:pt>
                <c:pt idx="2">
                  <c:v>0</c:v>
                </c:pt>
                <c:pt idx="3">
                  <c:v>0</c:v>
                </c:pt>
                <c:pt idx="4">
                  <c:v>15.384615384497041</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3F0F-42E4-A236-2848D5B73AE4}"/>
            </c:ext>
          </c:extLst>
        </c:ser>
        <c:ser>
          <c:idx val="2"/>
          <c:order val="2"/>
          <c:tx>
            <c:v>MCU</c:v>
          </c:tx>
          <c:invertIfNegative val="0"/>
          <c:cat>
            <c:numRef>
              <c:f>Hists!$B$1200:$B$1209</c:f>
              <c:numCache>
                <c:formatCode>General</c:formatCode>
                <c:ptCount val="10"/>
                <c:pt idx="0">
                  <c:v>0</c:v>
                </c:pt>
                <c:pt idx="1">
                  <c:v>100</c:v>
                </c:pt>
                <c:pt idx="2">
                  <c:v>200</c:v>
                </c:pt>
                <c:pt idx="3">
                  <c:v>300</c:v>
                </c:pt>
                <c:pt idx="4">
                  <c:v>400</c:v>
                </c:pt>
                <c:pt idx="5">
                  <c:v>500</c:v>
                </c:pt>
                <c:pt idx="6">
                  <c:v>600</c:v>
                </c:pt>
                <c:pt idx="7">
                  <c:v>700</c:v>
                </c:pt>
                <c:pt idx="8">
                  <c:v>800</c:v>
                </c:pt>
                <c:pt idx="9">
                  <c:v>900</c:v>
                </c:pt>
              </c:numCache>
            </c:numRef>
          </c:cat>
          <c:val>
            <c:numRef>
              <c:f>Hists!$H$1200:$H$1209</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3F0F-42E4-A236-2848D5B73AE4}"/>
            </c:ext>
          </c:extLst>
        </c:ser>
        <c:ser>
          <c:idx val="3"/>
          <c:order val="3"/>
          <c:tx>
            <c:v>SensHub</c:v>
          </c:tx>
          <c:invertIfNegative val="0"/>
          <c:cat>
            <c:numRef>
              <c:f>Hists!$B$1200:$B$1209</c:f>
              <c:numCache>
                <c:formatCode>General</c:formatCode>
                <c:ptCount val="10"/>
                <c:pt idx="0">
                  <c:v>0</c:v>
                </c:pt>
                <c:pt idx="1">
                  <c:v>100</c:v>
                </c:pt>
                <c:pt idx="2">
                  <c:v>200</c:v>
                </c:pt>
                <c:pt idx="3">
                  <c:v>300</c:v>
                </c:pt>
                <c:pt idx="4">
                  <c:v>400</c:v>
                </c:pt>
                <c:pt idx="5">
                  <c:v>500</c:v>
                </c:pt>
                <c:pt idx="6">
                  <c:v>600</c:v>
                </c:pt>
                <c:pt idx="7">
                  <c:v>700</c:v>
                </c:pt>
                <c:pt idx="8">
                  <c:v>800</c:v>
                </c:pt>
                <c:pt idx="9">
                  <c:v>900</c:v>
                </c:pt>
              </c:numCache>
            </c:numRef>
          </c:cat>
          <c:val>
            <c:numRef>
              <c:f>Hists!$J$1200:$J$1209</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3F0F-42E4-A236-2848D5B73AE4}"/>
            </c:ext>
          </c:extLst>
        </c:ser>
        <c:dLbls>
          <c:showLegendKey val="0"/>
          <c:showVal val="0"/>
          <c:showCatName val="0"/>
          <c:showSerName val="0"/>
          <c:showPercent val="0"/>
          <c:showBubbleSize val="0"/>
        </c:dLbls>
        <c:gapWidth val="150"/>
        <c:axId val="216953568"/>
        <c:axId val="216953960"/>
      </c:barChart>
      <c:catAx>
        <c:axId val="216953568"/>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Lifetime (h)</a:t>
                </a:r>
              </a:p>
            </c:rich>
          </c:tx>
          <c:layout>
            <c:manualLayout>
              <c:xMode val="edge"/>
              <c:yMode val="edge"/>
              <c:x val="0.37793295061528609"/>
              <c:y val="0.95475185098587734"/>
            </c:manualLayout>
          </c:layout>
          <c:overlay val="0"/>
        </c:title>
        <c:numFmt formatCode="#,##0" sourceLinked="0"/>
        <c:majorTickMark val="out"/>
        <c:minorTickMark val="none"/>
        <c:tickLblPos val="nextTo"/>
        <c:txPr>
          <a:bodyPr rot="5400000" vert="horz"/>
          <a:lstStyle/>
          <a:p>
            <a:pPr>
              <a:defRPr/>
            </a:pPr>
            <a:endParaRPr lang="en-US"/>
          </a:p>
        </c:txPr>
        <c:crossAx val="216953960"/>
        <c:crosses val="autoZero"/>
        <c:auto val="1"/>
        <c:lblAlgn val="ctr"/>
        <c:lblOffset val="100"/>
        <c:noMultiLvlLbl val="0"/>
      </c:catAx>
      <c:valAx>
        <c:axId val="216953960"/>
        <c:scaling>
          <c:orientation val="minMax"/>
          <c:max val="35"/>
        </c:scaling>
        <c:delete val="0"/>
        <c:axPos val="l"/>
        <c:majorGridlines/>
        <c:minorGridlines/>
        <c:numFmt formatCode="0" sourceLinked="0"/>
        <c:majorTickMark val="out"/>
        <c:minorTickMark val="none"/>
        <c:tickLblPos val="nextTo"/>
        <c:crossAx val="216953568"/>
        <c:crosses val="autoZero"/>
        <c:crossBetween val="between"/>
      </c:valAx>
    </c:plotArea>
    <c:legend>
      <c:legendPos val="t"/>
      <c:layout>
        <c:manualLayout>
          <c:xMode val="edge"/>
          <c:yMode val="edge"/>
          <c:x val="0.41682529721713679"/>
          <c:y val="0.11634441193916861"/>
          <c:w val="0.44272424873217558"/>
          <c:h val="0.21704291563926653"/>
        </c:manualLayout>
      </c:layout>
      <c:overlay val="0"/>
      <c:spPr>
        <a:solidFill>
          <a:schemeClr val="bg1"/>
        </a:solidFill>
      </c:spPr>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4.9418892142192535E-2"/>
          <c:w val="0.89255115801454943"/>
          <c:h val="0.81528076001133454"/>
        </c:manualLayout>
      </c:layout>
      <c:barChart>
        <c:barDir val="col"/>
        <c:grouping val="clustered"/>
        <c:varyColors val="0"/>
        <c:ser>
          <c:idx val="0"/>
          <c:order val="0"/>
          <c:tx>
            <c:v>Mote</c:v>
          </c:tx>
          <c:invertIfNegative val="0"/>
          <c:cat>
            <c:numRef>
              <c:f>Hists!$B$1210:$B$1218</c:f>
              <c:numCache>
                <c:formatCode>General</c:formatCode>
                <c:ptCount val="9"/>
                <c:pt idx="0">
                  <c:v>1000</c:v>
                </c:pt>
                <c:pt idx="1">
                  <c:v>2000</c:v>
                </c:pt>
                <c:pt idx="2">
                  <c:v>3000</c:v>
                </c:pt>
                <c:pt idx="3">
                  <c:v>4000</c:v>
                </c:pt>
                <c:pt idx="4">
                  <c:v>5000</c:v>
                </c:pt>
                <c:pt idx="5">
                  <c:v>6000</c:v>
                </c:pt>
                <c:pt idx="6">
                  <c:v>7000</c:v>
                </c:pt>
                <c:pt idx="7">
                  <c:v>8000</c:v>
                </c:pt>
                <c:pt idx="8">
                  <c:v>9000</c:v>
                </c:pt>
              </c:numCache>
            </c:numRef>
          </c:cat>
          <c:val>
            <c:numRef>
              <c:f>Hists!$F$1210:$F$1218</c:f>
              <c:numCache>
                <c:formatCode>0.00</c:formatCode>
                <c:ptCount val="9"/>
                <c:pt idx="0">
                  <c:v>0</c:v>
                </c:pt>
                <c:pt idx="1">
                  <c:v>7.6923076922485203</c:v>
                </c:pt>
                <c:pt idx="2">
                  <c:v>15.384615384497041</c:v>
                </c:pt>
                <c:pt idx="3">
                  <c:v>7.6923076922485203</c:v>
                </c:pt>
                <c:pt idx="4">
                  <c:v>0</c:v>
                </c:pt>
                <c:pt idx="5">
                  <c:v>0</c:v>
                </c:pt>
                <c:pt idx="6">
                  <c:v>0</c:v>
                </c:pt>
                <c:pt idx="7">
                  <c:v>0</c:v>
                </c:pt>
                <c:pt idx="8">
                  <c:v>7.6923076922485203</c:v>
                </c:pt>
              </c:numCache>
            </c:numRef>
          </c:val>
          <c:extLst xmlns:c16r2="http://schemas.microsoft.com/office/drawing/2015/06/chart">
            <c:ext xmlns:c16="http://schemas.microsoft.com/office/drawing/2014/chart" uri="{C3380CC4-5D6E-409C-BE32-E72D297353CC}">
              <c16:uniqueId val="{00000001-8AA1-40EE-9DB4-28833F170462}"/>
            </c:ext>
          </c:extLst>
        </c:ser>
        <c:ser>
          <c:idx val="2"/>
          <c:order val="1"/>
          <c:tx>
            <c:v>MCU</c:v>
          </c:tx>
          <c:invertIfNegative val="0"/>
          <c:cat>
            <c:numRef>
              <c:f>Hists!$B$1210:$B$1218</c:f>
              <c:numCache>
                <c:formatCode>General</c:formatCode>
                <c:ptCount val="9"/>
                <c:pt idx="0">
                  <c:v>1000</c:v>
                </c:pt>
                <c:pt idx="1">
                  <c:v>2000</c:v>
                </c:pt>
                <c:pt idx="2">
                  <c:v>3000</c:v>
                </c:pt>
                <c:pt idx="3">
                  <c:v>4000</c:v>
                </c:pt>
                <c:pt idx="4">
                  <c:v>5000</c:v>
                </c:pt>
                <c:pt idx="5">
                  <c:v>6000</c:v>
                </c:pt>
                <c:pt idx="6">
                  <c:v>7000</c:v>
                </c:pt>
                <c:pt idx="7">
                  <c:v>8000</c:v>
                </c:pt>
                <c:pt idx="8">
                  <c:v>9000</c:v>
                </c:pt>
              </c:numCache>
            </c:numRef>
          </c:cat>
          <c:val>
            <c:numRef>
              <c:f>Hists!$H$1210:$H$1218</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8AA1-40EE-9DB4-28833F170462}"/>
            </c:ext>
          </c:extLst>
        </c:ser>
        <c:ser>
          <c:idx val="3"/>
          <c:order val="2"/>
          <c:tx>
            <c:v>SensHub</c:v>
          </c:tx>
          <c:invertIfNegative val="0"/>
          <c:cat>
            <c:numRef>
              <c:f>Hists!$B$1210:$B$1218</c:f>
              <c:numCache>
                <c:formatCode>General</c:formatCode>
                <c:ptCount val="9"/>
                <c:pt idx="0">
                  <c:v>1000</c:v>
                </c:pt>
                <c:pt idx="1">
                  <c:v>2000</c:v>
                </c:pt>
                <c:pt idx="2">
                  <c:v>3000</c:v>
                </c:pt>
                <c:pt idx="3">
                  <c:v>4000</c:v>
                </c:pt>
                <c:pt idx="4">
                  <c:v>5000</c:v>
                </c:pt>
                <c:pt idx="5">
                  <c:v>6000</c:v>
                </c:pt>
                <c:pt idx="6">
                  <c:v>7000</c:v>
                </c:pt>
                <c:pt idx="7">
                  <c:v>8000</c:v>
                </c:pt>
                <c:pt idx="8">
                  <c:v>9000</c:v>
                </c:pt>
              </c:numCache>
            </c:numRef>
          </c:cat>
          <c:val>
            <c:numRef>
              <c:f>Hists!$J$1210:$J$1218</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3-8AA1-40EE-9DB4-28833F170462}"/>
            </c:ext>
          </c:extLst>
        </c:ser>
        <c:dLbls>
          <c:showLegendKey val="0"/>
          <c:showVal val="0"/>
          <c:showCatName val="0"/>
          <c:showSerName val="0"/>
          <c:showPercent val="0"/>
          <c:showBubbleSize val="0"/>
        </c:dLbls>
        <c:gapWidth val="150"/>
        <c:axId val="216954744"/>
        <c:axId val="216955136"/>
      </c:barChart>
      <c:catAx>
        <c:axId val="216954744"/>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Lifetime (h)</a:t>
                </a:r>
              </a:p>
            </c:rich>
          </c:tx>
          <c:layout>
            <c:manualLayout>
              <c:xMode val="edge"/>
              <c:yMode val="edge"/>
              <c:x val="0.34265651563874244"/>
              <c:y val="0.96153430546570973"/>
            </c:manualLayout>
          </c:layout>
          <c:overlay val="0"/>
        </c:title>
        <c:numFmt formatCode="#,##0" sourceLinked="0"/>
        <c:majorTickMark val="out"/>
        <c:minorTickMark val="none"/>
        <c:tickLblPos val="nextTo"/>
        <c:txPr>
          <a:bodyPr rot="5400000" vert="horz"/>
          <a:lstStyle/>
          <a:p>
            <a:pPr>
              <a:defRPr/>
            </a:pPr>
            <a:endParaRPr lang="en-US"/>
          </a:p>
        </c:txPr>
        <c:crossAx val="216955136"/>
        <c:crosses val="autoZero"/>
        <c:auto val="1"/>
        <c:lblAlgn val="ctr"/>
        <c:lblOffset val="100"/>
        <c:noMultiLvlLbl val="0"/>
      </c:catAx>
      <c:valAx>
        <c:axId val="216955136"/>
        <c:scaling>
          <c:orientation val="minMax"/>
          <c:max val="35"/>
        </c:scaling>
        <c:delete val="1"/>
        <c:axPos val="l"/>
        <c:majorGridlines/>
        <c:minorGridlines/>
        <c:numFmt formatCode="0.00" sourceLinked="1"/>
        <c:majorTickMark val="out"/>
        <c:minorTickMark val="none"/>
        <c:tickLblPos val="nextTo"/>
        <c:crossAx val="216954744"/>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4.6774700961756878E-2"/>
          <c:w val="0.89860181622287205"/>
          <c:h val="0.81263656883089896"/>
        </c:manualLayout>
      </c:layout>
      <c:barChart>
        <c:barDir val="col"/>
        <c:grouping val="clustered"/>
        <c:varyColors val="0"/>
        <c:ser>
          <c:idx val="0"/>
          <c:order val="0"/>
          <c:tx>
            <c:v>Mote</c:v>
          </c:tx>
          <c:invertIfNegative val="0"/>
          <c:cat>
            <c:numRef>
              <c:f>Hists!$B$1219:$B$1228</c:f>
              <c:numCache>
                <c:formatCode>General</c:formatCode>
                <c:ptCount val="10"/>
                <c:pt idx="0">
                  <c:v>10000</c:v>
                </c:pt>
                <c:pt idx="1">
                  <c:v>20000</c:v>
                </c:pt>
                <c:pt idx="2">
                  <c:v>30000</c:v>
                </c:pt>
                <c:pt idx="3">
                  <c:v>40000</c:v>
                </c:pt>
                <c:pt idx="4">
                  <c:v>50000</c:v>
                </c:pt>
                <c:pt idx="5">
                  <c:v>60000</c:v>
                </c:pt>
                <c:pt idx="6">
                  <c:v>70000</c:v>
                </c:pt>
                <c:pt idx="7">
                  <c:v>80000</c:v>
                </c:pt>
                <c:pt idx="8">
                  <c:v>90000</c:v>
                </c:pt>
                <c:pt idx="9">
                  <c:v>100000</c:v>
                </c:pt>
              </c:numCache>
            </c:numRef>
          </c:cat>
          <c:val>
            <c:numRef>
              <c:f>Hists!$F$1219:$F$1228</c:f>
              <c:numCache>
                <c:formatCode>0.00</c:formatCode>
                <c:ptCount val="10"/>
                <c:pt idx="0">
                  <c:v>30.769230768994081</c:v>
                </c:pt>
                <c:pt idx="1">
                  <c:v>15.384615384497041</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3331-4D9E-9792-4E479E600A2E}"/>
            </c:ext>
          </c:extLst>
        </c:ser>
        <c:ser>
          <c:idx val="2"/>
          <c:order val="1"/>
          <c:tx>
            <c:v>MCU</c:v>
          </c:tx>
          <c:invertIfNegative val="0"/>
          <c:cat>
            <c:numRef>
              <c:f>Hists!$B$1219:$B$1228</c:f>
              <c:numCache>
                <c:formatCode>General</c:formatCode>
                <c:ptCount val="10"/>
                <c:pt idx="0">
                  <c:v>10000</c:v>
                </c:pt>
                <c:pt idx="1">
                  <c:v>20000</c:v>
                </c:pt>
                <c:pt idx="2">
                  <c:v>30000</c:v>
                </c:pt>
                <c:pt idx="3">
                  <c:v>40000</c:v>
                </c:pt>
                <c:pt idx="4">
                  <c:v>50000</c:v>
                </c:pt>
                <c:pt idx="5">
                  <c:v>60000</c:v>
                </c:pt>
                <c:pt idx="6">
                  <c:v>70000</c:v>
                </c:pt>
                <c:pt idx="7">
                  <c:v>80000</c:v>
                </c:pt>
                <c:pt idx="8">
                  <c:v>90000</c:v>
                </c:pt>
                <c:pt idx="9">
                  <c:v>100000</c:v>
                </c:pt>
              </c:numCache>
            </c:numRef>
          </c:cat>
          <c:val>
            <c:numRef>
              <c:f>Hists!$H$1219:$H$1228</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3331-4D9E-9792-4E479E600A2E}"/>
            </c:ext>
          </c:extLst>
        </c:ser>
        <c:ser>
          <c:idx val="3"/>
          <c:order val="2"/>
          <c:tx>
            <c:v>SensHub</c:v>
          </c:tx>
          <c:invertIfNegative val="0"/>
          <c:cat>
            <c:numRef>
              <c:f>Hists!$B$1219:$B$1228</c:f>
              <c:numCache>
                <c:formatCode>General</c:formatCode>
                <c:ptCount val="10"/>
                <c:pt idx="0">
                  <c:v>10000</c:v>
                </c:pt>
                <c:pt idx="1">
                  <c:v>20000</c:v>
                </c:pt>
                <c:pt idx="2">
                  <c:v>30000</c:v>
                </c:pt>
                <c:pt idx="3">
                  <c:v>40000</c:v>
                </c:pt>
                <c:pt idx="4">
                  <c:v>50000</c:v>
                </c:pt>
                <c:pt idx="5">
                  <c:v>60000</c:v>
                </c:pt>
                <c:pt idx="6">
                  <c:v>70000</c:v>
                </c:pt>
                <c:pt idx="7">
                  <c:v>80000</c:v>
                </c:pt>
                <c:pt idx="8">
                  <c:v>90000</c:v>
                </c:pt>
                <c:pt idx="9">
                  <c:v>100000</c:v>
                </c:pt>
              </c:numCache>
            </c:numRef>
          </c:cat>
          <c:val>
            <c:numRef>
              <c:f>Hists!$J$1219:$J$1228</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3331-4D9E-9792-4E479E600A2E}"/>
            </c:ext>
          </c:extLst>
        </c:ser>
        <c:dLbls>
          <c:showLegendKey val="0"/>
          <c:showVal val="0"/>
          <c:showCatName val="0"/>
          <c:showSerName val="0"/>
          <c:showPercent val="0"/>
          <c:showBubbleSize val="0"/>
        </c:dLbls>
        <c:gapWidth val="150"/>
        <c:axId val="216955920"/>
        <c:axId val="216956312"/>
      </c:barChart>
      <c:catAx>
        <c:axId val="216955920"/>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Lifetime (h)</a:t>
                </a:r>
              </a:p>
            </c:rich>
          </c:tx>
          <c:layout>
            <c:manualLayout>
              <c:xMode val="edge"/>
              <c:yMode val="edge"/>
              <c:x val="0.34594882751002709"/>
              <c:y val="0.9539719186896638"/>
            </c:manualLayout>
          </c:layout>
          <c:overlay val="0"/>
        </c:title>
        <c:numFmt formatCode="#,##0" sourceLinked="0"/>
        <c:majorTickMark val="out"/>
        <c:minorTickMark val="none"/>
        <c:tickLblPos val="nextTo"/>
        <c:txPr>
          <a:bodyPr rot="5400000" vert="horz"/>
          <a:lstStyle/>
          <a:p>
            <a:pPr>
              <a:defRPr/>
            </a:pPr>
            <a:endParaRPr lang="en-US"/>
          </a:p>
        </c:txPr>
        <c:crossAx val="216956312"/>
        <c:crosses val="autoZero"/>
        <c:auto val="1"/>
        <c:lblAlgn val="ctr"/>
        <c:lblOffset val="100"/>
        <c:noMultiLvlLbl val="0"/>
      </c:catAx>
      <c:valAx>
        <c:axId val="216956312"/>
        <c:scaling>
          <c:orientation val="minMax"/>
          <c:max val="35"/>
        </c:scaling>
        <c:delete val="1"/>
        <c:axPos val="l"/>
        <c:majorGridlines/>
        <c:minorGridlines/>
        <c:numFmt formatCode="0.00" sourceLinked="1"/>
        <c:majorTickMark val="out"/>
        <c:minorTickMark val="none"/>
        <c:tickLblPos val="nextTo"/>
        <c:crossAx val="216955920"/>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4.2381945846512774E-2"/>
          <c:w val="0.90544403378986904"/>
          <c:h val="0.8433032729883122"/>
        </c:manualLayout>
      </c:layout>
      <c:barChart>
        <c:barDir val="col"/>
        <c:grouping val="clustered"/>
        <c:varyColors val="0"/>
        <c:ser>
          <c:idx val="0"/>
          <c:order val="0"/>
          <c:tx>
            <c:v>Wearable</c:v>
          </c:tx>
          <c:invertIfNegative val="0"/>
          <c:cat>
            <c:numRef>
              <c:f>Hists!$B$70:$B$79</c:f>
              <c:numCache>
                <c:formatCode>General</c:formatCode>
                <c:ptCount val="10"/>
                <c:pt idx="0">
                  <c:v>100</c:v>
                </c:pt>
                <c:pt idx="1">
                  <c:v>200</c:v>
                </c:pt>
                <c:pt idx="2">
                  <c:v>300</c:v>
                </c:pt>
                <c:pt idx="3">
                  <c:v>400</c:v>
                </c:pt>
                <c:pt idx="4">
                  <c:v>500</c:v>
                </c:pt>
                <c:pt idx="5">
                  <c:v>600</c:v>
                </c:pt>
                <c:pt idx="6">
                  <c:v>700</c:v>
                </c:pt>
                <c:pt idx="7">
                  <c:v>800</c:v>
                </c:pt>
                <c:pt idx="8">
                  <c:v>900</c:v>
                </c:pt>
                <c:pt idx="9">
                  <c:v>1000</c:v>
                </c:pt>
              </c:numCache>
            </c:numRef>
          </c:cat>
          <c:val>
            <c:numRef>
              <c:f>Hists!$D$70:$D$79</c:f>
              <c:numCache>
                <c:formatCode>0.00</c:formatCode>
                <c:ptCount val="10"/>
                <c:pt idx="0">
                  <c:v>0</c:v>
                </c:pt>
                <c:pt idx="1">
                  <c:v>0</c:v>
                </c:pt>
                <c:pt idx="2">
                  <c:v>0</c:v>
                </c:pt>
                <c:pt idx="3">
                  <c:v>0</c:v>
                </c:pt>
                <c:pt idx="4">
                  <c:v>49.999999997499998</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2363-4005-A055-1890C3D61C3D}"/>
            </c:ext>
          </c:extLst>
        </c:ser>
        <c:ser>
          <c:idx val="1"/>
          <c:order val="1"/>
          <c:tx>
            <c:v>Motes</c:v>
          </c:tx>
          <c:invertIfNegative val="0"/>
          <c:cat>
            <c:numRef>
              <c:f>Hists!$B$70:$B$79</c:f>
              <c:numCache>
                <c:formatCode>General</c:formatCode>
                <c:ptCount val="10"/>
                <c:pt idx="0">
                  <c:v>100</c:v>
                </c:pt>
                <c:pt idx="1">
                  <c:v>200</c:v>
                </c:pt>
                <c:pt idx="2">
                  <c:v>300</c:v>
                </c:pt>
                <c:pt idx="3">
                  <c:v>400</c:v>
                </c:pt>
                <c:pt idx="4">
                  <c:v>500</c:v>
                </c:pt>
                <c:pt idx="5">
                  <c:v>600</c:v>
                </c:pt>
                <c:pt idx="6">
                  <c:v>700</c:v>
                </c:pt>
                <c:pt idx="7">
                  <c:v>800</c:v>
                </c:pt>
                <c:pt idx="8">
                  <c:v>900</c:v>
                </c:pt>
                <c:pt idx="9">
                  <c:v>1000</c:v>
                </c:pt>
              </c:numCache>
            </c:numRef>
          </c:cat>
          <c:val>
            <c:numRef>
              <c:f>Hists!$F$70:$F$79</c:f>
              <c:numCache>
                <c:formatCode>0.00</c:formatCode>
                <c:ptCount val="10"/>
                <c:pt idx="0">
                  <c:v>4.9999999999750004</c:v>
                </c:pt>
                <c:pt idx="1">
                  <c:v>14.999999999925002</c:v>
                </c:pt>
                <c:pt idx="2">
                  <c:v>0</c:v>
                </c:pt>
                <c:pt idx="3">
                  <c:v>0</c:v>
                </c:pt>
                <c:pt idx="4">
                  <c:v>4.9999999999750004</c:v>
                </c:pt>
                <c:pt idx="5">
                  <c:v>0</c:v>
                </c:pt>
                <c:pt idx="6">
                  <c:v>0</c:v>
                </c:pt>
                <c:pt idx="7">
                  <c:v>0</c:v>
                </c:pt>
                <c:pt idx="8">
                  <c:v>0</c:v>
                </c:pt>
                <c:pt idx="9">
                  <c:v>9.9999999999500009</c:v>
                </c:pt>
              </c:numCache>
            </c:numRef>
          </c:val>
          <c:extLst xmlns:c16r2="http://schemas.microsoft.com/office/drawing/2015/06/chart">
            <c:ext xmlns:c16="http://schemas.microsoft.com/office/drawing/2014/chart" uri="{C3380CC4-5D6E-409C-BE32-E72D297353CC}">
              <c16:uniqueId val="{00000001-2363-4005-A055-1890C3D61C3D}"/>
            </c:ext>
          </c:extLst>
        </c:ser>
        <c:ser>
          <c:idx val="2"/>
          <c:order val="2"/>
          <c:tx>
            <c:v>MCU</c:v>
          </c:tx>
          <c:invertIfNegative val="0"/>
          <c:cat>
            <c:numRef>
              <c:f>Hists!$B$70:$B$79</c:f>
              <c:numCache>
                <c:formatCode>General</c:formatCode>
                <c:ptCount val="10"/>
                <c:pt idx="0">
                  <c:v>100</c:v>
                </c:pt>
                <c:pt idx="1">
                  <c:v>200</c:v>
                </c:pt>
                <c:pt idx="2">
                  <c:v>300</c:v>
                </c:pt>
                <c:pt idx="3">
                  <c:v>400</c:v>
                </c:pt>
                <c:pt idx="4">
                  <c:v>500</c:v>
                </c:pt>
                <c:pt idx="5">
                  <c:v>600</c:v>
                </c:pt>
                <c:pt idx="6">
                  <c:v>700</c:v>
                </c:pt>
                <c:pt idx="7">
                  <c:v>800</c:v>
                </c:pt>
                <c:pt idx="8">
                  <c:v>900</c:v>
                </c:pt>
                <c:pt idx="9">
                  <c:v>1000</c:v>
                </c:pt>
              </c:numCache>
            </c:numRef>
          </c:cat>
          <c:val>
            <c:numRef>
              <c:f>Hists!$H$70:$H$79</c:f>
              <c:numCache>
                <c:formatCode>0.00</c:formatCode>
                <c:ptCount val="10"/>
                <c:pt idx="0">
                  <c:v>0</c:v>
                </c:pt>
                <c:pt idx="1">
                  <c:v>0</c:v>
                </c:pt>
                <c:pt idx="2">
                  <c:v>0</c:v>
                </c:pt>
                <c:pt idx="3">
                  <c:v>0</c:v>
                </c:pt>
                <c:pt idx="4">
                  <c:v>12.499999999921876</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2363-4005-A055-1890C3D61C3D}"/>
            </c:ext>
          </c:extLst>
        </c:ser>
        <c:ser>
          <c:idx val="3"/>
          <c:order val="3"/>
          <c:tx>
            <c:v>SensHub</c:v>
          </c:tx>
          <c:spPr>
            <a:solidFill>
              <a:schemeClr val="tx1"/>
            </a:solidFill>
          </c:spPr>
          <c:invertIfNegative val="0"/>
          <c:cat>
            <c:numRef>
              <c:f>Hists!$B$70:$B$79</c:f>
              <c:numCache>
                <c:formatCode>General</c:formatCode>
                <c:ptCount val="10"/>
                <c:pt idx="0">
                  <c:v>100</c:v>
                </c:pt>
                <c:pt idx="1">
                  <c:v>200</c:v>
                </c:pt>
                <c:pt idx="2">
                  <c:v>300</c:v>
                </c:pt>
                <c:pt idx="3">
                  <c:v>400</c:v>
                </c:pt>
                <c:pt idx="4">
                  <c:v>500</c:v>
                </c:pt>
                <c:pt idx="5">
                  <c:v>600</c:v>
                </c:pt>
                <c:pt idx="6">
                  <c:v>700</c:v>
                </c:pt>
                <c:pt idx="7">
                  <c:v>800</c:v>
                </c:pt>
                <c:pt idx="8">
                  <c:v>900</c:v>
                </c:pt>
                <c:pt idx="9">
                  <c:v>1000</c:v>
                </c:pt>
              </c:numCache>
            </c:numRef>
          </c:cat>
          <c:val>
            <c:numRef>
              <c:f>Hists!$J$70:$J$79</c:f>
              <c:numCache>
                <c:formatCode>0.00</c:formatCode>
                <c:ptCount val="10"/>
                <c:pt idx="0">
                  <c:v>0</c:v>
                </c:pt>
                <c:pt idx="1">
                  <c:v>0</c:v>
                </c:pt>
                <c:pt idx="2">
                  <c:v>0</c:v>
                </c:pt>
                <c:pt idx="3">
                  <c:v>0</c:v>
                </c:pt>
                <c:pt idx="4">
                  <c:v>49.999999997499998</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2363-4005-A055-1890C3D61C3D}"/>
            </c:ext>
          </c:extLst>
        </c:ser>
        <c:dLbls>
          <c:showLegendKey val="0"/>
          <c:showVal val="0"/>
          <c:showCatName val="0"/>
          <c:showSerName val="0"/>
          <c:showPercent val="0"/>
          <c:showBubbleSize val="0"/>
        </c:dLbls>
        <c:gapWidth val="150"/>
        <c:axId val="174721960"/>
        <c:axId val="174442016"/>
      </c:barChart>
      <c:catAx>
        <c:axId val="174721960"/>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RAM (kB)</a:t>
                </a:r>
              </a:p>
            </c:rich>
          </c:tx>
          <c:layout>
            <c:manualLayout>
              <c:xMode val="edge"/>
              <c:yMode val="edge"/>
              <c:x val="0.35767081319546473"/>
              <c:y val="0.94443636853085677"/>
            </c:manualLayout>
          </c:layout>
          <c:overlay val="0"/>
        </c:title>
        <c:numFmt formatCode="#,##0" sourceLinked="0"/>
        <c:majorTickMark val="out"/>
        <c:minorTickMark val="none"/>
        <c:tickLblPos val="nextTo"/>
        <c:txPr>
          <a:bodyPr rot="5400000" vert="horz"/>
          <a:lstStyle/>
          <a:p>
            <a:pPr>
              <a:defRPr/>
            </a:pPr>
            <a:endParaRPr lang="en-US"/>
          </a:p>
        </c:txPr>
        <c:crossAx val="174442016"/>
        <c:crosses val="autoZero"/>
        <c:auto val="1"/>
        <c:lblAlgn val="ctr"/>
        <c:lblOffset val="100"/>
        <c:noMultiLvlLbl val="0"/>
      </c:catAx>
      <c:valAx>
        <c:axId val="174442016"/>
        <c:scaling>
          <c:orientation val="minMax"/>
          <c:max val="55"/>
          <c:min val="0"/>
        </c:scaling>
        <c:delete val="1"/>
        <c:axPos val="l"/>
        <c:majorGridlines/>
        <c:minorGridlines/>
        <c:numFmt formatCode="0.00" sourceLinked="1"/>
        <c:majorTickMark val="out"/>
        <c:minorTickMark val="none"/>
        <c:tickLblPos val="nextTo"/>
        <c:crossAx val="174721960"/>
        <c:crosses val="autoZero"/>
        <c:crossBetween val="between"/>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4.4130509781321228E-2"/>
          <c:w val="0.84530602877202499"/>
          <c:h val="0.82585752473307728"/>
        </c:manualLayout>
      </c:layout>
      <c:barChart>
        <c:barDir val="col"/>
        <c:grouping val="clustered"/>
        <c:varyColors val="0"/>
        <c:ser>
          <c:idx val="0"/>
          <c:order val="0"/>
          <c:tx>
            <c:v>Mote</c:v>
          </c:tx>
          <c:invertIfNegative val="0"/>
          <c:cat>
            <c:numRef>
              <c:f>Hists!$B$1250:$B$1259</c:f>
              <c:numCache>
                <c:formatCode>General</c:formatCode>
                <c:ptCount val="10"/>
                <c:pt idx="0">
                  <c:v>0</c:v>
                </c:pt>
                <c:pt idx="1">
                  <c:v>100</c:v>
                </c:pt>
                <c:pt idx="2">
                  <c:v>200</c:v>
                </c:pt>
                <c:pt idx="3">
                  <c:v>300</c:v>
                </c:pt>
                <c:pt idx="4">
                  <c:v>400</c:v>
                </c:pt>
                <c:pt idx="5">
                  <c:v>500</c:v>
                </c:pt>
                <c:pt idx="6">
                  <c:v>600</c:v>
                </c:pt>
                <c:pt idx="7">
                  <c:v>700</c:v>
                </c:pt>
                <c:pt idx="8">
                  <c:v>800</c:v>
                </c:pt>
                <c:pt idx="9">
                  <c:v>900</c:v>
                </c:pt>
              </c:numCache>
            </c:numRef>
          </c:cat>
          <c:val>
            <c:numRef>
              <c:f>Hists!$F$1250:$F$1259</c:f>
              <c:numCache>
                <c:formatCode>0.00</c:formatCode>
                <c:ptCount val="10"/>
                <c:pt idx="0">
                  <c:v>19.999999991999999</c:v>
                </c:pt>
                <c:pt idx="1">
                  <c:v>7.9999999967999997</c:v>
                </c:pt>
                <c:pt idx="2">
                  <c:v>0</c:v>
                </c:pt>
                <c:pt idx="3">
                  <c:v>11.9999999952</c:v>
                </c:pt>
                <c:pt idx="4">
                  <c:v>7.9999999967999997</c:v>
                </c:pt>
                <c:pt idx="5">
                  <c:v>11.9999999952</c:v>
                </c:pt>
                <c:pt idx="6">
                  <c:v>3.9999999983999999</c:v>
                </c:pt>
                <c:pt idx="7">
                  <c:v>7.9999999967999997</c:v>
                </c:pt>
                <c:pt idx="8">
                  <c:v>0</c:v>
                </c:pt>
                <c:pt idx="9">
                  <c:v>0</c:v>
                </c:pt>
              </c:numCache>
            </c:numRef>
          </c:val>
          <c:extLst xmlns:c16r2="http://schemas.microsoft.com/office/drawing/2015/06/chart">
            <c:ext xmlns:c16="http://schemas.microsoft.com/office/drawing/2014/chart" uri="{C3380CC4-5D6E-409C-BE32-E72D297353CC}">
              <c16:uniqueId val="{00000001-7D74-4407-B254-14461754F5F0}"/>
            </c:ext>
          </c:extLst>
        </c:ser>
        <c:ser>
          <c:idx val="2"/>
          <c:order val="1"/>
          <c:tx>
            <c:v>MCU</c:v>
          </c:tx>
          <c:invertIfNegative val="0"/>
          <c:cat>
            <c:numRef>
              <c:f>Hists!$B$1250:$B$1259</c:f>
              <c:numCache>
                <c:formatCode>General</c:formatCode>
                <c:ptCount val="10"/>
                <c:pt idx="0">
                  <c:v>0</c:v>
                </c:pt>
                <c:pt idx="1">
                  <c:v>100</c:v>
                </c:pt>
                <c:pt idx="2">
                  <c:v>200</c:v>
                </c:pt>
                <c:pt idx="3">
                  <c:v>300</c:v>
                </c:pt>
                <c:pt idx="4">
                  <c:v>400</c:v>
                </c:pt>
                <c:pt idx="5">
                  <c:v>500</c:v>
                </c:pt>
                <c:pt idx="6">
                  <c:v>600</c:v>
                </c:pt>
                <c:pt idx="7">
                  <c:v>700</c:v>
                </c:pt>
                <c:pt idx="8">
                  <c:v>800</c:v>
                </c:pt>
                <c:pt idx="9">
                  <c:v>900</c:v>
                </c:pt>
              </c:numCache>
            </c:numRef>
          </c:cat>
          <c:val>
            <c:numRef>
              <c:f>Hists!$H$1250:$H$1259</c:f>
              <c:numCache>
                <c:formatCode>0.00</c:formatCode>
                <c:ptCount val="10"/>
                <c:pt idx="0">
                  <c:v>0</c:v>
                </c:pt>
                <c:pt idx="1">
                  <c:v>0</c:v>
                </c:pt>
                <c:pt idx="2">
                  <c:v>24.999999999791665</c:v>
                </c:pt>
                <c:pt idx="3">
                  <c:v>0</c:v>
                </c:pt>
                <c:pt idx="4">
                  <c:v>8.333333333263889</c:v>
                </c:pt>
                <c:pt idx="5">
                  <c:v>8.333333333263889</c:v>
                </c:pt>
                <c:pt idx="6">
                  <c:v>0</c:v>
                </c:pt>
                <c:pt idx="7">
                  <c:v>8.333333333263889</c:v>
                </c:pt>
                <c:pt idx="8">
                  <c:v>0</c:v>
                </c:pt>
                <c:pt idx="9">
                  <c:v>0</c:v>
                </c:pt>
              </c:numCache>
            </c:numRef>
          </c:val>
          <c:extLst xmlns:c16r2="http://schemas.microsoft.com/office/drawing/2015/06/chart">
            <c:ext xmlns:c16="http://schemas.microsoft.com/office/drawing/2014/chart" uri="{C3380CC4-5D6E-409C-BE32-E72D297353CC}">
              <c16:uniqueId val="{00000002-7D74-4407-B254-14461754F5F0}"/>
            </c:ext>
          </c:extLst>
        </c:ser>
        <c:ser>
          <c:idx val="3"/>
          <c:order val="2"/>
          <c:tx>
            <c:v>SensHub</c:v>
          </c:tx>
          <c:invertIfNegative val="0"/>
          <c:cat>
            <c:numRef>
              <c:f>Hists!$B$1250:$B$1259</c:f>
              <c:numCache>
                <c:formatCode>General</c:formatCode>
                <c:ptCount val="10"/>
                <c:pt idx="0">
                  <c:v>0</c:v>
                </c:pt>
                <c:pt idx="1">
                  <c:v>100</c:v>
                </c:pt>
                <c:pt idx="2">
                  <c:v>200</c:v>
                </c:pt>
                <c:pt idx="3">
                  <c:v>300</c:v>
                </c:pt>
                <c:pt idx="4">
                  <c:v>400</c:v>
                </c:pt>
                <c:pt idx="5">
                  <c:v>500</c:v>
                </c:pt>
                <c:pt idx="6">
                  <c:v>600</c:v>
                </c:pt>
                <c:pt idx="7">
                  <c:v>700</c:v>
                </c:pt>
                <c:pt idx="8">
                  <c:v>800</c:v>
                </c:pt>
                <c:pt idx="9">
                  <c:v>900</c:v>
                </c:pt>
              </c:numCache>
            </c:numRef>
          </c:cat>
          <c:val>
            <c:numRef>
              <c:f>Hists!$J$1250:$J$1259</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7D74-4407-B254-14461754F5F0}"/>
            </c:ext>
          </c:extLst>
        </c:ser>
        <c:dLbls>
          <c:showLegendKey val="0"/>
          <c:showVal val="0"/>
          <c:showCatName val="0"/>
          <c:showSerName val="0"/>
          <c:showPercent val="0"/>
          <c:showBubbleSize val="0"/>
        </c:dLbls>
        <c:gapWidth val="150"/>
        <c:axId val="217411696"/>
        <c:axId val="217412088"/>
      </c:barChart>
      <c:catAx>
        <c:axId val="217411696"/>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Lifetime (h)</a:t>
                </a:r>
              </a:p>
            </c:rich>
          </c:tx>
          <c:layout>
            <c:manualLayout>
              <c:xMode val="edge"/>
              <c:yMode val="edge"/>
              <c:x val="0.3470875956827712"/>
              <c:y val="0.96004023334674859"/>
            </c:manualLayout>
          </c:layout>
          <c:overlay val="0"/>
        </c:title>
        <c:numFmt formatCode="#,##0" sourceLinked="0"/>
        <c:majorTickMark val="out"/>
        <c:minorTickMark val="none"/>
        <c:tickLblPos val="nextTo"/>
        <c:txPr>
          <a:bodyPr rot="5400000" vert="horz"/>
          <a:lstStyle/>
          <a:p>
            <a:pPr>
              <a:defRPr/>
            </a:pPr>
            <a:endParaRPr lang="en-US"/>
          </a:p>
        </c:txPr>
        <c:crossAx val="217412088"/>
        <c:crosses val="autoZero"/>
        <c:auto val="1"/>
        <c:lblAlgn val="ctr"/>
        <c:lblOffset val="100"/>
        <c:noMultiLvlLbl val="0"/>
      </c:catAx>
      <c:valAx>
        <c:axId val="217412088"/>
        <c:scaling>
          <c:orientation val="minMax"/>
          <c:max val="35"/>
        </c:scaling>
        <c:delete val="0"/>
        <c:axPos val="l"/>
        <c:majorGridlines/>
        <c:minorGridlines/>
        <c:numFmt formatCode="0" sourceLinked="0"/>
        <c:majorTickMark val="out"/>
        <c:minorTickMark val="none"/>
        <c:tickLblPos val="nextTo"/>
        <c:crossAx val="2174116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4.6774700961756878E-2"/>
          <c:w val="0.90135907573862029"/>
          <c:h val="0.82056914237220602"/>
        </c:manualLayout>
      </c:layout>
      <c:barChart>
        <c:barDir val="col"/>
        <c:grouping val="clustered"/>
        <c:varyColors val="0"/>
        <c:ser>
          <c:idx val="1"/>
          <c:order val="0"/>
          <c:tx>
            <c:strRef>
              <c:f>Hists!$C$1248</c:f>
              <c:strCache>
                <c:ptCount val="1"/>
                <c:pt idx="0">
                  <c:v>Wearable</c:v>
                </c:pt>
              </c:strCache>
            </c:strRef>
          </c:tx>
          <c:invertIfNegative val="0"/>
          <c:cat>
            <c:numRef>
              <c:f>Hists!$B$1260:$B$1268</c:f>
              <c:numCache>
                <c:formatCode>General</c:formatCode>
                <c:ptCount val="9"/>
                <c:pt idx="0">
                  <c:v>1000</c:v>
                </c:pt>
                <c:pt idx="1">
                  <c:v>2000</c:v>
                </c:pt>
                <c:pt idx="2">
                  <c:v>3000</c:v>
                </c:pt>
                <c:pt idx="3">
                  <c:v>4000</c:v>
                </c:pt>
                <c:pt idx="4">
                  <c:v>5000</c:v>
                </c:pt>
                <c:pt idx="5">
                  <c:v>6000</c:v>
                </c:pt>
                <c:pt idx="6">
                  <c:v>7000</c:v>
                </c:pt>
                <c:pt idx="7">
                  <c:v>8000</c:v>
                </c:pt>
                <c:pt idx="8">
                  <c:v>9000</c:v>
                </c:pt>
              </c:numCache>
            </c:numRef>
          </c:cat>
          <c:val>
            <c:numRef>
              <c:f>Hists!$D$1260:$D$1268</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B333-4D84-8807-C848BF83088B}"/>
            </c:ext>
          </c:extLst>
        </c:ser>
        <c:ser>
          <c:idx val="0"/>
          <c:order val="1"/>
          <c:tx>
            <c:strRef>
              <c:f>Hists!$E$1248</c:f>
              <c:strCache>
                <c:ptCount val="1"/>
                <c:pt idx="0">
                  <c:v>Mote (on PCB)</c:v>
                </c:pt>
              </c:strCache>
            </c:strRef>
          </c:tx>
          <c:invertIfNegative val="0"/>
          <c:cat>
            <c:numRef>
              <c:f>Hists!$B$1260:$B$1268</c:f>
              <c:numCache>
                <c:formatCode>General</c:formatCode>
                <c:ptCount val="9"/>
                <c:pt idx="0">
                  <c:v>1000</c:v>
                </c:pt>
                <c:pt idx="1">
                  <c:v>2000</c:v>
                </c:pt>
                <c:pt idx="2">
                  <c:v>3000</c:v>
                </c:pt>
                <c:pt idx="3">
                  <c:v>4000</c:v>
                </c:pt>
                <c:pt idx="4">
                  <c:v>5000</c:v>
                </c:pt>
                <c:pt idx="5">
                  <c:v>6000</c:v>
                </c:pt>
                <c:pt idx="6">
                  <c:v>7000</c:v>
                </c:pt>
                <c:pt idx="7">
                  <c:v>8000</c:v>
                </c:pt>
                <c:pt idx="8">
                  <c:v>9000</c:v>
                </c:pt>
              </c:numCache>
            </c:numRef>
          </c:cat>
          <c:val>
            <c:numRef>
              <c:f>Hists!$F$1260:$F$1268</c:f>
              <c:numCache>
                <c:formatCode>0.00</c:formatCode>
                <c:ptCount val="9"/>
                <c:pt idx="0">
                  <c:v>0</c:v>
                </c:pt>
                <c:pt idx="1">
                  <c:v>7.9999999967999997</c:v>
                </c:pt>
                <c:pt idx="2">
                  <c:v>7.9999999967999997</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B333-4D84-8807-C848BF83088B}"/>
            </c:ext>
          </c:extLst>
        </c:ser>
        <c:ser>
          <c:idx val="2"/>
          <c:order val="2"/>
          <c:tx>
            <c:v>MCU</c:v>
          </c:tx>
          <c:invertIfNegative val="0"/>
          <c:cat>
            <c:numRef>
              <c:f>Hists!$B$1260:$B$1268</c:f>
              <c:numCache>
                <c:formatCode>General</c:formatCode>
                <c:ptCount val="9"/>
                <c:pt idx="0">
                  <c:v>1000</c:v>
                </c:pt>
                <c:pt idx="1">
                  <c:v>2000</c:v>
                </c:pt>
                <c:pt idx="2">
                  <c:v>3000</c:v>
                </c:pt>
                <c:pt idx="3">
                  <c:v>4000</c:v>
                </c:pt>
                <c:pt idx="4">
                  <c:v>5000</c:v>
                </c:pt>
                <c:pt idx="5">
                  <c:v>6000</c:v>
                </c:pt>
                <c:pt idx="6">
                  <c:v>7000</c:v>
                </c:pt>
                <c:pt idx="7">
                  <c:v>8000</c:v>
                </c:pt>
                <c:pt idx="8">
                  <c:v>9000</c:v>
                </c:pt>
              </c:numCache>
            </c:numRef>
          </c:cat>
          <c:val>
            <c:numRef>
              <c:f>Hists!$H$1260:$H$1268</c:f>
              <c:numCache>
                <c:formatCode>0.00</c:formatCode>
                <c:ptCount val="9"/>
                <c:pt idx="0">
                  <c:v>8.333333333263889</c:v>
                </c:pt>
                <c:pt idx="1">
                  <c:v>8.333333333263889</c:v>
                </c:pt>
                <c:pt idx="2">
                  <c:v>8.333333333263889</c:v>
                </c:pt>
                <c:pt idx="3">
                  <c:v>24.999999999791665</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B333-4D84-8807-C848BF83088B}"/>
            </c:ext>
          </c:extLst>
        </c:ser>
        <c:ser>
          <c:idx val="3"/>
          <c:order val="3"/>
          <c:tx>
            <c:v>SensHub</c:v>
          </c:tx>
          <c:invertIfNegative val="0"/>
          <c:cat>
            <c:numRef>
              <c:f>Hists!$B$1260:$B$1268</c:f>
              <c:numCache>
                <c:formatCode>General</c:formatCode>
                <c:ptCount val="9"/>
                <c:pt idx="0">
                  <c:v>1000</c:v>
                </c:pt>
                <c:pt idx="1">
                  <c:v>2000</c:v>
                </c:pt>
                <c:pt idx="2">
                  <c:v>3000</c:v>
                </c:pt>
                <c:pt idx="3">
                  <c:v>4000</c:v>
                </c:pt>
                <c:pt idx="4">
                  <c:v>5000</c:v>
                </c:pt>
                <c:pt idx="5">
                  <c:v>6000</c:v>
                </c:pt>
                <c:pt idx="6">
                  <c:v>7000</c:v>
                </c:pt>
                <c:pt idx="7">
                  <c:v>8000</c:v>
                </c:pt>
                <c:pt idx="8">
                  <c:v>9000</c:v>
                </c:pt>
              </c:numCache>
            </c:numRef>
          </c:cat>
          <c:val>
            <c:numRef>
              <c:f>Hists!$J$1260:$J$1268</c:f>
              <c:numCache>
                <c:formatCode>0.00</c:formatCode>
                <c:ptCount val="9"/>
                <c:pt idx="0">
                  <c:v>0</c:v>
                </c:pt>
                <c:pt idx="1">
                  <c:v>0</c:v>
                </c:pt>
                <c:pt idx="2">
                  <c:v>7.6923076922485203</c:v>
                </c:pt>
                <c:pt idx="3">
                  <c:v>23.076923076745562</c:v>
                </c:pt>
                <c:pt idx="4">
                  <c:v>23.076923076745562</c:v>
                </c:pt>
                <c:pt idx="5">
                  <c:v>0</c:v>
                </c:pt>
                <c:pt idx="6">
                  <c:v>0</c:v>
                </c:pt>
                <c:pt idx="7">
                  <c:v>7.6923076922485203</c:v>
                </c:pt>
                <c:pt idx="8">
                  <c:v>0</c:v>
                </c:pt>
              </c:numCache>
            </c:numRef>
          </c:val>
          <c:extLst xmlns:c16r2="http://schemas.microsoft.com/office/drawing/2015/06/chart">
            <c:ext xmlns:c16="http://schemas.microsoft.com/office/drawing/2014/chart" uri="{C3380CC4-5D6E-409C-BE32-E72D297353CC}">
              <c16:uniqueId val="{00000003-B333-4D84-8807-C848BF83088B}"/>
            </c:ext>
          </c:extLst>
        </c:ser>
        <c:dLbls>
          <c:showLegendKey val="0"/>
          <c:showVal val="0"/>
          <c:showCatName val="0"/>
          <c:showSerName val="0"/>
          <c:showPercent val="0"/>
          <c:showBubbleSize val="0"/>
        </c:dLbls>
        <c:gapWidth val="150"/>
        <c:axId val="217412872"/>
        <c:axId val="217413264"/>
      </c:barChart>
      <c:catAx>
        <c:axId val="217412872"/>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Lifetime (h)</a:t>
                </a:r>
              </a:p>
            </c:rich>
          </c:tx>
          <c:layout>
            <c:manualLayout>
              <c:xMode val="edge"/>
              <c:yMode val="edge"/>
              <c:x val="0.34781576514000179"/>
              <c:y val="0.96153430546570973"/>
            </c:manualLayout>
          </c:layout>
          <c:overlay val="0"/>
        </c:title>
        <c:numFmt formatCode="#,##0" sourceLinked="0"/>
        <c:majorTickMark val="out"/>
        <c:minorTickMark val="none"/>
        <c:tickLblPos val="nextTo"/>
        <c:txPr>
          <a:bodyPr rot="5400000" vert="horz"/>
          <a:lstStyle/>
          <a:p>
            <a:pPr>
              <a:defRPr/>
            </a:pPr>
            <a:endParaRPr lang="en-US"/>
          </a:p>
        </c:txPr>
        <c:crossAx val="217413264"/>
        <c:crosses val="autoZero"/>
        <c:auto val="1"/>
        <c:lblAlgn val="ctr"/>
        <c:lblOffset val="100"/>
        <c:noMultiLvlLbl val="0"/>
      </c:catAx>
      <c:valAx>
        <c:axId val="217413264"/>
        <c:scaling>
          <c:orientation val="minMax"/>
          <c:max val="35"/>
        </c:scaling>
        <c:delete val="1"/>
        <c:axPos val="l"/>
        <c:majorGridlines/>
        <c:minorGridlines/>
        <c:numFmt formatCode="0.00" sourceLinked="1"/>
        <c:majorTickMark val="out"/>
        <c:minorTickMark val="none"/>
        <c:tickLblPos val="nextTo"/>
        <c:crossAx val="217412872"/>
        <c:crosses val="autoZero"/>
        <c:crossBetween val="between"/>
      </c:valAx>
    </c:plotArea>
    <c:legend>
      <c:legendPos val="t"/>
      <c:layout>
        <c:manualLayout>
          <c:xMode val="edge"/>
          <c:yMode val="edge"/>
          <c:x val="0.55957311411790478"/>
          <c:y val="6.8748970691326905E-2"/>
          <c:w val="0.3955222563096793"/>
          <c:h val="0.26199416570667261"/>
        </c:manualLayout>
      </c:layout>
      <c:overlay val="0"/>
      <c:spPr>
        <a:solidFill>
          <a:schemeClr val="bg1"/>
        </a:solidFill>
      </c:spPr>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5.2063083322628177E-2"/>
          <c:w val="0.89973919125579416"/>
          <c:h val="0.81528076001133454"/>
        </c:manualLayout>
      </c:layout>
      <c:barChart>
        <c:barDir val="col"/>
        <c:grouping val="clustered"/>
        <c:varyColors val="0"/>
        <c:ser>
          <c:idx val="0"/>
          <c:order val="0"/>
          <c:tx>
            <c:v>Mote</c:v>
          </c:tx>
          <c:invertIfNegative val="0"/>
          <c:cat>
            <c:numRef>
              <c:f>Hists!$B$1269:$B$1278</c:f>
              <c:numCache>
                <c:formatCode>General</c:formatCode>
                <c:ptCount val="10"/>
                <c:pt idx="0">
                  <c:v>10000</c:v>
                </c:pt>
                <c:pt idx="1">
                  <c:v>20000</c:v>
                </c:pt>
                <c:pt idx="2">
                  <c:v>30000</c:v>
                </c:pt>
                <c:pt idx="3">
                  <c:v>40000</c:v>
                </c:pt>
                <c:pt idx="4">
                  <c:v>50000</c:v>
                </c:pt>
                <c:pt idx="5">
                  <c:v>60000</c:v>
                </c:pt>
                <c:pt idx="6">
                  <c:v>70000</c:v>
                </c:pt>
                <c:pt idx="7">
                  <c:v>80000</c:v>
                </c:pt>
                <c:pt idx="8">
                  <c:v>90000</c:v>
                </c:pt>
                <c:pt idx="9">
                  <c:v>100000</c:v>
                </c:pt>
              </c:numCache>
            </c:numRef>
          </c:cat>
          <c:val>
            <c:numRef>
              <c:f>Hists!$F$1269:$F$1278</c:f>
              <c:numCache>
                <c:formatCode>0.00</c:formatCode>
                <c:ptCount val="10"/>
                <c:pt idx="0">
                  <c:v>0</c:v>
                </c:pt>
                <c:pt idx="1">
                  <c:v>0</c:v>
                </c:pt>
                <c:pt idx="2">
                  <c:v>0</c:v>
                </c:pt>
                <c:pt idx="3">
                  <c:v>3.9999999983999999</c:v>
                </c:pt>
                <c:pt idx="4">
                  <c:v>0</c:v>
                </c:pt>
                <c:pt idx="5">
                  <c:v>0</c:v>
                </c:pt>
                <c:pt idx="6">
                  <c:v>0</c:v>
                </c:pt>
                <c:pt idx="7">
                  <c:v>0</c:v>
                </c:pt>
                <c:pt idx="8">
                  <c:v>0</c:v>
                </c:pt>
                <c:pt idx="9">
                  <c:v>7.9999999967999997</c:v>
                </c:pt>
              </c:numCache>
            </c:numRef>
          </c:val>
          <c:extLst xmlns:c16r2="http://schemas.microsoft.com/office/drawing/2015/06/chart">
            <c:ext xmlns:c16="http://schemas.microsoft.com/office/drawing/2014/chart" uri="{C3380CC4-5D6E-409C-BE32-E72D297353CC}">
              <c16:uniqueId val="{00000001-2861-4661-A75B-6C9EAF3C32B6}"/>
            </c:ext>
          </c:extLst>
        </c:ser>
        <c:ser>
          <c:idx val="2"/>
          <c:order val="1"/>
          <c:tx>
            <c:v>MCU</c:v>
          </c:tx>
          <c:invertIfNegative val="0"/>
          <c:cat>
            <c:numRef>
              <c:f>Hists!$B$1269:$B$1278</c:f>
              <c:numCache>
                <c:formatCode>General</c:formatCode>
                <c:ptCount val="10"/>
                <c:pt idx="0">
                  <c:v>10000</c:v>
                </c:pt>
                <c:pt idx="1">
                  <c:v>20000</c:v>
                </c:pt>
                <c:pt idx="2">
                  <c:v>30000</c:v>
                </c:pt>
                <c:pt idx="3">
                  <c:v>40000</c:v>
                </c:pt>
                <c:pt idx="4">
                  <c:v>50000</c:v>
                </c:pt>
                <c:pt idx="5">
                  <c:v>60000</c:v>
                </c:pt>
                <c:pt idx="6">
                  <c:v>70000</c:v>
                </c:pt>
                <c:pt idx="7">
                  <c:v>80000</c:v>
                </c:pt>
                <c:pt idx="8">
                  <c:v>90000</c:v>
                </c:pt>
                <c:pt idx="9">
                  <c:v>100000</c:v>
                </c:pt>
              </c:numCache>
            </c:numRef>
          </c:cat>
          <c:val>
            <c:numRef>
              <c:f>Hists!$H$1269:$H$1278</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2861-4661-A75B-6C9EAF3C32B6}"/>
            </c:ext>
          </c:extLst>
        </c:ser>
        <c:ser>
          <c:idx val="3"/>
          <c:order val="2"/>
          <c:tx>
            <c:v>SensHub</c:v>
          </c:tx>
          <c:invertIfNegative val="0"/>
          <c:cat>
            <c:numRef>
              <c:f>Hists!$B$1269:$B$1278</c:f>
              <c:numCache>
                <c:formatCode>General</c:formatCode>
                <c:ptCount val="10"/>
                <c:pt idx="0">
                  <c:v>10000</c:v>
                </c:pt>
                <c:pt idx="1">
                  <c:v>20000</c:v>
                </c:pt>
                <c:pt idx="2">
                  <c:v>30000</c:v>
                </c:pt>
                <c:pt idx="3">
                  <c:v>40000</c:v>
                </c:pt>
                <c:pt idx="4">
                  <c:v>50000</c:v>
                </c:pt>
                <c:pt idx="5">
                  <c:v>60000</c:v>
                </c:pt>
                <c:pt idx="6">
                  <c:v>70000</c:v>
                </c:pt>
                <c:pt idx="7">
                  <c:v>80000</c:v>
                </c:pt>
                <c:pt idx="8">
                  <c:v>90000</c:v>
                </c:pt>
                <c:pt idx="9">
                  <c:v>100000</c:v>
                </c:pt>
              </c:numCache>
            </c:numRef>
          </c:cat>
          <c:val>
            <c:numRef>
              <c:f>Hists!$J$1269:$J$1278</c:f>
              <c:numCache>
                <c:formatCode>0.00</c:formatCode>
                <c:ptCount val="10"/>
                <c:pt idx="0">
                  <c:v>7.6923076922485203</c:v>
                </c:pt>
                <c:pt idx="1">
                  <c:v>0</c:v>
                </c:pt>
                <c:pt idx="2">
                  <c:v>0</c:v>
                </c:pt>
                <c:pt idx="3">
                  <c:v>0</c:v>
                </c:pt>
                <c:pt idx="4">
                  <c:v>0</c:v>
                </c:pt>
                <c:pt idx="5">
                  <c:v>0</c:v>
                </c:pt>
                <c:pt idx="6">
                  <c:v>0</c:v>
                </c:pt>
                <c:pt idx="7">
                  <c:v>0</c:v>
                </c:pt>
                <c:pt idx="8">
                  <c:v>0</c:v>
                </c:pt>
                <c:pt idx="9">
                  <c:v>30.769230768994081</c:v>
                </c:pt>
              </c:numCache>
            </c:numRef>
          </c:val>
          <c:extLst xmlns:c16r2="http://schemas.microsoft.com/office/drawing/2015/06/chart">
            <c:ext xmlns:c16="http://schemas.microsoft.com/office/drawing/2014/chart" uri="{C3380CC4-5D6E-409C-BE32-E72D297353CC}">
              <c16:uniqueId val="{00000003-2861-4661-A75B-6C9EAF3C32B6}"/>
            </c:ext>
          </c:extLst>
        </c:ser>
        <c:dLbls>
          <c:showLegendKey val="0"/>
          <c:showVal val="0"/>
          <c:showCatName val="0"/>
          <c:showSerName val="0"/>
          <c:showPercent val="0"/>
          <c:showBubbleSize val="0"/>
        </c:dLbls>
        <c:gapWidth val="150"/>
        <c:axId val="217414048"/>
        <c:axId val="217414440"/>
      </c:barChart>
      <c:catAx>
        <c:axId val="217414048"/>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Lifetime (h)</a:t>
                </a:r>
              </a:p>
            </c:rich>
          </c:tx>
          <c:layout>
            <c:manualLayout>
              <c:xMode val="edge"/>
              <c:yMode val="edge"/>
              <c:x val="0.34931300605787585"/>
              <c:y val="0.95926030105053506"/>
            </c:manualLayout>
          </c:layout>
          <c:overlay val="0"/>
        </c:title>
        <c:numFmt formatCode="#,##0" sourceLinked="0"/>
        <c:majorTickMark val="out"/>
        <c:minorTickMark val="none"/>
        <c:tickLblPos val="nextTo"/>
        <c:txPr>
          <a:bodyPr rot="5400000" vert="horz"/>
          <a:lstStyle/>
          <a:p>
            <a:pPr>
              <a:defRPr/>
            </a:pPr>
            <a:endParaRPr lang="en-US"/>
          </a:p>
        </c:txPr>
        <c:crossAx val="217414440"/>
        <c:crosses val="autoZero"/>
        <c:auto val="1"/>
        <c:lblAlgn val="ctr"/>
        <c:lblOffset val="100"/>
        <c:noMultiLvlLbl val="0"/>
      </c:catAx>
      <c:valAx>
        <c:axId val="217414440"/>
        <c:scaling>
          <c:orientation val="minMax"/>
          <c:max val="35"/>
        </c:scaling>
        <c:delete val="1"/>
        <c:axPos val="l"/>
        <c:majorGridlines/>
        <c:minorGridlines/>
        <c:numFmt formatCode="0.00" sourceLinked="1"/>
        <c:majorTickMark val="out"/>
        <c:minorTickMark val="none"/>
        <c:tickLblPos val="nextTo"/>
        <c:crossAx val="217414048"/>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707803245516752E-2"/>
          <c:y val="4.4770486110381931E-2"/>
          <c:w val="0.93684093962956394"/>
          <c:h val="0.84976677385034005"/>
        </c:manualLayout>
      </c:layout>
      <c:barChart>
        <c:barDir val="col"/>
        <c:grouping val="clustered"/>
        <c:varyColors val="0"/>
        <c:ser>
          <c:idx val="1"/>
          <c:order val="0"/>
          <c:tx>
            <c:v>Wearable</c:v>
          </c:tx>
          <c:invertIfNegative val="0"/>
          <c:cat>
            <c:numRef>
              <c:f>Hists!$B$1450:$B$1478</c:f>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f>Hists!$D$1450:$D$1478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F651-4A90-BA40-543008E40934}"/>
            </c:ext>
          </c:extLst>
        </c:ser>
        <c:ser>
          <c:idx val="2"/>
          <c:order val="1"/>
          <c:tx>
            <c:strRef>
              <c:f>Hists!$E$1448</c:f>
              <c:strCache>
                <c:ptCount val="1"/>
                <c:pt idx="0">
                  <c:v>Mote (on PCB)</c:v>
                </c:pt>
              </c:strCache>
            </c:strRef>
          </c:tx>
          <c:invertIfNegative val="0"/>
          <c:cat>
            <c:numRef>
              <c:f>Hists!$B$1450:$B$1478</c:f>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f>Hists!$F$1450:$F$1478</c:f>
              <c:numCache>
                <c:formatCode>0.00</c:formatCode>
                <c:ptCount val="29"/>
                <c:pt idx="0">
                  <c:v>9.9999999999</c:v>
                </c:pt>
                <c:pt idx="1">
                  <c:v>0</c:v>
                </c:pt>
                <c:pt idx="2">
                  <c:v>39.9999999996</c:v>
                </c:pt>
                <c:pt idx="3">
                  <c:v>0</c:v>
                </c:pt>
                <c:pt idx="4">
                  <c:v>0</c:v>
                </c:pt>
                <c:pt idx="5">
                  <c:v>0</c:v>
                </c:pt>
                <c:pt idx="6">
                  <c:v>0</c:v>
                </c:pt>
                <c:pt idx="7">
                  <c:v>0</c:v>
                </c:pt>
                <c:pt idx="8">
                  <c:v>0</c:v>
                </c:pt>
                <c:pt idx="9">
                  <c:v>49.999999999499998</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F651-4A90-BA40-543008E40934}"/>
            </c:ext>
          </c:extLst>
        </c:ser>
        <c:ser>
          <c:idx val="3"/>
          <c:order val="2"/>
          <c:tx>
            <c:v>MCU</c:v>
          </c:tx>
          <c:invertIfNegative val="0"/>
          <c:cat>
            <c:numRef>
              <c:f>Hists!$B$1450:$B$1478</c:f>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f>Hists!$H$1450:$H$1478</c:f>
              <c:numCache>
                <c:formatCode>0.00</c:formatCode>
                <c:ptCount val="29"/>
                <c:pt idx="0">
                  <c:v>0</c:v>
                </c:pt>
                <c:pt idx="1">
                  <c:v>0</c:v>
                </c:pt>
                <c:pt idx="2">
                  <c:v>0</c:v>
                </c:pt>
                <c:pt idx="3">
                  <c:v>12.49999999984375</c:v>
                </c:pt>
                <c:pt idx="4">
                  <c:v>12.49999999984375</c:v>
                </c:pt>
                <c:pt idx="5">
                  <c:v>37.499999999531248</c:v>
                </c:pt>
                <c:pt idx="6">
                  <c:v>0</c:v>
                </c:pt>
                <c:pt idx="7">
                  <c:v>0</c:v>
                </c:pt>
                <c:pt idx="8">
                  <c:v>24.9999999996875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12.49999999984375</c:v>
                </c:pt>
                <c:pt idx="28">
                  <c:v>0</c:v>
                </c:pt>
              </c:numCache>
            </c:numRef>
          </c:val>
          <c:extLst xmlns:c16r2="http://schemas.microsoft.com/office/drawing/2015/06/chart">
            <c:ext xmlns:c16="http://schemas.microsoft.com/office/drawing/2014/chart" uri="{C3380CC4-5D6E-409C-BE32-E72D297353CC}">
              <c16:uniqueId val="{00000002-F651-4A90-BA40-543008E40934}"/>
            </c:ext>
          </c:extLst>
        </c:ser>
        <c:ser>
          <c:idx val="4"/>
          <c:order val="3"/>
          <c:tx>
            <c:v>SensHub</c:v>
          </c:tx>
          <c:invertIfNegative val="0"/>
          <c:cat>
            <c:numRef>
              <c:f>Hists!$B$1450:$B$1478</c:f>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f>Hists!$J$1450:$J$1478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F651-4A90-BA40-543008E40934}"/>
            </c:ext>
          </c:extLst>
        </c:ser>
        <c:dLbls>
          <c:showLegendKey val="0"/>
          <c:showVal val="0"/>
          <c:showCatName val="0"/>
          <c:showSerName val="0"/>
          <c:showPercent val="0"/>
          <c:showBubbleSize val="0"/>
        </c:dLbls>
        <c:gapWidth val="150"/>
        <c:axId val="217661128"/>
        <c:axId val="217661520"/>
        <c:extLst xmlns:c16r2="http://schemas.microsoft.com/office/drawing/2015/06/chart"/>
      </c:barChart>
      <c:catAx>
        <c:axId val="217661128"/>
        <c:scaling>
          <c:orientation val="minMax"/>
        </c:scaling>
        <c:delete val="0"/>
        <c:axPos val="b"/>
        <c:title>
          <c:tx>
            <c:rich>
              <a:bodyPr/>
              <a:lstStyle/>
              <a:p>
                <a:pPr>
                  <a:defRPr/>
                </a:pPr>
                <a:r>
                  <a:rPr lang="en-US"/>
                  <a:t>Sensitivity (dBm)</a:t>
                </a:r>
              </a:p>
            </c:rich>
          </c:tx>
          <c:layout>
            <c:manualLayout>
              <c:xMode val="edge"/>
              <c:yMode val="edge"/>
              <c:x val="0.42324848549629501"/>
              <c:y val="0.96339457687394681"/>
            </c:manualLayout>
          </c:layout>
          <c:overlay val="0"/>
        </c:title>
        <c:numFmt formatCode="#,##0;\-#,##0" sourceLinked="0"/>
        <c:majorTickMark val="out"/>
        <c:minorTickMark val="none"/>
        <c:tickLblPos val="nextTo"/>
        <c:txPr>
          <a:bodyPr/>
          <a:lstStyle/>
          <a:p>
            <a:pPr>
              <a:defRPr>
                <a:latin typeface="+mn-lt"/>
              </a:defRPr>
            </a:pPr>
            <a:endParaRPr lang="en-US"/>
          </a:p>
        </c:txPr>
        <c:crossAx val="217661520"/>
        <c:crosses val="autoZero"/>
        <c:auto val="1"/>
        <c:lblAlgn val="ctr"/>
        <c:lblOffset val="100"/>
        <c:noMultiLvlLbl val="0"/>
      </c:catAx>
      <c:valAx>
        <c:axId val="217661520"/>
        <c:scaling>
          <c:orientation val="minMax"/>
          <c:max val="55"/>
          <c:min val="0"/>
        </c:scaling>
        <c:delete val="0"/>
        <c:axPos val="l"/>
        <c:majorGridlines/>
        <c:minorGridlines/>
        <c:numFmt formatCode="0" sourceLinked="0"/>
        <c:majorTickMark val="out"/>
        <c:minorTickMark val="none"/>
        <c:tickLblPos val="nextTo"/>
        <c:crossAx val="217661128"/>
        <c:crosses val="autoZero"/>
        <c:crossBetween val="between"/>
      </c:valAx>
    </c:plotArea>
    <c:legend>
      <c:legendPos val="r"/>
      <c:layout>
        <c:manualLayout>
          <c:xMode val="edge"/>
          <c:yMode val="edge"/>
          <c:x val="0.56533604120235459"/>
          <c:y val="0.39828504572479168"/>
          <c:w val="0.226929117960564"/>
          <c:h val="0.23735192244287903"/>
        </c:manualLayout>
      </c:layout>
      <c:overlay val="0"/>
      <c:spPr>
        <a:solidFill>
          <a:schemeClr val="bg1"/>
        </a:solidFill>
      </c:spPr>
    </c:legend>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11291235381905E-2"/>
          <c:y val="7.6322900822849926E-2"/>
          <c:w val="0.93688628396202811"/>
          <c:h val="0.83537706528171451"/>
        </c:manualLayout>
      </c:layout>
      <c:barChart>
        <c:barDir val="col"/>
        <c:grouping val="clustered"/>
        <c:varyColors val="0"/>
        <c:ser>
          <c:idx val="1"/>
          <c:order val="0"/>
          <c:tx>
            <c:v>Wearable</c:v>
          </c:tx>
          <c:invertIfNegative val="0"/>
          <c:cat>
            <c:numRef>
              <c:f>Hists!$B$1500:$B$1518</c:f>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f>Hists!$D$1500:$D$1518</c:f>
              <c:numCache>
                <c:formatCode>0.00</c:formatCode>
                <c:ptCount val="19"/>
                <c:pt idx="0">
                  <c:v>0</c:v>
                </c:pt>
                <c:pt idx="1">
                  <c:v>0</c:v>
                </c:pt>
                <c:pt idx="2">
                  <c:v>0</c:v>
                </c:pt>
                <c:pt idx="3">
                  <c:v>0</c:v>
                </c:pt>
                <c:pt idx="4">
                  <c:v>59.9999999988</c:v>
                </c:pt>
                <c:pt idx="5">
                  <c:v>0</c:v>
                </c:pt>
                <c:pt idx="6">
                  <c:v>0</c:v>
                </c:pt>
                <c:pt idx="7">
                  <c:v>0</c:v>
                </c:pt>
                <c:pt idx="8">
                  <c:v>0</c:v>
                </c:pt>
                <c:pt idx="9">
                  <c:v>0</c:v>
                </c:pt>
                <c:pt idx="10">
                  <c:v>0</c:v>
                </c:pt>
                <c:pt idx="11">
                  <c:v>0</c:v>
                </c:pt>
                <c:pt idx="12">
                  <c:v>0</c:v>
                </c:pt>
                <c:pt idx="13">
                  <c:v>0</c:v>
                </c:pt>
                <c:pt idx="14">
                  <c:v>0</c:v>
                </c:pt>
                <c:pt idx="15">
                  <c:v>0</c:v>
                </c:pt>
                <c:pt idx="16">
                  <c:v>39.9999999992</c:v>
                </c:pt>
                <c:pt idx="17">
                  <c:v>0</c:v>
                </c:pt>
                <c:pt idx="18">
                  <c:v>0</c:v>
                </c:pt>
              </c:numCache>
            </c:numRef>
          </c:val>
          <c:extLst xmlns:c16r2="http://schemas.microsoft.com/office/drawing/2015/06/chart">
            <c:ext xmlns:c16="http://schemas.microsoft.com/office/drawing/2014/chart" uri="{C3380CC4-5D6E-409C-BE32-E72D297353CC}">
              <c16:uniqueId val="{00000000-28A6-442C-B3A7-25B2986FA63C}"/>
            </c:ext>
          </c:extLst>
        </c:ser>
        <c:ser>
          <c:idx val="2"/>
          <c:order val="1"/>
          <c:tx>
            <c:strRef>
              <c:f>Hists!$E$1498</c:f>
              <c:strCache>
                <c:ptCount val="1"/>
                <c:pt idx="0">
                  <c:v>Mote (on PCB)</c:v>
                </c:pt>
              </c:strCache>
            </c:strRef>
          </c:tx>
          <c:invertIfNegative val="0"/>
          <c:cat>
            <c:numRef>
              <c:f>Hists!$B$1500:$B$1518</c:f>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f>Hists!$F$1500:$F$1518</c:f>
              <c:numCache>
                <c:formatCode>0.00</c:formatCode>
                <c:ptCount val="19"/>
                <c:pt idx="0">
                  <c:v>0</c:v>
                </c:pt>
                <c:pt idx="1">
                  <c:v>4.5454545454338851</c:v>
                </c:pt>
                <c:pt idx="2">
                  <c:v>0</c:v>
                </c:pt>
                <c:pt idx="3">
                  <c:v>40.909090908904965</c:v>
                </c:pt>
                <c:pt idx="4">
                  <c:v>36.36363636347108</c:v>
                </c:pt>
                <c:pt idx="5">
                  <c:v>0</c:v>
                </c:pt>
                <c:pt idx="6">
                  <c:v>0</c:v>
                </c:pt>
                <c:pt idx="7">
                  <c:v>0</c:v>
                </c:pt>
                <c:pt idx="8">
                  <c:v>18.18181818173554</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1-28A6-442C-B3A7-25B2986FA63C}"/>
            </c:ext>
          </c:extLst>
        </c:ser>
        <c:ser>
          <c:idx val="3"/>
          <c:order val="2"/>
          <c:tx>
            <c:v>MCU</c:v>
          </c:tx>
          <c:invertIfNegative val="0"/>
          <c:cat>
            <c:numRef>
              <c:f>Hists!$B$1500:$B$1518</c:f>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f>Hists!$H$1500:$H$1518</c:f>
              <c:numCache>
                <c:formatCode>0.00</c:formatCode>
                <c:ptCount val="19"/>
                <c:pt idx="0">
                  <c:v>0</c:v>
                </c:pt>
                <c:pt idx="1">
                  <c:v>0</c:v>
                </c:pt>
                <c:pt idx="2">
                  <c:v>0</c:v>
                </c:pt>
                <c:pt idx="3">
                  <c:v>5.8823529411418694</c:v>
                </c:pt>
                <c:pt idx="4">
                  <c:v>76.4705882348443</c:v>
                </c:pt>
                <c:pt idx="5">
                  <c:v>5.8823529411418694</c:v>
                </c:pt>
                <c:pt idx="6">
                  <c:v>0</c:v>
                </c:pt>
                <c:pt idx="7">
                  <c:v>0</c:v>
                </c:pt>
                <c:pt idx="8">
                  <c:v>11.764705882283739</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2-28A6-442C-B3A7-25B2986FA63C}"/>
            </c:ext>
          </c:extLst>
        </c:ser>
        <c:ser>
          <c:idx val="4"/>
          <c:order val="3"/>
          <c:tx>
            <c:v>SensHub</c:v>
          </c:tx>
          <c:invertIfNegative val="0"/>
          <c:cat>
            <c:numRef>
              <c:f>Hists!$B$1500:$B$1518</c:f>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f>Hists!$J$1500:$J$1518</c:f>
              <c:numCache>
                <c:formatCode>0.00</c:formatCode>
                <c:ptCount val="19"/>
                <c:pt idx="0">
                  <c:v>0</c:v>
                </c:pt>
                <c:pt idx="1">
                  <c:v>0</c:v>
                </c:pt>
                <c:pt idx="2">
                  <c:v>0</c:v>
                </c:pt>
                <c:pt idx="3">
                  <c:v>0</c:v>
                </c:pt>
                <c:pt idx="4">
                  <c:v>9.0909090908264467</c:v>
                </c:pt>
                <c:pt idx="5">
                  <c:v>0</c:v>
                </c:pt>
                <c:pt idx="6">
                  <c:v>36.363636363305787</c:v>
                </c:pt>
                <c:pt idx="7">
                  <c:v>9.0909090908264467</c:v>
                </c:pt>
                <c:pt idx="8">
                  <c:v>18.181818181652893</c:v>
                </c:pt>
                <c:pt idx="9">
                  <c:v>27.27272727247934</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3-28A6-442C-B3A7-25B2986FA63C}"/>
            </c:ext>
          </c:extLst>
        </c:ser>
        <c:dLbls>
          <c:showLegendKey val="0"/>
          <c:showVal val="0"/>
          <c:showCatName val="0"/>
          <c:showSerName val="0"/>
          <c:showPercent val="0"/>
          <c:showBubbleSize val="0"/>
        </c:dLbls>
        <c:gapWidth val="150"/>
        <c:axId val="217662304"/>
        <c:axId val="217662696"/>
        <c:extLst xmlns:c16r2="http://schemas.microsoft.com/office/drawing/2015/06/chart"/>
      </c:barChart>
      <c:catAx>
        <c:axId val="217662304"/>
        <c:scaling>
          <c:orientation val="minMax"/>
        </c:scaling>
        <c:delete val="0"/>
        <c:axPos val="b"/>
        <c:title>
          <c:tx>
            <c:rich>
              <a:bodyPr/>
              <a:lstStyle/>
              <a:p>
                <a:pPr>
                  <a:defRPr/>
                </a:pPr>
                <a:r>
                  <a:rPr lang="en-US"/>
                  <a:t>Resolution (b)</a:t>
                </a:r>
              </a:p>
            </c:rich>
          </c:tx>
          <c:layout>
            <c:manualLayout>
              <c:xMode val="edge"/>
              <c:yMode val="edge"/>
              <c:x val="0.44552086967866428"/>
              <c:y val="0.96264305346790557"/>
            </c:manualLayout>
          </c:layout>
          <c:overlay val="0"/>
        </c:title>
        <c:numFmt formatCode="0" sourceLinked="0"/>
        <c:majorTickMark val="out"/>
        <c:minorTickMark val="none"/>
        <c:tickLblPos val="nextTo"/>
        <c:txPr>
          <a:bodyPr rot="5400000" vert="horz"/>
          <a:lstStyle/>
          <a:p>
            <a:pPr>
              <a:defRPr>
                <a:latin typeface="+mn-lt"/>
              </a:defRPr>
            </a:pPr>
            <a:endParaRPr lang="en-US"/>
          </a:p>
        </c:txPr>
        <c:crossAx val="217662696"/>
        <c:crosses val="autoZero"/>
        <c:auto val="0"/>
        <c:lblAlgn val="ctr"/>
        <c:lblOffset val="100"/>
        <c:noMultiLvlLbl val="0"/>
      </c:catAx>
      <c:valAx>
        <c:axId val="217662696"/>
        <c:scaling>
          <c:orientation val="minMax"/>
          <c:max val="80"/>
          <c:min val="0"/>
        </c:scaling>
        <c:delete val="0"/>
        <c:axPos val="l"/>
        <c:majorGridlines/>
        <c:minorGridlines>
          <c:spPr>
            <a:ln w="9525"/>
          </c:spPr>
        </c:minorGridlines>
        <c:numFmt formatCode="0" sourceLinked="0"/>
        <c:majorTickMark val="out"/>
        <c:minorTickMark val="none"/>
        <c:tickLblPos val="nextTo"/>
        <c:crossAx val="217662304"/>
        <c:crossesAt val="1"/>
        <c:crossBetween val="between"/>
      </c:valAx>
    </c:plotArea>
    <c:legend>
      <c:legendPos val="r"/>
      <c:layout>
        <c:manualLayout>
          <c:xMode val="edge"/>
          <c:yMode val="edge"/>
          <c:x val="0.61578989845051335"/>
          <c:y val="0.31311085895657992"/>
          <c:w val="0.12395591295504535"/>
          <c:h val="0.23649148454169466"/>
        </c:manualLayout>
      </c:layout>
      <c:overlay val="0"/>
      <c:spPr>
        <a:solidFill>
          <a:schemeClr val="bg1"/>
        </a:solidFill>
      </c:spPr>
    </c:legend>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843121668239315E-2"/>
          <c:y val="6.0084216531759264E-2"/>
          <c:w val="0.93152390979177335"/>
          <c:h val="0.82777877732213057"/>
        </c:manualLayout>
      </c:layout>
      <c:barChart>
        <c:barDir val="col"/>
        <c:grouping val="clustered"/>
        <c:varyColors val="0"/>
        <c:ser>
          <c:idx val="1"/>
          <c:order val="0"/>
          <c:tx>
            <c:v>Wearable</c:v>
          </c:tx>
          <c:invertIfNegative val="0"/>
          <c:cat>
            <c:numRef>
              <c:f>Hists!$B$1600:$B$1628</c:f>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f>Hists!$D$1600:$D$1628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99.999999990000006</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04C2-4E0B-8643-405ED934D9C3}"/>
            </c:ext>
          </c:extLst>
        </c:ser>
        <c:ser>
          <c:idx val="2"/>
          <c:order val="1"/>
          <c:tx>
            <c:strRef>
              <c:f>Hists!$E$1598</c:f>
              <c:strCache>
                <c:ptCount val="1"/>
                <c:pt idx="0">
                  <c:v>Mote (on PCB)</c:v>
                </c:pt>
              </c:strCache>
            </c:strRef>
          </c:tx>
          <c:invertIfNegative val="0"/>
          <c:cat>
            <c:numRef>
              <c:f>Hists!$B$1600:$B$1628</c:f>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f>Hists!$F$1600:$F$1628</c:f>
              <c:numCache>
                <c:formatCode>0.00</c:formatCode>
                <c:ptCount val="29"/>
                <c:pt idx="0">
                  <c:v>0</c:v>
                </c:pt>
                <c:pt idx="1">
                  <c:v>0</c:v>
                </c:pt>
                <c:pt idx="2">
                  <c:v>0</c:v>
                </c:pt>
                <c:pt idx="3">
                  <c:v>3.7037037036899867</c:v>
                </c:pt>
                <c:pt idx="4">
                  <c:v>7.4074074073799734</c:v>
                </c:pt>
                <c:pt idx="5">
                  <c:v>0</c:v>
                </c:pt>
                <c:pt idx="6">
                  <c:v>0</c:v>
                </c:pt>
                <c:pt idx="7">
                  <c:v>0</c:v>
                </c:pt>
                <c:pt idx="8">
                  <c:v>7.4074074073799734</c:v>
                </c:pt>
                <c:pt idx="9">
                  <c:v>11.11111111106996</c:v>
                </c:pt>
                <c:pt idx="10">
                  <c:v>0</c:v>
                </c:pt>
                <c:pt idx="11">
                  <c:v>0</c:v>
                </c:pt>
                <c:pt idx="12">
                  <c:v>0</c:v>
                </c:pt>
                <c:pt idx="13">
                  <c:v>0</c:v>
                </c:pt>
                <c:pt idx="14">
                  <c:v>0</c:v>
                </c:pt>
                <c:pt idx="15">
                  <c:v>3.7037037036899867</c:v>
                </c:pt>
                <c:pt idx="16">
                  <c:v>0</c:v>
                </c:pt>
                <c:pt idx="17">
                  <c:v>0</c:v>
                </c:pt>
                <c:pt idx="18">
                  <c:v>3.7037037036899867</c:v>
                </c:pt>
                <c:pt idx="19">
                  <c:v>3.7037037036899867</c:v>
                </c:pt>
                <c:pt idx="20">
                  <c:v>0</c:v>
                </c:pt>
                <c:pt idx="21">
                  <c:v>0</c:v>
                </c:pt>
                <c:pt idx="22">
                  <c:v>0</c:v>
                </c:pt>
                <c:pt idx="23">
                  <c:v>0</c:v>
                </c:pt>
                <c:pt idx="24">
                  <c:v>59.259259259039787</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04C2-4E0B-8643-405ED934D9C3}"/>
            </c:ext>
          </c:extLst>
        </c:ser>
        <c:ser>
          <c:idx val="3"/>
          <c:order val="2"/>
          <c:tx>
            <c:v>MCU</c:v>
          </c:tx>
          <c:invertIfNegative val="0"/>
          <c:cat>
            <c:numRef>
              <c:f>Hists!$B$1600:$B$1628</c:f>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f>Hists!$H$1600:$H$1628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99.999999998888896</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04C2-4E0B-8643-405ED934D9C3}"/>
            </c:ext>
          </c:extLst>
        </c:ser>
        <c:ser>
          <c:idx val="4"/>
          <c:order val="3"/>
          <c:tx>
            <c:v>SensHub</c:v>
          </c:tx>
          <c:invertIfNegative val="0"/>
          <c:cat>
            <c:numRef>
              <c:f>Hists!$B$1600:$B$1628</c:f>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f>Hists!$J$1600:$J$1628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04C2-4E0B-8643-405ED934D9C3}"/>
            </c:ext>
          </c:extLst>
        </c:ser>
        <c:dLbls>
          <c:showLegendKey val="0"/>
          <c:showVal val="0"/>
          <c:showCatName val="0"/>
          <c:showSerName val="0"/>
          <c:showPercent val="0"/>
          <c:showBubbleSize val="0"/>
        </c:dLbls>
        <c:gapWidth val="150"/>
        <c:axId val="217663480"/>
        <c:axId val="217663872"/>
        <c:extLst xmlns:c16r2="http://schemas.microsoft.com/office/drawing/2015/06/chart"/>
      </c:barChart>
      <c:catAx>
        <c:axId val="217663480"/>
        <c:scaling>
          <c:orientation val="minMax"/>
        </c:scaling>
        <c:delete val="0"/>
        <c:axPos val="b"/>
        <c:title>
          <c:tx>
            <c:rich>
              <a:bodyPr/>
              <a:lstStyle/>
              <a:p>
                <a:pPr>
                  <a:defRPr/>
                </a:pPr>
                <a:r>
                  <a:rPr lang="en-US"/>
                  <a:t>fC (MHz)</a:t>
                </a:r>
              </a:p>
            </c:rich>
          </c:tx>
          <c:layout>
            <c:manualLayout>
              <c:xMode val="edge"/>
              <c:yMode val="edge"/>
              <c:x val="0.46262232511006002"/>
              <c:y val="0.95682993835245467"/>
            </c:manualLayout>
          </c:layout>
          <c:overlay val="0"/>
        </c:title>
        <c:numFmt formatCode="0" sourceLinked="0"/>
        <c:majorTickMark val="out"/>
        <c:minorTickMark val="none"/>
        <c:tickLblPos val="nextTo"/>
        <c:txPr>
          <a:bodyPr rot="5400000" vert="horz"/>
          <a:lstStyle/>
          <a:p>
            <a:pPr>
              <a:defRPr>
                <a:latin typeface="+mn-lt"/>
              </a:defRPr>
            </a:pPr>
            <a:endParaRPr lang="en-US"/>
          </a:p>
        </c:txPr>
        <c:crossAx val="217663872"/>
        <c:crosses val="autoZero"/>
        <c:auto val="0"/>
        <c:lblAlgn val="ctr"/>
        <c:lblOffset val="100"/>
        <c:noMultiLvlLbl val="0"/>
      </c:catAx>
      <c:valAx>
        <c:axId val="217663872"/>
        <c:scaling>
          <c:orientation val="minMax"/>
          <c:max val="100"/>
          <c:min val="0"/>
        </c:scaling>
        <c:delete val="0"/>
        <c:axPos val="l"/>
        <c:majorGridlines/>
        <c:minorGridlines>
          <c:spPr>
            <a:ln w="9525"/>
          </c:spPr>
        </c:minorGridlines>
        <c:numFmt formatCode="0" sourceLinked="0"/>
        <c:majorTickMark val="out"/>
        <c:minorTickMark val="none"/>
        <c:tickLblPos val="nextTo"/>
        <c:crossAx val="217663480"/>
        <c:crossesAt val="1"/>
        <c:crossBetween val="between"/>
      </c:valAx>
    </c:plotArea>
    <c:legend>
      <c:legendPos val="r"/>
      <c:layout>
        <c:manualLayout>
          <c:xMode val="edge"/>
          <c:yMode val="edge"/>
          <c:x val="0.39076084746945478"/>
          <c:y val="0.39598493909356758"/>
          <c:w val="0.13143774291322935"/>
          <c:h val="0.21276560042732851"/>
        </c:manualLayout>
      </c:layout>
      <c:overlay val="0"/>
      <c:spPr>
        <a:solidFill>
          <a:schemeClr val="bg1"/>
        </a:solidFill>
      </c:spPr>
    </c:legend>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6.3676609059090214E-2"/>
          <c:w val="0.88243372326861302"/>
          <c:h val="0.83867341096829795"/>
        </c:manualLayout>
      </c:layout>
      <c:barChart>
        <c:barDir val="col"/>
        <c:grouping val="clustered"/>
        <c:varyColors val="0"/>
        <c:ser>
          <c:idx val="1"/>
          <c:order val="0"/>
          <c:tx>
            <c:v>Wearable</c:v>
          </c:tx>
          <c:invertIfNegative val="0"/>
          <c:cat>
            <c:numRef>
              <c:f>Hists!$B$1700:$B$1715</c:f>
              <c:numCache>
                <c:formatCode>0.0</c:formatCode>
                <c:ptCount val="16"/>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numCache>
            </c:numRef>
          </c:cat>
          <c:val>
            <c:numRef>
              <c:f>Hists!$D$1700:$D$1715</c:f>
              <c:numCache>
                <c:formatCode>0.00</c:formatCode>
                <c:ptCount val="16"/>
                <c:pt idx="0">
                  <c:v>0</c:v>
                </c:pt>
                <c:pt idx="1">
                  <c:v>0</c:v>
                </c:pt>
                <c:pt idx="2">
                  <c:v>0</c:v>
                </c:pt>
                <c:pt idx="3">
                  <c:v>0</c:v>
                </c:pt>
                <c:pt idx="4">
                  <c:v>0</c:v>
                </c:pt>
                <c:pt idx="5">
                  <c:v>0</c:v>
                </c:pt>
                <c:pt idx="6">
                  <c:v>0</c:v>
                </c:pt>
                <c:pt idx="7">
                  <c:v>0</c:v>
                </c:pt>
                <c:pt idx="8">
                  <c:v>0</c:v>
                </c:pt>
                <c:pt idx="9">
                  <c:v>0</c:v>
                </c:pt>
                <c:pt idx="10">
                  <c:v>24.9999999996875</c:v>
                </c:pt>
                <c:pt idx="11">
                  <c:v>0</c:v>
                </c:pt>
                <c:pt idx="12">
                  <c:v>0</c:v>
                </c:pt>
                <c:pt idx="13">
                  <c:v>74.999999999062496</c:v>
                </c:pt>
                <c:pt idx="14">
                  <c:v>0</c:v>
                </c:pt>
                <c:pt idx="15">
                  <c:v>0</c:v>
                </c:pt>
              </c:numCache>
            </c:numRef>
          </c:val>
          <c:extLst xmlns:c16r2="http://schemas.microsoft.com/office/drawing/2015/06/chart">
            <c:ext xmlns:c16="http://schemas.microsoft.com/office/drawing/2014/chart" uri="{C3380CC4-5D6E-409C-BE32-E72D297353CC}">
              <c16:uniqueId val="{00000000-4F83-4A5C-A19A-BC29AC5C36A1}"/>
            </c:ext>
          </c:extLst>
        </c:ser>
        <c:ser>
          <c:idx val="0"/>
          <c:order val="1"/>
          <c:tx>
            <c:strRef>
              <c:f>Hists!$E$1698</c:f>
              <c:strCache>
                <c:ptCount val="1"/>
                <c:pt idx="0">
                  <c:v>Mote (on PCB)</c:v>
                </c:pt>
              </c:strCache>
            </c:strRef>
          </c:tx>
          <c:invertIfNegative val="0"/>
          <c:cat>
            <c:numRef>
              <c:f>Hists!$B$1700:$B$1715</c:f>
              <c:numCache>
                <c:formatCode>0.0</c:formatCode>
                <c:ptCount val="16"/>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numCache>
            </c:numRef>
          </c:cat>
          <c:val>
            <c:numRef>
              <c:f>Hists!$F$1700:$F$1715</c:f>
              <c:numCache>
                <c:formatCode>0.00</c:formatCode>
                <c:ptCount val="16"/>
                <c:pt idx="0">
                  <c:v>0</c:v>
                </c:pt>
                <c:pt idx="1">
                  <c:v>0</c:v>
                </c:pt>
                <c:pt idx="2">
                  <c:v>0</c:v>
                </c:pt>
                <c:pt idx="3">
                  <c:v>0</c:v>
                </c:pt>
                <c:pt idx="4">
                  <c:v>2.6315789473614957</c:v>
                </c:pt>
                <c:pt idx="5">
                  <c:v>15.789473684168975</c:v>
                </c:pt>
                <c:pt idx="6">
                  <c:v>0</c:v>
                </c:pt>
                <c:pt idx="7">
                  <c:v>2.6315789473614957</c:v>
                </c:pt>
                <c:pt idx="8">
                  <c:v>7.8947368420844874</c:v>
                </c:pt>
                <c:pt idx="9">
                  <c:v>0</c:v>
                </c:pt>
                <c:pt idx="10">
                  <c:v>21.052631578891965</c:v>
                </c:pt>
                <c:pt idx="11">
                  <c:v>26.315789473614956</c:v>
                </c:pt>
                <c:pt idx="12">
                  <c:v>5.2631578947229913</c:v>
                </c:pt>
                <c:pt idx="13">
                  <c:v>5.2631578947229913</c:v>
                </c:pt>
                <c:pt idx="14">
                  <c:v>0</c:v>
                </c:pt>
                <c:pt idx="15">
                  <c:v>2.6315789473614957</c:v>
                </c:pt>
              </c:numCache>
            </c:numRef>
          </c:val>
          <c:extLst xmlns:c16r2="http://schemas.microsoft.com/office/drawing/2015/06/chart">
            <c:ext xmlns:c16="http://schemas.microsoft.com/office/drawing/2014/chart" uri="{C3380CC4-5D6E-409C-BE32-E72D297353CC}">
              <c16:uniqueId val="{00000001-4F83-4A5C-A19A-BC29AC5C36A1}"/>
            </c:ext>
          </c:extLst>
        </c:ser>
        <c:ser>
          <c:idx val="2"/>
          <c:order val="2"/>
          <c:tx>
            <c:v>MCU</c:v>
          </c:tx>
          <c:invertIfNegative val="0"/>
          <c:cat>
            <c:numRef>
              <c:f>Hists!$B$1700:$B$1715</c:f>
              <c:numCache>
                <c:formatCode>0.0</c:formatCode>
                <c:ptCount val="16"/>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numCache>
            </c:numRef>
          </c:cat>
          <c:val>
            <c:numRef>
              <c:f>Hists!$H$1700:$H$1715</c:f>
              <c:numCache>
                <c:formatCode>0.00</c:formatCode>
                <c:ptCount val="16"/>
                <c:pt idx="0">
                  <c:v>5.263157894709142</c:v>
                </c:pt>
                <c:pt idx="1">
                  <c:v>0</c:v>
                </c:pt>
                <c:pt idx="2">
                  <c:v>0</c:v>
                </c:pt>
                <c:pt idx="3">
                  <c:v>21.052631578836568</c:v>
                </c:pt>
                <c:pt idx="4">
                  <c:v>57.894736841800558</c:v>
                </c:pt>
                <c:pt idx="5">
                  <c:v>5.263157894709142</c:v>
                </c:pt>
                <c:pt idx="6">
                  <c:v>0</c:v>
                </c:pt>
                <c:pt idx="7">
                  <c:v>0</c:v>
                </c:pt>
                <c:pt idx="8">
                  <c:v>0</c:v>
                </c:pt>
                <c:pt idx="9">
                  <c:v>0</c:v>
                </c:pt>
                <c:pt idx="10">
                  <c:v>0</c:v>
                </c:pt>
                <c:pt idx="11">
                  <c:v>10.526315789418284</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2-4F83-4A5C-A19A-BC29AC5C36A1}"/>
            </c:ext>
          </c:extLst>
        </c:ser>
        <c:ser>
          <c:idx val="3"/>
          <c:order val="3"/>
          <c:tx>
            <c:v>SensHub</c:v>
          </c:tx>
          <c:invertIfNegative val="0"/>
          <c:cat>
            <c:numRef>
              <c:f>Hists!$B$1700:$B$1715</c:f>
              <c:numCache>
                <c:formatCode>0.0</c:formatCode>
                <c:ptCount val="16"/>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numCache>
            </c:numRef>
          </c:cat>
          <c:val>
            <c:numRef>
              <c:f>Hists!$J$1700:$J$1715</c:f>
              <c:numCache>
                <c:formatCode>0.00</c:formatCode>
                <c:ptCount val="16"/>
                <c:pt idx="0">
                  <c:v>7.6923076922485203</c:v>
                </c:pt>
                <c:pt idx="1">
                  <c:v>0</c:v>
                </c:pt>
                <c:pt idx="2">
                  <c:v>7.6923076922485203</c:v>
                </c:pt>
                <c:pt idx="3">
                  <c:v>30.769230768994081</c:v>
                </c:pt>
                <c:pt idx="4">
                  <c:v>30.769230768994081</c:v>
                </c:pt>
                <c:pt idx="5">
                  <c:v>0</c:v>
                </c:pt>
                <c:pt idx="6">
                  <c:v>0</c:v>
                </c:pt>
                <c:pt idx="7">
                  <c:v>7.6923076922485203</c:v>
                </c:pt>
                <c:pt idx="8">
                  <c:v>0</c:v>
                </c:pt>
                <c:pt idx="9">
                  <c:v>0</c:v>
                </c:pt>
                <c:pt idx="10">
                  <c:v>15.384615384497041</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3-4F83-4A5C-A19A-BC29AC5C36A1}"/>
            </c:ext>
          </c:extLst>
        </c:ser>
        <c:dLbls>
          <c:showLegendKey val="0"/>
          <c:showVal val="0"/>
          <c:showCatName val="0"/>
          <c:showSerName val="0"/>
          <c:showPercent val="0"/>
          <c:showBubbleSize val="0"/>
        </c:dLbls>
        <c:gapWidth val="150"/>
        <c:axId val="217664656"/>
        <c:axId val="217907064"/>
      </c:barChart>
      <c:catAx>
        <c:axId val="217664656"/>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Voltage (V)</a:t>
                </a:r>
              </a:p>
            </c:rich>
          </c:tx>
          <c:layout>
            <c:manualLayout>
              <c:xMode val="edge"/>
              <c:yMode val="edge"/>
              <c:x val="0.43346148565936066"/>
              <c:y val="0.95168071457217795"/>
            </c:manualLayout>
          </c:layout>
          <c:overlay val="0"/>
        </c:title>
        <c:numFmt formatCode="#,##0.0" sourceLinked="0"/>
        <c:majorTickMark val="out"/>
        <c:minorTickMark val="none"/>
        <c:tickLblPos val="nextTo"/>
        <c:txPr>
          <a:bodyPr rot="5400000" vert="horz"/>
          <a:lstStyle/>
          <a:p>
            <a:pPr>
              <a:defRPr/>
            </a:pPr>
            <a:endParaRPr lang="en-US"/>
          </a:p>
        </c:txPr>
        <c:crossAx val="217907064"/>
        <c:crosses val="autoZero"/>
        <c:auto val="1"/>
        <c:lblAlgn val="ctr"/>
        <c:lblOffset val="100"/>
        <c:noMultiLvlLbl val="0"/>
      </c:catAx>
      <c:valAx>
        <c:axId val="217907064"/>
        <c:scaling>
          <c:orientation val="minMax"/>
          <c:max val="80"/>
        </c:scaling>
        <c:delete val="0"/>
        <c:axPos val="l"/>
        <c:majorGridlines/>
        <c:minorGridlines/>
        <c:numFmt formatCode="0" sourceLinked="0"/>
        <c:majorTickMark val="out"/>
        <c:minorTickMark val="none"/>
        <c:tickLblPos val="nextTo"/>
        <c:crossAx val="217664656"/>
        <c:crosses val="autoZero"/>
        <c:crossBetween val="between"/>
      </c:valAx>
    </c:plotArea>
    <c:legend>
      <c:legendPos val="r"/>
      <c:layout>
        <c:manualLayout>
          <c:xMode val="edge"/>
          <c:yMode val="edge"/>
          <c:x val="0.36259447433776798"/>
          <c:y val="0.28453993459040133"/>
          <c:w val="0.23640305471071665"/>
          <c:h val="0.20071220657748862"/>
        </c:manualLayout>
      </c:layout>
      <c:overlay val="1"/>
      <c:spPr>
        <a:solidFill>
          <a:schemeClr val="bg1"/>
        </a:solidFill>
      </c:spPr>
    </c:legend>
    <c:plotVisOnly val="1"/>
    <c:dispBlanksAs val="gap"/>
    <c:showDLblsOverMax val="0"/>
  </c:chart>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5.8365132112156777E-2"/>
          <c:w val="0.89386080748161512"/>
          <c:h val="0.84664198814415981"/>
        </c:manualLayout>
      </c:layout>
      <c:barChart>
        <c:barDir val="col"/>
        <c:grouping val="clustered"/>
        <c:varyColors val="0"/>
        <c:ser>
          <c:idx val="1"/>
          <c:order val="0"/>
          <c:tx>
            <c:v>Wearable</c:v>
          </c:tx>
          <c:invertIfNegative val="0"/>
          <c:cat>
            <c:numRef>
              <c:f>Hists!$B$1716:$B$1728</c:f>
              <c:numCache>
                <c:formatCode>0.0</c:formatCode>
                <c:ptCount val="13"/>
                <c:pt idx="0">
                  <c:v>5</c:v>
                </c:pt>
                <c:pt idx="1">
                  <c:v>6</c:v>
                </c:pt>
                <c:pt idx="2">
                  <c:v>7</c:v>
                </c:pt>
                <c:pt idx="3">
                  <c:v>8</c:v>
                </c:pt>
                <c:pt idx="4">
                  <c:v>9</c:v>
                </c:pt>
                <c:pt idx="5">
                  <c:v>10</c:v>
                </c:pt>
                <c:pt idx="6">
                  <c:v>11</c:v>
                </c:pt>
                <c:pt idx="7">
                  <c:v>12</c:v>
                </c:pt>
                <c:pt idx="8">
                  <c:v>13</c:v>
                </c:pt>
                <c:pt idx="9">
                  <c:v>14</c:v>
                </c:pt>
                <c:pt idx="10">
                  <c:v>15</c:v>
                </c:pt>
                <c:pt idx="11">
                  <c:v>16</c:v>
                </c:pt>
                <c:pt idx="12">
                  <c:v>17</c:v>
                </c:pt>
              </c:numCache>
            </c:numRef>
          </c:cat>
          <c:val>
            <c:numRef>
              <c:f>Hists!$D$1716:$D$1728</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A5D9-4795-84A7-E10D41C47977}"/>
            </c:ext>
          </c:extLst>
        </c:ser>
        <c:ser>
          <c:idx val="0"/>
          <c:order val="1"/>
          <c:tx>
            <c:v>Mote</c:v>
          </c:tx>
          <c:invertIfNegative val="0"/>
          <c:cat>
            <c:numRef>
              <c:f>Hists!$B$1716:$B$1728</c:f>
              <c:numCache>
                <c:formatCode>0.0</c:formatCode>
                <c:ptCount val="13"/>
                <c:pt idx="0">
                  <c:v>5</c:v>
                </c:pt>
                <c:pt idx="1">
                  <c:v>6</c:v>
                </c:pt>
                <c:pt idx="2">
                  <c:v>7</c:v>
                </c:pt>
                <c:pt idx="3">
                  <c:v>8</c:v>
                </c:pt>
                <c:pt idx="4">
                  <c:v>9</c:v>
                </c:pt>
                <c:pt idx="5">
                  <c:v>10</c:v>
                </c:pt>
                <c:pt idx="6">
                  <c:v>11</c:v>
                </c:pt>
                <c:pt idx="7">
                  <c:v>12</c:v>
                </c:pt>
                <c:pt idx="8">
                  <c:v>13</c:v>
                </c:pt>
                <c:pt idx="9">
                  <c:v>14</c:v>
                </c:pt>
                <c:pt idx="10">
                  <c:v>15</c:v>
                </c:pt>
                <c:pt idx="11">
                  <c:v>16</c:v>
                </c:pt>
                <c:pt idx="12">
                  <c:v>17</c:v>
                </c:pt>
              </c:numCache>
            </c:numRef>
          </c:cat>
          <c:val>
            <c:numRef>
              <c:f>Hists!$F$1716:$F$1728</c:f>
              <c:numCache>
                <c:formatCode>0.00</c:formatCode>
                <c:ptCount val="13"/>
                <c:pt idx="0">
                  <c:v>0</c:v>
                </c:pt>
                <c:pt idx="1">
                  <c:v>0</c:v>
                </c:pt>
                <c:pt idx="2">
                  <c:v>2.6315789473614957</c:v>
                </c:pt>
                <c:pt idx="3">
                  <c:v>0</c:v>
                </c:pt>
                <c:pt idx="4">
                  <c:v>5.2631578947229913</c:v>
                </c:pt>
                <c:pt idx="5">
                  <c:v>0</c:v>
                </c:pt>
                <c:pt idx="6">
                  <c:v>0</c:v>
                </c:pt>
                <c:pt idx="7">
                  <c:v>0</c:v>
                </c:pt>
                <c:pt idx="8">
                  <c:v>0</c:v>
                </c:pt>
                <c:pt idx="9">
                  <c:v>0</c:v>
                </c:pt>
                <c:pt idx="10">
                  <c:v>0</c:v>
                </c:pt>
                <c:pt idx="11">
                  <c:v>2.6315789473614957</c:v>
                </c:pt>
                <c:pt idx="12">
                  <c:v>0</c:v>
                </c:pt>
              </c:numCache>
            </c:numRef>
          </c:val>
          <c:extLst xmlns:c16r2="http://schemas.microsoft.com/office/drawing/2015/06/chart">
            <c:ext xmlns:c16="http://schemas.microsoft.com/office/drawing/2014/chart" uri="{C3380CC4-5D6E-409C-BE32-E72D297353CC}">
              <c16:uniqueId val="{00000001-A5D9-4795-84A7-E10D41C47977}"/>
            </c:ext>
          </c:extLst>
        </c:ser>
        <c:ser>
          <c:idx val="2"/>
          <c:order val="2"/>
          <c:tx>
            <c:v>MCU</c:v>
          </c:tx>
          <c:invertIfNegative val="0"/>
          <c:cat>
            <c:numRef>
              <c:f>Hists!$B$1716:$B$1728</c:f>
              <c:numCache>
                <c:formatCode>0.0</c:formatCode>
                <c:ptCount val="13"/>
                <c:pt idx="0">
                  <c:v>5</c:v>
                </c:pt>
                <c:pt idx="1">
                  <c:v>6</c:v>
                </c:pt>
                <c:pt idx="2">
                  <c:v>7</c:v>
                </c:pt>
                <c:pt idx="3">
                  <c:v>8</c:v>
                </c:pt>
                <c:pt idx="4">
                  <c:v>9</c:v>
                </c:pt>
                <c:pt idx="5">
                  <c:v>10</c:v>
                </c:pt>
                <c:pt idx="6">
                  <c:v>11</c:v>
                </c:pt>
                <c:pt idx="7">
                  <c:v>12</c:v>
                </c:pt>
                <c:pt idx="8">
                  <c:v>13</c:v>
                </c:pt>
                <c:pt idx="9">
                  <c:v>14</c:v>
                </c:pt>
                <c:pt idx="10">
                  <c:v>15</c:v>
                </c:pt>
                <c:pt idx="11">
                  <c:v>16</c:v>
                </c:pt>
                <c:pt idx="12">
                  <c:v>17</c:v>
                </c:pt>
              </c:numCache>
            </c:numRef>
          </c:cat>
          <c:val>
            <c:numRef>
              <c:f>Hists!$H$1716:$H$1728</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A5D9-4795-84A7-E10D41C47977}"/>
            </c:ext>
          </c:extLst>
        </c:ser>
        <c:ser>
          <c:idx val="3"/>
          <c:order val="3"/>
          <c:tx>
            <c:v>SensHub</c:v>
          </c:tx>
          <c:invertIfNegative val="0"/>
          <c:cat>
            <c:numRef>
              <c:f>Hists!$B$1716:$B$1728</c:f>
              <c:numCache>
                <c:formatCode>0.0</c:formatCode>
                <c:ptCount val="13"/>
                <c:pt idx="0">
                  <c:v>5</c:v>
                </c:pt>
                <c:pt idx="1">
                  <c:v>6</c:v>
                </c:pt>
                <c:pt idx="2">
                  <c:v>7</c:v>
                </c:pt>
                <c:pt idx="3">
                  <c:v>8</c:v>
                </c:pt>
                <c:pt idx="4">
                  <c:v>9</c:v>
                </c:pt>
                <c:pt idx="5">
                  <c:v>10</c:v>
                </c:pt>
                <c:pt idx="6">
                  <c:v>11</c:v>
                </c:pt>
                <c:pt idx="7">
                  <c:v>12</c:v>
                </c:pt>
                <c:pt idx="8">
                  <c:v>13</c:v>
                </c:pt>
                <c:pt idx="9">
                  <c:v>14</c:v>
                </c:pt>
                <c:pt idx="10">
                  <c:v>15</c:v>
                </c:pt>
                <c:pt idx="11">
                  <c:v>16</c:v>
                </c:pt>
                <c:pt idx="12">
                  <c:v>17</c:v>
                </c:pt>
              </c:numCache>
            </c:numRef>
          </c:cat>
          <c:val>
            <c:numRef>
              <c:f>Hists!$J$1716:$J$1728</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A5D9-4795-84A7-E10D41C47977}"/>
            </c:ext>
          </c:extLst>
        </c:ser>
        <c:dLbls>
          <c:showLegendKey val="0"/>
          <c:showVal val="0"/>
          <c:showCatName val="0"/>
          <c:showSerName val="0"/>
          <c:showPercent val="0"/>
          <c:showBubbleSize val="0"/>
        </c:dLbls>
        <c:gapWidth val="150"/>
        <c:axId val="217907848"/>
        <c:axId val="217908240"/>
      </c:barChart>
      <c:catAx>
        <c:axId val="217907848"/>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Voltage (V)</a:t>
                </a:r>
              </a:p>
            </c:rich>
          </c:tx>
          <c:layout>
            <c:manualLayout>
              <c:xMode val="edge"/>
              <c:yMode val="edge"/>
              <c:x val="0.32075664264422199"/>
              <c:y val="0.95453105781315795"/>
            </c:manualLayout>
          </c:layout>
          <c:overlay val="0"/>
        </c:title>
        <c:numFmt formatCode="#,##0" sourceLinked="0"/>
        <c:majorTickMark val="out"/>
        <c:minorTickMark val="none"/>
        <c:tickLblPos val="nextTo"/>
        <c:txPr>
          <a:bodyPr rot="5400000" vert="horz"/>
          <a:lstStyle/>
          <a:p>
            <a:pPr>
              <a:defRPr/>
            </a:pPr>
            <a:endParaRPr lang="en-US"/>
          </a:p>
        </c:txPr>
        <c:crossAx val="217908240"/>
        <c:crosses val="autoZero"/>
        <c:auto val="1"/>
        <c:lblAlgn val="ctr"/>
        <c:lblOffset val="100"/>
        <c:noMultiLvlLbl val="0"/>
      </c:catAx>
      <c:valAx>
        <c:axId val="217908240"/>
        <c:scaling>
          <c:orientation val="minMax"/>
          <c:max val="80"/>
        </c:scaling>
        <c:delete val="1"/>
        <c:axPos val="l"/>
        <c:majorGridlines/>
        <c:minorGridlines/>
        <c:numFmt formatCode="0.00" sourceLinked="1"/>
        <c:majorTickMark val="out"/>
        <c:minorTickMark val="none"/>
        <c:tickLblPos val="nextTo"/>
        <c:crossAx val="217907848"/>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563111248813659E-2"/>
          <c:y val="6.2062487941891745E-2"/>
          <c:w val="0.94198321529907969"/>
          <c:h val="0.84253123808780306"/>
        </c:manualLayout>
      </c:layout>
      <c:barChart>
        <c:barDir val="col"/>
        <c:grouping val="clustered"/>
        <c:varyColors val="0"/>
        <c:ser>
          <c:idx val="1"/>
          <c:order val="0"/>
          <c:tx>
            <c:v>Wearable</c:v>
          </c:tx>
          <c:invertIfNegative val="0"/>
          <c:cat>
            <c:numRef>
              <c:f>Hists!$B$1550:$B$1578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Hists!$D$1550:$D$1578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3FF2-4D64-9DC4-211DE863D524}"/>
            </c:ext>
          </c:extLst>
        </c:ser>
        <c:ser>
          <c:idx val="2"/>
          <c:order val="1"/>
          <c:tx>
            <c:strRef>
              <c:f>Hists!$E$1548</c:f>
              <c:strCache>
                <c:ptCount val="1"/>
                <c:pt idx="0">
                  <c:v>Mote (on PCB)</c:v>
                </c:pt>
              </c:strCache>
            </c:strRef>
          </c:tx>
          <c:invertIfNegative val="0"/>
          <c:cat>
            <c:numRef>
              <c:f>Hists!$B$1550:$B$1578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Hists!$F$1550:$F$1578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24.999999999375</c:v>
                </c:pt>
                <c:pt idx="18">
                  <c:v>0</c:v>
                </c:pt>
                <c:pt idx="19">
                  <c:v>74.999999998125006</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3FF2-4D64-9DC4-211DE863D524}"/>
            </c:ext>
          </c:extLst>
        </c:ser>
        <c:ser>
          <c:idx val="3"/>
          <c:order val="2"/>
          <c:tx>
            <c:v>MCU</c:v>
          </c:tx>
          <c:invertIfNegative val="0"/>
          <c:cat>
            <c:numRef>
              <c:f>Hists!$B$1550:$B$1578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Hists!$H$1550:$H$1578</c:f>
              <c:numCache>
                <c:formatCode>0.00</c:formatCode>
                <c:ptCount val="29"/>
                <c:pt idx="0">
                  <c:v>0</c:v>
                </c:pt>
                <c:pt idx="1">
                  <c:v>0</c:v>
                </c:pt>
                <c:pt idx="2">
                  <c:v>0</c:v>
                </c:pt>
                <c:pt idx="3">
                  <c:v>9.0909090908264467</c:v>
                </c:pt>
                <c:pt idx="4">
                  <c:v>0</c:v>
                </c:pt>
                <c:pt idx="5">
                  <c:v>0</c:v>
                </c:pt>
                <c:pt idx="6">
                  <c:v>0</c:v>
                </c:pt>
                <c:pt idx="7">
                  <c:v>36.363636363305787</c:v>
                </c:pt>
                <c:pt idx="8">
                  <c:v>0</c:v>
                </c:pt>
                <c:pt idx="9">
                  <c:v>0</c:v>
                </c:pt>
                <c:pt idx="10">
                  <c:v>0</c:v>
                </c:pt>
                <c:pt idx="11">
                  <c:v>0</c:v>
                </c:pt>
                <c:pt idx="12">
                  <c:v>0</c:v>
                </c:pt>
                <c:pt idx="13">
                  <c:v>0</c:v>
                </c:pt>
                <c:pt idx="14">
                  <c:v>0</c:v>
                </c:pt>
                <c:pt idx="15">
                  <c:v>18.181818181652893</c:v>
                </c:pt>
                <c:pt idx="16">
                  <c:v>0</c:v>
                </c:pt>
                <c:pt idx="17">
                  <c:v>0</c:v>
                </c:pt>
                <c:pt idx="18">
                  <c:v>0</c:v>
                </c:pt>
                <c:pt idx="19">
                  <c:v>36.363636363305787</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3FF2-4D64-9DC4-211DE863D524}"/>
            </c:ext>
          </c:extLst>
        </c:ser>
        <c:ser>
          <c:idx val="4"/>
          <c:order val="3"/>
          <c:tx>
            <c:v>SensHub</c:v>
          </c:tx>
          <c:invertIfNegative val="0"/>
          <c:cat>
            <c:numRef>
              <c:f>Hists!$B$1550:$B$1578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Hists!$J$1550:$J$1578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3FF2-4D64-9DC4-211DE863D524}"/>
            </c:ext>
          </c:extLst>
        </c:ser>
        <c:dLbls>
          <c:showLegendKey val="0"/>
          <c:showVal val="0"/>
          <c:showCatName val="0"/>
          <c:showSerName val="0"/>
          <c:showPercent val="0"/>
          <c:showBubbleSize val="0"/>
        </c:dLbls>
        <c:gapWidth val="150"/>
        <c:axId val="217909024"/>
        <c:axId val="217909416"/>
        <c:extLst xmlns:c16r2="http://schemas.microsoft.com/office/drawing/2015/06/chart"/>
      </c:barChart>
      <c:catAx>
        <c:axId val="217909024"/>
        <c:scaling>
          <c:orientation val="minMax"/>
        </c:scaling>
        <c:delete val="0"/>
        <c:axPos val="b"/>
        <c:title>
          <c:tx>
            <c:rich>
              <a:bodyPr/>
              <a:lstStyle/>
              <a:p>
                <a:pPr>
                  <a:defRPr/>
                </a:pPr>
                <a:r>
                  <a:rPr lang="en-US"/>
                  <a:t>Resolution (b)</a:t>
                </a:r>
              </a:p>
            </c:rich>
          </c:tx>
          <c:layout>
            <c:manualLayout>
              <c:xMode val="edge"/>
              <c:yMode val="edge"/>
              <c:x val="0.45267332740683203"/>
              <c:y val="0.96027522790388087"/>
            </c:manualLayout>
          </c:layout>
          <c:overlay val="0"/>
        </c:title>
        <c:numFmt formatCode="0.0" sourceLinked="0"/>
        <c:majorTickMark val="out"/>
        <c:minorTickMark val="none"/>
        <c:tickLblPos val="nextTo"/>
        <c:txPr>
          <a:bodyPr rot="5400000" vert="horz"/>
          <a:lstStyle/>
          <a:p>
            <a:pPr>
              <a:defRPr>
                <a:latin typeface="+mn-lt"/>
              </a:defRPr>
            </a:pPr>
            <a:endParaRPr lang="en-US"/>
          </a:p>
        </c:txPr>
        <c:crossAx val="217909416"/>
        <c:crosses val="autoZero"/>
        <c:auto val="0"/>
        <c:lblAlgn val="ctr"/>
        <c:lblOffset val="100"/>
        <c:noMultiLvlLbl val="0"/>
      </c:catAx>
      <c:valAx>
        <c:axId val="217909416"/>
        <c:scaling>
          <c:orientation val="minMax"/>
          <c:max val="80"/>
          <c:min val="0"/>
        </c:scaling>
        <c:delete val="0"/>
        <c:axPos val="l"/>
        <c:majorGridlines/>
        <c:minorGridlines>
          <c:spPr>
            <a:ln w="9525"/>
          </c:spPr>
        </c:minorGridlines>
        <c:numFmt formatCode="0" sourceLinked="0"/>
        <c:majorTickMark val="out"/>
        <c:minorTickMark val="none"/>
        <c:tickLblPos val="nextTo"/>
        <c:crossAx val="217909024"/>
        <c:crossesAt val="1"/>
        <c:crossBetween val="between"/>
      </c:valAx>
    </c:plotArea>
    <c:legend>
      <c:legendPos val="r"/>
      <c:layout>
        <c:manualLayout>
          <c:xMode val="edge"/>
          <c:yMode val="edge"/>
          <c:x val="0.32140257833145736"/>
          <c:y val="0.3699387812747329"/>
          <c:w val="0.11910738395536313"/>
          <c:h val="0.16067328478965909"/>
        </c:manualLayout>
      </c:layout>
      <c:overlay val="0"/>
      <c:spPr>
        <a:solidFill>
          <a:schemeClr val="bg1"/>
        </a:solidFill>
      </c:spPr>
    </c:legend>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6.377182144348234E-2"/>
          <c:w val="0.84021029722960738"/>
          <c:h val="0.80726781780473633"/>
        </c:manualLayout>
      </c:layout>
      <c:barChart>
        <c:barDir val="col"/>
        <c:grouping val="clustered"/>
        <c:varyColors val="0"/>
        <c:ser>
          <c:idx val="1"/>
          <c:order val="0"/>
          <c:tx>
            <c:v>Wearable</c:v>
          </c:tx>
          <c:invertIfNegative val="0"/>
          <c:cat>
            <c:numRef>
              <c:f>Hists!$B$1350:$B$1358</c:f>
              <c:numCache>
                <c:formatCode>0.0</c:formatCode>
                <c:ptCount val="9"/>
                <c:pt idx="0">
                  <c:v>100</c:v>
                </c:pt>
                <c:pt idx="1">
                  <c:v>200</c:v>
                </c:pt>
                <c:pt idx="2">
                  <c:v>300</c:v>
                </c:pt>
                <c:pt idx="3">
                  <c:v>400</c:v>
                </c:pt>
                <c:pt idx="4">
                  <c:v>500</c:v>
                </c:pt>
                <c:pt idx="5">
                  <c:v>600</c:v>
                </c:pt>
                <c:pt idx="6">
                  <c:v>700</c:v>
                </c:pt>
                <c:pt idx="7">
                  <c:v>800</c:v>
                </c:pt>
                <c:pt idx="8">
                  <c:v>900</c:v>
                </c:pt>
              </c:numCache>
            </c:numRef>
          </c:cat>
          <c:val>
            <c:numRef>
              <c:f>Hists!$D$1350:$D$1358</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794B-46B7-9D09-4331E4841632}"/>
            </c:ext>
          </c:extLst>
        </c:ser>
        <c:ser>
          <c:idx val="0"/>
          <c:order val="1"/>
          <c:tx>
            <c:v>Mote</c:v>
          </c:tx>
          <c:invertIfNegative val="0"/>
          <c:cat>
            <c:numRef>
              <c:f>Hists!$B$1350:$B$1358</c:f>
              <c:numCache>
                <c:formatCode>0.0</c:formatCode>
                <c:ptCount val="9"/>
                <c:pt idx="0">
                  <c:v>100</c:v>
                </c:pt>
                <c:pt idx="1">
                  <c:v>200</c:v>
                </c:pt>
                <c:pt idx="2">
                  <c:v>300</c:v>
                </c:pt>
                <c:pt idx="3">
                  <c:v>400</c:v>
                </c:pt>
                <c:pt idx="4">
                  <c:v>500</c:v>
                </c:pt>
                <c:pt idx="5">
                  <c:v>600</c:v>
                </c:pt>
                <c:pt idx="6">
                  <c:v>700</c:v>
                </c:pt>
                <c:pt idx="7">
                  <c:v>800</c:v>
                </c:pt>
                <c:pt idx="8">
                  <c:v>900</c:v>
                </c:pt>
              </c:numCache>
            </c:numRef>
          </c:cat>
          <c:val>
            <c:numRef>
              <c:f>Hists!$F$1350:$F$1358</c:f>
              <c:numCache>
                <c:formatCode>0.00</c:formatCode>
                <c:ptCount val="9"/>
                <c:pt idx="0">
                  <c:v>9.6774193548074923</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794B-46B7-9D09-4331E4841632}"/>
            </c:ext>
          </c:extLst>
        </c:ser>
        <c:dLbls>
          <c:showLegendKey val="0"/>
          <c:showVal val="0"/>
          <c:showCatName val="0"/>
          <c:showSerName val="0"/>
          <c:showPercent val="0"/>
          <c:showBubbleSize val="0"/>
        </c:dLbls>
        <c:gapWidth val="150"/>
        <c:axId val="217910200"/>
        <c:axId val="217910592"/>
      </c:barChart>
      <c:catAx>
        <c:axId val="217910200"/>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mm3</a:t>
                </a:r>
              </a:p>
            </c:rich>
          </c:tx>
          <c:layout>
            <c:manualLayout>
              <c:xMode val="edge"/>
              <c:yMode val="edge"/>
              <c:x val="0.43278067517857549"/>
              <c:y val="0.9518499503873139"/>
            </c:manualLayout>
          </c:layout>
          <c:overlay val="0"/>
        </c:title>
        <c:numFmt formatCode="#,##0" sourceLinked="0"/>
        <c:majorTickMark val="out"/>
        <c:minorTickMark val="none"/>
        <c:tickLblPos val="nextTo"/>
        <c:txPr>
          <a:bodyPr rot="5400000" vert="horz"/>
          <a:lstStyle/>
          <a:p>
            <a:pPr>
              <a:defRPr/>
            </a:pPr>
            <a:endParaRPr lang="en-US"/>
          </a:p>
        </c:txPr>
        <c:crossAx val="217910592"/>
        <c:crosses val="autoZero"/>
        <c:auto val="1"/>
        <c:lblAlgn val="ctr"/>
        <c:lblOffset val="100"/>
        <c:noMultiLvlLbl val="0"/>
      </c:catAx>
      <c:valAx>
        <c:axId val="217910592"/>
        <c:scaling>
          <c:orientation val="minMax"/>
          <c:max val="60"/>
        </c:scaling>
        <c:delete val="0"/>
        <c:axPos val="l"/>
        <c:majorGridlines/>
        <c:minorGridlines/>
        <c:numFmt formatCode="0" sourceLinked="0"/>
        <c:majorTickMark val="out"/>
        <c:minorTickMark val="none"/>
        <c:tickLblPos val="nextTo"/>
        <c:crossAx val="2179102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Hists!$C$149</c:f>
              <c:strCache>
                <c:ptCount val="1"/>
                <c:pt idx="0">
                  <c:v>Wearable</c:v>
                </c:pt>
              </c:strCache>
            </c:strRef>
          </c:tx>
          <c:spPr>
            <a:solidFill>
              <a:schemeClr val="accent2">
                <a:lumMod val="7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Hists!$A$151:$A$174</c:f>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f>Hists!$C$151:$C$174</c:f>
              <c:numCache>
                <c:formatCode>General</c:formatCode>
                <c:ptCount val="24"/>
                <c:pt idx="0">
                  <c:v>1</c:v>
                </c:pt>
                <c:pt idx="1">
                  <c:v>0</c:v>
                </c:pt>
                <c:pt idx="2">
                  <c:v>0</c:v>
                </c:pt>
                <c:pt idx="3">
                  <c:v>9</c:v>
                </c:pt>
                <c:pt idx="4">
                  <c:v>9</c:v>
                </c:pt>
                <c:pt idx="5">
                  <c:v>0</c:v>
                </c:pt>
                <c:pt idx="6">
                  <c:v>1</c:v>
                </c:pt>
                <c:pt idx="7">
                  <c:v>1</c:v>
                </c:pt>
                <c:pt idx="8">
                  <c:v>1</c:v>
                </c:pt>
                <c:pt idx="9">
                  <c:v>1</c:v>
                </c:pt>
                <c:pt idx="10">
                  <c:v>2</c:v>
                </c:pt>
                <c:pt idx="11">
                  <c:v>4</c:v>
                </c:pt>
                <c:pt idx="12">
                  <c:v>3</c:v>
                </c:pt>
                <c:pt idx="13">
                  <c:v>0</c:v>
                </c:pt>
                <c:pt idx="14">
                  <c:v>1</c:v>
                </c:pt>
                <c:pt idx="15">
                  <c:v>0</c:v>
                </c:pt>
                <c:pt idx="16">
                  <c:v>0</c:v>
                </c:pt>
                <c:pt idx="17">
                  <c:v>0</c:v>
                </c:pt>
                <c:pt idx="18">
                  <c:v>0</c:v>
                </c:pt>
                <c:pt idx="19">
                  <c:v>0</c:v>
                </c:pt>
                <c:pt idx="20">
                  <c:v>0</c:v>
                </c:pt>
                <c:pt idx="21">
                  <c:v>1</c:v>
                </c:pt>
                <c:pt idx="22">
                  <c:v>2</c:v>
                </c:pt>
                <c:pt idx="23">
                  <c:v>1</c:v>
                </c:pt>
              </c:numCache>
            </c:numRef>
          </c:val>
          <c:extLst xmlns:c16r2="http://schemas.microsoft.com/office/drawing/2015/06/chart">
            <c:ext xmlns:c16="http://schemas.microsoft.com/office/drawing/2014/chart" uri="{C3380CC4-5D6E-409C-BE32-E72D297353CC}">
              <c16:uniqueId val="{00000001-0FFC-41AA-AC3D-232C2B6A3637}"/>
            </c:ext>
          </c:extLst>
        </c:ser>
        <c:ser>
          <c:idx val="3"/>
          <c:order val="1"/>
          <c:tx>
            <c:strRef>
              <c:f>Hists!$E$149</c:f>
              <c:strCache>
                <c:ptCount val="1"/>
                <c:pt idx="0">
                  <c:v>Mote (on PCB)</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Hists!$A$151:$A$174</c:f>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f>Hists!$E$151:$E$174</c:f>
              <c:numCache>
                <c:formatCode>General</c:formatCode>
                <c:ptCount val="24"/>
                <c:pt idx="0">
                  <c:v>26</c:v>
                </c:pt>
                <c:pt idx="1">
                  <c:v>8</c:v>
                </c:pt>
                <c:pt idx="2">
                  <c:v>2</c:v>
                </c:pt>
                <c:pt idx="3">
                  <c:v>14</c:v>
                </c:pt>
                <c:pt idx="4">
                  <c:v>16</c:v>
                </c:pt>
                <c:pt idx="5">
                  <c:v>0</c:v>
                </c:pt>
                <c:pt idx="6">
                  <c:v>5</c:v>
                </c:pt>
                <c:pt idx="7">
                  <c:v>5</c:v>
                </c:pt>
                <c:pt idx="8">
                  <c:v>1</c:v>
                </c:pt>
                <c:pt idx="9">
                  <c:v>3</c:v>
                </c:pt>
                <c:pt idx="10">
                  <c:v>4</c:v>
                </c:pt>
                <c:pt idx="11">
                  <c:v>0</c:v>
                </c:pt>
                <c:pt idx="12">
                  <c:v>0</c:v>
                </c:pt>
                <c:pt idx="13">
                  <c:v>5</c:v>
                </c:pt>
                <c:pt idx="14">
                  <c:v>2</c:v>
                </c:pt>
                <c:pt idx="15">
                  <c:v>1</c:v>
                </c:pt>
                <c:pt idx="16">
                  <c:v>0</c:v>
                </c:pt>
                <c:pt idx="17">
                  <c:v>0</c:v>
                </c:pt>
                <c:pt idx="18">
                  <c:v>0</c:v>
                </c:pt>
                <c:pt idx="19">
                  <c:v>0</c:v>
                </c:pt>
                <c:pt idx="20">
                  <c:v>1</c:v>
                </c:pt>
                <c:pt idx="21">
                  <c:v>0</c:v>
                </c:pt>
                <c:pt idx="22">
                  <c:v>0</c:v>
                </c:pt>
                <c:pt idx="23">
                  <c:v>0</c:v>
                </c:pt>
              </c:numCache>
            </c:numRef>
          </c:val>
          <c:extLst xmlns:c16r2="http://schemas.microsoft.com/office/drawing/2015/06/chart">
            <c:ext xmlns:c16="http://schemas.microsoft.com/office/drawing/2014/chart" uri="{C3380CC4-5D6E-409C-BE32-E72D297353CC}">
              <c16:uniqueId val="{00000003-0FFC-41AA-AC3D-232C2B6A3637}"/>
            </c:ext>
          </c:extLst>
        </c:ser>
        <c:ser>
          <c:idx val="5"/>
          <c:order val="2"/>
          <c:tx>
            <c:strRef>
              <c:f>Hists!$G$149</c:f>
              <c:strCache>
                <c:ptCount val="1"/>
                <c:pt idx="0">
                  <c:v>MCU (Integrated Circuit)</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Hists!$A$151:$A$174</c:f>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f>Hists!$G$151:$G$174</c:f>
              <c:numCache>
                <c:formatCode>0</c:formatCode>
                <c:ptCount val="24"/>
                <c:pt idx="0">
                  <c:v>16</c:v>
                </c:pt>
                <c:pt idx="1">
                  <c:v>1</c:v>
                </c:pt>
                <c:pt idx="2" formatCode="General">
                  <c:v>0</c:v>
                </c:pt>
                <c:pt idx="3" formatCode="General">
                  <c:v>1</c:v>
                </c:pt>
                <c:pt idx="4" formatCode="General">
                  <c:v>1</c:v>
                </c:pt>
                <c:pt idx="5" formatCode="General">
                  <c:v>0</c:v>
                </c:pt>
                <c:pt idx="6" formatCode="General">
                  <c:v>2</c:v>
                </c:pt>
                <c:pt idx="7" formatCode="General">
                  <c:v>2</c:v>
                </c:pt>
                <c:pt idx="8" formatCode="General">
                  <c:v>0</c:v>
                </c:pt>
                <c:pt idx="9" formatCode="General">
                  <c:v>2</c:v>
                </c:pt>
                <c:pt idx="10" formatCode="General">
                  <c:v>2</c:v>
                </c:pt>
                <c:pt idx="11" formatCode="General">
                  <c:v>1</c:v>
                </c:pt>
                <c:pt idx="12" formatCode="General">
                  <c:v>0</c:v>
                </c:pt>
                <c:pt idx="13" formatCode="General">
                  <c:v>1</c:v>
                </c:pt>
                <c:pt idx="14" formatCode="General">
                  <c:v>1</c:v>
                </c:pt>
                <c:pt idx="15" formatCode="General">
                  <c:v>5</c:v>
                </c:pt>
                <c:pt idx="16" formatCode="General">
                  <c:v>0</c:v>
                </c:pt>
                <c:pt idx="17" formatCode="General">
                  <c:v>1</c:v>
                </c:pt>
                <c:pt idx="18" formatCode="General">
                  <c:v>1</c:v>
                </c:pt>
                <c:pt idx="19" formatCode="General">
                  <c:v>1</c:v>
                </c:pt>
                <c:pt idx="20" formatCode="General">
                  <c:v>0</c:v>
                </c:pt>
                <c:pt idx="21" formatCode="General">
                  <c:v>3</c:v>
                </c:pt>
                <c:pt idx="22" formatCode="General">
                  <c:v>0</c:v>
                </c:pt>
                <c:pt idx="23" formatCode="General">
                  <c:v>0</c:v>
                </c:pt>
              </c:numCache>
            </c:numRef>
          </c:val>
          <c:extLst xmlns:c16r2="http://schemas.microsoft.com/office/drawing/2015/06/chart">
            <c:ext xmlns:c16="http://schemas.microsoft.com/office/drawing/2014/chart" uri="{C3380CC4-5D6E-409C-BE32-E72D297353CC}">
              <c16:uniqueId val="{00000005-0FFC-41AA-AC3D-232C2B6A3637}"/>
            </c:ext>
          </c:extLst>
        </c:ser>
        <c:ser>
          <c:idx val="7"/>
          <c:order val="3"/>
          <c:tx>
            <c:strRef>
              <c:f>Hists!$I$149</c:f>
              <c:strCache>
                <c:ptCount val="1"/>
                <c:pt idx="0">
                  <c:v>Sensor Hub (Integrated Circuit)</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Hists!$A$151:$A$174</c:f>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f>Hists!$I$151:$I$174</c:f>
              <c:numCache>
                <c:formatCode>0</c:formatCode>
                <c:ptCount val="24"/>
                <c:pt idx="0">
                  <c:v>8</c:v>
                </c:pt>
                <c:pt idx="1">
                  <c:v>4</c:v>
                </c:pt>
                <c:pt idx="2" formatCode="General">
                  <c:v>1</c:v>
                </c:pt>
                <c:pt idx="3" formatCode="General">
                  <c:v>1</c:v>
                </c:pt>
                <c:pt idx="4" formatCode="General">
                  <c:v>2</c:v>
                </c:pt>
                <c:pt idx="5" formatCode="General">
                  <c:v>0</c:v>
                </c:pt>
                <c:pt idx="6" formatCode="General">
                  <c:v>0</c:v>
                </c:pt>
                <c:pt idx="7" formatCode="General">
                  <c:v>0</c:v>
                </c:pt>
                <c:pt idx="8" formatCode="General">
                  <c:v>0</c:v>
                </c:pt>
                <c:pt idx="9" formatCode="General">
                  <c:v>1</c:v>
                </c:pt>
                <c:pt idx="10" formatCode="General">
                  <c:v>1</c:v>
                </c:pt>
                <c:pt idx="11" formatCode="General">
                  <c:v>1</c:v>
                </c:pt>
                <c:pt idx="12" formatCode="General">
                  <c:v>2</c:v>
                </c:pt>
                <c:pt idx="13" formatCode="General">
                  <c:v>5</c:v>
                </c:pt>
                <c:pt idx="14" formatCode="General">
                  <c:v>1</c:v>
                </c:pt>
                <c:pt idx="15" formatCode="General">
                  <c:v>0</c:v>
                </c:pt>
                <c:pt idx="16" formatCode="General">
                  <c:v>4</c:v>
                </c:pt>
                <c:pt idx="17" formatCode="General">
                  <c:v>0</c:v>
                </c:pt>
                <c:pt idx="18" formatCode="General">
                  <c:v>0</c:v>
                </c:pt>
                <c:pt idx="19" formatCode="General">
                  <c:v>2</c:v>
                </c:pt>
                <c:pt idx="20" formatCode="General">
                  <c:v>0</c:v>
                </c:pt>
                <c:pt idx="21" formatCode="General">
                  <c:v>1</c:v>
                </c:pt>
                <c:pt idx="22" formatCode="General">
                  <c:v>0</c:v>
                </c:pt>
                <c:pt idx="23" formatCode="General">
                  <c:v>0</c:v>
                </c:pt>
              </c:numCache>
            </c:numRef>
          </c:val>
          <c:extLst xmlns:c16r2="http://schemas.microsoft.com/office/drawing/2015/06/chart">
            <c:ext xmlns:c16="http://schemas.microsoft.com/office/drawing/2014/chart" uri="{C3380CC4-5D6E-409C-BE32-E72D297353CC}">
              <c16:uniqueId val="{00000007-0FFC-41AA-AC3D-232C2B6A3637}"/>
            </c:ext>
          </c:extLst>
        </c:ser>
        <c:dLbls>
          <c:showLegendKey val="0"/>
          <c:showVal val="1"/>
          <c:showCatName val="0"/>
          <c:showSerName val="0"/>
          <c:showPercent val="0"/>
          <c:showBubbleSize val="0"/>
        </c:dLbls>
        <c:gapWidth val="75"/>
        <c:overlap val="100"/>
        <c:axId val="174830232"/>
        <c:axId val="174853336"/>
      </c:barChart>
      <c:catAx>
        <c:axId val="174830232"/>
        <c:scaling>
          <c:orientation val="minMax"/>
        </c:scaling>
        <c:delete val="0"/>
        <c:axPos val="b"/>
        <c:numFmt formatCode="General" sourceLinked="1"/>
        <c:majorTickMark val="none"/>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174853336"/>
        <c:crosses val="autoZero"/>
        <c:auto val="1"/>
        <c:lblAlgn val="ctr"/>
        <c:lblOffset val="100"/>
        <c:noMultiLvlLbl val="0"/>
      </c:catAx>
      <c:valAx>
        <c:axId val="174853336"/>
        <c:scaling>
          <c:orientation val="minMax"/>
          <c:max val="55"/>
          <c:min val="0"/>
        </c:scaling>
        <c:delete val="0"/>
        <c:axPos val="l"/>
        <c:majorGridlines/>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Number of</a:t>
                </a:r>
                <a:r>
                  <a:rPr lang="en-US" baseline="0">
                    <a:latin typeface="Times New Roman" panose="02020603050405020304" pitchFamily="18" charset="0"/>
                    <a:cs typeface="Times New Roman" panose="02020603050405020304" pitchFamily="18" charset="0"/>
                  </a:rPr>
                  <a:t> Devices Used the Srnsor</a:t>
                </a:r>
                <a:endParaRPr lang="en-US">
                  <a:latin typeface="Times New Roman" panose="02020603050405020304" pitchFamily="18" charset="0"/>
                  <a:cs typeface="Times New Roman" panose="02020603050405020304" pitchFamily="18" charset="0"/>
                </a:endParaRPr>
              </a:p>
            </c:rich>
          </c:tx>
          <c:layout/>
          <c:overlay val="0"/>
        </c:title>
        <c:numFmt formatCode="General" sourceLinked="1"/>
        <c:majorTickMark val="none"/>
        <c:minorTickMark val="none"/>
        <c:tickLblPos val="nextTo"/>
        <c:crossAx val="174830232"/>
        <c:crosses val="autoZero"/>
        <c:crossBetween val="between"/>
      </c:valAx>
    </c:plotArea>
    <c:legend>
      <c:legendPos val="t"/>
      <c:layout>
        <c:manualLayout>
          <c:xMode val="edge"/>
          <c:yMode val="edge"/>
          <c:x val="0.37152145664563008"/>
          <c:y val="0.1137558218238266"/>
          <c:w val="0.15653883523999895"/>
          <c:h val="0.13887983461053963"/>
        </c:manualLayout>
      </c:layout>
      <c:overlay val="0"/>
      <c:spPr>
        <a:solidFill>
          <a:schemeClr val="bg1"/>
        </a:solidFill>
      </c:spPr>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6.1077554165379626E-2"/>
          <c:w val="0.90106330706342552"/>
          <c:h val="0.80187928324853097"/>
        </c:manualLayout>
      </c:layout>
      <c:barChart>
        <c:barDir val="col"/>
        <c:grouping val="clustered"/>
        <c:varyColors val="0"/>
        <c:ser>
          <c:idx val="1"/>
          <c:order val="0"/>
          <c:tx>
            <c:v>Wearable</c:v>
          </c:tx>
          <c:invertIfNegative val="0"/>
          <c:cat>
            <c:numRef>
              <c:f>Hists!$B$1359:$B$1367</c:f>
              <c:numCache>
                <c:formatCode>0.0</c:formatCode>
                <c:ptCount val="9"/>
                <c:pt idx="0">
                  <c:v>1000</c:v>
                </c:pt>
                <c:pt idx="1">
                  <c:v>2000</c:v>
                </c:pt>
                <c:pt idx="2">
                  <c:v>3000</c:v>
                </c:pt>
                <c:pt idx="3">
                  <c:v>4000</c:v>
                </c:pt>
                <c:pt idx="4">
                  <c:v>5000</c:v>
                </c:pt>
                <c:pt idx="5">
                  <c:v>6000</c:v>
                </c:pt>
                <c:pt idx="6">
                  <c:v>7000</c:v>
                </c:pt>
                <c:pt idx="7">
                  <c:v>8000</c:v>
                </c:pt>
                <c:pt idx="8">
                  <c:v>9000</c:v>
                </c:pt>
              </c:numCache>
            </c:numRef>
          </c:cat>
          <c:val>
            <c:numRef>
              <c:f>Hists!$D$1359:$D$1367</c:f>
              <c:numCache>
                <c:formatCode>0.00</c:formatCode>
                <c:ptCount val="9"/>
                <c:pt idx="0">
                  <c:v>0</c:v>
                </c:pt>
                <c:pt idx="1">
                  <c:v>8.333333333263889</c:v>
                </c:pt>
                <c:pt idx="2">
                  <c:v>0</c:v>
                </c:pt>
                <c:pt idx="3">
                  <c:v>0</c:v>
                </c:pt>
                <c:pt idx="4">
                  <c:v>0</c:v>
                </c:pt>
                <c:pt idx="5">
                  <c:v>0</c:v>
                </c:pt>
                <c:pt idx="6">
                  <c:v>8.333333333263889</c:v>
                </c:pt>
                <c:pt idx="7">
                  <c:v>8.333333333263889</c:v>
                </c:pt>
                <c:pt idx="8">
                  <c:v>0</c:v>
                </c:pt>
              </c:numCache>
            </c:numRef>
          </c:val>
          <c:extLst xmlns:c16r2="http://schemas.microsoft.com/office/drawing/2015/06/chart">
            <c:ext xmlns:c16="http://schemas.microsoft.com/office/drawing/2014/chart" uri="{C3380CC4-5D6E-409C-BE32-E72D297353CC}">
              <c16:uniqueId val="{00000000-6BD8-42CD-8114-CA6E860DEECA}"/>
            </c:ext>
          </c:extLst>
        </c:ser>
        <c:ser>
          <c:idx val="0"/>
          <c:order val="1"/>
          <c:tx>
            <c:strRef>
              <c:f>Hists!$E$1348</c:f>
              <c:strCache>
                <c:ptCount val="1"/>
                <c:pt idx="0">
                  <c:v>Mote (on PCB)</c:v>
                </c:pt>
              </c:strCache>
            </c:strRef>
          </c:tx>
          <c:invertIfNegative val="0"/>
          <c:cat>
            <c:numRef>
              <c:f>Hists!$B$1359:$B$1367</c:f>
              <c:numCache>
                <c:formatCode>0.0</c:formatCode>
                <c:ptCount val="9"/>
                <c:pt idx="0">
                  <c:v>1000</c:v>
                </c:pt>
                <c:pt idx="1">
                  <c:v>2000</c:v>
                </c:pt>
                <c:pt idx="2">
                  <c:v>3000</c:v>
                </c:pt>
                <c:pt idx="3">
                  <c:v>4000</c:v>
                </c:pt>
                <c:pt idx="4">
                  <c:v>5000</c:v>
                </c:pt>
                <c:pt idx="5">
                  <c:v>6000</c:v>
                </c:pt>
                <c:pt idx="6">
                  <c:v>7000</c:v>
                </c:pt>
                <c:pt idx="7">
                  <c:v>8000</c:v>
                </c:pt>
                <c:pt idx="8">
                  <c:v>9000</c:v>
                </c:pt>
              </c:numCache>
            </c:numRef>
          </c:cat>
          <c:val>
            <c:numRef>
              <c:f>Hists!$F$1359:$F$1367</c:f>
              <c:numCache>
                <c:formatCode>0.00</c:formatCode>
                <c:ptCount val="9"/>
                <c:pt idx="0">
                  <c:v>0</c:v>
                </c:pt>
                <c:pt idx="1">
                  <c:v>19.354838709614985</c:v>
                </c:pt>
                <c:pt idx="2">
                  <c:v>0</c:v>
                </c:pt>
                <c:pt idx="3">
                  <c:v>0</c:v>
                </c:pt>
                <c:pt idx="4">
                  <c:v>3.2258064516024976</c:v>
                </c:pt>
                <c:pt idx="5">
                  <c:v>0</c:v>
                </c:pt>
                <c:pt idx="6">
                  <c:v>3.2258064516024976</c:v>
                </c:pt>
                <c:pt idx="7">
                  <c:v>0</c:v>
                </c:pt>
                <c:pt idx="8">
                  <c:v>0</c:v>
                </c:pt>
              </c:numCache>
            </c:numRef>
          </c:val>
          <c:extLst xmlns:c16r2="http://schemas.microsoft.com/office/drawing/2015/06/chart">
            <c:ext xmlns:c16="http://schemas.microsoft.com/office/drawing/2014/chart" uri="{C3380CC4-5D6E-409C-BE32-E72D297353CC}">
              <c16:uniqueId val="{00000001-6BD8-42CD-8114-CA6E860DEECA}"/>
            </c:ext>
          </c:extLst>
        </c:ser>
        <c:dLbls>
          <c:showLegendKey val="0"/>
          <c:showVal val="0"/>
          <c:showCatName val="0"/>
          <c:showSerName val="0"/>
          <c:showPercent val="0"/>
          <c:showBubbleSize val="0"/>
        </c:dLbls>
        <c:gapWidth val="150"/>
        <c:axId val="218082528"/>
        <c:axId val="218082920"/>
      </c:barChart>
      <c:catAx>
        <c:axId val="218082528"/>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mm3</a:t>
                </a:r>
              </a:p>
            </c:rich>
          </c:tx>
          <c:layout>
            <c:manualLayout>
              <c:xMode val="edge"/>
              <c:yMode val="edge"/>
              <c:x val="0.41740625794399039"/>
              <c:y val="0.95337043143225886"/>
            </c:manualLayout>
          </c:layout>
          <c:overlay val="0"/>
        </c:title>
        <c:numFmt formatCode="#,##0" sourceLinked="0"/>
        <c:majorTickMark val="out"/>
        <c:minorTickMark val="none"/>
        <c:tickLblPos val="nextTo"/>
        <c:txPr>
          <a:bodyPr rot="5400000" vert="horz"/>
          <a:lstStyle/>
          <a:p>
            <a:pPr>
              <a:defRPr/>
            </a:pPr>
            <a:endParaRPr lang="en-US"/>
          </a:p>
        </c:txPr>
        <c:crossAx val="218082920"/>
        <c:crosses val="autoZero"/>
        <c:auto val="1"/>
        <c:lblAlgn val="ctr"/>
        <c:lblOffset val="100"/>
        <c:noMultiLvlLbl val="0"/>
      </c:catAx>
      <c:valAx>
        <c:axId val="218082920"/>
        <c:scaling>
          <c:orientation val="minMax"/>
          <c:max val="60"/>
        </c:scaling>
        <c:delete val="1"/>
        <c:axPos val="l"/>
        <c:majorGridlines/>
        <c:minorGridlines/>
        <c:numFmt formatCode="0.00" sourceLinked="1"/>
        <c:majorTickMark val="out"/>
        <c:minorTickMark val="none"/>
        <c:tickLblPos val="nextTo"/>
        <c:crossAx val="218082528"/>
        <c:crosses val="autoZero"/>
        <c:crossBetween val="between"/>
      </c:valAx>
    </c:plotArea>
    <c:legend>
      <c:legendPos val="t"/>
      <c:layout>
        <c:manualLayout>
          <c:xMode val="edge"/>
          <c:yMode val="edge"/>
          <c:x val="0.26793688680313632"/>
          <c:y val="0.38480290213555968"/>
          <c:w val="0.43898263072491955"/>
          <c:h val="0.12131493641672876"/>
        </c:manualLayout>
      </c:layout>
      <c:overlay val="0"/>
      <c:spPr>
        <a:solidFill>
          <a:schemeClr val="bg1"/>
        </a:solidFill>
      </c:spPr>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6.646608872158502E-2"/>
          <c:w val="0.9050595794725812"/>
          <c:h val="0.79918501597042835"/>
        </c:manualLayout>
      </c:layout>
      <c:barChart>
        <c:barDir val="col"/>
        <c:grouping val="clustered"/>
        <c:varyColors val="0"/>
        <c:ser>
          <c:idx val="1"/>
          <c:order val="0"/>
          <c:tx>
            <c:v>Wearable</c:v>
          </c:tx>
          <c:invertIfNegative val="0"/>
          <c:cat>
            <c:numRef>
              <c:f>Hists!$B$1368:$B$1378</c:f>
              <c:numCache>
                <c:formatCode>0.0</c:formatCode>
                <c:ptCount val="11"/>
                <c:pt idx="0">
                  <c:v>1000</c:v>
                </c:pt>
                <c:pt idx="1">
                  <c:v>20000</c:v>
                </c:pt>
                <c:pt idx="2">
                  <c:v>30000</c:v>
                </c:pt>
                <c:pt idx="3">
                  <c:v>40000</c:v>
                </c:pt>
                <c:pt idx="4">
                  <c:v>50000</c:v>
                </c:pt>
                <c:pt idx="5">
                  <c:v>60000</c:v>
                </c:pt>
                <c:pt idx="6">
                  <c:v>70000</c:v>
                </c:pt>
                <c:pt idx="7">
                  <c:v>80000</c:v>
                </c:pt>
                <c:pt idx="8">
                  <c:v>90000</c:v>
                </c:pt>
                <c:pt idx="9">
                  <c:v>100000</c:v>
                </c:pt>
                <c:pt idx="10">
                  <c:v>200000</c:v>
                </c:pt>
              </c:numCache>
            </c:numRef>
          </c:cat>
          <c:val>
            <c:numRef>
              <c:f>Hists!$D$1368:$D$1378</c:f>
              <c:numCache>
                <c:formatCode>0.00</c:formatCode>
                <c:ptCount val="11"/>
                <c:pt idx="0">
                  <c:v>0</c:v>
                </c:pt>
                <c:pt idx="1">
                  <c:v>58.333333332847225</c:v>
                </c:pt>
                <c:pt idx="2">
                  <c:v>0</c:v>
                </c:pt>
                <c:pt idx="3">
                  <c:v>0</c:v>
                </c:pt>
                <c:pt idx="4">
                  <c:v>0</c:v>
                </c:pt>
                <c:pt idx="5">
                  <c:v>0</c:v>
                </c:pt>
                <c:pt idx="6">
                  <c:v>0</c:v>
                </c:pt>
                <c:pt idx="7">
                  <c:v>0</c:v>
                </c:pt>
                <c:pt idx="8">
                  <c:v>0</c:v>
                </c:pt>
                <c:pt idx="9">
                  <c:v>0</c:v>
                </c:pt>
                <c:pt idx="10">
                  <c:v>16.666666666527778</c:v>
                </c:pt>
              </c:numCache>
            </c:numRef>
          </c:val>
          <c:extLst xmlns:c16r2="http://schemas.microsoft.com/office/drawing/2015/06/chart">
            <c:ext xmlns:c16="http://schemas.microsoft.com/office/drawing/2014/chart" uri="{C3380CC4-5D6E-409C-BE32-E72D297353CC}">
              <c16:uniqueId val="{00000000-4972-4A1E-9E40-491DB1379369}"/>
            </c:ext>
          </c:extLst>
        </c:ser>
        <c:ser>
          <c:idx val="0"/>
          <c:order val="1"/>
          <c:tx>
            <c:v>Mote</c:v>
          </c:tx>
          <c:invertIfNegative val="0"/>
          <c:cat>
            <c:numRef>
              <c:f>Hists!$B$1368:$B$1378</c:f>
              <c:numCache>
                <c:formatCode>0.0</c:formatCode>
                <c:ptCount val="11"/>
                <c:pt idx="0">
                  <c:v>1000</c:v>
                </c:pt>
                <c:pt idx="1">
                  <c:v>20000</c:v>
                </c:pt>
                <c:pt idx="2">
                  <c:v>30000</c:v>
                </c:pt>
                <c:pt idx="3">
                  <c:v>40000</c:v>
                </c:pt>
                <c:pt idx="4">
                  <c:v>50000</c:v>
                </c:pt>
                <c:pt idx="5">
                  <c:v>60000</c:v>
                </c:pt>
                <c:pt idx="6">
                  <c:v>70000</c:v>
                </c:pt>
                <c:pt idx="7">
                  <c:v>80000</c:v>
                </c:pt>
                <c:pt idx="8">
                  <c:v>90000</c:v>
                </c:pt>
                <c:pt idx="9">
                  <c:v>100000</c:v>
                </c:pt>
                <c:pt idx="10">
                  <c:v>200000</c:v>
                </c:pt>
              </c:numCache>
            </c:numRef>
          </c:cat>
          <c:val>
            <c:numRef>
              <c:f>Hists!$F$1368:$F$1378</c:f>
              <c:numCache>
                <c:formatCode>0.00</c:formatCode>
                <c:ptCount val="11"/>
                <c:pt idx="0">
                  <c:v>25.806451612819981</c:v>
                </c:pt>
                <c:pt idx="1">
                  <c:v>12.90322580640999</c:v>
                </c:pt>
                <c:pt idx="2">
                  <c:v>0</c:v>
                </c:pt>
                <c:pt idx="3">
                  <c:v>6.4516129032049951</c:v>
                </c:pt>
                <c:pt idx="4">
                  <c:v>0</c:v>
                </c:pt>
                <c:pt idx="5">
                  <c:v>3.2258064516024976</c:v>
                </c:pt>
                <c:pt idx="6">
                  <c:v>0</c:v>
                </c:pt>
                <c:pt idx="7">
                  <c:v>0</c:v>
                </c:pt>
                <c:pt idx="8">
                  <c:v>0</c:v>
                </c:pt>
                <c:pt idx="9">
                  <c:v>0</c:v>
                </c:pt>
                <c:pt idx="10">
                  <c:v>16.129032258012487</c:v>
                </c:pt>
              </c:numCache>
            </c:numRef>
          </c:val>
          <c:extLst xmlns:c16r2="http://schemas.microsoft.com/office/drawing/2015/06/chart">
            <c:ext xmlns:c16="http://schemas.microsoft.com/office/drawing/2014/chart" uri="{C3380CC4-5D6E-409C-BE32-E72D297353CC}">
              <c16:uniqueId val="{00000001-4972-4A1E-9E40-491DB1379369}"/>
            </c:ext>
          </c:extLst>
        </c:ser>
        <c:dLbls>
          <c:showLegendKey val="0"/>
          <c:showVal val="0"/>
          <c:showCatName val="0"/>
          <c:showSerName val="0"/>
          <c:showPercent val="0"/>
          <c:showBubbleSize val="0"/>
        </c:dLbls>
        <c:gapWidth val="150"/>
        <c:axId val="218083704"/>
        <c:axId val="218084096"/>
      </c:barChart>
      <c:catAx>
        <c:axId val="218083704"/>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mm3</a:t>
                </a:r>
              </a:p>
            </c:rich>
          </c:tx>
          <c:layout>
            <c:manualLayout>
              <c:xMode val="edge"/>
              <c:yMode val="edge"/>
              <c:x val="0.41749847637513066"/>
              <c:y val="0.95643809093180121"/>
            </c:manualLayout>
          </c:layout>
          <c:overlay val="0"/>
        </c:title>
        <c:numFmt formatCode="#,##0" sourceLinked="0"/>
        <c:majorTickMark val="out"/>
        <c:minorTickMark val="none"/>
        <c:tickLblPos val="nextTo"/>
        <c:txPr>
          <a:bodyPr rot="5400000" vert="horz"/>
          <a:lstStyle/>
          <a:p>
            <a:pPr>
              <a:defRPr/>
            </a:pPr>
            <a:endParaRPr lang="en-US"/>
          </a:p>
        </c:txPr>
        <c:crossAx val="218084096"/>
        <c:crosses val="autoZero"/>
        <c:auto val="1"/>
        <c:lblAlgn val="ctr"/>
        <c:lblOffset val="100"/>
        <c:noMultiLvlLbl val="0"/>
      </c:catAx>
      <c:valAx>
        <c:axId val="218084096"/>
        <c:scaling>
          <c:orientation val="minMax"/>
          <c:max val="60"/>
        </c:scaling>
        <c:delete val="1"/>
        <c:axPos val="l"/>
        <c:majorGridlines/>
        <c:minorGridlines/>
        <c:numFmt formatCode="0.00" sourceLinked="1"/>
        <c:majorTickMark val="out"/>
        <c:minorTickMark val="none"/>
        <c:tickLblPos val="nextTo"/>
        <c:crossAx val="218083704"/>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5.3156609153296605E-2"/>
          <c:w val="0.85395246988084439"/>
          <c:h val="0.87061551321937225"/>
        </c:manualLayout>
      </c:layout>
      <c:barChart>
        <c:barDir val="col"/>
        <c:grouping val="clustered"/>
        <c:varyColors val="0"/>
        <c:ser>
          <c:idx val="2"/>
          <c:order val="0"/>
          <c:tx>
            <c:v>MCU</c:v>
          </c:tx>
          <c:invertIfNegative val="0"/>
          <c:cat>
            <c:numRef>
              <c:f>Hists!$B$1400:$B$1414</c:f>
              <c:numCache>
                <c:formatCode>0.0</c:formatCode>
                <c:ptCount val="15"/>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numCache>
            </c:numRef>
          </c:cat>
          <c:val>
            <c:numRef>
              <c:f>Hists!$H$1400:$H$1414</c:f>
              <c:numCache>
                <c:formatCode>0.00</c:formatCode>
                <c:ptCount val="15"/>
                <c:pt idx="0">
                  <c:v>18.18181818173554</c:v>
                </c:pt>
                <c:pt idx="1">
                  <c:v>4.5454545454338851</c:v>
                </c:pt>
                <c:pt idx="2">
                  <c:v>4.5454545454338851</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74AE-4B01-8D7B-EC28B0A2AC93}"/>
            </c:ext>
          </c:extLst>
        </c:ser>
        <c:ser>
          <c:idx val="3"/>
          <c:order val="1"/>
          <c:tx>
            <c:v>SensHub</c:v>
          </c:tx>
          <c:invertIfNegative val="0"/>
          <c:cat>
            <c:numRef>
              <c:f>Hists!$B$1400:$B$1414</c:f>
              <c:numCache>
                <c:formatCode>0.0</c:formatCode>
                <c:ptCount val="15"/>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numCache>
            </c:numRef>
          </c:cat>
          <c:val>
            <c:numRef>
              <c:f>Hists!$J$1400:$J$1414</c:f>
              <c:numCache>
                <c:formatCode>0.00</c:formatCode>
                <c:ptCount val="15"/>
                <c:pt idx="0">
                  <c:v>21.428571428418369</c:v>
                </c:pt>
                <c:pt idx="1">
                  <c:v>0</c:v>
                </c:pt>
                <c:pt idx="2">
                  <c:v>0</c:v>
                </c:pt>
                <c:pt idx="3">
                  <c:v>21.428571428418369</c:v>
                </c:pt>
                <c:pt idx="4">
                  <c:v>0</c:v>
                </c:pt>
                <c:pt idx="5">
                  <c:v>7.1428571428061227</c:v>
                </c:pt>
                <c:pt idx="6">
                  <c:v>0</c:v>
                </c:pt>
                <c:pt idx="7">
                  <c:v>0</c:v>
                </c:pt>
                <c:pt idx="8">
                  <c:v>0</c:v>
                </c:pt>
                <c:pt idx="9">
                  <c:v>7.1428571428061227</c:v>
                </c:pt>
                <c:pt idx="10">
                  <c:v>0</c:v>
                </c:pt>
                <c:pt idx="11">
                  <c:v>0</c:v>
                </c:pt>
                <c:pt idx="12">
                  <c:v>0</c:v>
                </c:pt>
                <c:pt idx="13">
                  <c:v>28.571428571224491</c:v>
                </c:pt>
                <c:pt idx="14">
                  <c:v>0</c:v>
                </c:pt>
              </c:numCache>
            </c:numRef>
          </c:val>
          <c:extLst xmlns:c16r2="http://schemas.microsoft.com/office/drawing/2015/06/chart">
            <c:ext xmlns:c16="http://schemas.microsoft.com/office/drawing/2014/chart" uri="{C3380CC4-5D6E-409C-BE32-E72D297353CC}">
              <c16:uniqueId val="{00000001-74AE-4B01-8D7B-EC28B0A2AC93}"/>
            </c:ext>
          </c:extLst>
        </c:ser>
        <c:dLbls>
          <c:showLegendKey val="0"/>
          <c:showVal val="0"/>
          <c:showCatName val="0"/>
          <c:showSerName val="0"/>
          <c:showPercent val="0"/>
          <c:showBubbleSize val="0"/>
        </c:dLbls>
        <c:gapWidth val="150"/>
        <c:axId val="218084880"/>
        <c:axId val="218085272"/>
      </c:barChart>
      <c:catAx>
        <c:axId val="218084880"/>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mm2</a:t>
                </a:r>
              </a:p>
            </c:rich>
          </c:tx>
          <c:layout>
            <c:manualLayout>
              <c:xMode val="edge"/>
              <c:yMode val="edge"/>
              <c:x val="0.42493519802881913"/>
              <c:y val="0.96144309627452473"/>
            </c:manualLayout>
          </c:layout>
          <c:overlay val="0"/>
        </c:title>
        <c:numFmt formatCode="#,##0.0" sourceLinked="0"/>
        <c:majorTickMark val="out"/>
        <c:minorTickMark val="none"/>
        <c:tickLblPos val="nextTo"/>
        <c:txPr>
          <a:bodyPr rot="5400000" vert="horz"/>
          <a:lstStyle/>
          <a:p>
            <a:pPr>
              <a:defRPr/>
            </a:pPr>
            <a:endParaRPr lang="en-US"/>
          </a:p>
        </c:txPr>
        <c:crossAx val="218085272"/>
        <c:crosses val="autoZero"/>
        <c:auto val="1"/>
        <c:lblAlgn val="ctr"/>
        <c:lblOffset val="100"/>
        <c:noMultiLvlLbl val="0"/>
      </c:catAx>
      <c:valAx>
        <c:axId val="218085272"/>
        <c:scaling>
          <c:orientation val="minMax"/>
          <c:max val="40"/>
        </c:scaling>
        <c:delete val="0"/>
        <c:axPos val="l"/>
        <c:majorGridlines/>
        <c:minorGridlines/>
        <c:numFmt formatCode="0" sourceLinked="0"/>
        <c:majorTickMark val="out"/>
        <c:minorTickMark val="none"/>
        <c:tickLblPos val="nextTo"/>
        <c:crossAx val="218084880"/>
        <c:crosses val="autoZero"/>
        <c:crossBetween val="between"/>
      </c:valAx>
    </c:plotArea>
    <c:legend>
      <c:legendPos val="r"/>
      <c:layout>
        <c:manualLayout>
          <c:xMode val="edge"/>
          <c:yMode val="edge"/>
          <c:x val="0.40686510581486357"/>
          <c:y val="0.15428684083736866"/>
          <c:w val="0.24480781113151329"/>
          <c:h val="0.11748545529051842"/>
        </c:manualLayout>
      </c:layout>
      <c:overlay val="1"/>
      <c:spPr>
        <a:solidFill>
          <a:schemeClr val="bg1"/>
        </a:solidFill>
      </c:spPr>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5.5759271369342563E-2"/>
          <c:w val="0.90595366108134812"/>
          <c:h val="0.86541018878728027"/>
        </c:manualLayout>
      </c:layout>
      <c:barChart>
        <c:barDir val="col"/>
        <c:grouping val="clustered"/>
        <c:varyColors val="0"/>
        <c:ser>
          <c:idx val="2"/>
          <c:order val="0"/>
          <c:tx>
            <c:v>MCU</c:v>
          </c:tx>
          <c:invertIfNegative val="0"/>
          <c:cat>
            <c:numRef>
              <c:f>Hists!$B$1415:$B$1424</c:f>
              <c:numCache>
                <c:formatCode>0.0</c:formatCode>
                <c:ptCount val="10"/>
                <c:pt idx="0">
                  <c:v>10</c:v>
                </c:pt>
                <c:pt idx="1">
                  <c:v>11</c:v>
                </c:pt>
                <c:pt idx="2">
                  <c:v>12</c:v>
                </c:pt>
                <c:pt idx="3">
                  <c:v>13</c:v>
                </c:pt>
                <c:pt idx="4">
                  <c:v>14</c:v>
                </c:pt>
                <c:pt idx="5">
                  <c:v>15</c:v>
                </c:pt>
                <c:pt idx="6">
                  <c:v>16</c:v>
                </c:pt>
                <c:pt idx="7">
                  <c:v>17</c:v>
                </c:pt>
                <c:pt idx="8">
                  <c:v>18</c:v>
                </c:pt>
                <c:pt idx="9">
                  <c:v>19</c:v>
                </c:pt>
              </c:numCache>
            </c:numRef>
          </c:cat>
          <c:val>
            <c:numRef>
              <c:f>Hists!$H$1415:$H$1424</c:f>
              <c:numCache>
                <c:formatCode>0.00</c:formatCode>
                <c:ptCount val="10"/>
                <c:pt idx="0">
                  <c:v>0</c:v>
                </c:pt>
                <c:pt idx="1">
                  <c:v>0</c:v>
                </c:pt>
                <c:pt idx="2">
                  <c:v>0</c:v>
                </c:pt>
                <c:pt idx="3">
                  <c:v>0</c:v>
                </c:pt>
                <c:pt idx="4">
                  <c:v>0</c:v>
                </c:pt>
                <c:pt idx="5">
                  <c:v>0</c:v>
                </c:pt>
                <c:pt idx="6">
                  <c:v>36.36363636347108</c:v>
                </c:pt>
                <c:pt idx="7">
                  <c:v>0</c:v>
                </c:pt>
                <c:pt idx="8">
                  <c:v>0</c:v>
                </c:pt>
                <c:pt idx="9">
                  <c:v>0</c:v>
                </c:pt>
              </c:numCache>
            </c:numRef>
          </c:val>
          <c:extLst xmlns:c16r2="http://schemas.microsoft.com/office/drawing/2015/06/chart">
            <c:ext xmlns:c16="http://schemas.microsoft.com/office/drawing/2014/chart" uri="{C3380CC4-5D6E-409C-BE32-E72D297353CC}">
              <c16:uniqueId val="{00000000-5CB5-45C3-90CF-8E1B12B56803}"/>
            </c:ext>
          </c:extLst>
        </c:ser>
        <c:ser>
          <c:idx val="3"/>
          <c:order val="1"/>
          <c:tx>
            <c:v>SensHub</c:v>
          </c:tx>
          <c:invertIfNegative val="0"/>
          <c:cat>
            <c:numRef>
              <c:f>Hists!$B$1415:$B$1424</c:f>
              <c:numCache>
                <c:formatCode>0.0</c:formatCode>
                <c:ptCount val="10"/>
                <c:pt idx="0">
                  <c:v>10</c:v>
                </c:pt>
                <c:pt idx="1">
                  <c:v>11</c:v>
                </c:pt>
                <c:pt idx="2">
                  <c:v>12</c:v>
                </c:pt>
                <c:pt idx="3">
                  <c:v>13</c:v>
                </c:pt>
                <c:pt idx="4">
                  <c:v>14</c:v>
                </c:pt>
                <c:pt idx="5">
                  <c:v>15</c:v>
                </c:pt>
                <c:pt idx="6">
                  <c:v>16</c:v>
                </c:pt>
                <c:pt idx="7">
                  <c:v>17</c:v>
                </c:pt>
                <c:pt idx="8">
                  <c:v>18</c:v>
                </c:pt>
                <c:pt idx="9">
                  <c:v>19</c:v>
                </c:pt>
              </c:numCache>
            </c:numRef>
          </c:cat>
          <c:val>
            <c:numRef>
              <c:f>Hists!$J$1415:$J$1424</c:f>
              <c:numCache>
                <c:formatCode>0.00</c:formatCode>
                <c:ptCount val="10"/>
                <c:pt idx="0">
                  <c:v>7.1428571428061227</c:v>
                </c:pt>
                <c:pt idx="1">
                  <c:v>0</c:v>
                </c:pt>
                <c:pt idx="2">
                  <c:v>0</c:v>
                </c:pt>
                <c:pt idx="3">
                  <c:v>7.1428571428061227</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5CB5-45C3-90CF-8E1B12B56803}"/>
            </c:ext>
          </c:extLst>
        </c:ser>
        <c:dLbls>
          <c:showLegendKey val="0"/>
          <c:showVal val="0"/>
          <c:showCatName val="0"/>
          <c:showSerName val="0"/>
          <c:showPercent val="0"/>
          <c:showBubbleSize val="0"/>
        </c:dLbls>
        <c:gapWidth val="150"/>
        <c:axId val="218518608"/>
        <c:axId val="218519000"/>
      </c:barChart>
      <c:catAx>
        <c:axId val="218518608"/>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mm2</a:t>
                </a:r>
              </a:p>
            </c:rich>
          </c:tx>
          <c:layout>
            <c:manualLayout>
              <c:xMode val="edge"/>
              <c:yMode val="edge"/>
              <c:x val="0.43234265426999668"/>
              <c:y val="0.96162507769561512"/>
            </c:manualLayout>
          </c:layout>
          <c:overlay val="0"/>
        </c:title>
        <c:numFmt formatCode="#,##0" sourceLinked="0"/>
        <c:majorTickMark val="out"/>
        <c:minorTickMark val="none"/>
        <c:tickLblPos val="nextTo"/>
        <c:txPr>
          <a:bodyPr rot="5400000" vert="horz"/>
          <a:lstStyle/>
          <a:p>
            <a:pPr>
              <a:defRPr/>
            </a:pPr>
            <a:endParaRPr lang="en-US"/>
          </a:p>
        </c:txPr>
        <c:crossAx val="218519000"/>
        <c:crosses val="autoZero"/>
        <c:auto val="1"/>
        <c:lblAlgn val="ctr"/>
        <c:lblOffset val="100"/>
        <c:noMultiLvlLbl val="0"/>
      </c:catAx>
      <c:valAx>
        <c:axId val="218519000"/>
        <c:scaling>
          <c:orientation val="minMax"/>
          <c:max val="40"/>
        </c:scaling>
        <c:delete val="1"/>
        <c:axPos val="l"/>
        <c:majorGridlines/>
        <c:minorGridlines/>
        <c:numFmt formatCode="0.00" sourceLinked="1"/>
        <c:majorTickMark val="out"/>
        <c:minorTickMark val="none"/>
        <c:tickLblPos val="nextTo"/>
        <c:crossAx val="218518608"/>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5.8361933585388541E-2"/>
          <c:w val="0.89263895378703673"/>
          <c:h val="0.86020486435518839"/>
        </c:manualLayout>
      </c:layout>
      <c:barChart>
        <c:barDir val="col"/>
        <c:grouping val="clustered"/>
        <c:varyColors val="0"/>
        <c:ser>
          <c:idx val="2"/>
          <c:order val="0"/>
          <c:tx>
            <c:v>MCU</c:v>
          </c:tx>
          <c:invertIfNegative val="0"/>
          <c:cat>
            <c:numRef>
              <c:f>Hists!$B$1425:$B$1428</c:f>
              <c:numCache>
                <c:formatCode>0.0</c:formatCode>
                <c:ptCount val="4"/>
                <c:pt idx="0">
                  <c:v>20</c:v>
                </c:pt>
                <c:pt idx="1">
                  <c:v>25</c:v>
                </c:pt>
                <c:pt idx="2">
                  <c:v>30</c:v>
                </c:pt>
                <c:pt idx="3">
                  <c:v>35</c:v>
                </c:pt>
              </c:numCache>
            </c:numRef>
          </c:cat>
          <c:val>
            <c:numRef>
              <c:f>Hists!$H$1425:$H$1428</c:f>
              <c:numCache>
                <c:formatCode>0.00</c:formatCode>
                <c:ptCount val="4"/>
                <c:pt idx="0">
                  <c:v>0</c:v>
                </c:pt>
                <c:pt idx="1">
                  <c:v>4.5454545454338851</c:v>
                </c:pt>
                <c:pt idx="2">
                  <c:v>0</c:v>
                </c:pt>
                <c:pt idx="3">
                  <c:v>31.818181818037193</c:v>
                </c:pt>
              </c:numCache>
            </c:numRef>
          </c:val>
          <c:extLst xmlns:c16r2="http://schemas.microsoft.com/office/drawing/2015/06/chart">
            <c:ext xmlns:c16="http://schemas.microsoft.com/office/drawing/2014/chart" uri="{C3380CC4-5D6E-409C-BE32-E72D297353CC}">
              <c16:uniqueId val="{00000000-AA2B-4DCC-A3DE-911466363410}"/>
            </c:ext>
          </c:extLst>
        </c:ser>
        <c:ser>
          <c:idx val="3"/>
          <c:order val="1"/>
          <c:tx>
            <c:v>SensHub</c:v>
          </c:tx>
          <c:invertIfNegative val="0"/>
          <c:cat>
            <c:numRef>
              <c:f>Hists!$B$1425:$B$1428</c:f>
              <c:numCache>
                <c:formatCode>0.0</c:formatCode>
                <c:ptCount val="4"/>
                <c:pt idx="0">
                  <c:v>20</c:v>
                </c:pt>
                <c:pt idx="1">
                  <c:v>25</c:v>
                </c:pt>
                <c:pt idx="2">
                  <c:v>30</c:v>
                </c:pt>
                <c:pt idx="3">
                  <c:v>35</c:v>
                </c:pt>
              </c:numCache>
            </c:numRef>
          </c:cat>
          <c:val>
            <c:numRef>
              <c:f>Hists!$J$1425:$J$1428</c:f>
              <c:numCache>
                <c:formatCode>0.00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AA2B-4DCC-A3DE-911466363410}"/>
            </c:ext>
          </c:extLst>
        </c:ser>
        <c:dLbls>
          <c:showLegendKey val="0"/>
          <c:showVal val="0"/>
          <c:showCatName val="0"/>
          <c:showSerName val="0"/>
          <c:showPercent val="0"/>
          <c:showBubbleSize val="0"/>
        </c:dLbls>
        <c:gapWidth val="150"/>
        <c:axId val="218519784"/>
        <c:axId val="218520176"/>
      </c:barChart>
      <c:catAx>
        <c:axId val="218519784"/>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mm2</a:t>
                </a:r>
              </a:p>
            </c:rich>
          </c:tx>
          <c:layout>
            <c:manualLayout>
              <c:xMode val="edge"/>
              <c:yMode val="edge"/>
              <c:x val="0.3419269767653344"/>
              <c:y val="0.96007762081424797"/>
            </c:manualLayout>
          </c:layout>
          <c:overlay val="0"/>
        </c:title>
        <c:numFmt formatCode="#,##0" sourceLinked="0"/>
        <c:majorTickMark val="out"/>
        <c:minorTickMark val="none"/>
        <c:tickLblPos val="nextTo"/>
        <c:txPr>
          <a:bodyPr rot="5400000" vert="horz"/>
          <a:lstStyle/>
          <a:p>
            <a:pPr>
              <a:defRPr/>
            </a:pPr>
            <a:endParaRPr lang="en-US"/>
          </a:p>
        </c:txPr>
        <c:crossAx val="218520176"/>
        <c:crosses val="autoZero"/>
        <c:auto val="1"/>
        <c:lblAlgn val="ctr"/>
        <c:lblOffset val="100"/>
        <c:noMultiLvlLbl val="0"/>
      </c:catAx>
      <c:valAx>
        <c:axId val="218520176"/>
        <c:scaling>
          <c:orientation val="minMax"/>
          <c:max val="40"/>
        </c:scaling>
        <c:delete val="1"/>
        <c:axPos val="l"/>
        <c:majorGridlines/>
        <c:minorGridlines/>
        <c:numFmt formatCode="0.00" sourceLinked="1"/>
        <c:majorTickMark val="out"/>
        <c:minorTickMark val="none"/>
        <c:tickLblPos val="nextTo"/>
        <c:crossAx val="218519784"/>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6.3929813007292183E-2"/>
          <c:w val="0.90511588174119739"/>
          <c:h val="0.85170175071177512"/>
        </c:manualLayout>
      </c:layout>
      <c:barChart>
        <c:barDir val="col"/>
        <c:grouping val="clustered"/>
        <c:varyColors val="0"/>
        <c:ser>
          <c:idx val="1"/>
          <c:order val="0"/>
          <c:tx>
            <c:v>Wearable</c:v>
          </c:tx>
          <c:invertIfNegative val="0"/>
          <c:cat>
            <c:numRef>
              <c:f>Hists!$B$1750:$B$1765</c:f>
              <c:numCache>
                <c:formatCode>0.0</c:formatCode>
                <c:ptCount val="16"/>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numCache>
            </c:numRef>
          </c:cat>
          <c:val>
            <c:numRef>
              <c:f>Hists!$D$1750:$D$1765</c:f>
              <c:numCache>
                <c:formatCode>0.00</c:formatCode>
                <c:ptCount val="16"/>
                <c:pt idx="0">
                  <c:v>0</c:v>
                </c:pt>
                <c:pt idx="1">
                  <c:v>0</c:v>
                </c:pt>
                <c:pt idx="2">
                  <c:v>0</c:v>
                </c:pt>
                <c:pt idx="3">
                  <c:v>0</c:v>
                </c:pt>
                <c:pt idx="4">
                  <c:v>0</c:v>
                </c:pt>
                <c:pt idx="5">
                  <c:v>0</c:v>
                </c:pt>
                <c:pt idx="6">
                  <c:v>0</c:v>
                </c:pt>
                <c:pt idx="7">
                  <c:v>0</c:v>
                </c:pt>
                <c:pt idx="8">
                  <c:v>0</c:v>
                </c:pt>
                <c:pt idx="9">
                  <c:v>0</c:v>
                </c:pt>
                <c:pt idx="10">
                  <c:v>24.9999999996875</c:v>
                </c:pt>
                <c:pt idx="11">
                  <c:v>0</c:v>
                </c:pt>
                <c:pt idx="12">
                  <c:v>0</c:v>
                </c:pt>
                <c:pt idx="13">
                  <c:v>74.999999999062496</c:v>
                </c:pt>
                <c:pt idx="14">
                  <c:v>0</c:v>
                </c:pt>
                <c:pt idx="15">
                  <c:v>0</c:v>
                </c:pt>
              </c:numCache>
            </c:numRef>
          </c:val>
          <c:extLst xmlns:c16r2="http://schemas.microsoft.com/office/drawing/2015/06/chart">
            <c:ext xmlns:c16="http://schemas.microsoft.com/office/drawing/2014/chart" uri="{C3380CC4-5D6E-409C-BE32-E72D297353CC}">
              <c16:uniqueId val="{00000000-D05F-4D65-95B4-5864686CDCFC}"/>
            </c:ext>
          </c:extLst>
        </c:ser>
        <c:ser>
          <c:idx val="0"/>
          <c:order val="1"/>
          <c:tx>
            <c:v>Mote</c:v>
          </c:tx>
          <c:invertIfNegative val="0"/>
          <c:cat>
            <c:numRef>
              <c:f>Hists!$B$1750:$B$1765</c:f>
              <c:numCache>
                <c:formatCode>0.0</c:formatCode>
                <c:ptCount val="16"/>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numCache>
            </c:numRef>
          </c:cat>
          <c:val>
            <c:numRef>
              <c:f>Hists!$F$1750:$F$1765</c:f>
              <c:numCache>
                <c:formatCode>0.00</c:formatCode>
                <c:ptCount val="16"/>
                <c:pt idx="0">
                  <c:v>0</c:v>
                </c:pt>
                <c:pt idx="1">
                  <c:v>0</c:v>
                </c:pt>
                <c:pt idx="2">
                  <c:v>0</c:v>
                </c:pt>
                <c:pt idx="3">
                  <c:v>0</c:v>
                </c:pt>
                <c:pt idx="4">
                  <c:v>0</c:v>
                </c:pt>
                <c:pt idx="5">
                  <c:v>0</c:v>
                </c:pt>
                <c:pt idx="6">
                  <c:v>0</c:v>
                </c:pt>
                <c:pt idx="7">
                  <c:v>0</c:v>
                </c:pt>
                <c:pt idx="8">
                  <c:v>0</c:v>
                </c:pt>
                <c:pt idx="9">
                  <c:v>0</c:v>
                </c:pt>
                <c:pt idx="10">
                  <c:v>5.2631578947229913</c:v>
                </c:pt>
                <c:pt idx="11">
                  <c:v>23.684210526253462</c:v>
                </c:pt>
                <c:pt idx="12">
                  <c:v>2.6315789473614957</c:v>
                </c:pt>
                <c:pt idx="13">
                  <c:v>23.684210526253462</c:v>
                </c:pt>
                <c:pt idx="14">
                  <c:v>0</c:v>
                </c:pt>
                <c:pt idx="15">
                  <c:v>10.526315789445983</c:v>
                </c:pt>
              </c:numCache>
            </c:numRef>
          </c:val>
          <c:extLst xmlns:c16r2="http://schemas.microsoft.com/office/drawing/2015/06/chart">
            <c:ext xmlns:c16="http://schemas.microsoft.com/office/drawing/2014/chart" uri="{C3380CC4-5D6E-409C-BE32-E72D297353CC}">
              <c16:uniqueId val="{00000001-D05F-4D65-95B4-5864686CDCFC}"/>
            </c:ext>
          </c:extLst>
        </c:ser>
        <c:ser>
          <c:idx val="2"/>
          <c:order val="2"/>
          <c:tx>
            <c:v>MCU</c:v>
          </c:tx>
          <c:invertIfNegative val="0"/>
          <c:cat>
            <c:numRef>
              <c:f>Hists!$B$1750:$B$1765</c:f>
              <c:numCache>
                <c:formatCode>0.0</c:formatCode>
                <c:ptCount val="16"/>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numCache>
            </c:numRef>
          </c:cat>
          <c:val>
            <c:numRef>
              <c:f>Hists!$H$1750:$H$1765</c:f>
              <c:numCache>
                <c:formatCode>0.00</c:formatCode>
                <c:ptCount val="16"/>
                <c:pt idx="0">
                  <c:v>5.263157894709142</c:v>
                </c:pt>
                <c:pt idx="1">
                  <c:v>0</c:v>
                </c:pt>
                <c:pt idx="2">
                  <c:v>0</c:v>
                </c:pt>
                <c:pt idx="3">
                  <c:v>0</c:v>
                </c:pt>
                <c:pt idx="4">
                  <c:v>0</c:v>
                </c:pt>
                <c:pt idx="5">
                  <c:v>0</c:v>
                </c:pt>
                <c:pt idx="6">
                  <c:v>0</c:v>
                </c:pt>
                <c:pt idx="7">
                  <c:v>0</c:v>
                </c:pt>
                <c:pt idx="8">
                  <c:v>0</c:v>
                </c:pt>
                <c:pt idx="9">
                  <c:v>0</c:v>
                </c:pt>
                <c:pt idx="10">
                  <c:v>0</c:v>
                </c:pt>
                <c:pt idx="11">
                  <c:v>10.526315789418284</c:v>
                </c:pt>
                <c:pt idx="12">
                  <c:v>0</c:v>
                </c:pt>
                <c:pt idx="13">
                  <c:v>42.105263157673136</c:v>
                </c:pt>
                <c:pt idx="14">
                  <c:v>42.105263157673136</c:v>
                </c:pt>
                <c:pt idx="15">
                  <c:v>0</c:v>
                </c:pt>
              </c:numCache>
            </c:numRef>
          </c:val>
          <c:extLst xmlns:c16r2="http://schemas.microsoft.com/office/drawing/2015/06/chart">
            <c:ext xmlns:c16="http://schemas.microsoft.com/office/drawing/2014/chart" uri="{C3380CC4-5D6E-409C-BE32-E72D297353CC}">
              <c16:uniqueId val="{00000002-D05F-4D65-95B4-5864686CDCFC}"/>
            </c:ext>
          </c:extLst>
        </c:ser>
        <c:ser>
          <c:idx val="3"/>
          <c:order val="3"/>
          <c:tx>
            <c:v>SensHub</c:v>
          </c:tx>
          <c:invertIfNegative val="0"/>
          <c:cat>
            <c:numRef>
              <c:f>Hists!$B$1750:$B$1765</c:f>
              <c:numCache>
                <c:formatCode>0.0</c:formatCode>
                <c:ptCount val="16"/>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numCache>
            </c:numRef>
          </c:cat>
          <c:val>
            <c:numRef>
              <c:f>Hists!$J$1750:$J$1765</c:f>
              <c:numCache>
                <c:formatCode>0.00</c:formatCode>
                <c:ptCount val="16"/>
                <c:pt idx="0">
                  <c:v>0</c:v>
                </c:pt>
                <c:pt idx="1">
                  <c:v>7.6923076922485203</c:v>
                </c:pt>
                <c:pt idx="2">
                  <c:v>0</c:v>
                </c:pt>
                <c:pt idx="3">
                  <c:v>0</c:v>
                </c:pt>
                <c:pt idx="4">
                  <c:v>0</c:v>
                </c:pt>
                <c:pt idx="5">
                  <c:v>0</c:v>
                </c:pt>
                <c:pt idx="6">
                  <c:v>0</c:v>
                </c:pt>
                <c:pt idx="7">
                  <c:v>0</c:v>
                </c:pt>
                <c:pt idx="8">
                  <c:v>0</c:v>
                </c:pt>
                <c:pt idx="9">
                  <c:v>0</c:v>
                </c:pt>
                <c:pt idx="10">
                  <c:v>0</c:v>
                </c:pt>
                <c:pt idx="11">
                  <c:v>0</c:v>
                </c:pt>
                <c:pt idx="12">
                  <c:v>7.6923076922485203</c:v>
                </c:pt>
                <c:pt idx="13">
                  <c:v>69.230769230236689</c:v>
                </c:pt>
                <c:pt idx="14">
                  <c:v>0</c:v>
                </c:pt>
                <c:pt idx="15">
                  <c:v>0</c:v>
                </c:pt>
              </c:numCache>
            </c:numRef>
          </c:val>
          <c:extLst xmlns:c16r2="http://schemas.microsoft.com/office/drawing/2015/06/chart">
            <c:ext xmlns:c16="http://schemas.microsoft.com/office/drawing/2014/chart" uri="{C3380CC4-5D6E-409C-BE32-E72D297353CC}">
              <c16:uniqueId val="{00000003-D05F-4D65-95B4-5864686CDCFC}"/>
            </c:ext>
          </c:extLst>
        </c:ser>
        <c:dLbls>
          <c:showLegendKey val="0"/>
          <c:showVal val="0"/>
          <c:showCatName val="0"/>
          <c:showSerName val="0"/>
          <c:showPercent val="0"/>
          <c:showBubbleSize val="0"/>
        </c:dLbls>
        <c:gapWidth val="150"/>
        <c:axId val="218520960"/>
        <c:axId val="218521352"/>
      </c:barChart>
      <c:catAx>
        <c:axId val="218520960"/>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Voltage (V)</a:t>
                </a:r>
              </a:p>
            </c:rich>
          </c:tx>
          <c:layout>
            <c:manualLayout>
              <c:xMode val="edge"/>
              <c:yMode val="edge"/>
              <c:x val="0.40909402521303617"/>
              <c:y val="0.9568176886035582"/>
            </c:manualLayout>
          </c:layout>
          <c:overlay val="0"/>
        </c:title>
        <c:numFmt formatCode="#,##0.0" sourceLinked="0"/>
        <c:majorTickMark val="out"/>
        <c:minorTickMark val="none"/>
        <c:tickLblPos val="nextTo"/>
        <c:txPr>
          <a:bodyPr rot="5400000" vert="horz"/>
          <a:lstStyle/>
          <a:p>
            <a:pPr>
              <a:defRPr/>
            </a:pPr>
            <a:endParaRPr lang="en-US"/>
          </a:p>
        </c:txPr>
        <c:crossAx val="218521352"/>
        <c:crosses val="autoZero"/>
        <c:auto val="1"/>
        <c:lblAlgn val="ctr"/>
        <c:lblOffset val="100"/>
        <c:noMultiLvlLbl val="0"/>
      </c:catAx>
      <c:valAx>
        <c:axId val="218521352"/>
        <c:scaling>
          <c:orientation val="minMax"/>
          <c:max val="80"/>
        </c:scaling>
        <c:delete val="0"/>
        <c:axPos val="l"/>
        <c:majorGridlines/>
        <c:minorGridlines/>
        <c:numFmt formatCode="0" sourceLinked="0"/>
        <c:majorTickMark val="out"/>
        <c:minorTickMark val="none"/>
        <c:tickLblPos val="nextTo"/>
        <c:crossAx val="218520960"/>
        <c:crosses val="autoZero"/>
        <c:crossBetween val="between"/>
      </c:valAx>
    </c:plotArea>
    <c:legend>
      <c:legendPos val="r"/>
      <c:layout>
        <c:manualLayout>
          <c:xMode val="edge"/>
          <c:yMode val="edge"/>
          <c:x val="0.16393446897752584"/>
          <c:y val="0.33751976961225161"/>
          <c:w val="0.39600482719292218"/>
          <c:h val="0.20071220657748862"/>
        </c:manualLayout>
      </c:layout>
      <c:overlay val="1"/>
      <c:spPr>
        <a:solidFill>
          <a:schemeClr val="bg1"/>
        </a:solidFill>
      </c:spPr>
    </c:legend>
    <c:plotVisOnly val="1"/>
    <c:dispBlanksAs val="gap"/>
    <c:showDLblsOverMax val="0"/>
  </c:chart>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6.3944553141987923E-2"/>
          <c:w val="0.88858953892244885"/>
          <c:h val="0.84894710129751549"/>
        </c:manualLayout>
      </c:layout>
      <c:barChart>
        <c:barDir val="col"/>
        <c:grouping val="clustered"/>
        <c:varyColors val="0"/>
        <c:ser>
          <c:idx val="1"/>
          <c:order val="0"/>
          <c:tx>
            <c:v>Wearable</c:v>
          </c:tx>
          <c:invertIfNegative val="0"/>
          <c:cat>
            <c:numRef>
              <c:f>Hists!$B$1771:$B$1778</c:f>
              <c:numCache>
                <c:formatCode>0.0</c:formatCode>
                <c:ptCount val="8"/>
                <c:pt idx="0">
                  <c:v>10</c:v>
                </c:pt>
                <c:pt idx="1">
                  <c:v>15</c:v>
                </c:pt>
                <c:pt idx="2">
                  <c:v>20</c:v>
                </c:pt>
                <c:pt idx="3">
                  <c:v>25</c:v>
                </c:pt>
                <c:pt idx="4">
                  <c:v>30</c:v>
                </c:pt>
                <c:pt idx="5">
                  <c:v>35</c:v>
                </c:pt>
                <c:pt idx="6">
                  <c:v>40</c:v>
                </c:pt>
                <c:pt idx="7">
                  <c:v>45</c:v>
                </c:pt>
              </c:numCache>
            </c:numRef>
          </c:cat>
          <c:val>
            <c:numRef>
              <c:f>Hists!$D$1771:$D$1778</c:f>
              <c:numCache>
                <c:formatCode>0.00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42A1-48A5-B577-E1B6E7B24834}"/>
            </c:ext>
          </c:extLst>
        </c:ser>
        <c:ser>
          <c:idx val="0"/>
          <c:order val="1"/>
          <c:tx>
            <c:v>Mote</c:v>
          </c:tx>
          <c:invertIfNegative val="0"/>
          <c:cat>
            <c:numRef>
              <c:f>Hists!$B$1771:$B$1778</c:f>
              <c:numCache>
                <c:formatCode>0.0</c:formatCode>
                <c:ptCount val="8"/>
                <c:pt idx="0">
                  <c:v>10</c:v>
                </c:pt>
                <c:pt idx="1">
                  <c:v>15</c:v>
                </c:pt>
                <c:pt idx="2">
                  <c:v>20</c:v>
                </c:pt>
                <c:pt idx="3">
                  <c:v>25</c:v>
                </c:pt>
                <c:pt idx="4">
                  <c:v>30</c:v>
                </c:pt>
                <c:pt idx="5">
                  <c:v>35</c:v>
                </c:pt>
                <c:pt idx="6">
                  <c:v>40</c:v>
                </c:pt>
                <c:pt idx="7">
                  <c:v>45</c:v>
                </c:pt>
              </c:numCache>
            </c:numRef>
          </c:cat>
          <c:val>
            <c:numRef>
              <c:f>Hists!$F$1771:$F$1778</c:f>
              <c:numCache>
                <c:formatCode>0.00</c:formatCode>
                <c:ptCount val="8"/>
                <c:pt idx="0">
                  <c:v>0</c:v>
                </c:pt>
                <c:pt idx="1">
                  <c:v>0</c:v>
                </c:pt>
                <c:pt idx="2">
                  <c:v>0</c:v>
                </c:pt>
                <c:pt idx="3">
                  <c:v>0</c:v>
                </c:pt>
                <c:pt idx="4">
                  <c:v>2.6315789473614957</c:v>
                </c:pt>
                <c:pt idx="5">
                  <c:v>2.6315789473614957</c:v>
                </c:pt>
                <c:pt idx="6">
                  <c:v>5.2631578947229913</c:v>
                </c:pt>
                <c:pt idx="7">
                  <c:v>0</c:v>
                </c:pt>
              </c:numCache>
            </c:numRef>
          </c:val>
          <c:extLst xmlns:c16r2="http://schemas.microsoft.com/office/drawing/2015/06/chart">
            <c:ext xmlns:c16="http://schemas.microsoft.com/office/drawing/2014/chart" uri="{C3380CC4-5D6E-409C-BE32-E72D297353CC}">
              <c16:uniqueId val="{00000001-42A1-48A5-B577-E1B6E7B24834}"/>
            </c:ext>
          </c:extLst>
        </c:ser>
        <c:ser>
          <c:idx val="2"/>
          <c:order val="2"/>
          <c:tx>
            <c:v>MCU</c:v>
          </c:tx>
          <c:invertIfNegative val="0"/>
          <c:cat>
            <c:numRef>
              <c:f>Hists!$B$1771:$B$1778</c:f>
              <c:numCache>
                <c:formatCode>0.0</c:formatCode>
                <c:ptCount val="8"/>
                <c:pt idx="0">
                  <c:v>10</c:v>
                </c:pt>
                <c:pt idx="1">
                  <c:v>15</c:v>
                </c:pt>
                <c:pt idx="2">
                  <c:v>20</c:v>
                </c:pt>
                <c:pt idx="3">
                  <c:v>25</c:v>
                </c:pt>
                <c:pt idx="4">
                  <c:v>30</c:v>
                </c:pt>
                <c:pt idx="5">
                  <c:v>35</c:v>
                </c:pt>
                <c:pt idx="6">
                  <c:v>40</c:v>
                </c:pt>
                <c:pt idx="7">
                  <c:v>45</c:v>
                </c:pt>
              </c:numCache>
            </c:numRef>
          </c:cat>
          <c:val>
            <c:numRef>
              <c:f>Hists!$H$1771:$H$1778</c:f>
              <c:numCache>
                <c:formatCode>0.00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2-42A1-48A5-B577-E1B6E7B24834}"/>
            </c:ext>
          </c:extLst>
        </c:ser>
        <c:ser>
          <c:idx val="3"/>
          <c:order val="3"/>
          <c:tx>
            <c:v>SensHub</c:v>
          </c:tx>
          <c:invertIfNegative val="0"/>
          <c:cat>
            <c:numRef>
              <c:f>Hists!$B$1771:$B$1778</c:f>
              <c:numCache>
                <c:formatCode>0.0</c:formatCode>
                <c:ptCount val="8"/>
                <c:pt idx="0">
                  <c:v>10</c:v>
                </c:pt>
                <c:pt idx="1">
                  <c:v>15</c:v>
                </c:pt>
                <c:pt idx="2">
                  <c:v>20</c:v>
                </c:pt>
                <c:pt idx="3">
                  <c:v>25</c:v>
                </c:pt>
                <c:pt idx="4">
                  <c:v>30</c:v>
                </c:pt>
                <c:pt idx="5">
                  <c:v>35</c:v>
                </c:pt>
                <c:pt idx="6">
                  <c:v>40</c:v>
                </c:pt>
                <c:pt idx="7">
                  <c:v>45</c:v>
                </c:pt>
              </c:numCache>
            </c:numRef>
          </c:cat>
          <c:val>
            <c:numRef>
              <c:f>Hists!$J$1771:$J$1778</c:f>
              <c:numCache>
                <c:formatCode>0.00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3-42A1-48A5-B577-E1B6E7B24834}"/>
            </c:ext>
          </c:extLst>
        </c:ser>
        <c:dLbls>
          <c:showLegendKey val="0"/>
          <c:showVal val="0"/>
          <c:showCatName val="0"/>
          <c:showSerName val="0"/>
          <c:showPercent val="0"/>
          <c:showBubbleSize val="0"/>
        </c:dLbls>
        <c:gapWidth val="150"/>
        <c:axId val="218522136"/>
        <c:axId val="218381504"/>
      </c:barChart>
      <c:catAx>
        <c:axId val="218522136"/>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Voltage (V)</a:t>
                </a:r>
              </a:p>
            </c:rich>
          </c:tx>
          <c:layout>
            <c:manualLayout>
              <c:xMode val="edge"/>
              <c:yMode val="edge"/>
              <c:x val="0.32373923836595814"/>
              <c:y val="0.95542092002389667"/>
            </c:manualLayout>
          </c:layout>
          <c:overlay val="0"/>
        </c:title>
        <c:numFmt formatCode="#,##0" sourceLinked="0"/>
        <c:majorTickMark val="out"/>
        <c:minorTickMark val="none"/>
        <c:tickLblPos val="nextTo"/>
        <c:txPr>
          <a:bodyPr rot="5400000" vert="horz"/>
          <a:lstStyle/>
          <a:p>
            <a:pPr>
              <a:defRPr/>
            </a:pPr>
            <a:endParaRPr lang="en-US"/>
          </a:p>
        </c:txPr>
        <c:crossAx val="218381504"/>
        <c:crosses val="autoZero"/>
        <c:auto val="1"/>
        <c:lblAlgn val="ctr"/>
        <c:lblOffset val="100"/>
        <c:noMultiLvlLbl val="0"/>
      </c:catAx>
      <c:valAx>
        <c:axId val="218381504"/>
        <c:scaling>
          <c:orientation val="minMax"/>
          <c:max val="80"/>
        </c:scaling>
        <c:delete val="1"/>
        <c:axPos val="l"/>
        <c:majorGridlines/>
        <c:minorGridlines/>
        <c:numFmt formatCode="0.00" sourceLinked="1"/>
        <c:majorTickMark val="out"/>
        <c:minorTickMark val="none"/>
        <c:tickLblPos val="nextTo"/>
        <c:crossAx val="218522136"/>
        <c:crosses val="autoZero"/>
        <c:crossBetween val="between"/>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6.3753782139934934E-2"/>
          <c:w val="0.90409599344627234"/>
          <c:h val="0.84921543853117232"/>
        </c:manualLayout>
      </c:layout>
      <c:barChart>
        <c:barDir val="col"/>
        <c:grouping val="clustered"/>
        <c:varyColors val="0"/>
        <c:ser>
          <c:idx val="1"/>
          <c:order val="0"/>
          <c:tx>
            <c:v>Wearable</c:v>
          </c:tx>
          <c:invertIfNegative val="0"/>
          <c:cat>
            <c:numRef>
              <c:f>Hists!$B$1766:$B$1771</c:f>
              <c:numCache>
                <c:formatCode>0.0</c:formatCode>
                <c:ptCount val="6"/>
                <c:pt idx="0">
                  <c:v>5</c:v>
                </c:pt>
                <c:pt idx="1">
                  <c:v>6</c:v>
                </c:pt>
                <c:pt idx="2">
                  <c:v>7</c:v>
                </c:pt>
                <c:pt idx="3">
                  <c:v>8</c:v>
                </c:pt>
                <c:pt idx="4">
                  <c:v>9</c:v>
                </c:pt>
                <c:pt idx="5">
                  <c:v>10</c:v>
                </c:pt>
              </c:numCache>
            </c:numRef>
          </c:cat>
          <c:val>
            <c:numRef>
              <c:f>Hists!$D$1766:$D$1771</c:f>
              <c:numCache>
                <c:formatCode>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AEAC-4BEC-8763-4812EBD5494E}"/>
            </c:ext>
          </c:extLst>
        </c:ser>
        <c:ser>
          <c:idx val="0"/>
          <c:order val="1"/>
          <c:tx>
            <c:v>Mote</c:v>
          </c:tx>
          <c:invertIfNegative val="0"/>
          <c:cat>
            <c:numRef>
              <c:f>Hists!$B$1766:$B$1771</c:f>
              <c:numCache>
                <c:formatCode>0.0</c:formatCode>
                <c:ptCount val="6"/>
                <c:pt idx="0">
                  <c:v>5</c:v>
                </c:pt>
                <c:pt idx="1">
                  <c:v>6</c:v>
                </c:pt>
                <c:pt idx="2">
                  <c:v>7</c:v>
                </c:pt>
                <c:pt idx="3">
                  <c:v>8</c:v>
                </c:pt>
                <c:pt idx="4">
                  <c:v>9</c:v>
                </c:pt>
                <c:pt idx="5">
                  <c:v>10</c:v>
                </c:pt>
              </c:numCache>
            </c:numRef>
          </c:cat>
          <c:val>
            <c:numRef>
              <c:f>Hists!$F$1766:$F$1771</c:f>
              <c:numCache>
                <c:formatCode>0.00</c:formatCode>
                <c:ptCount val="6"/>
                <c:pt idx="0">
                  <c:v>18.421052631530468</c:v>
                </c:pt>
                <c:pt idx="1">
                  <c:v>2.6315789473614957</c:v>
                </c:pt>
                <c:pt idx="2">
                  <c:v>2.6315789473614957</c:v>
                </c:pt>
                <c:pt idx="3">
                  <c:v>0</c:v>
                </c:pt>
                <c:pt idx="4">
                  <c:v>0</c:v>
                </c:pt>
                <c:pt idx="5">
                  <c:v>0</c:v>
                </c:pt>
              </c:numCache>
            </c:numRef>
          </c:val>
          <c:extLst xmlns:c16r2="http://schemas.microsoft.com/office/drawing/2015/06/chart">
            <c:ext xmlns:c16="http://schemas.microsoft.com/office/drawing/2014/chart" uri="{C3380CC4-5D6E-409C-BE32-E72D297353CC}">
              <c16:uniqueId val="{00000001-AEAC-4BEC-8763-4812EBD5494E}"/>
            </c:ext>
          </c:extLst>
        </c:ser>
        <c:ser>
          <c:idx val="2"/>
          <c:order val="2"/>
          <c:tx>
            <c:v>MCU</c:v>
          </c:tx>
          <c:invertIfNegative val="0"/>
          <c:cat>
            <c:numRef>
              <c:f>Hists!$B$1766:$B$1771</c:f>
              <c:numCache>
                <c:formatCode>0.0</c:formatCode>
                <c:ptCount val="6"/>
                <c:pt idx="0">
                  <c:v>5</c:v>
                </c:pt>
                <c:pt idx="1">
                  <c:v>6</c:v>
                </c:pt>
                <c:pt idx="2">
                  <c:v>7</c:v>
                </c:pt>
                <c:pt idx="3">
                  <c:v>8</c:v>
                </c:pt>
                <c:pt idx="4">
                  <c:v>9</c:v>
                </c:pt>
                <c:pt idx="5">
                  <c:v>10</c:v>
                </c:pt>
              </c:numCache>
            </c:numRef>
          </c:cat>
          <c:val>
            <c:numRef>
              <c:f>Hists!$H$1766:$H$1771</c:f>
              <c:numCache>
                <c:formatCode>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AEAC-4BEC-8763-4812EBD5494E}"/>
            </c:ext>
          </c:extLst>
        </c:ser>
        <c:ser>
          <c:idx val="3"/>
          <c:order val="3"/>
          <c:tx>
            <c:v>SensHub</c:v>
          </c:tx>
          <c:invertIfNegative val="0"/>
          <c:cat>
            <c:numRef>
              <c:f>Hists!$B$1766:$B$1771</c:f>
              <c:numCache>
                <c:formatCode>0.0</c:formatCode>
                <c:ptCount val="6"/>
                <c:pt idx="0">
                  <c:v>5</c:v>
                </c:pt>
                <c:pt idx="1">
                  <c:v>6</c:v>
                </c:pt>
                <c:pt idx="2">
                  <c:v>7</c:v>
                </c:pt>
                <c:pt idx="3">
                  <c:v>8</c:v>
                </c:pt>
                <c:pt idx="4">
                  <c:v>9</c:v>
                </c:pt>
                <c:pt idx="5">
                  <c:v>10</c:v>
                </c:pt>
              </c:numCache>
            </c:numRef>
          </c:cat>
          <c:val>
            <c:numRef>
              <c:f>Hists!$J$1766:$J$1771</c:f>
              <c:numCache>
                <c:formatCode>0.00</c:formatCode>
                <c:ptCount val="6"/>
                <c:pt idx="0">
                  <c:v>15.384615384497041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3-AEAC-4BEC-8763-4812EBD5494E}"/>
            </c:ext>
          </c:extLst>
        </c:ser>
        <c:dLbls>
          <c:showLegendKey val="0"/>
          <c:showVal val="0"/>
          <c:showCatName val="0"/>
          <c:showSerName val="0"/>
          <c:showPercent val="0"/>
          <c:showBubbleSize val="0"/>
        </c:dLbls>
        <c:gapWidth val="150"/>
        <c:axId val="218382288"/>
        <c:axId val="218382680"/>
      </c:barChart>
      <c:catAx>
        <c:axId val="218382288"/>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Voltage (V)</a:t>
                </a:r>
              </a:p>
            </c:rich>
          </c:tx>
          <c:layout>
            <c:manualLayout>
              <c:xMode val="edge"/>
              <c:yMode val="edge"/>
              <c:x val="0.33379088167808446"/>
              <c:y val="0.95542092002389667"/>
            </c:manualLayout>
          </c:layout>
          <c:overlay val="0"/>
        </c:title>
        <c:numFmt formatCode="#,##0" sourceLinked="0"/>
        <c:majorTickMark val="out"/>
        <c:minorTickMark val="none"/>
        <c:tickLblPos val="nextTo"/>
        <c:txPr>
          <a:bodyPr rot="5400000" vert="horz"/>
          <a:lstStyle/>
          <a:p>
            <a:pPr>
              <a:defRPr/>
            </a:pPr>
            <a:endParaRPr lang="en-US"/>
          </a:p>
        </c:txPr>
        <c:crossAx val="218382680"/>
        <c:crosses val="autoZero"/>
        <c:auto val="1"/>
        <c:lblAlgn val="ctr"/>
        <c:lblOffset val="100"/>
        <c:noMultiLvlLbl val="0"/>
      </c:catAx>
      <c:valAx>
        <c:axId val="218382680"/>
        <c:scaling>
          <c:orientation val="minMax"/>
          <c:max val="80"/>
        </c:scaling>
        <c:delete val="1"/>
        <c:axPos val="l"/>
        <c:majorGridlines/>
        <c:minorGridlines/>
        <c:numFmt formatCode="0.00" sourceLinked="1"/>
        <c:majorTickMark val="out"/>
        <c:minorTickMark val="none"/>
        <c:tickLblPos val="nextTo"/>
        <c:crossAx val="218382288"/>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80698287526328E-2"/>
          <c:y val="4.9836262793672939E-2"/>
          <c:w val="0.95045659765005652"/>
          <c:h val="0.87087489719369948"/>
        </c:manualLayout>
      </c:layout>
      <c:barChart>
        <c:barDir val="col"/>
        <c:grouping val="stacked"/>
        <c:varyColors val="0"/>
        <c:ser>
          <c:idx val="1"/>
          <c:order val="0"/>
          <c:tx>
            <c:strRef>
              <c:f>Hists!$C$2104</c:f>
              <c:strCache>
                <c:ptCount val="1"/>
                <c:pt idx="0">
                  <c:v>Wearable</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Hists!$A$2106:$A$2138</c:f>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f>Hists!$C$2106:$C$2138</c:f>
              <c:numCache>
                <c:formatCode>General</c:formatCode>
                <c:ptCount val="33"/>
                <c:pt idx="0">
                  <c:v>1</c:v>
                </c:pt>
                <c:pt idx="1">
                  <c:v>0</c:v>
                </c:pt>
                <c:pt idx="2">
                  <c:v>1</c:v>
                </c:pt>
                <c:pt idx="3">
                  <c:v>4</c:v>
                </c:pt>
                <c:pt idx="4">
                  <c:v>0</c:v>
                </c:pt>
                <c:pt idx="5">
                  <c:v>0</c:v>
                </c:pt>
                <c:pt idx="6">
                  <c:v>4</c:v>
                </c:pt>
                <c:pt idx="7">
                  <c:v>0</c:v>
                </c:pt>
                <c:pt idx="8">
                  <c:v>3</c:v>
                </c:pt>
                <c:pt idx="9">
                  <c:v>4</c:v>
                </c:pt>
                <c:pt idx="10">
                  <c:v>0</c:v>
                </c:pt>
                <c:pt idx="11">
                  <c:v>2</c:v>
                </c:pt>
                <c:pt idx="12">
                  <c:v>2</c:v>
                </c:pt>
                <c:pt idx="13">
                  <c:v>0</c:v>
                </c:pt>
                <c:pt idx="14">
                  <c:v>0</c:v>
                </c:pt>
                <c:pt idx="15">
                  <c:v>0</c:v>
                </c:pt>
                <c:pt idx="16">
                  <c:v>4</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xmlns:c16r2="http://schemas.microsoft.com/office/drawing/2015/06/chart">
            <c:ext xmlns:c16="http://schemas.microsoft.com/office/drawing/2014/chart" uri="{C3380CC4-5D6E-409C-BE32-E72D297353CC}">
              <c16:uniqueId val="{00000001-3C1B-4BC6-B780-102AFF283F5A}"/>
            </c:ext>
          </c:extLst>
        </c:ser>
        <c:ser>
          <c:idx val="2"/>
          <c:order val="1"/>
          <c:tx>
            <c:strRef>
              <c:f>Hists!$E$2104</c:f>
              <c:strCache>
                <c:ptCount val="1"/>
                <c:pt idx="0">
                  <c:v>Mote (on PCB)</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Hists!$A$2106:$A$2138</c:f>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f>Hists!$E$2106:$E$2138</c:f>
              <c:numCache>
                <c:formatCode>General</c:formatCode>
                <c:ptCount val="33"/>
                <c:pt idx="0">
                  <c:v>8</c:v>
                </c:pt>
                <c:pt idx="1">
                  <c:v>0</c:v>
                </c:pt>
                <c:pt idx="2">
                  <c:v>8</c:v>
                </c:pt>
                <c:pt idx="3">
                  <c:v>16</c:v>
                </c:pt>
                <c:pt idx="4">
                  <c:v>0</c:v>
                </c:pt>
                <c:pt idx="5">
                  <c:v>0</c:v>
                </c:pt>
                <c:pt idx="6">
                  <c:v>16</c:v>
                </c:pt>
                <c:pt idx="7">
                  <c:v>2</c:v>
                </c:pt>
                <c:pt idx="8">
                  <c:v>20</c:v>
                </c:pt>
                <c:pt idx="9">
                  <c:v>20</c:v>
                </c:pt>
                <c:pt idx="10">
                  <c:v>3</c:v>
                </c:pt>
                <c:pt idx="11">
                  <c:v>13</c:v>
                </c:pt>
                <c:pt idx="12">
                  <c:v>1</c:v>
                </c:pt>
                <c:pt idx="13">
                  <c:v>1</c:v>
                </c:pt>
                <c:pt idx="14">
                  <c:v>2</c:v>
                </c:pt>
                <c:pt idx="15">
                  <c:v>1</c:v>
                </c:pt>
                <c:pt idx="16">
                  <c:v>18</c:v>
                </c:pt>
                <c:pt idx="17">
                  <c:v>4</c:v>
                </c:pt>
                <c:pt idx="18">
                  <c:v>1</c:v>
                </c:pt>
                <c:pt idx="19">
                  <c:v>0</c:v>
                </c:pt>
                <c:pt idx="20">
                  <c:v>1</c:v>
                </c:pt>
                <c:pt idx="21">
                  <c:v>1</c:v>
                </c:pt>
                <c:pt idx="22">
                  <c:v>1</c:v>
                </c:pt>
                <c:pt idx="23">
                  <c:v>7</c:v>
                </c:pt>
                <c:pt idx="24">
                  <c:v>1</c:v>
                </c:pt>
                <c:pt idx="25">
                  <c:v>1</c:v>
                </c:pt>
                <c:pt idx="26">
                  <c:v>1</c:v>
                </c:pt>
                <c:pt idx="27">
                  <c:v>0</c:v>
                </c:pt>
                <c:pt idx="28">
                  <c:v>1</c:v>
                </c:pt>
                <c:pt idx="29">
                  <c:v>2</c:v>
                </c:pt>
                <c:pt idx="30">
                  <c:v>1</c:v>
                </c:pt>
                <c:pt idx="31">
                  <c:v>1</c:v>
                </c:pt>
                <c:pt idx="32">
                  <c:v>1</c:v>
                </c:pt>
              </c:numCache>
            </c:numRef>
          </c:val>
          <c:extLst xmlns:c16r2="http://schemas.microsoft.com/office/drawing/2015/06/chart">
            <c:ext xmlns:c16="http://schemas.microsoft.com/office/drawing/2014/chart" uri="{C3380CC4-5D6E-409C-BE32-E72D297353CC}">
              <c16:uniqueId val="{00000002-3C1B-4BC6-B780-102AFF283F5A}"/>
            </c:ext>
          </c:extLst>
        </c:ser>
        <c:ser>
          <c:idx val="3"/>
          <c:order val="2"/>
          <c:tx>
            <c:strRef>
              <c:f>Hists!$G$2104</c:f>
              <c:strCache>
                <c:ptCount val="1"/>
                <c:pt idx="0">
                  <c:v>MCU (Integrated Circuit)</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Hists!$A$2106:$A$2138</c:f>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f>Hists!$G$2106:$G$2138</c:f>
              <c:numCache>
                <c:formatCode>0</c:formatCode>
                <c:ptCount val="33"/>
                <c:pt idx="0">
                  <c:v>16</c:v>
                </c:pt>
                <c:pt idx="1">
                  <c:v>5</c:v>
                </c:pt>
                <c:pt idx="2" formatCode="General">
                  <c:v>21</c:v>
                </c:pt>
                <c:pt idx="3">
                  <c:v>27</c:v>
                </c:pt>
                <c:pt idx="4">
                  <c:v>4</c:v>
                </c:pt>
                <c:pt idx="5">
                  <c:v>2</c:v>
                </c:pt>
                <c:pt idx="6" formatCode="General">
                  <c:v>33</c:v>
                </c:pt>
                <c:pt idx="7">
                  <c:v>4</c:v>
                </c:pt>
                <c:pt idx="8">
                  <c:v>19</c:v>
                </c:pt>
                <c:pt idx="9">
                  <c:v>22</c:v>
                </c:pt>
                <c:pt idx="10">
                  <c:v>14</c:v>
                </c:pt>
                <c:pt idx="11">
                  <c:v>1</c:v>
                </c:pt>
                <c:pt idx="12">
                  <c:v>5</c:v>
                </c:pt>
                <c:pt idx="13">
                  <c:v>0</c:v>
                </c:pt>
                <c:pt idx="14">
                  <c:v>0</c:v>
                </c:pt>
                <c:pt idx="15">
                  <c:v>1</c:v>
                </c:pt>
                <c:pt idx="16">
                  <c:v>7</c:v>
                </c:pt>
                <c:pt idx="17">
                  <c:v>0</c:v>
                </c:pt>
                <c:pt idx="18">
                  <c:v>0</c:v>
                </c:pt>
                <c:pt idx="19">
                  <c:v>0</c:v>
                </c:pt>
                <c:pt idx="20">
                  <c:v>0</c:v>
                </c:pt>
                <c:pt idx="21">
                  <c:v>0</c:v>
                </c:pt>
                <c:pt idx="22">
                  <c:v>0</c:v>
                </c:pt>
                <c:pt idx="23">
                  <c:v>0</c:v>
                </c:pt>
                <c:pt idx="24">
                  <c:v>0</c:v>
                </c:pt>
                <c:pt idx="25">
                  <c:v>0</c:v>
                </c:pt>
                <c:pt idx="26">
                  <c:v>0</c:v>
                </c:pt>
                <c:pt idx="27">
                  <c:v>0</c:v>
                </c:pt>
                <c:pt idx="28">
                  <c:v>1</c:v>
                </c:pt>
                <c:pt idx="29">
                  <c:v>0</c:v>
                </c:pt>
                <c:pt idx="30">
                  <c:v>0</c:v>
                </c:pt>
                <c:pt idx="31">
                  <c:v>1</c:v>
                </c:pt>
                <c:pt idx="32">
                  <c:v>2</c:v>
                </c:pt>
              </c:numCache>
            </c:numRef>
          </c:val>
          <c:extLst xmlns:c16r2="http://schemas.microsoft.com/office/drawing/2015/06/chart">
            <c:ext xmlns:c16="http://schemas.microsoft.com/office/drawing/2014/chart" uri="{C3380CC4-5D6E-409C-BE32-E72D297353CC}">
              <c16:uniqueId val="{00000003-3C1B-4BC6-B780-102AFF283F5A}"/>
            </c:ext>
          </c:extLst>
        </c:ser>
        <c:ser>
          <c:idx val="4"/>
          <c:order val="3"/>
          <c:tx>
            <c:strRef>
              <c:f>Hists!$I$2104</c:f>
              <c:strCache>
                <c:ptCount val="1"/>
                <c:pt idx="0">
                  <c:v>Sensor Hub (Integrated Circuit)</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Hists!$A$2106:$A$2138</c:f>
              <c:strCache>
                <c:ptCount val="33"/>
                <c:pt idx="0">
                  <c:v>JTAG</c:v>
                </c:pt>
                <c:pt idx="1">
                  <c:v>cJTAG</c:v>
                </c:pt>
                <c:pt idx="2">
                  <c:v>All JTAGs</c:v>
                </c:pt>
                <c:pt idx="3">
                  <c:v>UART</c:v>
                </c:pt>
                <c:pt idx="4">
                  <c:v>LEUART</c:v>
                </c:pt>
                <c:pt idx="5">
                  <c:v>HSUART</c:v>
                </c:pt>
                <c:pt idx="6">
                  <c:v>All UARTs</c:v>
                </c:pt>
                <c:pt idx="7">
                  <c:v>USART</c:v>
                </c:pt>
                <c:pt idx="8">
                  <c:v>SPI</c:v>
                </c:pt>
                <c:pt idx="9">
                  <c:v>I2C</c:v>
                </c:pt>
                <c:pt idx="10">
                  <c:v>I2S</c:v>
                </c:pt>
                <c:pt idx="11">
                  <c:v>USB</c:v>
                </c:pt>
                <c:pt idx="12">
                  <c:v>USB2</c:v>
                </c:pt>
                <c:pt idx="13">
                  <c:v>mUSB</c:v>
                </c:pt>
                <c:pt idx="14">
                  <c:v>μUSB</c:v>
                </c:pt>
                <c:pt idx="15">
                  <c:v>LPUSB</c:v>
                </c:pt>
                <c:pt idx="16">
                  <c:v>All USBs</c:v>
                </c:pt>
                <c:pt idx="17">
                  <c:v>Ethernet</c:v>
                </c:pt>
                <c:pt idx="18">
                  <c:v>SDA</c:v>
                </c:pt>
                <c:pt idx="19">
                  <c:v>RS232</c:v>
                </c:pt>
                <c:pt idx="20">
                  <c:v>SDHC</c:v>
                </c:pt>
                <c:pt idx="21">
                  <c:v>FlexCAN</c:v>
                </c:pt>
                <c:pt idx="22">
                  <c:v>FlexBUS</c:v>
                </c:pt>
                <c:pt idx="23">
                  <c:v>RS232</c:v>
                </c:pt>
                <c:pt idx="24">
                  <c:v>RS485</c:v>
                </c:pt>
                <c:pt idx="25">
                  <c:v>Modbus</c:v>
                </c:pt>
                <c:pt idx="26">
                  <c:v>CAN Bus</c:v>
                </c:pt>
                <c:pt idx="27">
                  <c:v>TWI</c:v>
                </c:pt>
                <c:pt idx="28">
                  <c:v>SSI</c:v>
                </c:pt>
                <c:pt idx="29">
                  <c:v>SDIO</c:v>
                </c:pt>
                <c:pt idx="30">
                  <c:v>USCI</c:v>
                </c:pt>
                <c:pt idx="31">
                  <c:v>QSPI</c:v>
                </c:pt>
                <c:pt idx="32">
                  <c:v>SSP</c:v>
                </c:pt>
              </c:strCache>
            </c:strRef>
          </c:cat>
          <c:val>
            <c:numRef>
              <c:f>Hists!$I$2106:$I$2138</c:f>
              <c:numCache>
                <c:formatCode>0</c:formatCode>
                <c:ptCount val="33"/>
                <c:pt idx="0">
                  <c:v>0</c:v>
                </c:pt>
                <c:pt idx="1">
                  <c:v>0</c:v>
                </c:pt>
                <c:pt idx="2" formatCode="General">
                  <c:v>0</c:v>
                </c:pt>
                <c:pt idx="3">
                  <c:v>1</c:v>
                </c:pt>
                <c:pt idx="4">
                  <c:v>0</c:v>
                </c:pt>
                <c:pt idx="5">
                  <c:v>0</c:v>
                </c:pt>
                <c:pt idx="6" formatCode="General">
                  <c:v>1</c:v>
                </c:pt>
                <c:pt idx="7">
                  <c:v>0</c:v>
                </c:pt>
                <c:pt idx="8">
                  <c:v>3</c:v>
                </c:pt>
                <c:pt idx="9">
                  <c:v>14</c:v>
                </c:pt>
                <c:pt idx="10">
                  <c:v>1</c:v>
                </c:pt>
                <c:pt idx="11">
                  <c:v>0</c:v>
                </c:pt>
                <c:pt idx="12">
                  <c:v>0</c:v>
                </c:pt>
                <c:pt idx="13">
                  <c:v>0</c:v>
                </c:pt>
                <c:pt idx="14">
                  <c:v>0</c:v>
                </c:pt>
                <c:pt idx="15">
                  <c:v>0</c:v>
                </c:pt>
                <c:pt idx="16" formatCode="General">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numCache>
            </c:numRef>
          </c:val>
          <c:extLst xmlns:c16r2="http://schemas.microsoft.com/office/drawing/2015/06/chart">
            <c:ext xmlns:c16="http://schemas.microsoft.com/office/drawing/2014/chart" uri="{C3380CC4-5D6E-409C-BE32-E72D297353CC}">
              <c16:uniqueId val="{00000004-3C1B-4BC6-B780-102AFF283F5A}"/>
            </c:ext>
          </c:extLst>
        </c:ser>
        <c:dLbls>
          <c:showLegendKey val="0"/>
          <c:showVal val="1"/>
          <c:showCatName val="0"/>
          <c:showSerName val="0"/>
          <c:showPercent val="0"/>
          <c:showBubbleSize val="0"/>
        </c:dLbls>
        <c:gapWidth val="75"/>
        <c:overlap val="100"/>
        <c:axId val="218383464"/>
        <c:axId val="218383856"/>
      </c:barChart>
      <c:catAx>
        <c:axId val="218383464"/>
        <c:scaling>
          <c:orientation val="minMax"/>
        </c:scaling>
        <c:delete val="0"/>
        <c:axPos val="b"/>
        <c:numFmt formatCode="General" sourceLinked="1"/>
        <c:majorTickMark val="none"/>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8383856"/>
        <c:crosses val="autoZero"/>
        <c:auto val="1"/>
        <c:lblAlgn val="ctr"/>
        <c:lblOffset val="100"/>
        <c:noMultiLvlLbl val="0"/>
      </c:catAx>
      <c:valAx>
        <c:axId val="218383856"/>
        <c:scaling>
          <c:orientation val="minMax"/>
        </c:scaling>
        <c:delete val="0"/>
        <c:axPos val="l"/>
        <c:majorGridlines/>
        <c:numFmt formatCode="General" sourceLinked="1"/>
        <c:majorTickMark val="none"/>
        <c:minorTickMark val="none"/>
        <c:tickLblPos val="nextTo"/>
        <c:crossAx val="218383464"/>
        <c:crosses val="autoZero"/>
        <c:crossBetween val="between"/>
        <c:majorUnit val="2"/>
      </c:valAx>
    </c:plotArea>
    <c:plotVisOnly val="1"/>
    <c:dispBlanksAs val="gap"/>
    <c:showDLblsOverMax val="0"/>
  </c:chart>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25773367375711E-2"/>
          <c:y val="5.8313336501259937E-2"/>
          <c:w val="0.87150811158767238"/>
          <c:h val="0.84682548764179821"/>
        </c:manualLayout>
      </c:layout>
      <c:barChart>
        <c:barDir val="col"/>
        <c:grouping val="clustered"/>
        <c:varyColors val="0"/>
        <c:ser>
          <c:idx val="0"/>
          <c:order val="0"/>
          <c:tx>
            <c:v>Wearable</c:v>
          </c:tx>
          <c:invertIfNegative val="0"/>
          <c:cat>
            <c:numRef>
              <c:f>Hists!$B$1300:$B$1308</c:f>
              <c:numCache>
                <c:formatCode>0.0</c:formatCode>
                <c:ptCount val="9"/>
                <c:pt idx="0">
                  <c:v>1</c:v>
                </c:pt>
                <c:pt idx="1">
                  <c:v>2</c:v>
                </c:pt>
                <c:pt idx="2">
                  <c:v>3</c:v>
                </c:pt>
                <c:pt idx="3">
                  <c:v>4</c:v>
                </c:pt>
                <c:pt idx="4">
                  <c:v>5</c:v>
                </c:pt>
                <c:pt idx="5">
                  <c:v>6</c:v>
                </c:pt>
                <c:pt idx="6">
                  <c:v>7</c:v>
                </c:pt>
                <c:pt idx="7">
                  <c:v>8</c:v>
                </c:pt>
                <c:pt idx="8">
                  <c:v>9</c:v>
                </c:pt>
              </c:numCache>
            </c:numRef>
          </c:cat>
          <c:val>
            <c:numRef>
              <c:f>(Hists!$D$1297,Hists!$D$1300:$D$1307)</c:f>
              <c:numCache>
                <c:formatCode>0.00</c:formatCode>
                <c:ptCount val="9"/>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E7A1-4137-98E4-147297DE8830}"/>
            </c:ext>
          </c:extLst>
        </c:ser>
        <c:ser>
          <c:idx val="1"/>
          <c:order val="1"/>
          <c:tx>
            <c:strRef>
              <c:f>Hists!$E$1298</c:f>
              <c:strCache>
                <c:ptCount val="1"/>
                <c:pt idx="0">
                  <c:v>Mote (on PCB)</c:v>
                </c:pt>
              </c:strCache>
            </c:strRef>
          </c:tx>
          <c:invertIfNegative val="0"/>
          <c:cat>
            <c:numRef>
              <c:f>Hists!$B$1300:$B$1308</c:f>
              <c:numCache>
                <c:formatCode>0.0</c:formatCode>
                <c:ptCount val="9"/>
                <c:pt idx="0">
                  <c:v>1</c:v>
                </c:pt>
                <c:pt idx="1">
                  <c:v>2</c:v>
                </c:pt>
                <c:pt idx="2">
                  <c:v>3</c:v>
                </c:pt>
                <c:pt idx="3">
                  <c:v>4</c:v>
                </c:pt>
                <c:pt idx="4">
                  <c:v>5</c:v>
                </c:pt>
                <c:pt idx="5">
                  <c:v>6</c:v>
                </c:pt>
                <c:pt idx="6">
                  <c:v>7</c:v>
                </c:pt>
                <c:pt idx="7">
                  <c:v>8</c:v>
                </c:pt>
                <c:pt idx="8">
                  <c:v>9</c:v>
                </c:pt>
              </c:numCache>
            </c:numRef>
          </c:cat>
          <c:val>
            <c:numRef>
              <c:f>(Hists!$F$1297,Hists!$F$1300:$F$1307)</c:f>
              <c:numCache>
                <c:formatCode>0.00</c:formatCode>
                <c:ptCount val="9"/>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E7A1-4137-98E4-147297DE8830}"/>
            </c:ext>
          </c:extLst>
        </c:ser>
        <c:ser>
          <c:idx val="2"/>
          <c:order val="2"/>
          <c:tx>
            <c:v>MCU</c:v>
          </c:tx>
          <c:invertIfNegative val="0"/>
          <c:cat>
            <c:numRef>
              <c:f>Hists!$B$1300:$B$1308</c:f>
              <c:numCache>
                <c:formatCode>0.0</c:formatCode>
                <c:ptCount val="9"/>
                <c:pt idx="0">
                  <c:v>1</c:v>
                </c:pt>
                <c:pt idx="1">
                  <c:v>2</c:v>
                </c:pt>
                <c:pt idx="2">
                  <c:v>3</c:v>
                </c:pt>
                <c:pt idx="3">
                  <c:v>4</c:v>
                </c:pt>
                <c:pt idx="4">
                  <c:v>5</c:v>
                </c:pt>
                <c:pt idx="5">
                  <c:v>6</c:v>
                </c:pt>
                <c:pt idx="6">
                  <c:v>7</c:v>
                </c:pt>
                <c:pt idx="7">
                  <c:v>8</c:v>
                </c:pt>
                <c:pt idx="8">
                  <c:v>9</c:v>
                </c:pt>
              </c:numCache>
            </c:numRef>
          </c:cat>
          <c:val>
            <c:numRef>
              <c:f>(Hists!$H$1297,Hists!$H$1300:$H$1307)</c:f>
              <c:numCache>
                <c:formatCode>0.00</c:formatCode>
                <c:ptCount val="9"/>
                <c:pt idx="1">
                  <c:v>5.263157894709142</c:v>
                </c:pt>
                <c:pt idx="2">
                  <c:v>5.263157894709142</c:v>
                </c:pt>
                <c:pt idx="3">
                  <c:v>0</c:v>
                </c:pt>
                <c:pt idx="4">
                  <c:v>42.105263157673136</c:v>
                </c:pt>
                <c:pt idx="5">
                  <c:v>5.263157894709142</c:v>
                </c:pt>
                <c:pt idx="6">
                  <c:v>0</c:v>
                </c:pt>
                <c:pt idx="7">
                  <c:v>15.789473684127426</c:v>
                </c:pt>
                <c:pt idx="8">
                  <c:v>10.526315789418284</c:v>
                </c:pt>
              </c:numCache>
            </c:numRef>
          </c:val>
          <c:extLst xmlns:c16r2="http://schemas.microsoft.com/office/drawing/2015/06/chart">
            <c:ext xmlns:c16="http://schemas.microsoft.com/office/drawing/2014/chart" uri="{C3380CC4-5D6E-409C-BE32-E72D297353CC}">
              <c16:uniqueId val="{00000002-E7A1-4137-98E4-147297DE8830}"/>
            </c:ext>
          </c:extLst>
        </c:ser>
        <c:ser>
          <c:idx val="3"/>
          <c:order val="3"/>
          <c:tx>
            <c:v>SensHub</c:v>
          </c:tx>
          <c:invertIfNegative val="0"/>
          <c:cat>
            <c:numRef>
              <c:f>Hists!$B$1300:$B$1308</c:f>
              <c:numCache>
                <c:formatCode>0.0</c:formatCode>
                <c:ptCount val="9"/>
                <c:pt idx="0">
                  <c:v>1</c:v>
                </c:pt>
                <c:pt idx="1">
                  <c:v>2</c:v>
                </c:pt>
                <c:pt idx="2">
                  <c:v>3</c:v>
                </c:pt>
                <c:pt idx="3">
                  <c:v>4</c:v>
                </c:pt>
                <c:pt idx="4">
                  <c:v>5</c:v>
                </c:pt>
                <c:pt idx="5">
                  <c:v>6</c:v>
                </c:pt>
                <c:pt idx="6">
                  <c:v>7</c:v>
                </c:pt>
                <c:pt idx="7">
                  <c:v>8</c:v>
                </c:pt>
                <c:pt idx="8">
                  <c:v>9</c:v>
                </c:pt>
              </c:numCache>
            </c:numRef>
          </c:cat>
          <c:val>
            <c:numRef>
              <c:f>(Hists!$J$1297,Hists!$J$1300:$J$1307)</c:f>
              <c:numCache>
                <c:formatCode>0.00</c:formatCode>
                <c:ptCount val="9"/>
                <c:pt idx="1">
                  <c:v>14.285714285612245</c:v>
                </c:pt>
                <c:pt idx="2">
                  <c:v>42.857142856836738</c:v>
                </c:pt>
                <c:pt idx="3">
                  <c:v>35.714285714030609</c:v>
                </c:pt>
                <c:pt idx="4">
                  <c:v>7.1428571428061227</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3-E7A1-4137-98E4-147297DE8830}"/>
            </c:ext>
          </c:extLst>
        </c:ser>
        <c:dLbls>
          <c:showLegendKey val="0"/>
          <c:showVal val="0"/>
          <c:showCatName val="0"/>
          <c:showSerName val="0"/>
          <c:showPercent val="0"/>
          <c:showBubbleSize val="0"/>
        </c:dLbls>
        <c:gapWidth val="150"/>
        <c:axId val="218384640"/>
        <c:axId val="218385032"/>
      </c:barChart>
      <c:catAx>
        <c:axId val="218384640"/>
        <c:scaling>
          <c:orientation val="minMax"/>
        </c:scaling>
        <c:delete val="0"/>
        <c:axPos val="b"/>
        <c:title>
          <c:tx>
            <c:rich>
              <a:bodyPr/>
              <a:lstStyle/>
              <a:p>
                <a:pPr>
                  <a:defRPr/>
                </a:pPr>
                <a:r>
                  <a:rPr lang="en-US"/>
                  <a:t>Dimension (mm)</a:t>
                </a:r>
              </a:p>
            </c:rich>
          </c:tx>
          <c:layout>
            <c:manualLayout>
              <c:xMode val="edge"/>
              <c:yMode val="edge"/>
              <c:x val="0.36064749543270813"/>
              <c:y val="0.96124419471813061"/>
            </c:manualLayout>
          </c:layout>
          <c:overlay val="0"/>
        </c:title>
        <c:numFmt formatCode="#,##0" sourceLinked="0"/>
        <c:majorTickMark val="out"/>
        <c:minorTickMark val="none"/>
        <c:tickLblPos val="nextTo"/>
        <c:spPr>
          <a:ln/>
        </c:spPr>
        <c:txPr>
          <a:bodyPr rot="5400000" vert="horz"/>
          <a:lstStyle/>
          <a:p>
            <a:pPr>
              <a:defRPr>
                <a:latin typeface="+mn-lt"/>
              </a:defRPr>
            </a:pPr>
            <a:endParaRPr lang="en-US"/>
          </a:p>
        </c:txPr>
        <c:crossAx val="218385032"/>
        <c:crosses val="autoZero"/>
        <c:auto val="1"/>
        <c:lblAlgn val="ctr"/>
        <c:lblOffset val="100"/>
        <c:noMultiLvlLbl val="0"/>
      </c:catAx>
      <c:valAx>
        <c:axId val="218385032"/>
        <c:scaling>
          <c:orientation val="minMax"/>
          <c:max val="45"/>
        </c:scaling>
        <c:delete val="0"/>
        <c:axPos val="l"/>
        <c:majorGridlines/>
        <c:minorGridlines/>
        <c:numFmt formatCode="0" sourceLinked="0"/>
        <c:majorTickMark val="out"/>
        <c:minorTickMark val="none"/>
        <c:tickLblPos val="nextTo"/>
        <c:crossAx val="218384640"/>
        <c:crosses val="autoZero"/>
        <c:crossBetween val="between"/>
      </c:valAx>
    </c:plotArea>
    <c:legend>
      <c:legendPos val="r"/>
      <c:layout>
        <c:manualLayout>
          <c:xMode val="edge"/>
          <c:yMode val="edge"/>
          <c:x val="0.60908235337967531"/>
          <c:y val="0.11359365572905245"/>
          <c:w val="0.33493449374755402"/>
          <c:h val="0.254989907166222"/>
        </c:manualLayout>
      </c:layout>
      <c:overlay val="0"/>
      <c:spPr>
        <a:solidFill>
          <a:schemeClr val="bg1"/>
        </a:solidFill>
      </c:spPr>
    </c:legend>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6761162571173E-2"/>
          <c:y val="3.9903774707073021E-2"/>
          <c:w val="0.89714464899160784"/>
          <c:h val="0.90050795090846381"/>
        </c:manualLayout>
      </c:layout>
      <c:barChart>
        <c:barDir val="col"/>
        <c:grouping val="clustered"/>
        <c:varyColors val="0"/>
        <c:ser>
          <c:idx val="0"/>
          <c:order val="0"/>
          <c:tx>
            <c:v>Resolution</c:v>
          </c:tx>
          <c:invertIfNegative val="0"/>
          <c:cat>
            <c:numRef>
              <c:f>Hists!$B$201:$B$223</c:f>
              <c:numCache>
                <c:formatCode>General</c:formatCode>
                <c:ptCount val="23"/>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numCache>
            </c:numRef>
          </c:cat>
          <c:val>
            <c:numRef>
              <c:f>Hists!$K$201:$K$223</c:f>
              <c:numCache>
                <c:formatCode>0.00</c:formatCode>
                <c:ptCount val="23"/>
                <c:pt idx="0">
                  <c:v>0</c:v>
                </c:pt>
                <c:pt idx="1">
                  <c:v>0</c:v>
                </c:pt>
                <c:pt idx="2">
                  <c:v>0</c:v>
                </c:pt>
                <c:pt idx="3">
                  <c:v>24.999999999583334</c:v>
                </c:pt>
                <c:pt idx="4">
                  <c:v>0</c:v>
                </c:pt>
                <c:pt idx="5">
                  <c:v>0</c:v>
                </c:pt>
                <c:pt idx="6">
                  <c:v>8.3333333331944441</c:v>
                </c:pt>
                <c:pt idx="7">
                  <c:v>0</c:v>
                </c:pt>
                <c:pt idx="8">
                  <c:v>0</c:v>
                </c:pt>
                <c:pt idx="9">
                  <c:v>0</c:v>
                </c:pt>
                <c:pt idx="10">
                  <c:v>8.3333333331944441</c:v>
                </c:pt>
                <c:pt idx="11">
                  <c:v>8.3333333331944441</c:v>
                </c:pt>
                <c:pt idx="12">
                  <c:v>0</c:v>
                </c:pt>
                <c:pt idx="13">
                  <c:v>0</c:v>
                </c:pt>
                <c:pt idx="14">
                  <c:v>0</c:v>
                </c:pt>
                <c:pt idx="15">
                  <c:v>8.3333333331944441</c:v>
                </c:pt>
                <c:pt idx="16">
                  <c:v>24.999999999583331</c:v>
                </c:pt>
                <c:pt idx="17">
                  <c:v>0</c:v>
                </c:pt>
                <c:pt idx="18">
                  <c:v>0</c:v>
                </c:pt>
                <c:pt idx="19">
                  <c:v>8.3333333331944441</c:v>
                </c:pt>
                <c:pt idx="20">
                  <c:v>0</c:v>
                </c:pt>
                <c:pt idx="21">
                  <c:v>8.3333333331944441</c:v>
                </c:pt>
                <c:pt idx="22">
                  <c:v>0</c:v>
                </c:pt>
              </c:numCache>
            </c:numRef>
          </c:val>
          <c:extLst xmlns:c16r2="http://schemas.microsoft.com/office/drawing/2015/06/chart">
            <c:ext xmlns:c16="http://schemas.microsoft.com/office/drawing/2014/chart" uri="{C3380CC4-5D6E-409C-BE32-E72D297353CC}">
              <c16:uniqueId val="{00000000-8BBE-40F3-859A-31A45FF6E94D}"/>
            </c:ext>
          </c:extLst>
        </c:ser>
        <c:ser>
          <c:idx val="1"/>
          <c:order val="1"/>
          <c:tx>
            <c:v>Accuracy</c:v>
          </c:tx>
          <c:invertIfNegative val="0"/>
          <c:cat>
            <c:numRef>
              <c:f>Hists!$B$201:$B$223</c:f>
              <c:numCache>
                <c:formatCode>General</c:formatCode>
                <c:ptCount val="23"/>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numCache>
            </c:numRef>
          </c:cat>
          <c:val>
            <c:numRef>
              <c:f>Hists!$L$201:$L$223</c:f>
              <c:numCache>
                <c:formatCode>0.00</c:formatCode>
                <c:ptCount val="23"/>
                <c:pt idx="0">
                  <c:v>0</c:v>
                </c:pt>
                <c:pt idx="1">
                  <c:v>16.666666666481483</c:v>
                </c:pt>
                <c:pt idx="2">
                  <c:v>0</c:v>
                </c:pt>
                <c:pt idx="3">
                  <c:v>0</c:v>
                </c:pt>
                <c:pt idx="4">
                  <c:v>0</c:v>
                </c:pt>
                <c:pt idx="5">
                  <c:v>7.1428571427551022</c:v>
                </c:pt>
                <c:pt idx="6">
                  <c:v>7.1428571427551022</c:v>
                </c:pt>
                <c:pt idx="7">
                  <c:v>11.111111110987654</c:v>
                </c:pt>
                <c:pt idx="8">
                  <c:v>26.984126983759133</c:v>
                </c:pt>
                <c:pt idx="9">
                  <c:v>12.69841269824893</c:v>
                </c:pt>
                <c:pt idx="10">
                  <c:v>5.555555555493827</c:v>
                </c:pt>
                <c:pt idx="11">
                  <c:v>7.1428571427551022</c:v>
                </c:pt>
                <c:pt idx="12">
                  <c:v>0</c:v>
                </c:pt>
                <c:pt idx="13">
                  <c:v>0</c:v>
                </c:pt>
                <c:pt idx="14">
                  <c:v>0</c:v>
                </c:pt>
                <c:pt idx="15">
                  <c:v>0</c:v>
                </c:pt>
                <c:pt idx="16">
                  <c:v>0</c:v>
                </c:pt>
                <c:pt idx="17">
                  <c:v>0</c:v>
                </c:pt>
                <c:pt idx="18">
                  <c:v>0</c:v>
                </c:pt>
                <c:pt idx="19">
                  <c:v>0</c:v>
                </c:pt>
                <c:pt idx="20">
                  <c:v>0</c:v>
                </c:pt>
                <c:pt idx="21">
                  <c:v>0</c:v>
                </c:pt>
                <c:pt idx="22">
                  <c:v>0</c:v>
                </c:pt>
              </c:numCache>
            </c:numRef>
          </c:val>
          <c:extLst xmlns:c16r2="http://schemas.microsoft.com/office/drawing/2015/06/chart">
            <c:ext xmlns:c16="http://schemas.microsoft.com/office/drawing/2014/chart" uri="{C3380CC4-5D6E-409C-BE32-E72D297353CC}">
              <c16:uniqueId val="{00000001-8BBE-40F3-859A-31A45FF6E94D}"/>
            </c:ext>
          </c:extLst>
        </c:ser>
        <c:dLbls>
          <c:showLegendKey val="0"/>
          <c:showVal val="0"/>
          <c:showCatName val="0"/>
          <c:showSerName val="0"/>
          <c:showPercent val="0"/>
          <c:showBubbleSize val="0"/>
        </c:dLbls>
        <c:gapWidth val="150"/>
        <c:axId val="215739728"/>
        <c:axId val="215749328"/>
      </c:barChart>
      <c:catAx>
        <c:axId val="215739728"/>
        <c:scaling>
          <c:orientation val="minMax"/>
        </c:scaling>
        <c:delete val="0"/>
        <c:axPos val="b"/>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Bits</a:t>
                </a:r>
              </a:p>
            </c:rich>
          </c:tx>
          <c:layout>
            <c:manualLayout>
              <c:xMode val="edge"/>
              <c:yMode val="edge"/>
              <c:x val="0.52607768002999955"/>
              <c:y val="0.96794089525101412"/>
            </c:manualLayout>
          </c:layout>
          <c:overlay val="0"/>
        </c:title>
        <c:numFmt formatCode="General" sourceLinked="1"/>
        <c:majorTickMark val="out"/>
        <c:minorTickMark val="none"/>
        <c:tickLblPos val="nextTo"/>
        <c:txPr>
          <a:bodyPr rot="5400000" vert="horz"/>
          <a:lstStyle/>
          <a:p>
            <a:pPr>
              <a:defRPr/>
            </a:pPr>
            <a:endParaRPr lang="en-US"/>
          </a:p>
        </c:txPr>
        <c:crossAx val="215749328"/>
        <c:crosses val="autoZero"/>
        <c:auto val="1"/>
        <c:lblAlgn val="ctr"/>
        <c:lblOffset val="100"/>
        <c:noMultiLvlLbl val="0"/>
      </c:catAx>
      <c:valAx>
        <c:axId val="215749328"/>
        <c:scaling>
          <c:orientation val="minMax"/>
        </c:scaling>
        <c:delete val="0"/>
        <c:axPos val="l"/>
        <c:majorGridlines/>
        <c:minorGridlines/>
        <c:numFmt formatCode="0" sourceLinked="0"/>
        <c:majorTickMark val="out"/>
        <c:minorTickMark val="none"/>
        <c:tickLblPos val="nextTo"/>
        <c:crossAx val="215739728"/>
        <c:crosses val="autoZero"/>
        <c:crossBetween val="between"/>
      </c:valAx>
    </c:plotArea>
    <c:legend>
      <c:legendPos val="r"/>
      <c:layout>
        <c:manualLayout>
          <c:xMode val="edge"/>
          <c:yMode val="edge"/>
          <c:x val="0.46554656620819546"/>
          <c:y val="6.9886711120679151E-2"/>
          <c:w val="0.18909626168627131"/>
          <c:h val="0.11941504019460653"/>
        </c:manualLayout>
      </c:layout>
      <c:overlay val="0"/>
      <c:spPr>
        <a:solidFill>
          <a:schemeClr val="bg1"/>
        </a:solidFill>
      </c:spPr>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664992245350665E-2"/>
          <c:y val="6.3085894966510361E-2"/>
          <c:w val="0.90759052460087719"/>
          <c:h val="0.83966664994392248"/>
        </c:manualLayout>
      </c:layout>
      <c:barChart>
        <c:barDir val="col"/>
        <c:grouping val="clustered"/>
        <c:varyColors val="0"/>
        <c:ser>
          <c:idx val="0"/>
          <c:order val="0"/>
          <c:tx>
            <c:v>Wearable</c:v>
          </c:tx>
          <c:invertIfNegative val="0"/>
          <c:cat>
            <c:numRef>
              <c:f>Hists!$B$1309:$B$1317</c:f>
              <c:numCache>
                <c:formatCode>0.0</c:formatCode>
                <c:ptCount val="9"/>
                <c:pt idx="0">
                  <c:v>10</c:v>
                </c:pt>
                <c:pt idx="1">
                  <c:v>20</c:v>
                </c:pt>
                <c:pt idx="2">
                  <c:v>30</c:v>
                </c:pt>
                <c:pt idx="3">
                  <c:v>40</c:v>
                </c:pt>
                <c:pt idx="4">
                  <c:v>50</c:v>
                </c:pt>
                <c:pt idx="5">
                  <c:v>60</c:v>
                </c:pt>
                <c:pt idx="6">
                  <c:v>70</c:v>
                </c:pt>
                <c:pt idx="7">
                  <c:v>80</c:v>
                </c:pt>
                <c:pt idx="8">
                  <c:v>90</c:v>
                </c:pt>
              </c:numCache>
            </c:numRef>
          </c:cat>
          <c:val>
            <c:numRef>
              <c:f>Hists!$D$1309:$D$1317</c:f>
              <c:numCache>
                <c:formatCode>0.00</c:formatCode>
                <c:ptCount val="9"/>
                <c:pt idx="0">
                  <c:v>0</c:v>
                </c:pt>
                <c:pt idx="1">
                  <c:v>15.384615384497041</c:v>
                </c:pt>
                <c:pt idx="2">
                  <c:v>0</c:v>
                </c:pt>
                <c:pt idx="3">
                  <c:v>23.076923076745562</c:v>
                </c:pt>
                <c:pt idx="4">
                  <c:v>15.384615384497041</c:v>
                </c:pt>
                <c:pt idx="5">
                  <c:v>30.769230768994081</c:v>
                </c:pt>
                <c:pt idx="6">
                  <c:v>7.6923076922485203</c:v>
                </c:pt>
                <c:pt idx="7">
                  <c:v>0</c:v>
                </c:pt>
                <c:pt idx="8">
                  <c:v>0</c:v>
                </c:pt>
              </c:numCache>
            </c:numRef>
          </c:val>
          <c:extLst xmlns:c16r2="http://schemas.microsoft.com/office/drawing/2015/06/chart">
            <c:ext xmlns:c16="http://schemas.microsoft.com/office/drawing/2014/chart" uri="{C3380CC4-5D6E-409C-BE32-E72D297353CC}">
              <c16:uniqueId val="{00000000-BCB0-4F3F-A91B-F24A5A51EFA0}"/>
            </c:ext>
          </c:extLst>
        </c:ser>
        <c:ser>
          <c:idx val="1"/>
          <c:order val="1"/>
          <c:tx>
            <c:v>Motes</c:v>
          </c:tx>
          <c:invertIfNegative val="0"/>
          <c:cat>
            <c:numRef>
              <c:f>Hists!$B$1309:$B$1317</c:f>
              <c:numCache>
                <c:formatCode>0.0</c:formatCode>
                <c:ptCount val="9"/>
                <c:pt idx="0">
                  <c:v>10</c:v>
                </c:pt>
                <c:pt idx="1">
                  <c:v>20</c:v>
                </c:pt>
                <c:pt idx="2">
                  <c:v>30</c:v>
                </c:pt>
                <c:pt idx="3">
                  <c:v>40</c:v>
                </c:pt>
                <c:pt idx="4">
                  <c:v>50</c:v>
                </c:pt>
                <c:pt idx="5">
                  <c:v>60</c:v>
                </c:pt>
                <c:pt idx="6">
                  <c:v>70</c:v>
                </c:pt>
                <c:pt idx="7">
                  <c:v>80</c:v>
                </c:pt>
                <c:pt idx="8">
                  <c:v>90</c:v>
                </c:pt>
              </c:numCache>
            </c:numRef>
          </c:cat>
          <c:val>
            <c:numRef>
              <c:f>Hists!$F$1309:$F$1317</c:f>
              <c:numCache>
                <c:formatCode>0.00</c:formatCode>
                <c:ptCount val="9"/>
                <c:pt idx="0">
                  <c:v>2.5641025640959896</c:v>
                </c:pt>
                <c:pt idx="1">
                  <c:v>17.948717948671927</c:v>
                </c:pt>
                <c:pt idx="2">
                  <c:v>12.820512820479946</c:v>
                </c:pt>
                <c:pt idx="3">
                  <c:v>2.5641025640959896</c:v>
                </c:pt>
                <c:pt idx="4">
                  <c:v>23.076923076863903</c:v>
                </c:pt>
                <c:pt idx="5">
                  <c:v>2.5641025640959896</c:v>
                </c:pt>
                <c:pt idx="6">
                  <c:v>15.384615384575936</c:v>
                </c:pt>
                <c:pt idx="7">
                  <c:v>10.256410256383958</c:v>
                </c:pt>
                <c:pt idx="8">
                  <c:v>2.5641025640959896</c:v>
                </c:pt>
              </c:numCache>
            </c:numRef>
          </c:val>
          <c:extLst xmlns:c16r2="http://schemas.microsoft.com/office/drawing/2015/06/chart">
            <c:ext xmlns:c16="http://schemas.microsoft.com/office/drawing/2014/chart" uri="{C3380CC4-5D6E-409C-BE32-E72D297353CC}">
              <c16:uniqueId val="{00000001-BCB0-4F3F-A91B-F24A5A51EFA0}"/>
            </c:ext>
          </c:extLst>
        </c:ser>
        <c:ser>
          <c:idx val="2"/>
          <c:order val="2"/>
          <c:tx>
            <c:v>MCU</c:v>
          </c:tx>
          <c:invertIfNegative val="0"/>
          <c:cat>
            <c:numRef>
              <c:f>Hists!$B$1309:$B$1317</c:f>
              <c:numCache>
                <c:formatCode>0.0</c:formatCode>
                <c:ptCount val="9"/>
                <c:pt idx="0">
                  <c:v>10</c:v>
                </c:pt>
                <c:pt idx="1">
                  <c:v>20</c:v>
                </c:pt>
                <c:pt idx="2">
                  <c:v>30</c:v>
                </c:pt>
                <c:pt idx="3">
                  <c:v>40</c:v>
                </c:pt>
                <c:pt idx="4">
                  <c:v>50</c:v>
                </c:pt>
                <c:pt idx="5">
                  <c:v>60</c:v>
                </c:pt>
                <c:pt idx="6">
                  <c:v>70</c:v>
                </c:pt>
                <c:pt idx="7">
                  <c:v>80</c:v>
                </c:pt>
                <c:pt idx="8">
                  <c:v>90</c:v>
                </c:pt>
              </c:numCache>
            </c:numRef>
          </c:cat>
          <c:val>
            <c:numRef>
              <c:f>Hists!$H$1309:$H$1317</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BCB0-4F3F-A91B-F24A5A51EFA0}"/>
            </c:ext>
          </c:extLst>
        </c:ser>
        <c:ser>
          <c:idx val="3"/>
          <c:order val="3"/>
          <c:tx>
            <c:v>SensHub</c:v>
          </c:tx>
          <c:invertIfNegative val="0"/>
          <c:cat>
            <c:numRef>
              <c:f>Hists!$B$1309:$B$1317</c:f>
              <c:numCache>
                <c:formatCode>0.0</c:formatCode>
                <c:ptCount val="9"/>
                <c:pt idx="0">
                  <c:v>10</c:v>
                </c:pt>
                <c:pt idx="1">
                  <c:v>20</c:v>
                </c:pt>
                <c:pt idx="2">
                  <c:v>30</c:v>
                </c:pt>
                <c:pt idx="3">
                  <c:v>40</c:v>
                </c:pt>
                <c:pt idx="4">
                  <c:v>50</c:v>
                </c:pt>
                <c:pt idx="5">
                  <c:v>60</c:v>
                </c:pt>
                <c:pt idx="6">
                  <c:v>70</c:v>
                </c:pt>
                <c:pt idx="7">
                  <c:v>80</c:v>
                </c:pt>
                <c:pt idx="8">
                  <c:v>90</c:v>
                </c:pt>
              </c:numCache>
            </c:numRef>
          </c:cat>
          <c:val>
            <c:numRef>
              <c:f>Hists!$J$1309:$J$1317</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3-BCB0-4F3F-A91B-F24A5A51EFA0}"/>
            </c:ext>
          </c:extLst>
        </c:ser>
        <c:dLbls>
          <c:showLegendKey val="0"/>
          <c:showVal val="0"/>
          <c:showCatName val="0"/>
          <c:showSerName val="0"/>
          <c:showPercent val="0"/>
          <c:showBubbleSize val="0"/>
        </c:dLbls>
        <c:gapWidth val="150"/>
        <c:axId val="219233288"/>
        <c:axId val="219233680"/>
      </c:barChart>
      <c:catAx>
        <c:axId val="219233288"/>
        <c:scaling>
          <c:orientation val="minMax"/>
        </c:scaling>
        <c:delete val="0"/>
        <c:axPos val="b"/>
        <c:title>
          <c:tx>
            <c:rich>
              <a:bodyPr/>
              <a:lstStyle/>
              <a:p>
                <a:pPr>
                  <a:defRPr/>
                </a:pPr>
                <a:r>
                  <a:rPr lang="en-US"/>
                  <a:t>Dimension (mm)</a:t>
                </a:r>
              </a:p>
            </c:rich>
          </c:tx>
          <c:layout>
            <c:manualLayout>
              <c:xMode val="edge"/>
              <c:yMode val="edge"/>
              <c:x val="0.3569943140241798"/>
              <c:y val="0.96141123426441444"/>
            </c:manualLayout>
          </c:layout>
          <c:overlay val="0"/>
        </c:title>
        <c:numFmt formatCode="#,##0" sourceLinked="0"/>
        <c:majorTickMark val="out"/>
        <c:minorTickMark val="none"/>
        <c:tickLblPos val="nextTo"/>
        <c:txPr>
          <a:bodyPr rot="5400000" vert="horz"/>
          <a:lstStyle/>
          <a:p>
            <a:pPr>
              <a:defRPr>
                <a:latin typeface="+mn-lt"/>
              </a:defRPr>
            </a:pPr>
            <a:endParaRPr lang="en-US"/>
          </a:p>
        </c:txPr>
        <c:crossAx val="219233680"/>
        <c:crosses val="autoZero"/>
        <c:auto val="1"/>
        <c:lblAlgn val="ctr"/>
        <c:lblOffset val="100"/>
        <c:noMultiLvlLbl val="0"/>
      </c:catAx>
      <c:valAx>
        <c:axId val="219233680"/>
        <c:scaling>
          <c:orientation val="minMax"/>
          <c:max val="45"/>
        </c:scaling>
        <c:delete val="1"/>
        <c:axPos val="l"/>
        <c:majorGridlines/>
        <c:minorGridlines/>
        <c:numFmt formatCode="0.00" sourceLinked="1"/>
        <c:majorTickMark val="out"/>
        <c:minorTickMark val="none"/>
        <c:tickLblPos val="nextTo"/>
        <c:crossAx val="219233288"/>
        <c:crosses val="autoZero"/>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189005719193231E-2"/>
          <c:y val="6.3085894966510361E-2"/>
          <c:w val="0.90415012558016883"/>
          <c:h val="0.83728037071129724"/>
        </c:manualLayout>
      </c:layout>
      <c:barChart>
        <c:barDir val="col"/>
        <c:grouping val="clustered"/>
        <c:varyColors val="0"/>
        <c:ser>
          <c:idx val="0"/>
          <c:order val="0"/>
          <c:tx>
            <c:v>Wearable</c:v>
          </c:tx>
          <c:invertIfNegative val="0"/>
          <c:cat>
            <c:numRef>
              <c:f>Hists!$B$1318:$B$1328</c:f>
              <c:numCache>
                <c:formatCode>0.0</c:formatCode>
                <c:ptCount val="11"/>
                <c:pt idx="0">
                  <c:v>100</c:v>
                </c:pt>
                <c:pt idx="1">
                  <c:v>110</c:v>
                </c:pt>
                <c:pt idx="2">
                  <c:v>120</c:v>
                </c:pt>
                <c:pt idx="3">
                  <c:v>130</c:v>
                </c:pt>
                <c:pt idx="4">
                  <c:v>140</c:v>
                </c:pt>
                <c:pt idx="5">
                  <c:v>150</c:v>
                </c:pt>
                <c:pt idx="6">
                  <c:v>160</c:v>
                </c:pt>
                <c:pt idx="7">
                  <c:v>170</c:v>
                </c:pt>
                <c:pt idx="8">
                  <c:v>180</c:v>
                </c:pt>
                <c:pt idx="9">
                  <c:v>190</c:v>
                </c:pt>
                <c:pt idx="10">
                  <c:v>200</c:v>
                </c:pt>
              </c:numCache>
            </c:numRef>
          </c:cat>
          <c:val>
            <c:numRef>
              <c:f>Hists!$D$1318:$D$1328</c:f>
              <c:numCache>
                <c:formatCode>0.00</c:formatCode>
                <c:ptCount val="11"/>
                <c:pt idx="0">
                  <c:v>0</c:v>
                </c:pt>
                <c:pt idx="1">
                  <c:v>0</c:v>
                </c:pt>
                <c:pt idx="2">
                  <c:v>0</c:v>
                </c:pt>
                <c:pt idx="3">
                  <c:v>0</c:v>
                </c:pt>
                <c:pt idx="4">
                  <c:v>7.6923076922485203</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BB37-41C1-B7EE-1CD7EC75B322}"/>
            </c:ext>
          </c:extLst>
        </c:ser>
        <c:ser>
          <c:idx val="1"/>
          <c:order val="1"/>
          <c:tx>
            <c:v>Motes</c:v>
          </c:tx>
          <c:invertIfNegative val="0"/>
          <c:cat>
            <c:numRef>
              <c:f>Hists!$B$1318:$B$1328</c:f>
              <c:numCache>
                <c:formatCode>0.0</c:formatCode>
                <c:ptCount val="11"/>
                <c:pt idx="0">
                  <c:v>100</c:v>
                </c:pt>
                <c:pt idx="1">
                  <c:v>110</c:v>
                </c:pt>
                <c:pt idx="2">
                  <c:v>120</c:v>
                </c:pt>
                <c:pt idx="3">
                  <c:v>130</c:v>
                </c:pt>
                <c:pt idx="4">
                  <c:v>140</c:v>
                </c:pt>
                <c:pt idx="5">
                  <c:v>150</c:v>
                </c:pt>
                <c:pt idx="6">
                  <c:v>160</c:v>
                </c:pt>
                <c:pt idx="7">
                  <c:v>170</c:v>
                </c:pt>
                <c:pt idx="8">
                  <c:v>180</c:v>
                </c:pt>
                <c:pt idx="9">
                  <c:v>190</c:v>
                </c:pt>
                <c:pt idx="10">
                  <c:v>200</c:v>
                </c:pt>
              </c:numCache>
            </c:numRef>
          </c:cat>
          <c:val>
            <c:numRef>
              <c:f>Hists!$F$1318:$F$1328</c:f>
              <c:numCache>
                <c:formatCode>0.00</c:formatCode>
                <c:ptCount val="11"/>
                <c:pt idx="0">
                  <c:v>0</c:v>
                </c:pt>
                <c:pt idx="1">
                  <c:v>2.5641025640959896</c:v>
                </c:pt>
                <c:pt idx="2">
                  <c:v>0</c:v>
                </c:pt>
                <c:pt idx="3">
                  <c:v>0</c:v>
                </c:pt>
                <c:pt idx="4">
                  <c:v>2.5641025640959896</c:v>
                </c:pt>
                <c:pt idx="5">
                  <c:v>2.5641025640959896</c:v>
                </c:pt>
                <c:pt idx="6">
                  <c:v>0</c:v>
                </c:pt>
                <c:pt idx="7">
                  <c:v>2.5641025640959896</c:v>
                </c:pt>
                <c:pt idx="8">
                  <c:v>0</c:v>
                </c:pt>
                <c:pt idx="9">
                  <c:v>0</c:v>
                </c:pt>
                <c:pt idx="10">
                  <c:v>0</c:v>
                </c:pt>
              </c:numCache>
            </c:numRef>
          </c:val>
          <c:extLst xmlns:c16r2="http://schemas.microsoft.com/office/drawing/2015/06/chart">
            <c:ext xmlns:c16="http://schemas.microsoft.com/office/drawing/2014/chart" uri="{C3380CC4-5D6E-409C-BE32-E72D297353CC}">
              <c16:uniqueId val="{00000001-BB37-41C1-B7EE-1CD7EC75B322}"/>
            </c:ext>
          </c:extLst>
        </c:ser>
        <c:ser>
          <c:idx val="2"/>
          <c:order val="2"/>
          <c:tx>
            <c:v>MCU</c:v>
          </c:tx>
          <c:invertIfNegative val="0"/>
          <c:cat>
            <c:numRef>
              <c:f>Hists!$B$1318:$B$1328</c:f>
              <c:numCache>
                <c:formatCode>0.0</c:formatCode>
                <c:ptCount val="11"/>
                <c:pt idx="0">
                  <c:v>100</c:v>
                </c:pt>
                <c:pt idx="1">
                  <c:v>110</c:v>
                </c:pt>
                <c:pt idx="2">
                  <c:v>120</c:v>
                </c:pt>
                <c:pt idx="3">
                  <c:v>130</c:v>
                </c:pt>
                <c:pt idx="4">
                  <c:v>140</c:v>
                </c:pt>
                <c:pt idx="5">
                  <c:v>150</c:v>
                </c:pt>
                <c:pt idx="6">
                  <c:v>160</c:v>
                </c:pt>
                <c:pt idx="7">
                  <c:v>170</c:v>
                </c:pt>
                <c:pt idx="8">
                  <c:v>180</c:v>
                </c:pt>
                <c:pt idx="9">
                  <c:v>190</c:v>
                </c:pt>
                <c:pt idx="10">
                  <c:v>200</c:v>
                </c:pt>
              </c:numCache>
            </c:numRef>
          </c:cat>
          <c:val>
            <c:numRef>
              <c:f>Hists!$H$1318:$H$1328</c:f>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BB37-41C1-B7EE-1CD7EC75B322}"/>
            </c:ext>
          </c:extLst>
        </c:ser>
        <c:ser>
          <c:idx val="3"/>
          <c:order val="3"/>
          <c:tx>
            <c:v>SensHub</c:v>
          </c:tx>
          <c:invertIfNegative val="0"/>
          <c:cat>
            <c:numRef>
              <c:f>Hists!$B$1318:$B$1328</c:f>
              <c:numCache>
                <c:formatCode>0.0</c:formatCode>
                <c:ptCount val="11"/>
                <c:pt idx="0">
                  <c:v>100</c:v>
                </c:pt>
                <c:pt idx="1">
                  <c:v>110</c:v>
                </c:pt>
                <c:pt idx="2">
                  <c:v>120</c:v>
                </c:pt>
                <c:pt idx="3">
                  <c:v>130</c:v>
                </c:pt>
                <c:pt idx="4">
                  <c:v>140</c:v>
                </c:pt>
                <c:pt idx="5">
                  <c:v>150</c:v>
                </c:pt>
                <c:pt idx="6">
                  <c:v>160</c:v>
                </c:pt>
                <c:pt idx="7">
                  <c:v>170</c:v>
                </c:pt>
                <c:pt idx="8">
                  <c:v>180</c:v>
                </c:pt>
                <c:pt idx="9">
                  <c:v>190</c:v>
                </c:pt>
                <c:pt idx="10">
                  <c:v>200</c:v>
                </c:pt>
              </c:numCache>
            </c:numRef>
          </c:cat>
          <c:val>
            <c:numRef>
              <c:f>Hists!$J$1318:$J$1328</c:f>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BB37-41C1-B7EE-1CD7EC75B322}"/>
            </c:ext>
          </c:extLst>
        </c:ser>
        <c:dLbls>
          <c:showLegendKey val="0"/>
          <c:showVal val="0"/>
          <c:showCatName val="0"/>
          <c:showSerName val="0"/>
          <c:showPercent val="0"/>
          <c:showBubbleSize val="0"/>
        </c:dLbls>
        <c:gapWidth val="150"/>
        <c:axId val="219234464"/>
        <c:axId val="219234856"/>
      </c:barChart>
      <c:catAx>
        <c:axId val="219234464"/>
        <c:scaling>
          <c:orientation val="minMax"/>
        </c:scaling>
        <c:delete val="0"/>
        <c:axPos val="b"/>
        <c:title>
          <c:tx>
            <c:rich>
              <a:bodyPr/>
              <a:lstStyle/>
              <a:p>
                <a:pPr>
                  <a:defRPr/>
                </a:pPr>
                <a:r>
                  <a:rPr lang="en-US"/>
                  <a:t>Dimension (mm)</a:t>
                </a:r>
              </a:p>
            </c:rich>
          </c:tx>
          <c:layout>
            <c:manualLayout>
              <c:xMode val="edge"/>
              <c:yMode val="edge"/>
              <c:x val="0.35394869645704741"/>
              <c:y val="0.95680571534544778"/>
            </c:manualLayout>
          </c:layout>
          <c:overlay val="0"/>
        </c:title>
        <c:numFmt formatCode="#,##0" sourceLinked="0"/>
        <c:majorTickMark val="out"/>
        <c:minorTickMark val="none"/>
        <c:tickLblPos val="nextTo"/>
        <c:txPr>
          <a:bodyPr rot="5400000" vert="horz"/>
          <a:lstStyle/>
          <a:p>
            <a:pPr>
              <a:defRPr>
                <a:latin typeface="+mn-lt"/>
              </a:defRPr>
            </a:pPr>
            <a:endParaRPr lang="en-US"/>
          </a:p>
        </c:txPr>
        <c:crossAx val="219234856"/>
        <c:crosses val="autoZero"/>
        <c:auto val="1"/>
        <c:lblAlgn val="ctr"/>
        <c:lblOffset val="100"/>
        <c:noMultiLvlLbl val="0"/>
      </c:catAx>
      <c:valAx>
        <c:axId val="219234856"/>
        <c:scaling>
          <c:orientation val="minMax"/>
          <c:max val="45"/>
        </c:scaling>
        <c:delete val="1"/>
        <c:axPos val="l"/>
        <c:majorGridlines/>
        <c:minorGridlines/>
        <c:numFmt formatCode="0.00" sourceLinked="1"/>
        <c:majorTickMark val="out"/>
        <c:minorTickMark val="none"/>
        <c:tickLblPos val="nextTo"/>
        <c:crossAx val="219234464"/>
        <c:crosses val="autoZero"/>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7.4247649649259465E-2"/>
          <c:w val="0.79434861612198138"/>
          <c:h val="0.82280769071811555"/>
        </c:manualLayout>
      </c:layout>
      <c:barChart>
        <c:barDir val="col"/>
        <c:grouping val="clustered"/>
        <c:varyColors val="0"/>
        <c:ser>
          <c:idx val="1"/>
          <c:order val="0"/>
          <c:tx>
            <c:v>Wearable</c:v>
          </c:tx>
          <c:invertIfNegative val="0"/>
          <c:cat>
            <c:numRef>
              <c:f>Hists!$B$1800:$B$1808</c:f>
              <c:numCache>
                <c:formatCode>0.0</c:formatCode>
                <c:ptCount val="9"/>
                <c:pt idx="0">
                  <c:v>0.1</c:v>
                </c:pt>
                <c:pt idx="1">
                  <c:v>0.2</c:v>
                </c:pt>
                <c:pt idx="2">
                  <c:v>0.3</c:v>
                </c:pt>
                <c:pt idx="3">
                  <c:v>0.4</c:v>
                </c:pt>
                <c:pt idx="4">
                  <c:v>0.5</c:v>
                </c:pt>
                <c:pt idx="5">
                  <c:v>0.6</c:v>
                </c:pt>
                <c:pt idx="6">
                  <c:v>0.7</c:v>
                </c:pt>
                <c:pt idx="7">
                  <c:v>0.8</c:v>
                </c:pt>
                <c:pt idx="8">
                  <c:v>0.9</c:v>
                </c:pt>
              </c:numCache>
            </c:numRef>
          </c:cat>
          <c:val>
            <c:numRef>
              <c:f>Hists!$D$1800:$D$1808</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517A-4975-90F4-1B7284BA17B7}"/>
            </c:ext>
          </c:extLst>
        </c:ser>
        <c:ser>
          <c:idx val="0"/>
          <c:order val="1"/>
          <c:tx>
            <c:strRef>
              <c:f>Hists!$E$1798</c:f>
              <c:strCache>
                <c:ptCount val="1"/>
                <c:pt idx="0">
                  <c:v>Mote (on PCB)</c:v>
                </c:pt>
              </c:strCache>
            </c:strRef>
          </c:tx>
          <c:invertIfNegative val="0"/>
          <c:cat>
            <c:numRef>
              <c:f>Hists!$B$1800:$B$1808</c:f>
              <c:numCache>
                <c:formatCode>0.0</c:formatCode>
                <c:ptCount val="9"/>
                <c:pt idx="0">
                  <c:v>0.1</c:v>
                </c:pt>
                <c:pt idx="1">
                  <c:v>0.2</c:v>
                </c:pt>
                <c:pt idx="2">
                  <c:v>0.3</c:v>
                </c:pt>
                <c:pt idx="3">
                  <c:v>0.4</c:v>
                </c:pt>
                <c:pt idx="4">
                  <c:v>0.5</c:v>
                </c:pt>
                <c:pt idx="5">
                  <c:v>0.6</c:v>
                </c:pt>
                <c:pt idx="6">
                  <c:v>0.7</c:v>
                </c:pt>
                <c:pt idx="7">
                  <c:v>0.8</c:v>
                </c:pt>
                <c:pt idx="8">
                  <c:v>0.9</c:v>
                </c:pt>
              </c:numCache>
            </c:numRef>
          </c:cat>
          <c:val>
            <c:numRef>
              <c:f>Hists!$F$1800:$F$1808</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517A-4975-90F4-1B7284BA17B7}"/>
            </c:ext>
          </c:extLst>
        </c:ser>
        <c:ser>
          <c:idx val="2"/>
          <c:order val="2"/>
          <c:tx>
            <c:v>MCU</c:v>
          </c:tx>
          <c:invertIfNegative val="0"/>
          <c:cat>
            <c:numRef>
              <c:f>Hists!$B$1800:$B$1808</c:f>
              <c:numCache>
                <c:formatCode>0.0</c:formatCode>
                <c:ptCount val="9"/>
                <c:pt idx="0">
                  <c:v>0.1</c:v>
                </c:pt>
                <c:pt idx="1">
                  <c:v>0.2</c:v>
                </c:pt>
                <c:pt idx="2">
                  <c:v>0.3</c:v>
                </c:pt>
                <c:pt idx="3">
                  <c:v>0.4</c:v>
                </c:pt>
                <c:pt idx="4">
                  <c:v>0.5</c:v>
                </c:pt>
                <c:pt idx="5">
                  <c:v>0.6</c:v>
                </c:pt>
                <c:pt idx="6">
                  <c:v>0.7</c:v>
                </c:pt>
                <c:pt idx="7">
                  <c:v>0.8</c:v>
                </c:pt>
                <c:pt idx="8">
                  <c:v>0.9</c:v>
                </c:pt>
              </c:numCache>
            </c:numRef>
          </c:cat>
          <c:val>
            <c:numRef>
              <c:f>Hists!$H$1800:$H$1808</c:f>
              <c:numCache>
                <c:formatCode>0.00</c:formatCode>
                <c:ptCount val="9"/>
                <c:pt idx="0">
                  <c:v>0</c:v>
                </c:pt>
                <c:pt idx="1">
                  <c:v>0</c:v>
                </c:pt>
                <c:pt idx="2">
                  <c:v>0</c:v>
                </c:pt>
                <c:pt idx="3">
                  <c:v>0</c:v>
                </c:pt>
                <c:pt idx="4">
                  <c:v>0</c:v>
                </c:pt>
                <c:pt idx="5">
                  <c:v>45.45454545413223</c:v>
                </c:pt>
                <c:pt idx="6">
                  <c:v>0</c:v>
                </c:pt>
                <c:pt idx="7">
                  <c:v>0</c:v>
                </c:pt>
                <c:pt idx="8">
                  <c:v>0</c:v>
                </c:pt>
              </c:numCache>
            </c:numRef>
          </c:val>
          <c:extLst xmlns:c16r2="http://schemas.microsoft.com/office/drawing/2015/06/chart">
            <c:ext xmlns:c16="http://schemas.microsoft.com/office/drawing/2014/chart" uri="{C3380CC4-5D6E-409C-BE32-E72D297353CC}">
              <c16:uniqueId val="{00000002-517A-4975-90F4-1B7284BA17B7}"/>
            </c:ext>
          </c:extLst>
        </c:ser>
        <c:ser>
          <c:idx val="3"/>
          <c:order val="3"/>
          <c:tx>
            <c:v>SensHub</c:v>
          </c:tx>
          <c:invertIfNegative val="0"/>
          <c:cat>
            <c:numRef>
              <c:f>Hists!$B$1800:$B$1808</c:f>
              <c:numCache>
                <c:formatCode>0.0</c:formatCode>
                <c:ptCount val="9"/>
                <c:pt idx="0">
                  <c:v>0.1</c:v>
                </c:pt>
                <c:pt idx="1">
                  <c:v>0.2</c:v>
                </c:pt>
                <c:pt idx="2">
                  <c:v>0.3</c:v>
                </c:pt>
                <c:pt idx="3">
                  <c:v>0.4</c:v>
                </c:pt>
                <c:pt idx="4">
                  <c:v>0.5</c:v>
                </c:pt>
                <c:pt idx="5">
                  <c:v>0.6</c:v>
                </c:pt>
                <c:pt idx="6">
                  <c:v>0.7</c:v>
                </c:pt>
                <c:pt idx="7">
                  <c:v>0.8</c:v>
                </c:pt>
                <c:pt idx="8">
                  <c:v>0.9</c:v>
                </c:pt>
              </c:numCache>
            </c:numRef>
          </c:cat>
          <c:val>
            <c:numRef>
              <c:f>Hists!$J$1800:$J$1808</c:f>
              <c:numCache>
                <c:formatCode>0.00</c:formatCode>
                <c:ptCount val="9"/>
                <c:pt idx="0">
                  <c:v>0</c:v>
                </c:pt>
                <c:pt idx="1">
                  <c:v>11.111111110987654</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3-517A-4975-90F4-1B7284BA17B7}"/>
            </c:ext>
          </c:extLst>
        </c:ser>
        <c:dLbls>
          <c:showLegendKey val="0"/>
          <c:showVal val="0"/>
          <c:showCatName val="0"/>
          <c:showSerName val="0"/>
          <c:showPercent val="0"/>
          <c:showBubbleSize val="0"/>
        </c:dLbls>
        <c:gapWidth val="150"/>
        <c:axId val="219235640"/>
        <c:axId val="219236032"/>
      </c:barChart>
      <c:catAx>
        <c:axId val="219235640"/>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Current (µA)</a:t>
                </a:r>
              </a:p>
            </c:rich>
          </c:tx>
          <c:layout>
            <c:manualLayout>
              <c:xMode val="edge"/>
              <c:yMode val="edge"/>
              <c:x val="0.3621511085513629"/>
              <c:y val="0.95695993008344948"/>
            </c:manualLayout>
          </c:layout>
          <c:overlay val="0"/>
        </c:title>
        <c:numFmt formatCode="#,##0.0" sourceLinked="0"/>
        <c:majorTickMark val="out"/>
        <c:minorTickMark val="none"/>
        <c:tickLblPos val="nextTo"/>
        <c:txPr>
          <a:bodyPr rot="5400000" vert="horz"/>
          <a:lstStyle/>
          <a:p>
            <a:pPr>
              <a:defRPr/>
            </a:pPr>
            <a:endParaRPr lang="en-US"/>
          </a:p>
        </c:txPr>
        <c:crossAx val="219236032"/>
        <c:crosses val="autoZero"/>
        <c:auto val="1"/>
        <c:lblAlgn val="ctr"/>
        <c:lblOffset val="100"/>
        <c:noMultiLvlLbl val="0"/>
      </c:catAx>
      <c:valAx>
        <c:axId val="219236032"/>
        <c:scaling>
          <c:orientation val="minMax"/>
          <c:max val="110"/>
          <c:min val="0"/>
        </c:scaling>
        <c:delete val="0"/>
        <c:axPos val="l"/>
        <c:majorGridlines/>
        <c:minorGridlines/>
        <c:numFmt formatCode="0" sourceLinked="0"/>
        <c:majorTickMark val="out"/>
        <c:minorTickMark val="none"/>
        <c:tickLblPos val="nextTo"/>
        <c:crossAx val="219235640"/>
        <c:crosses val="autoZero"/>
        <c:crossBetween val="between"/>
      </c:valAx>
    </c:plotArea>
    <c:legend>
      <c:legendPos val="r"/>
      <c:layout>
        <c:manualLayout>
          <c:xMode val="edge"/>
          <c:yMode val="edge"/>
          <c:x val="0.32114169681339544"/>
          <c:y val="0.25520610266033816"/>
          <c:w val="0.39600482719292218"/>
          <c:h val="0.20071220657748862"/>
        </c:manualLayout>
      </c:layout>
      <c:overlay val="1"/>
      <c:spPr>
        <a:solidFill>
          <a:schemeClr val="bg1"/>
        </a:solidFill>
      </c:spPr>
    </c:legend>
    <c:plotVisOnly val="1"/>
    <c:dispBlanksAs val="gap"/>
    <c:showDLblsOverMax val="0"/>
  </c:chart>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7.158329293091617E-2"/>
          <c:w val="0.89598164841004102"/>
          <c:h val="0.82547204743645874"/>
        </c:manualLayout>
      </c:layout>
      <c:barChart>
        <c:barDir val="col"/>
        <c:grouping val="clustered"/>
        <c:varyColors val="0"/>
        <c:ser>
          <c:idx val="1"/>
          <c:order val="0"/>
          <c:tx>
            <c:v>Wearable</c:v>
          </c:tx>
          <c:invertIfNegative val="0"/>
          <c:cat>
            <c:numRef>
              <c:f>Hists!$B$1809:$B$1817</c:f>
              <c:numCache>
                <c:formatCode>0.0</c:formatCode>
                <c:ptCount val="9"/>
                <c:pt idx="0">
                  <c:v>1</c:v>
                </c:pt>
                <c:pt idx="1">
                  <c:v>2</c:v>
                </c:pt>
                <c:pt idx="2">
                  <c:v>3</c:v>
                </c:pt>
                <c:pt idx="3">
                  <c:v>4</c:v>
                </c:pt>
                <c:pt idx="4">
                  <c:v>5</c:v>
                </c:pt>
                <c:pt idx="5">
                  <c:v>6</c:v>
                </c:pt>
                <c:pt idx="6">
                  <c:v>7</c:v>
                </c:pt>
                <c:pt idx="7">
                  <c:v>8</c:v>
                </c:pt>
                <c:pt idx="8">
                  <c:v>9</c:v>
                </c:pt>
              </c:numCache>
            </c:numRef>
          </c:cat>
          <c:val>
            <c:numRef>
              <c:f>Hists!$D$1809:$D$1817</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2664-4107-91FD-18DA340F9D08}"/>
            </c:ext>
          </c:extLst>
        </c:ser>
        <c:ser>
          <c:idx val="0"/>
          <c:order val="1"/>
          <c:tx>
            <c:v>Mote</c:v>
          </c:tx>
          <c:invertIfNegative val="0"/>
          <c:cat>
            <c:numRef>
              <c:f>Hists!$B$1809:$B$1817</c:f>
              <c:numCache>
                <c:formatCode>0.0</c:formatCode>
                <c:ptCount val="9"/>
                <c:pt idx="0">
                  <c:v>1</c:v>
                </c:pt>
                <c:pt idx="1">
                  <c:v>2</c:v>
                </c:pt>
                <c:pt idx="2">
                  <c:v>3</c:v>
                </c:pt>
                <c:pt idx="3">
                  <c:v>4</c:v>
                </c:pt>
                <c:pt idx="4">
                  <c:v>5</c:v>
                </c:pt>
                <c:pt idx="5">
                  <c:v>6</c:v>
                </c:pt>
                <c:pt idx="6">
                  <c:v>7</c:v>
                </c:pt>
                <c:pt idx="7">
                  <c:v>8</c:v>
                </c:pt>
                <c:pt idx="8">
                  <c:v>9</c:v>
                </c:pt>
              </c:numCache>
            </c:numRef>
          </c:cat>
          <c:val>
            <c:numRef>
              <c:f>Hists!$F$1809:$F$1817</c:f>
              <c:numCache>
                <c:formatCode>0.00</c:formatCode>
                <c:ptCount val="9"/>
                <c:pt idx="0">
                  <c:v>99.999999994999996</c:v>
                </c:pt>
                <c:pt idx="1">
                  <c:v>0</c:v>
                </c:pt>
                <c:pt idx="2">
                  <c:v>0</c:v>
                </c:pt>
                <c:pt idx="3">
                  <c:v>0</c:v>
                </c:pt>
                <c:pt idx="4">
                  <c:v>0</c:v>
                </c:pt>
                <c:pt idx="5">
                  <c:v>0</c:v>
                </c:pt>
                <c:pt idx="6">
                  <c:v>0</c:v>
                </c:pt>
                <c:pt idx="7">
                  <c:v>0</c:v>
                </c:pt>
                <c:pt idx="8">
                  <c:v>0</c:v>
                </c:pt>
              </c:numCache>
            </c:numRef>
          </c:val>
          <c:extLst xmlns:c15="http://schemas.microsoft.com/office/drawing/2012/chart" xmlns:c16r2="http://schemas.microsoft.com/office/drawing/2015/06/chart">
            <c:ext xmlns:c16="http://schemas.microsoft.com/office/drawing/2014/chart" uri="{C3380CC4-5D6E-409C-BE32-E72D297353CC}">
              <c16:uniqueId val="{00000003-2664-4107-91FD-18DA340F9D08}"/>
            </c:ext>
          </c:extLst>
        </c:ser>
        <c:ser>
          <c:idx val="2"/>
          <c:order val="2"/>
          <c:tx>
            <c:v>MCU</c:v>
          </c:tx>
          <c:invertIfNegative val="0"/>
          <c:cat>
            <c:numRef>
              <c:f>Hists!$B$1809:$B$1817</c:f>
              <c:numCache>
                <c:formatCode>0.0</c:formatCode>
                <c:ptCount val="9"/>
                <c:pt idx="0">
                  <c:v>1</c:v>
                </c:pt>
                <c:pt idx="1">
                  <c:v>2</c:v>
                </c:pt>
                <c:pt idx="2">
                  <c:v>3</c:v>
                </c:pt>
                <c:pt idx="3">
                  <c:v>4</c:v>
                </c:pt>
                <c:pt idx="4">
                  <c:v>5</c:v>
                </c:pt>
                <c:pt idx="5">
                  <c:v>6</c:v>
                </c:pt>
                <c:pt idx="6">
                  <c:v>7</c:v>
                </c:pt>
                <c:pt idx="7">
                  <c:v>8</c:v>
                </c:pt>
                <c:pt idx="8">
                  <c:v>9</c:v>
                </c:pt>
              </c:numCache>
            </c:numRef>
          </c:cat>
          <c:val>
            <c:numRef>
              <c:f>Hists!$H$1809:$H$1817</c:f>
              <c:numCache>
                <c:formatCode>0.00</c:formatCode>
                <c:ptCount val="9"/>
                <c:pt idx="0">
                  <c:v>9.0909090908264467</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2664-4107-91FD-18DA340F9D08}"/>
            </c:ext>
          </c:extLst>
        </c:ser>
        <c:ser>
          <c:idx val="3"/>
          <c:order val="3"/>
          <c:tx>
            <c:v>SensHub</c:v>
          </c:tx>
          <c:invertIfNegative val="0"/>
          <c:cat>
            <c:numRef>
              <c:f>Hists!$B$1809:$B$1817</c:f>
              <c:numCache>
                <c:formatCode>0.0</c:formatCode>
                <c:ptCount val="9"/>
                <c:pt idx="0">
                  <c:v>1</c:v>
                </c:pt>
                <c:pt idx="1">
                  <c:v>2</c:v>
                </c:pt>
                <c:pt idx="2">
                  <c:v>3</c:v>
                </c:pt>
                <c:pt idx="3">
                  <c:v>4</c:v>
                </c:pt>
                <c:pt idx="4">
                  <c:v>5</c:v>
                </c:pt>
                <c:pt idx="5">
                  <c:v>6</c:v>
                </c:pt>
                <c:pt idx="6">
                  <c:v>7</c:v>
                </c:pt>
                <c:pt idx="7">
                  <c:v>8</c:v>
                </c:pt>
                <c:pt idx="8">
                  <c:v>9</c:v>
                </c:pt>
              </c:numCache>
            </c:numRef>
          </c:cat>
          <c:val>
            <c:numRef>
              <c:f>Hists!$J$1809:$J$1817</c:f>
              <c:numCache>
                <c:formatCode>0.00</c:formatCode>
                <c:ptCount val="9"/>
                <c:pt idx="0">
                  <c:v>44.444444443950616</c:v>
                </c:pt>
                <c:pt idx="1">
                  <c:v>0</c:v>
                </c:pt>
                <c:pt idx="2">
                  <c:v>33.333333332962965</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2664-4107-91FD-18DA340F9D08}"/>
            </c:ext>
          </c:extLst>
        </c:ser>
        <c:dLbls>
          <c:showLegendKey val="0"/>
          <c:showVal val="0"/>
          <c:showCatName val="0"/>
          <c:showSerName val="0"/>
          <c:showPercent val="0"/>
          <c:showBubbleSize val="0"/>
        </c:dLbls>
        <c:gapWidth val="150"/>
        <c:axId val="219127768"/>
        <c:axId val="219128160"/>
        <c:extLst xmlns:c16r2="http://schemas.microsoft.com/office/drawing/2015/06/chart"/>
      </c:barChart>
      <c:catAx>
        <c:axId val="219127768"/>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Current (µA)</a:t>
                </a:r>
              </a:p>
            </c:rich>
          </c:tx>
          <c:layout>
            <c:manualLayout>
              <c:xMode val="edge"/>
              <c:yMode val="edge"/>
              <c:x val="0.36219539302237203"/>
              <c:y val="0.95537535902895188"/>
            </c:manualLayout>
          </c:layout>
          <c:overlay val="0"/>
        </c:title>
        <c:numFmt formatCode="#,##0" sourceLinked="0"/>
        <c:majorTickMark val="out"/>
        <c:minorTickMark val="none"/>
        <c:tickLblPos val="nextTo"/>
        <c:txPr>
          <a:bodyPr rot="5400000" vert="horz"/>
          <a:lstStyle/>
          <a:p>
            <a:pPr>
              <a:defRPr/>
            </a:pPr>
            <a:endParaRPr lang="en-US"/>
          </a:p>
        </c:txPr>
        <c:crossAx val="219128160"/>
        <c:crosses val="autoZero"/>
        <c:auto val="1"/>
        <c:lblAlgn val="ctr"/>
        <c:lblOffset val="100"/>
        <c:noMultiLvlLbl val="0"/>
      </c:catAx>
      <c:valAx>
        <c:axId val="219128160"/>
        <c:scaling>
          <c:orientation val="minMax"/>
          <c:max val="110"/>
          <c:min val="0"/>
        </c:scaling>
        <c:delete val="1"/>
        <c:axPos val="l"/>
        <c:majorGridlines/>
        <c:minorGridlines/>
        <c:numFmt formatCode="0.00" sourceLinked="1"/>
        <c:majorTickMark val="out"/>
        <c:minorTickMark val="none"/>
        <c:tickLblPos val="nextTo"/>
        <c:crossAx val="219127768"/>
        <c:crosses val="autoZero"/>
        <c:crossBetween val="between"/>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6.6254579494229568E-2"/>
          <c:w val="0.8798979905598473"/>
          <c:h val="0.82813640415480205"/>
        </c:manualLayout>
      </c:layout>
      <c:barChart>
        <c:barDir val="col"/>
        <c:grouping val="clustered"/>
        <c:varyColors val="0"/>
        <c:ser>
          <c:idx val="1"/>
          <c:order val="0"/>
          <c:tx>
            <c:v>Wearable</c:v>
          </c:tx>
          <c:invertIfNegative val="0"/>
          <c:cat>
            <c:numRef>
              <c:f>Hists!$B$1818:$B$1826</c:f>
              <c:numCache>
                <c:formatCode>0.0</c:formatCode>
                <c:ptCount val="9"/>
                <c:pt idx="0">
                  <c:v>10</c:v>
                </c:pt>
                <c:pt idx="1">
                  <c:v>20</c:v>
                </c:pt>
                <c:pt idx="2">
                  <c:v>30</c:v>
                </c:pt>
                <c:pt idx="3">
                  <c:v>40</c:v>
                </c:pt>
                <c:pt idx="4">
                  <c:v>50</c:v>
                </c:pt>
                <c:pt idx="5">
                  <c:v>60</c:v>
                </c:pt>
                <c:pt idx="6">
                  <c:v>70</c:v>
                </c:pt>
                <c:pt idx="7">
                  <c:v>80</c:v>
                </c:pt>
                <c:pt idx="8">
                  <c:v>90</c:v>
                </c:pt>
              </c:numCache>
            </c:numRef>
          </c:cat>
          <c:val>
            <c:numRef>
              <c:f>Hists!$D$1818:$D$1826</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8FCB-477B-AB14-496EB59D50C7}"/>
            </c:ext>
          </c:extLst>
        </c:ser>
        <c:ser>
          <c:idx val="0"/>
          <c:order val="1"/>
          <c:tx>
            <c:v>Mote</c:v>
          </c:tx>
          <c:invertIfNegative val="0"/>
          <c:cat>
            <c:numRef>
              <c:f>Hists!$B$1818:$B$1826</c:f>
              <c:numCache>
                <c:formatCode>0.0</c:formatCode>
                <c:ptCount val="9"/>
                <c:pt idx="0">
                  <c:v>10</c:v>
                </c:pt>
                <c:pt idx="1">
                  <c:v>20</c:v>
                </c:pt>
                <c:pt idx="2">
                  <c:v>30</c:v>
                </c:pt>
                <c:pt idx="3">
                  <c:v>40</c:v>
                </c:pt>
                <c:pt idx="4">
                  <c:v>50</c:v>
                </c:pt>
                <c:pt idx="5">
                  <c:v>60</c:v>
                </c:pt>
                <c:pt idx="6">
                  <c:v>70</c:v>
                </c:pt>
                <c:pt idx="7">
                  <c:v>80</c:v>
                </c:pt>
                <c:pt idx="8">
                  <c:v>90</c:v>
                </c:pt>
              </c:numCache>
            </c:numRef>
          </c:cat>
          <c:val>
            <c:numRef>
              <c:f>Hists!$F$1818:$F$1826</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8FCB-477B-AB14-496EB59D50C7}"/>
            </c:ext>
          </c:extLst>
        </c:ser>
        <c:ser>
          <c:idx val="2"/>
          <c:order val="2"/>
          <c:tx>
            <c:v>MCU</c:v>
          </c:tx>
          <c:invertIfNegative val="0"/>
          <c:cat>
            <c:numRef>
              <c:f>Hists!$B$1818:$B$1826</c:f>
              <c:numCache>
                <c:formatCode>0.0</c:formatCode>
                <c:ptCount val="9"/>
                <c:pt idx="0">
                  <c:v>10</c:v>
                </c:pt>
                <c:pt idx="1">
                  <c:v>20</c:v>
                </c:pt>
                <c:pt idx="2">
                  <c:v>30</c:v>
                </c:pt>
                <c:pt idx="3">
                  <c:v>40</c:v>
                </c:pt>
                <c:pt idx="4">
                  <c:v>50</c:v>
                </c:pt>
                <c:pt idx="5">
                  <c:v>60</c:v>
                </c:pt>
                <c:pt idx="6">
                  <c:v>70</c:v>
                </c:pt>
                <c:pt idx="7">
                  <c:v>80</c:v>
                </c:pt>
                <c:pt idx="8">
                  <c:v>90</c:v>
                </c:pt>
              </c:numCache>
            </c:numRef>
          </c:cat>
          <c:val>
            <c:numRef>
              <c:f>Hists!$H$1818:$H$1826</c:f>
              <c:numCache>
                <c:formatCode>0.00</c:formatCode>
                <c:ptCount val="9"/>
                <c:pt idx="0">
                  <c:v>0</c:v>
                </c:pt>
                <c:pt idx="1">
                  <c:v>0</c:v>
                </c:pt>
                <c:pt idx="2">
                  <c:v>0</c:v>
                </c:pt>
                <c:pt idx="3">
                  <c:v>0</c:v>
                </c:pt>
                <c:pt idx="4">
                  <c:v>9.0909090908264467</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8FCB-477B-AB14-496EB59D50C7}"/>
            </c:ext>
          </c:extLst>
        </c:ser>
        <c:ser>
          <c:idx val="3"/>
          <c:order val="3"/>
          <c:tx>
            <c:v>SensHub</c:v>
          </c:tx>
          <c:invertIfNegative val="0"/>
          <c:cat>
            <c:numRef>
              <c:f>Hists!$B$1818:$B$1826</c:f>
              <c:numCache>
                <c:formatCode>0.0</c:formatCode>
                <c:ptCount val="9"/>
                <c:pt idx="0">
                  <c:v>10</c:v>
                </c:pt>
                <c:pt idx="1">
                  <c:v>20</c:v>
                </c:pt>
                <c:pt idx="2">
                  <c:v>30</c:v>
                </c:pt>
                <c:pt idx="3">
                  <c:v>40</c:v>
                </c:pt>
                <c:pt idx="4">
                  <c:v>50</c:v>
                </c:pt>
                <c:pt idx="5">
                  <c:v>60</c:v>
                </c:pt>
                <c:pt idx="6">
                  <c:v>70</c:v>
                </c:pt>
                <c:pt idx="7">
                  <c:v>80</c:v>
                </c:pt>
                <c:pt idx="8">
                  <c:v>90</c:v>
                </c:pt>
              </c:numCache>
            </c:numRef>
          </c:cat>
          <c:val>
            <c:numRef>
              <c:f>Hists!$J$1818:$J$1826</c:f>
              <c:numCache>
                <c:formatCode>0.00</c:formatCode>
                <c:ptCount val="9"/>
                <c:pt idx="0">
                  <c:v>0</c:v>
                </c:pt>
                <c:pt idx="1">
                  <c:v>0</c:v>
                </c:pt>
                <c:pt idx="2">
                  <c:v>0</c:v>
                </c:pt>
                <c:pt idx="3">
                  <c:v>0</c:v>
                </c:pt>
                <c:pt idx="4">
                  <c:v>0</c:v>
                </c:pt>
                <c:pt idx="5">
                  <c:v>0</c:v>
                </c:pt>
                <c:pt idx="6">
                  <c:v>11.111111110987654</c:v>
                </c:pt>
                <c:pt idx="7">
                  <c:v>0</c:v>
                </c:pt>
                <c:pt idx="8">
                  <c:v>0</c:v>
                </c:pt>
              </c:numCache>
            </c:numRef>
          </c:val>
          <c:extLst xmlns:c16r2="http://schemas.microsoft.com/office/drawing/2015/06/chart">
            <c:ext xmlns:c16="http://schemas.microsoft.com/office/drawing/2014/chart" uri="{C3380CC4-5D6E-409C-BE32-E72D297353CC}">
              <c16:uniqueId val="{00000003-8FCB-477B-AB14-496EB59D50C7}"/>
            </c:ext>
          </c:extLst>
        </c:ser>
        <c:dLbls>
          <c:showLegendKey val="0"/>
          <c:showVal val="0"/>
          <c:showCatName val="0"/>
          <c:showSerName val="0"/>
          <c:showPercent val="0"/>
          <c:showBubbleSize val="0"/>
        </c:dLbls>
        <c:gapWidth val="150"/>
        <c:axId val="219128944"/>
        <c:axId val="219129336"/>
      </c:barChart>
      <c:catAx>
        <c:axId val="219128944"/>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Current (µA)</a:t>
                </a:r>
              </a:p>
            </c:rich>
          </c:tx>
          <c:layout>
            <c:manualLayout>
              <c:xMode val="edge"/>
              <c:yMode val="edge"/>
              <c:x val="0.35743528936241431"/>
              <c:y val="0.96087460680787085"/>
            </c:manualLayout>
          </c:layout>
          <c:overlay val="0"/>
        </c:title>
        <c:numFmt formatCode="#,##0" sourceLinked="0"/>
        <c:majorTickMark val="out"/>
        <c:minorTickMark val="none"/>
        <c:tickLblPos val="nextTo"/>
        <c:txPr>
          <a:bodyPr rot="5400000" vert="horz"/>
          <a:lstStyle/>
          <a:p>
            <a:pPr>
              <a:defRPr/>
            </a:pPr>
            <a:endParaRPr lang="en-US"/>
          </a:p>
        </c:txPr>
        <c:crossAx val="219129336"/>
        <c:crosses val="autoZero"/>
        <c:auto val="1"/>
        <c:lblAlgn val="ctr"/>
        <c:lblOffset val="100"/>
        <c:noMultiLvlLbl val="0"/>
      </c:catAx>
      <c:valAx>
        <c:axId val="219129336"/>
        <c:scaling>
          <c:orientation val="minMax"/>
          <c:max val="110"/>
          <c:min val="0"/>
        </c:scaling>
        <c:delete val="1"/>
        <c:axPos val="l"/>
        <c:majorGridlines/>
        <c:minorGridlines/>
        <c:numFmt formatCode="0.00" sourceLinked="1"/>
        <c:majorTickMark val="out"/>
        <c:minorTickMark val="none"/>
        <c:tickLblPos val="nextTo"/>
        <c:crossAx val="219128944"/>
        <c:crosses val="autoZero"/>
        <c:crossBetween val="between"/>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7.4247649649259465E-2"/>
          <c:w val="0.89016476179168769"/>
          <c:h val="0.82014333399977213"/>
        </c:manualLayout>
      </c:layout>
      <c:barChart>
        <c:barDir val="col"/>
        <c:grouping val="clustered"/>
        <c:varyColors val="0"/>
        <c:ser>
          <c:idx val="1"/>
          <c:order val="0"/>
          <c:tx>
            <c:v>Wearable</c:v>
          </c:tx>
          <c:invertIfNegative val="0"/>
          <c:cat>
            <c:numRef>
              <c:f>Hists!$B$1827:$B$1835</c:f>
              <c:numCache>
                <c:formatCode>0.0</c:formatCode>
                <c:ptCount val="9"/>
                <c:pt idx="0">
                  <c:v>100</c:v>
                </c:pt>
                <c:pt idx="1">
                  <c:v>200</c:v>
                </c:pt>
                <c:pt idx="2">
                  <c:v>300</c:v>
                </c:pt>
                <c:pt idx="3">
                  <c:v>400</c:v>
                </c:pt>
                <c:pt idx="4">
                  <c:v>500</c:v>
                </c:pt>
                <c:pt idx="5">
                  <c:v>600</c:v>
                </c:pt>
                <c:pt idx="6">
                  <c:v>700</c:v>
                </c:pt>
                <c:pt idx="7">
                  <c:v>800</c:v>
                </c:pt>
                <c:pt idx="8">
                  <c:v>900</c:v>
                </c:pt>
              </c:numCache>
            </c:numRef>
          </c:cat>
          <c:val>
            <c:numRef>
              <c:f>Hists!$D$1827:$D$1835</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4C3B-4E31-9C9D-CA3C110C9487}"/>
            </c:ext>
          </c:extLst>
        </c:ser>
        <c:ser>
          <c:idx val="0"/>
          <c:order val="1"/>
          <c:tx>
            <c:v>Mote</c:v>
          </c:tx>
          <c:invertIfNegative val="0"/>
          <c:cat>
            <c:numRef>
              <c:f>Hists!$B$1827:$B$1835</c:f>
              <c:numCache>
                <c:formatCode>0.0</c:formatCode>
                <c:ptCount val="9"/>
                <c:pt idx="0">
                  <c:v>100</c:v>
                </c:pt>
                <c:pt idx="1">
                  <c:v>200</c:v>
                </c:pt>
                <c:pt idx="2">
                  <c:v>300</c:v>
                </c:pt>
                <c:pt idx="3">
                  <c:v>400</c:v>
                </c:pt>
                <c:pt idx="4">
                  <c:v>500</c:v>
                </c:pt>
                <c:pt idx="5">
                  <c:v>600</c:v>
                </c:pt>
                <c:pt idx="6">
                  <c:v>700</c:v>
                </c:pt>
                <c:pt idx="7">
                  <c:v>800</c:v>
                </c:pt>
                <c:pt idx="8">
                  <c:v>900</c:v>
                </c:pt>
              </c:numCache>
            </c:numRef>
          </c:cat>
          <c:val>
            <c:numRef>
              <c:f>Hists!$F$1827:$F$1835</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4C3B-4E31-9C9D-CA3C110C9487}"/>
            </c:ext>
          </c:extLst>
        </c:ser>
        <c:ser>
          <c:idx val="2"/>
          <c:order val="2"/>
          <c:tx>
            <c:v>MCU</c:v>
          </c:tx>
          <c:invertIfNegative val="0"/>
          <c:cat>
            <c:numRef>
              <c:f>Hists!$B$1827:$B$1835</c:f>
              <c:numCache>
                <c:formatCode>0.0</c:formatCode>
                <c:ptCount val="9"/>
                <c:pt idx="0">
                  <c:v>100</c:v>
                </c:pt>
                <c:pt idx="1">
                  <c:v>200</c:v>
                </c:pt>
                <c:pt idx="2">
                  <c:v>300</c:v>
                </c:pt>
                <c:pt idx="3">
                  <c:v>400</c:v>
                </c:pt>
                <c:pt idx="4">
                  <c:v>500</c:v>
                </c:pt>
                <c:pt idx="5">
                  <c:v>600</c:v>
                </c:pt>
                <c:pt idx="6">
                  <c:v>700</c:v>
                </c:pt>
                <c:pt idx="7">
                  <c:v>800</c:v>
                </c:pt>
                <c:pt idx="8">
                  <c:v>900</c:v>
                </c:pt>
              </c:numCache>
            </c:numRef>
          </c:cat>
          <c:val>
            <c:numRef>
              <c:f>Hists!$H$1827:$H$1835</c:f>
              <c:numCache>
                <c:formatCode>0.00</c:formatCode>
                <c:ptCount val="9"/>
                <c:pt idx="0">
                  <c:v>27.27272727247934</c:v>
                </c:pt>
                <c:pt idx="1">
                  <c:v>9.0909090908264467</c:v>
                </c:pt>
                <c:pt idx="2">
                  <c:v>0</c:v>
                </c:pt>
                <c:pt idx="3">
                  <c:v>0</c:v>
                </c:pt>
                <c:pt idx="4">
                  <c:v>27.27272727247934</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4C3B-4E31-9C9D-CA3C110C9487}"/>
            </c:ext>
          </c:extLst>
        </c:ser>
        <c:ser>
          <c:idx val="3"/>
          <c:order val="3"/>
          <c:tx>
            <c:v>SensHub</c:v>
          </c:tx>
          <c:invertIfNegative val="0"/>
          <c:cat>
            <c:numRef>
              <c:f>Hists!$B$1827:$B$1835</c:f>
              <c:numCache>
                <c:formatCode>0.0</c:formatCode>
                <c:ptCount val="9"/>
                <c:pt idx="0">
                  <c:v>100</c:v>
                </c:pt>
                <c:pt idx="1">
                  <c:v>200</c:v>
                </c:pt>
                <c:pt idx="2">
                  <c:v>300</c:v>
                </c:pt>
                <c:pt idx="3">
                  <c:v>400</c:v>
                </c:pt>
                <c:pt idx="4">
                  <c:v>500</c:v>
                </c:pt>
                <c:pt idx="5">
                  <c:v>600</c:v>
                </c:pt>
                <c:pt idx="6">
                  <c:v>700</c:v>
                </c:pt>
                <c:pt idx="7">
                  <c:v>800</c:v>
                </c:pt>
                <c:pt idx="8">
                  <c:v>900</c:v>
                </c:pt>
              </c:numCache>
            </c:numRef>
          </c:cat>
          <c:val>
            <c:numRef>
              <c:f>Hists!$J$1827:$J$1835</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3-4C3B-4E31-9C9D-CA3C110C9487}"/>
            </c:ext>
          </c:extLst>
        </c:ser>
        <c:dLbls>
          <c:showLegendKey val="0"/>
          <c:showVal val="0"/>
          <c:showCatName val="0"/>
          <c:showSerName val="0"/>
          <c:showPercent val="0"/>
          <c:showBubbleSize val="0"/>
        </c:dLbls>
        <c:gapWidth val="150"/>
        <c:axId val="219130120"/>
        <c:axId val="219130512"/>
      </c:barChart>
      <c:catAx>
        <c:axId val="219130120"/>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Current (µA)</a:t>
                </a:r>
              </a:p>
            </c:rich>
          </c:tx>
          <c:layout>
            <c:manualLayout>
              <c:xMode val="edge"/>
              <c:yMode val="edge"/>
              <c:x val="0.36251167921383853"/>
              <c:y val="0.96108654564892715"/>
            </c:manualLayout>
          </c:layout>
          <c:overlay val="0"/>
        </c:title>
        <c:numFmt formatCode="#,##0" sourceLinked="0"/>
        <c:majorTickMark val="out"/>
        <c:minorTickMark val="none"/>
        <c:tickLblPos val="nextTo"/>
        <c:txPr>
          <a:bodyPr rot="5400000" vert="horz"/>
          <a:lstStyle/>
          <a:p>
            <a:pPr>
              <a:defRPr/>
            </a:pPr>
            <a:endParaRPr lang="en-US"/>
          </a:p>
        </c:txPr>
        <c:crossAx val="219130512"/>
        <c:crosses val="autoZero"/>
        <c:auto val="1"/>
        <c:lblAlgn val="ctr"/>
        <c:lblOffset val="100"/>
        <c:noMultiLvlLbl val="0"/>
      </c:catAx>
      <c:valAx>
        <c:axId val="219130512"/>
        <c:scaling>
          <c:orientation val="minMax"/>
          <c:max val="110"/>
          <c:min val="0"/>
        </c:scaling>
        <c:delete val="1"/>
        <c:axPos val="l"/>
        <c:majorGridlines/>
        <c:minorGridlines/>
        <c:numFmt formatCode="0.00" sourceLinked="1"/>
        <c:majorTickMark val="out"/>
        <c:minorTickMark val="none"/>
        <c:tickLblPos val="nextTo"/>
        <c:crossAx val="219130120"/>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4.874200733782131E-2"/>
          <c:w val="0.85517318999414083"/>
          <c:h val="0.84931290558210393"/>
        </c:manualLayout>
      </c:layout>
      <c:barChart>
        <c:barDir val="col"/>
        <c:grouping val="clustered"/>
        <c:varyColors val="0"/>
        <c:ser>
          <c:idx val="0"/>
          <c:order val="0"/>
          <c:tx>
            <c:v>Wearable</c:v>
          </c:tx>
          <c:invertIfNegative val="0"/>
          <c:cat>
            <c:numRef>
              <c:f>Hists!$B$3:$B$12</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Hists!$D$3:$D$12</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5791-4E1F-8FE1-4612E6BF083D}"/>
            </c:ext>
          </c:extLst>
        </c:ser>
        <c:ser>
          <c:idx val="1"/>
          <c:order val="1"/>
          <c:tx>
            <c:v>Motes</c:v>
          </c:tx>
          <c:invertIfNegative val="0"/>
          <c:cat>
            <c:numRef>
              <c:f>Hists!$B$3:$B$12</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Hists!$F$3:$F$12</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5791-4E1F-8FE1-4612E6BF083D}"/>
            </c:ext>
          </c:extLst>
        </c:ser>
        <c:ser>
          <c:idx val="2"/>
          <c:order val="2"/>
          <c:tx>
            <c:v>MCU</c:v>
          </c:tx>
          <c:spPr>
            <a:solidFill>
              <a:srgbClr val="00B050"/>
            </a:solidFill>
          </c:spPr>
          <c:invertIfNegative val="0"/>
          <c:cat>
            <c:numRef>
              <c:f>Hists!$B$3:$B$12</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Hists!$H$3:$H$12</c:f>
              <c:numCache>
                <c:formatCode>0.00</c:formatCode>
                <c:ptCount val="10"/>
                <c:pt idx="0">
                  <c:v>11.764705882352942</c:v>
                </c:pt>
                <c:pt idx="1">
                  <c:v>23.529411764705884</c:v>
                </c:pt>
                <c:pt idx="2">
                  <c:v>29.411764705882351</c:v>
                </c:pt>
                <c:pt idx="3">
                  <c:v>11.764705882352942</c:v>
                </c:pt>
                <c:pt idx="4">
                  <c:v>0</c:v>
                </c:pt>
                <c:pt idx="5">
                  <c:v>5.882352941176471</c:v>
                </c:pt>
                <c:pt idx="6">
                  <c:v>0</c:v>
                </c:pt>
                <c:pt idx="7">
                  <c:v>5.882352941176471</c:v>
                </c:pt>
                <c:pt idx="8">
                  <c:v>0</c:v>
                </c:pt>
                <c:pt idx="9">
                  <c:v>0</c:v>
                </c:pt>
              </c:numCache>
            </c:numRef>
          </c:val>
          <c:extLst xmlns:c16r2="http://schemas.microsoft.com/office/drawing/2015/06/chart">
            <c:ext xmlns:c16="http://schemas.microsoft.com/office/drawing/2014/chart" uri="{C3380CC4-5D6E-409C-BE32-E72D297353CC}">
              <c16:uniqueId val="{00000002-5791-4E1F-8FE1-4612E6BF083D}"/>
            </c:ext>
          </c:extLst>
        </c:ser>
        <c:ser>
          <c:idx val="3"/>
          <c:order val="3"/>
          <c:tx>
            <c:v>SensHub</c:v>
          </c:tx>
          <c:spPr>
            <a:solidFill>
              <a:schemeClr val="tx1"/>
            </a:solidFill>
            <a:ln>
              <a:noFill/>
            </a:ln>
          </c:spPr>
          <c:invertIfNegative val="0"/>
          <c:cat>
            <c:numRef>
              <c:f>Hists!$B$3:$B$12</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Hists!$J$3:$J$12</c:f>
              <c:numCache>
                <c:formatCode>0.00</c:formatCode>
                <c:ptCount val="10"/>
                <c:pt idx="0">
                  <c:v>10</c:v>
                </c:pt>
                <c:pt idx="1">
                  <c:v>30</c:v>
                </c:pt>
                <c:pt idx="2">
                  <c:v>20</c:v>
                </c:pt>
                <c:pt idx="3">
                  <c:v>10</c:v>
                </c:pt>
                <c:pt idx="4">
                  <c:v>10</c:v>
                </c:pt>
                <c:pt idx="5">
                  <c:v>10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5791-4E1F-8FE1-4612E6BF083D}"/>
            </c:ext>
          </c:extLst>
        </c:ser>
        <c:dLbls>
          <c:showLegendKey val="0"/>
          <c:showVal val="0"/>
          <c:showCatName val="0"/>
          <c:showSerName val="0"/>
          <c:showPercent val="0"/>
          <c:showBubbleSize val="0"/>
        </c:dLbls>
        <c:gapWidth val="150"/>
        <c:axId val="219131296"/>
        <c:axId val="219856592"/>
      </c:barChart>
      <c:catAx>
        <c:axId val="219131296"/>
        <c:scaling>
          <c:orientation val="minMax"/>
        </c:scaling>
        <c:delete val="0"/>
        <c:axPos val="b"/>
        <c:title>
          <c:tx>
            <c:rich>
              <a:bodyPr/>
              <a:lstStyle/>
              <a:p>
                <a:pPr algn="ctr" rtl="0">
                  <a:defRPr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Price (US$)</a:t>
                </a:r>
              </a:p>
            </c:rich>
          </c:tx>
          <c:layout>
            <c:manualLayout>
              <c:xMode val="edge"/>
              <c:yMode val="edge"/>
              <c:x val="0.37401322092354861"/>
              <c:y val="0.95568483653227043"/>
            </c:manualLayout>
          </c:layout>
          <c:overlay val="0"/>
        </c:title>
        <c:numFmt formatCode="#,##0;\-#,##0" sourceLinked="0"/>
        <c:majorTickMark val="out"/>
        <c:minorTickMark val="none"/>
        <c:tickLblPos val="nextTo"/>
        <c:txPr>
          <a:bodyPr rot="5400000" vert="horz"/>
          <a:lstStyle/>
          <a:p>
            <a:pPr>
              <a:defRPr sz="1000">
                <a:latin typeface="+mn-lt"/>
              </a:defRPr>
            </a:pPr>
            <a:endParaRPr lang="en-US"/>
          </a:p>
        </c:txPr>
        <c:crossAx val="219856592"/>
        <c:crosses val="autoZero"/>
        <c:auto val="1"/>
        <c:lblAlgn val="ctr"/>
        <c:lblOffset val="100"/>
        <c:noMultiLvlLbl val="0"/>
      </c:catAx>
      <c:valAx>
        <c:axId val="219856592"/>
        <c:scaling>
          <c:orientation val="minMax"/>
          <c:max val="40"/>
        </c:scaling>
        <c:delete val="0"/>
        <c:axPos val="l"/>
        <c:majorGridlines/>
        <c:minorGridlines/>
        <c:numFmt formatCode="0" sourceLinked="0"/>
        <c:majorTickMark val="out"/>
        <c:minorTickMark val="none"/>
        <c:tickLblPos val="nextTo"/>
        <c:crossAx val="219131296"/>
        <c:crosses val="autoZero"/>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5.0275816816001448E-2"/>
          <c:w val="0.89565820185675926"/>
          <c:h val="0.85036574540969945"/>
        </c:manualLayout>
      </c:layout>
      <c:barChart>
        <c:barDir val="col"/>
        <c:grouping val="clustered"/>
        <c:varyColors val="0"/>
        <c:ser>
          <c:idx val="0"/>
          <c:order val="0"/>
          <c:tx>
            <c:strRef>
              <c:f>Hists!$C$1</c:f>
              <c:strCache>
                <c:ptCount val="1"/>
                <c:pt idx="0">
                  <c:v>Wearable</c:v>
                </c:pt>
              </c:strCache>
            </c:strRef>
          </c:tx>
          <c:invertIfNegative val="0"/>
          <c:cat>
            <c:numRef>
              <c:f>Hists!$B$13:$B$21</c:f>
              <c:numCache>
                <c:formatCode>General</c:formatCode>
                <c:ptCount val="9"/>
                <c:pt idx="0">
                  <c:v>10</c:v>
                </c:pt>
                <c:pt idx="1">
                  <c:v>20</c:v>
                </c:pt>
                <c:pt idx="2">
                  <c:v>30</c:v>
                </c:pt>
                <c:pt idx="3">
                  <c:v>40</c:v>
                </c:pt>
                <c:pt idx="4">
                  <c:v>50</c:v>
                </c:pt>
                <c:pt idx="5">
                  <c:v>60</c:v>
                </c:pt>
                <c:pt idx="6">
                  <c:v>70</c:v>
                </c:pt>
                <c:pt idx="7">
                  <c:v>80</c:v>
                </c:pt>
                <c:pt idx="8">
                  <c:v>90</c:v>
                </c:pt>
              </c:numCache>
            </c:numRef>
          </c:cat>
          <c:val>
            <c:numRef>
              <c:f>Hists!$D$13:$D$21</c:f>
              <c:numCache>
                <c:formatCode>0.00</c:formatCode>
                <c:ptCount val="9"/>
                <c:pt idx="0">
                  <c:v>5.882352941176471</c:v>
                </c:pt>
                <c:pt idx="1">
                  <c:v>0</c:v>
                </c:pt>
                <c:pt idx="2">
                  <c:v>0</c:v>
                </c:pt>
                <c:pt idx="3">
                  <c:v>0</c:v>
                </c:pt>
                <c:pt idx="4">
                  <c:v>0</c:v>
                </c:pt>
                <c:pt idx="5">
                  <c:v>0</c:v>
                </c:pt>
                <c:pt idx="6">
                  <c:v>0</c:v>
                </c:pt>
                <c:pt idx="7">
                  <c:v>0</c:v>
                </c:pt>
                <c:pt idx="8">
                  <c:v>11.764705882352942</c:v>
                </c:pt>
              </c:numCache>
            </c:numRef>
          </c:val>
          <c:extLst xmlns:c16r2="http://schemas.microsoft.com/office/drawing/2015/06/chart">
            <c:ext xmlns:c16="http://schemas.microsoft.com/office/drawing/2014/chart" uri="{C3380CC4-5D6E-409C-BE32-E72D297353CC}">
              <c16:uniqueId val="{00000000-51F4-4B21-869F-C3647336EEA0}"/>
            </c:ext>
          </c:extLst>
        </c:ser>
        <c:ser>
          <c:idx val="1"/>
          <c:order val="1"/>
          <c:tx>
            <c:strRef>
              <c:f>Hists!$E$1</c:f>
              <c:strCache>
                <c:ptCount val="1"/>
                <c:pt idx="0">
                  <c:v>Mote (on PCB)</c:v>
                </c:pt>
              </c:strCache>
            </c:strRef>
          </c:tx>
          <c:invertIfNegative val="0"/>
          <c:cat>
            <c:numRef>
              <c:f>Hists!$B$13:$B$21</c:f>
              <c:numCache>
                <c:formatCode>General</c:formatCode>
                <c:ptCount val="9"/>
                <c:pt idx="0">
                  <c:v>10</c:v>
                </c:pt>
                <c:pt idx="1">
                  <c:v>20</c:v>
                </c:pt>
                <c:pt idx="2">
                  <c:v>30</c:v>
                </c:pt>
                <c:pt idx="3">
                  <c:v>40</c:v>
                </c:pt>
                <c:pt idx="4">
                  <c:v>50</c:v>
                </c:pt>
                <c:pt idx="5">
                  <c:v>60</c:v>
                </c:pt>
                <c:pt idx="6">
                  <c:v>70</c:v>
                </c:pt>
                <c:pt idx="7">
                  <c:v>80</c:v>
                </c:pt>
                <c:pt idx="8">
                  <c:v>90</c:v>
                </c:pt>
              </c:numCache>
            </c:numRef>
          </c:cat>
          <c:val>
            <c:numRef>
              <c:f>Hists!$F$13:$F$21</c:f>
              <c:numCache>
                <c:formatCode>0.00</c:formatCode>
                <c:ptCount val="9"/>
                <c:pt idx="0">
                  <c:v>20.689655172413794</c:v>
                </c:pt>
                <c:pt idx="1">
                  <c:v>13.793103448275861</c:v>
                </c:pt>
                <c:pt idx="2">
                  <c:v>20.689655172413794</c:v>
                </c:pt>
                <c:pt idx="3">
                  <c:v>0</c:v>
                </c:pt>
                <c:pt idx="4">
                  <c:v>10.344827586206897</c:v>
                </c:pt>
                <c:pt idx="5">
                  <c:v>0</c:v>
                </c:pt>
                <c:pt idx="6">
                  <c:v>3.4482758620689653</c:v>
                </c:pt>
                <c:pt idx="7">
                  <c:v>0</c:v>
                </c:pt>
                <c:pt idx="8">
                  <c:v>3.4482758620689653</c:v>
                </c:pt>
              </c:numCache>
            </c:numRef>
          </c:val>
          <c:extLst xmlns:c16r2="http://schemas.microsoft.com/office/drawing/2015/06/chart">
            <c:ext xmlns:c16="http://schemas.microsoft.com/office/drawing/2014/chart" uri="{C3380CC4-5D6E-409C-BE32-E72D297353CC}">
              <c16:uniqueId val="{00000001-51F4-4B21-869F-C3647336EEA0}"/>
            </c:ext>
          </c:extLst>
        </c:ser>
        <c:ser>
          <c:idx val="2"/>
          <c:order val="2"/>
          <c:tx>
            <c:strRef>
              <c:f>Hists!$G$1</c:f>
              <c:strCache>
                <c:ptCount val="1"/>
                <c:pt idx="0">
                  <c:v>MCU (Integrated Circuit)</c:v>
                </c:pt>
              </c:strCache>
            </c:strRef>
          </c:tx>
          <c:spPr>
            <a:solidFill>
              <a:srgbClr val="00B050"/>
            </a:solidFill>
          </c:spPr>
          <c:invertIfNegative val="0"/>
          <c:cat>
            <c:numRef>
              <c:f>Hists!$B$13:$B$21</c:f>
              <c:numCache>
                <c:formatCode>General</c:formatCode>
                <c:ptCount val="9"/>
                <c:pt idx="0">
                  <c:v>10</c:v>
                </c:pt>
                <c:pt idx="1">
                  <c:v>20</c:v>
                </c:pt>
                <c:pt idx="2">
                  <c:v>30</c:v>
                </c:pt>
                <c:pt idx="3">
                  <c:v>40</c:v>
                </c:pt>
                <c:pt idx="4">
                  <c:v>50</c:v>
                </c:pt>
                <c:pt idx="5">
                  <c:v>60</c:v>
                </c:pt>
                <c:pt idx="6">
                  <c:v>70</c:v>
                </c:pt>
                <c:pt idx="7">
                  <c:v>80</c:v>
                </c:pt>
                <c:pt idx="8">
                  <c:v>90</c:v>
                </c:pt>
              </c:numCache>
            </c:numRef>
          </c:cat>
          <c:val>
            <c:numRef>
              <c:f>Hists!$H$13:$H$21</c:f>
              <c:numCache>
                <c:formatCode>0.00</c:formatCode>
                <c:ptCount val="9"/>
                <c:pt idx="0">
                  <c:v>5.882352941176471</c:v>
                </c:pt>
                <c:pt idx="1">
                  <c:v>5.882352941176471</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51F4-4B21-869F-C3647336EEA0}"/>
            </c:ext>
          </c:extLst>
        </c:ser>
        <c:ser>
          <c:idx val="3"/>
          <c:order val="3"/>
          <c:tx>
            <c:strRef>
              <c:f>Hists!$I$1</c:f>
              <c:strCache>
                <c:ptCount val="1"/>
                <c:pt idx="0">
                  <c:v>Sensor Hub (Integrated Circuit)</c:v>
                </c:pt>
              </c:strCache>
            </c:strRef>
          </c:tx>
          <c:spPr>
            <a:solidFill>
              <a:schemeClr val="tx1"/>
            </a:solidFill>
          </c:spPr>
          <c:invertIfNegative val="0"/>
          <c:cat>
            <c:numRef>
              <c:f>Hists!$B$13:$B$21</c:f>
              <c:numCache>
                <c:formatCode>General</c:formatCode>
                <c:ptCount val="9"/>
                <c:pt idx="0">
                  <c:v>10</c:v>
                </c:pt>
                <c:pt idx="1">
                  <c:v>20</c:v>
                </c:pt>
                <c:pt idx="2">
                  <c:v>30</c:v>
                </c:pt>
                <c:pt idx="3">
                  <c:v>40</c:v>
                </c:pt>
                <c:pt idx="4">
                  <c:v>50</c:v>
                </c:pt>
                <c:pt idx="5">
                  <c:v>60</c:v>
                </c:pt>
                <c:pt idx="6">
                  <c:v>70</c:v>
                </c:pt>
                <c:pt idx="7">
                  <c:v>80</c:v>
                </c:pt>
                <c:pt idx="8">
                  <c:v>90</c:v>
                </c:pt>
              </c:numCache>
            </c:numRef>
          </c:cat>
          <c:val>
            <c:numRef>
              <c:f>Hists!$J$13:$J$21</c:f>
              <c:numCache>
                <c:formatCode>0.00</c:formatCode>
                <c:ptCount val="9"/>
                <c:pt idx="0">
                  <c:v>0</c:v>
                </c:pt>
                <c:pt idx="1">
                  <c:v>10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3-51F4-4B21-869F-C3647336EEA0}"/>
            </c:ext>
          </c:extLst>
        </c:ser>
        <c:dLbls>
          <c:showLegendKey val="0"/>
          <c:showVal val="0"/>
          <c:showCatName val="0"/>
          <c:showSerName val="0"/>
          <c:showPercent val="0"/>
          <c:showBubbleSize val="0"/>
        </c:dLbls>
        <c:gapWidth val="150"/>
        <c:axId val="219857376"/>
        <c:axId val="219857768"/>
      </c:barChart>
      <c:catAx>
        <c:axId val="219857376"/>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Price (US$)</a:t>
                </a:r>
              </a:p>
            </c:rich>
          </c:tx>
          <c:layout>
            <c:manualLayout>
              <c:xMode val="edge"/>
              <c:yMode val="edge"/>
              <c:x val="0.35697165982812917"/>
              <c:y val="0.95292713062322976"/>
            </c:manualLayout>
          </c:layout>
          <c:overlay val="0"/>
        </c:title>
        <c:numFmt formatCode="#,##0" sourceLinked="0"/>
        <c:majorTickMark val="out"/>
        <c:minorTickMark val="none"/>
        <c:tickLblPos val="nextTo"/>
        <c:txPr>
          <a:bodyPr rot="5400000" vert="horz"/>
          <a:lstStyle/>
          <a:p>
            <a:pPr>
              <a:defRPr sz="1000"/>
            </a:pPr>
            <a:endParaRPr lang="en-US"/>
          </a:p>
        </c:txPr>
        <c:crossAx val="219857768"/>
        <c:crosses val="autoZero"/>
        <c:auto val="1"/>
        <c:lblAlgn val="ctr"/>
        <c:lblOffset val="100"/>
        <c:noMultiLvlLbl val="0"/>
      </c:catAx>
      <c:valAx>
        <c:axId val="219857768"/>
        <c:scaling>
          <c:orientation val="minMax"/>
          <c:max val="40"/>
        </c:scaling>
        <c:delete val="1"/>
        <c:axPos val="l"/>
        <c:majorGridlines/>
        <c:minorGridlines/>
        <c:numFmt formatCode="0.00" sourceLinked="1"/>
        <c:majorTickMark val="out"/>
        <c:minorTickMark val="none"/>
        <c:tickLblPos val="nextTo"/>
        <c:crossAx val="219857376"/>
        <c:crosses val="autoZero"/>
        <c:crossBetween val="between"/>
      </c:valAx>
    </c:plotArea>
    <c:legend>
      <c:legendPos val="l"/>
      <c:layout>
        <c:manualLayout>
          <c:xMode val="edge"/>
          <c:yMode val="edge"/>
          <c:x val="0.17799865753279673"/>
          <c:y val="0.10161375768711348"/>
          <c:w val="0.56934376271991649"/>
          <c:h val="0.23402276224092677"/>
        </c:manualLayout>
      </c:layout>
      <c:overlay val="0"/>
      <c:spPr>
        <a:solidFill>
          <a:schemeClr val="bg1"/>
        </a:solidFill>
      </c:spPr>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4.8890397321024529E-2"/>
          <c:w val="0.89968002441700667"/>
          <c:h val="0.85221015151230772"/>
        </c:manualLayout>
      </c:layout>
      <c:barChart>
        <c:barDir val="col"/>
        <c:grouping val="clustered"/>
        <c:varyColors val="0"/>
        <c:ser>
          <c:idx val="0"/>
          <c:order val="0"/>
          <c:tx>
            <c:v>Wearable</c:v>
          </c:tx>
          <c:invertIfNegative val="0"/>
          <c:cat>
            <c:numRef>
              <c:f>Hists!$B$22:$B$31</c:f>
              <c:numCache>
                <c:formatCode>General</c:formatCode>
                <c:ptCount val="10"/>
                <c:pt idx="0">
                  <c:v>100</c:v>
                </c:pt>
                <c:pt idx="1">
                  <c:v>200</c:v>
                </c:pt>
                <c:pt idx="2">
                  <c:v>300</c:v>
                </c:pt>
                <c:pt idx="3">
                  <c:v>400</c:v>
                </c:pt>
                <c:pt idx="4">
                  <c:v>500</c:v>
                </c:pt>
                <c:pt idx="5">
                  <c:v>600</c:v>
                </c:pt>
                <c:pt idx="6">
                  <c:v>700</c:v>
                </c:pt>
                <c:pt idx="7">
                  <c:v>800</c:v>
                </c:pt>
                <c:pt idx="8">
                  <c:v>900</c:v>
                </c:pt>
                <c:pt idx="9">
                  <c:v>1000</c:v>
                </c:pt>
              </c:numCache>
            </c:numRef>
          </c:cat>
          <c:val>
            <c:numRef>
              <c:f>Hists!$D$22:$D$31</c:f>
              <c:numCache>
                <c:formatCode>0.00</c:formatCode>
                <c:ptCount val="10"/>
                <c:pt idx="0">
                  <c:v>35.294117647058826</c:v>
                </c:pt>
                <c:pt idx="1">
                  <c:v>5.882352941176471</c:v>
                </c:pt>
                <c:pt idx="2">
                  <c:v>11.764705882352942</c:v>
                </c:pt>
                <c:pt idx="3">
                  <c:v>23.529411764705884</c:v>
                </c:pt>
                <c:pt idx="4">
                  <c:v>5.882352941176471</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0EA1-4074-9DDB-283139E0EFF4}"/>
            </c:ext>
          </c:extLst>
        </c:ser>
        <c:ser>
          <c:idx val="1"/>
          <c:order val="1"/>
          <c:tx>
            <c:v>Motes</c:v>
          </c:tx>
          <c:invertIfNegative val="0"/>
          <c:cat>
            <c:numRef>
              <c:f>Hists!$B$22:$B$31</c:f>
              <c:numCache>
                <c:formatCode>General</c:formatCode>
                <c:ptCount val="10"/>
                <c:pt idx="0">
                  <c:v>100</c:v>
                </c:pt>
                <c:pt idx="1">
                  <c:v>200</c:v>
                </c:pt>
                <c:pt idx="2">
                  <c:v>300</c:v>
                </c:pt>
                <c:pt idx="3">
                  <c:v>400</c:v>
                </c:pt>
                <c:pt idx="4">
                  <c:v>500</c:v>
                </c:pt>
                <c:pt idx="5">
                  <c:v>600</c:v>
                </c:pt>
                <c:pt idx="6">
                  <c:v>700</c:v>
                </c:pt>
                <c:pt idx="7">
                  <c:v>800</c:v>
                </c:pt>
                <c:pt idx="8">
                  <c:v>900</c:v>
                </c:pt>
                <c:pt idx="9">
                  <c:v>1000</c:v>
                </c:pt>
              </c:numCache>
            </c:numRef>
          </c:cat>
          <c:val>
            <c:numRef>
              <c:f>Hists!$F$22:$F$31</c:f>
              <c:numCache>
                <c:formatCode>0.00</c:formatCode>
                <c:ptCount val="10"/>
                <c:pt idx="0">
                  <c:v>13.793103448275861</c:v>
                </c:pt>
                <c:pt idx="1">
                  <c:v>3.4482758620689653</c:v>
                </c:pt>
                <c:pt idx="2">
                  <c:v>3.4482758620689653</c:v>
                </c:pt>
                <c:pt idx="3">
                  <c:v>3.4482758620689653</c:v>
                </c:pt>
                <c:pt idx="4">
                  <c:v>0</c:v>
                </c:pt>
                <c:pt idx="5">
                  <c:v>0</c:v>
                </c:pt>
                <c:pt idx="6">
                  <c:v>0</c:v>
                </c:pt>
                <c:pt idx="7">
                  <c:v>0</c:v>
                </c:pt>
                <c:pt idx="8">
                  <c:v>0</c:v>
                </c:pt>
                <c:pt idx="9">
                  <c:v>3.4482758620689653</c:v>
                </c:pt>
              </c:numCache>
            </c:numRef>
          </c:val>
          <c:extLst xmlns:c16r2="http://schemas.microsoft.com/office/drawing/2015/06/chart">
            <c:ext xmlns:c16="http://schemas.microsoft.com/office/drawing/2014/chart" uri="{C3380CC4-5D6E-409C-BE32-E72D297353CC}">
              <c16:uniqueId val="{00000001-0EA1-4074-9DDB-283139E0EFF4}"/>
            </c:ext>
          </c:extLst>
        </c:ser>
        <c:ser>
          <c:idx val="2"/>
          <c:order val="2"/>
          <c:tx>
            <c:v>MCU</c:v>
          </c:tx>
          <c:invertIfNegative val="0"/>
          <c:cat>
            <c:numRef>
              <c:f>Hists!$B$22:$B$31</c:f>
              <c:numCache>
                <c:formatCode>General</c:formatCode>
                <c:ptCount val="10"/>
                <c:pt idx="0">
                  <c:v>100</c:v>
                </c:pt>
                <c:pt idx="1">
                  <c:v>200</c:v>
                </c:pt>
                <c:pt idx="2">
                  <c:v>300</c:v>
                </c:pt>
                <c:pt idx="3">
                  <c:v>400</c:v>
                </c:pt>
                <c:pt idx="4">
                  <c:v>500</c:v>
                </c:pt>
                <c:pt idx="5">
                  <c:v>600</c:v>
                </c:pt>
                <c:pt idx="6">
                  <c:v>700</c:v>
                </c:pt>
                <c:pt idx="7">
                  <c:v>800</c:v>
                </c:pt>
                <c:pt idx="8">
                  <c:v>900</c:v>
                </c:pt>
                <c:pt idx="9">
                  <c:v>1000</c:v>
                </c:pt>
              </c:numCache>
            </c:numRef>
          </c:cat>
          <c:val>
            <c:numRef>
              <c:f>Hists!$H$22:$H$31</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0EA1-4074-9DDB-283139E0EFF4}"/>
            </c:ext>
          </c:extLst>
        </c:ser>
        <c:ser>
          <c:idx val="3"/>
          <c:order val="3"/>
          <c:tx>
            <c:v>SensHub</c:v>
          </c:tx>
          <c:invertIfNegative val="0"/>
          <c:cat>
            <c:numRef>
              <c:f>Hists!$B$22:$B$31</c:f>
              <c:numCache>
                <c:formatCode>General</c:formatCode>
                <c:ptCount val="10"/>
                <c:pt idx="0">
                  <c:v>100</c:v>
                </c:pt>
                <c:pt idx="1">
                  <c:v>200</c:v>
                </c:pt>
                <c:pt idx="2">
                  <c:v>300</c:v>
                </c:pt>
                <c:pt idx="3">
                  <c:v>400</c:v>
                </c:pt>
                <c:pt idx="4">
                  <c:v>500</c:v>
                </c:pt>
                <c:pt idx="5">
                  <c:v>600</c:v>
                </c:pt>
                <c:pt idx="6">
                  <c:v>700</c:v>
                </c:pt>
                <c:pt idx="7">
                  <c:v>800</c:v>
                </c:pt>
                <c:pt idx="8">
                  <c:v>900</c:v>
                </c:pt>
                <c:pt idx="9">
                  <c:v>1000</c:v>
                </c:pt>
              </c:numCache>
            </c:numRef>
          </c:cat>
          <c:val>
            <c:numRef>
              <c:f>Hists!$J$22:$J$31</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0EA1-4074-9DDB-283139E0EFF4}"/>
            </c:ext>
          </c:extLst>
        </c:ser>
        <c:dLbls>
          <c:showLegendKey val="0"/>
          <c:showVal val="0"/>
          <c:showCatName val="0"/>
          <c:showSerName val="0"/>
          <c:showPercent val="0"/>
          <c:showBubbleSize val="0"/>
        </c:dLbls>
        <c:gapWidth val="150"/>
        <c:axId val="219858552"/>
        <c:axId val="219858944"/>
      </c:barChart>
      <c:catAx>
        <c:axId val="219858552"/>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Price (US$)</a:t>
                </a:r>
              </a:p>
            </c:rich>
          </c:tx>
          <c:layout>
            <c:manualLayout>
              <c:xMode val="edge"/>
              <c:yMode val="edge"/>
              <c:x val="0.36064919796818051"/>
              <c:y val="0.95537970091231494"/>
            </c:manualLayout>
          </c:layout>
          <c:overlay val="0"/>
        </c:title>
        <c:numFmt formatCode="#,##0" sourceLinked="0"/>
        <c:majorTickMark val="out"/>
        <c:minorTickMark val="none"/>
        <c:tickLblPos val="nextTo"/>
        <c:txPr>
          <a:bodyPr rot="5400000" vert="horz"/>
          <a:lstStyle/>
          <a:p>
            <a:pPr>
              <a:defRPr sz="1000"/>
            </a:pPr>
            <a:endParaRPr lang="en-US"/>
          </a:p>
        </c:txPr>
        <c:crossAx val="219858944"/>
        <c:crosses val="autoZero"/>
        <c:auto val="1"/>
        <c:lblAlgn val="ctr"/>
        <c:lblOffset val="100"/>
        <c:noMultiLvlLbl val="0"/>
      </c:catAx>
      <c:valAx>
        <c:axId val="219858944"/>
        <c:scaling>
          <c:orientation val="minMax"/>
          <c:max val="40"/>
        </c:scaling>
        <c:delete val="1"/>
        <c:axPos val="l"/>
        <c:majorGridlines/>
        <c:minorGridlines/>
        <c:numFmt formatCode="0.00" sourceLinked="1"/>
        <c:majorTickMark val="out"/>
        <c:minorTickMark val="none"/>
        <c:tickLblPos val="nextTo"/>
        <c:crossAx val="219858552"/>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4429841288897"/>
          <c:y val="6.3702670709384374E-2"/>
          <c:w val="0.88375570158711103"/>
          <c:h val="0.82370105484759493"/>
        </c:manualLayout>
      </c:layout>
      <c:barChart>
        <c:barDir val="col"/>
        <c:grouping val="clustered"/>
        <c:varyColors val="0"/>
        <c:ser>
          <c:idx val="0"/>
          <c:order val="0"/>
          <c:tx>
            <c:v>Wearable</c:v>
          </c:tx>
          <c:invertIfNegative val="0"/>
          <c:cat>
            <c:numRef>
              <c:f>Hists!$A$1150:$A$1159</c:f>
              <c:numCache>
                <c:formatCode>General</c:formatCode>
                <c:ptCount val="10"/>
                <c:pt idx="0">
                  <c:v>0</c:v>
                </c:pt>
                <c:pt idx="1">
                  <c:v>9.9999999989999999</c:v>
                </c:pt>
                <c:pt idx="2">
                  <c:v>19.999999998</c:v>
                </c:pt>
                <c:pt idx="3">
                  <c:v>29.999999997</c:v>
                </c:pt>
                <c:pt idx="4">
                  <c:v>39.999999996</c:v>
                </c:pt>
                <c:pt idx="5">
                  <c:v>49.999999994999996</c:v>
                </c:pt>
                <c:pt idx="6">
                  <c:v>59.999999994</c:v>
                </c:pt>
                <c:pt idx="7">
                  <c:v>69.999999993000003</c:v>
                </c:pt>
                <c:pt idx="8">
                  <c:v>79.999999991999999</c:v>
                </c:pt>
                <c:pt idx="9">
                  <c:v>89.999999990999996</c:v>
                </c:pt>
              </c:numCache>
            </c:numRef>
          </c:cat>
          <c:val>
            <c:numRef>
              <c:f>Hists!$D$1150:$D$1159</c:f>
              <c:numCache>
                <c:formatCode>0.00</c:formatCode>
                <c:ptCount val="10"/>
                <c:pt idx="0">
                  <c:v>11.111111110987654</c:v>
                </c:pt>
                <c:pt idx="1">
                  <c:v>0</c:v>
                </c:pt>
                <c:pt idx="2">
                  <c:v>0</c:v>
                </c:pt>
                <c:pt idx="3">
                  <c:v>0</c:v>
                </c:pt>
                <c:pt idx="4">
                  <c:v>0</c:v>
                </c:pt>
                <c:pt idx="5">
                  <c:v>0</c:v>
                </c:pt>
                <c:pt idx="6">
                  <c:v>0</c:v>
                </c:pt>
                <c:pt idx="7">
                  <c:v>0</c:v>
                </c:pt>
                <c:pt idx="8">
                  <c:v>0</c:v>
                </c:pt>
                <c:pt idx="9">
                  <c:v>11.111111110987654</c:v>
                </c:pt>
              </c:numCache>
            </c:numRef>
          </c:val>
          <c:extLst xmlns:c16r2="http://schemas.microsoft.com/office/drawing/2015/06/chart">
            <c:ext xmlns:c16="http://schemas.microsoft.com/office/drawing/2014/chart" uri="{C3380CC4-5D6E-409C-BE32-E72D297353CC}">
              <c16:uniqueId val="{00000000-40C3-4B68-90D1-FDCE29D382E3}"/>
            </c:ext>
          </c:extLst>
        </c:ser>
        <c:ser>
          <c:idx val="1"/>
          <c:order val="1"/>
          <c:tx>
            <c:strRef>
              <c:f>Hists!$E$1148</c:f>
              <c:strCache>
                <c:ptCount val="1"/>
                <c:pt idx="0">
                  <c:v>Mote (on PCB)</c:v>
                </c:pt>
              </c:strCache>
            </c:strRef>
          </c:tx>
          <c:invertIfNegative val="0"/>
          <c:cat>
            <c:numRef>
              <c:f>Hists!$A$1150:$A$1159</c:f>
              <c:numCache>
                <c:formatCode>General</c:formatCode>
                <c:ptCount val="10"/>
                <c:pt idx="0">
                  <c:v>0</c:v>
                </c:pt>
                <c:pt idx="1">
                  <c:v>9.9999999989999999</c:v>
                </c:pt>
                <c:pt idx="2">
                  <c:v>19.999999998</c:v>
                </c:pt>
                <c:pt idx="3">
                  <c:v>29.999999997</c:v>
                </c:pt>
                <c:pt idx="4">
                  <c:v>39.999999996</c:v>
                </c:pt>
                <c:pt idx="5">
                  <c:v>49.999999994999996</c:v>
                </c:pt>
                <c:pt idx="6">
                  <c:v>59.999999994</c:v>
                </c:pt>
                <c:pt idx="7">
                  <c:v>69.999999993000003</c:v>
                </c:pt>
                <c:pt idx="8">
                  <c:v>79.999999991999999</c:v>
                </c:pt>
                <c:pt idx="9">
                  <c:v>89.999999990999996</c:v>
                </c:pt>
              </c:numCache>
            </c:numRef>
          </c:cat>
          <c:val>
            <c:numRef>
              <c:f>Hists!$F$1150:$F$1159</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E99F-4363-AD67-0FD7EAA75D33}"/>
            </c:ext>
          </c:extLst>
        </c:ser>
        <c:dLbls>
          <c:showLegendKey val="0"/>
          <c:showVal val="0"/>
          <c:showCatName val="0"/>
          <c:showSerName val="0"/>
          <c:showPercent val="0"/>
          <c:showBubbleSize val="0"/>
        </c:dLbls>
        <c:gapWidth val="150"/>
        <c:axId val="219859728"/>
        <c:axId val="219860120"/>
      </c:barChart>
      <c:catAx>
        <c:axId val="219859728"/>
        <c:scaling>
          <c:orientation val="minMax"/>
        </c:scaling>
        <c:delete val="0"/>
        <c:axPos val="b"/>
        <c:title>
          <c:tx>
            <c:rich>
              <a:bodyPr/>
              <a:lstStyle/>
              <a:p>
                <a:pPr>
                  <a:defRPr/>
                </a:pPr>
                <a:r>
                  <a:rPr lang="en-US"/>
                  <a:t>Lifetime (h)</a:t>
                </a:r>
              </a:p>
            </c:rich>
          </c:tx>
          <c:layout>
            <c:manualLayout>
              <c:xMode val="edge"/>
              <c:yMode val="edge"/>
              <c:x val="0.45852526057453502"/>
              <c:y val="0.96144172890824631"/>
            </c:manualLayout>
          </c:layout>
          <c:overlay val="0"/>
        </c:title>
        <c:numFmt formatCode="#,##0;\-#,##0" sourceLinked="0"/>
        <c:majorTickMark val="out"/>
        <c:minorTickMark val="none"/>
        <c:tickLblPos val="nextTo"/>
        <c:txPr>
          <a:bodyPr rot="5400000" vert="horz"/>
          <a:lstStyle/>
          <a:p>
            <a:pPr>
              <a:defRPr>
                <a:latin typeface="+mn-lt"/>
              </a:defRPr>
            </a:pPr>
            <a:endParaRPr lang="en-US"/>
          </a:p>
        </c:txPr>
        <c:crossAx val="219860120"/>
        <c:crosses val="autoZero"/>
        <c:auto val="1"/>
        <c:lblAlgn val="ctr"/>
        <c:lblOffset val="100"/>
        <c:noMultiLvlLbl val="0"/>
      </c:catAx>
      <c:valAx>
        <c:axId val="219860120"/>
        <c:scaling>
          <c:orientation val="minMax"/>
          <c:max val="80"/>
        </c:scaling>
        <c:delete val="0"/>
        <c:axPos val="l"/>
        <c:majorGridlines/>
        <c:minorGridlines/>
        <c:numFmt formatCode="0" sourceLinked="0"/>
        <c:majorTickMark val="out"/>
        <c:minorTickMark val="none"/>
        <c:tickLblPos val="nextTo"/>
        <c:crossAx val="219859728"/>
        <c:crosses val="autoZero"/>
        <c:crossBetween val="between"/>
      </c:valAx>
    </c:plotArea>
    <c:legend>
      <c:legendPos val="r"/>
      <c:layout>
        <c:manualLayout>
          <c:xMode val="edge"/>
          <c:yMode val="edge"/>
          <c:x val="0.2795986580453228"/>
          <c:y val="0.31105852079794233"/>
          <c:w val="0.39505011120995553"/>
          <c:h val="0.13604140370171339"/>
        </c:manualLayout>
      </c:layout>
      <c:overlay val="0"/>
      <c:spPr>
        <a:solidFill>
          <a:schemeClr val="bg1"/>
        </a:solidFill>
      </c:spPr>
    </c:legend>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71894900762648E-2"/>
          <c:y val="2.6996342272958811E-2"/>
          <c:w val="0.89865209633406984"/>
          <c:h val="0.9062937260254037"/>
        </c:manualLayout>
      </c:layout>
      <c:barChart>
        <c:barDir val="col"/>
        <c:grouping val="clustered"/>
        <c:varyColors val="0"/>
        <c:ser>
          <c:idx val="0"/>
          <c:order val="0"/>
          <c:tx>
            <c:v>Resolution</c:v>
          </c:tx>
          <c:invertIfNegative val="0"/>
          <c:cat>
            <c:numRef>
              <c:f>Hists!$B$251:$B$271</c:f>
              <c:numCache>
                <c:formatCode>General</c:formatCode>
                <c:ptCount val="21"/>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numCache>
            </c:numRef>
          </c:cat>
          <c:val>
            <c:numRef>
              <c:f>Hists!$K$251:$K$271</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16.666666666111112</c:v>
                </c:pt>
                <c:pt idx="16">
                  <c:v>0</c:v>
                </c:pt>
                <c:pt idx="17">
                  <c:v>33.333333332222224</c:v>
                </c:pt>
                <c:pt idx="18">
                  <c:v>49.999999997499998</c:v>
                </c:pt>
                <c:pt idx="19">
                  <c:v>0</c:v>
                </c:pt>
                <c:pt idx="20">
                  <c:v>0</c:v>
                </c:pt>
              </c:numCache>
            </c:numRef>
          </c:val>
          <c:extLst xmlns:c16r2="http://schemas.microsoft.com/office/drawing/2015/06/chart">
            <c:ext xmlns:c16="http://schemas.microsoft.com/office/drawing/2014/chart" uri="{C3380CC4-5D6E-409C-BE32-E72D297353CC}">
              <c16:uniqueId val="{00000000-95B2-41F5-A2E7-13786F69EB19}"/>
            </c:ext>
          </c:extLst>
        </c:ser>
        <c:ser>
          <c:idx val="1"/>
          <c:order val="1"/>
          <c:tx>
            <c:v>Accuracy</c:v>
          </c:tx>
          <c:invertIfNegative val="0"/>
          <c:cat>
            <c:numRef>
              <c:f>Hists!$B$251:$B$271</c:f>
              <c:numCache>
                <c:formatCode>General</c:formatCode>
                <c:ptCount val="21"/>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numCache>
            </c:numRef>
          </c:cat>
          <c:val>
            <c:numRef>
              <c:f>Hists!$L$251:$L$271</c:f>
              <c:numCache>
                <c:formatCode>0.00</c:formatCode>
                <c:ptCount val="21"/>
                <c:pt idx="0">
                  <c:v>9.9999999998</c:v>
                </c:pt>
                <c:pt idx="1">
                  <c:v>36.666666665711112</c:v>
                </c:pt>
                <c:pt idx="2">
                  <c:v>43.333333332022221</c:v>
                </c:pt>
                <c:pt idx="3">
                  <c:v>9.9999999998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95B2-41F5-A2E7-13786F69EB19}"/>
            </c:ext>
          </c:extLst>
        </c:ser>
        <c:dLbls>
          <c:showLegendKey val="0"/>
          <c:showVal val="0"/>
          <c:showCatName val="0"/>
          <c:showSerName val="0"/>
          <c:showPercent val="0"/>
          <c:showBubbleSize val="0"/>
        </c:dLbls>
        <c:gapWidth val="150"/>
        <c:axId val="215771800"/>
        <c:axId val="215780376"/>
      </c:barChart>
      <c:catAx>
        <c:axId val="215771800"/>
        <c:scaling>
          <c:orientation val="minMax"/>
        </c:scaling>
        <c:delete val="0"/>
        <c:axPos val="b"/>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Bits</a:t>
                </a:r>
              </a:p>
            </c:rich>
          </c:tx>
          <c:layout>
            <c:manualLayout>
              <c:xMode val="edge"/>
              <c:yMode val="edge"/>
              <c:x val="0.48849254813468934"/>
              <c:y val="0.96472439331183946"/>
            </c:manualLayout>
          </c:layout>
          <c:overlay val="0"/>
        </c:title>
        <c:numFmt formatCode="General" sourceLinked="1"/>
        <c:majorTickMark val="out"/>
        <c:minorTickMark val="none"/>
        <c:tickLblPos val="nextTo"/>
        <c:txPr>
          <a:bodyPr rot="5400000" vert="horz"/>
          <a:lstStyle/>
          <a:p>
            <a:pPr>
              <a:defRPr/>
            </a:pPr>
            <a:endParaRPr lang="en-US"/>
          </a:p>
        </c:txPr>
        <c:crossAx val="215780376"/>
        <c:crosses val="autoZero"/>
        <c:auto val="1"/>
        <c:lblAlgn val="ctr"/>
        <c:lblOffset val="100"/>
        <c:noMultiLvlLbl val="0"/>
      </c:catAx>
      <c:valAx>
        <c:axId val="215780376"/>
        <c:scaling>
          <c:orientation val="minMax"/>
          <c:max val="55"/>
          <c:min val="0"/>
        </c:scaling>
        <c:delete val="0"/>
        <c:axPos val="l"/>
        <c:majorGridlines/>
        <c:minorGridlines/>
        <c:numFmt formatCode="0" sourceLinked="0"/>
        <c:majorTickMark val="out"/>
        <c:minorTickMark val="none"/>
        <c:tickLblPos val="nextTo"/>
        <c:crossAx val="215771800"/>
        <c:crosses val="autoZero"/>
        <c:crossBetween val="between"/>
      </c:valAx>
    </c:plotArea>
    <c:legend>
      <c:legendPos val="r"/>
      <c:layout>
        <c:manualLayout>
          <c:xMode val="edge"/>
          <c:yMode val="edge"/>
          <c:x val="0.31204843288324907"/>
          <c:y val="0.15757912823429646"/>
          <c:w val="0.1737386508733568"/>
          <c:h val="0.1260891131014347"/>
        </c:manualLayout>
      </c:layout>
      <c:overlay val="0"/>
      <c:spPr>
        <a:solidFill>
          <a:schemeClr val="bg1"/>
        </a:solidFill>
      </c:spPr>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739859374071833E-2"/>
          <c:y val="6.3702670709384374E-2"/>
          <c:w val="0.92141824314626619"/>
          <c:h val="0.82370105484759493"/>
        </c:manualLayout>
      </c:layout>
      <c:barChart>
        <c:barDir val="col"/>
        <c:grouping val="clustered"/>
        <c:varyColors val="0"/>
        <c:ser>
          <c:idx val="0"/>
          <c:order val="0"/>
          <c:tx>
            <c:v>Wearable</c:v>
          </c:tx>
          <c:invertIfNegative val="0"/>
          <c:cat>
            <c:numRef>
              <c:f>Hists!$A$1160:$A$1168</c:f>
              <c:numCache>
                <c:formatCode>General</c:formatCode>
                <c:ptCount val="9"/>
                <c:pt idx="0">
                  <c:v>99.999999989999992</c:v>
                </c:pt>
                <c:pt idx="1">
                  <c:v>199.99999997999998</c:v>
                </c:pt>
                <c:pt idx="2">
                  <c:v>299.99999996999998</c:v>
                </c:pt>
                <c:pt idx="3">
                  <c:v>399.99999995999997</c:v>
                </c:pt>
                <c:pt idx="4">
                  <c:v>499.99999995000002</c:v>
                </c:pt>
                <c:pt idx="5">
                  <c:v>599.99999993999995</c:v>
                </c:pt>
                <c:pt idx="6">
                  <c:v>699.99999992999994</c:v>
                </c:pt>
                <c:pt idx="7">
                  <c:v>799.99999991999994</c:v>
                </c:pt>
                <c:pt idx="8">
                  <c:v>899.99999991000004</c:v>
                </c:pt>
              </c:numCache>
            </c:numRef>
          </c:cat>
          <c:val>
            <c:numRef>
              <c:f>Hists!$D$1160:$D$1168</c:f>
              <c:numCache>
                <c:formatCode>0.00</c:formatCode>
                <c:ptCount val="9"/>
                <c:pt idx="0">
                  <c:v>0</c:v>
                </c:pt>
                <c:pt idx="1">
                  <c:v>11.111111110987654</c:v>
                </c:pt>
                <c:pt idx="2">
                  <c:v>11.111111110987654</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0833-4204-A256-A5CE2061B216}"/>
            </c:ext>
          </c:extLst>
        </c:ser>
        <c:ser>
          <c:idx val="1"/>
          <c:order val="1"/>
          <c:tx>
            <c:strRef>
              <c:f>Hists!$E$1148</c:f>
              <c:strCache>
                <c:ptCount val="1"/>
                <c:pt idx="0">
                  <c:v>Mote (on PCB)</c:v>
                </c:pt>
              </c:strCache>
            </c:strRef>
          </c:tx>
          <c:invertIfNegative val="0"/>
          <c:cat>
            <c:numRef>
              <c:f>Hists!$A$1160:$A$1168</c:f>
              <c:numCache>
                <c:formatCode>General</c:formatCode>
                <c:ptCount val="9"/>
                <c:pt idx="0">
                  <c:v>99.999999989999992</c:v>
                </c:pt>
                <c:pt idx="1">
                  <c:v>199.99999997999998</c:v>
                </c:pt>
                <c:pt idx="2">
                  <c:v>299.99999996999998</c:v>
                </c:pt>
                <c:pt idx="3">
                  <c:v>399.99999995999997</c:v>
                </c:pt>
                <c:pt idx="4">
                  <c:v>499.99999995000002</c:v>
                </c:pt>
                <c:pt idx="5">
                  <c:v>599.99999993999995</c:v>
                </c:pt>
                <c:pt idx="6">
                  <c:v>699.99999992999994</c:v>
                </c:pt>
                <c:pt idx="7">
                  <c:v>799.99999991999994</c:v>
                </c:pt>
                <c:pt idx="8">
                  <c:v>899.99999991000004</c:v>
                </c:pt>
              </c:numCache>
            </c:numRef>
          </c:cat>
          <c:val>
            <c:numRef>
              <c:f>Hists!$F$1160:$F$1168</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0833-4204-A256-A5CE2061B216}"/>
            </c:ext>
          </c:extLst>
        </c:ser>
        <c:dLbls>
          <c:showLegendKey val="0"/>
          <c:showVal val="0"/>
          <c:showCatName val="0"/>
          <c:showSerName val="0"/>
          <c:showPercent val="0"/>
          <c:showBubbleSize val="0"/>
        </c:dLbls>
        <c:gapWidth val="150"/>
        <c:axId val="220172392"/>
        <c:axId val="220172784"/>
      </c:barChart>
      <c:catAx>
        <c:axId val="220172392"/>
        <c:scaling>
          <c:orientation val="minMax"/>
        </c:scaling>
        <c:delete val="0"/>
        <c:axPos val="b"/>
        <c:title>
          <c:tx>
            <c:rich>
              <a:bodyPr/>
              <a:lstStyle/>
              <a:p>
                <a:pPr>
                  <a:defRPr/>
                </a:pPr>
                <a:r>
                  <a:rPr lang="en-US"/>
                  <a:t>Lifetime (h)</a:t>
                </a:r>
              </a:p>
            </c:rich>
          </c:tx>
          <c:layout>
            <c:manualLayout>
              <c:xMode val="edge"/>
              <c:yMode val="edge"/>
              <c:x val="0.4262731609896816"/>
              <c:y val="0.96162239398940785"/>
            </c:manualLayout>
          </c:layout>
          <c:overlay val="0"/>
        </c:title>
        <c:numFmt formatCode="#,##0;\-#,##0" sourceLinked="0"/>
        <c:majorTickMark val="out"/>
        <c:minorTickMark val="none"/>
        <c:tickLblPos val="nextTo"/>
        <c:txPr>
          <a:bodyPr rot="5400000" vert="horz"/>
          <a:lstStyle/>
          <a:p>
            <a:pPr>
              <a:defRPr>
                <a:latin typeface="+mn-lt"/>
              </a:defRPr>
            </a:pPr>
            <a:endParaRPr lang="en-US"/>
          </a:p>
        </c:txPr>
        <c:crossAx val="220172784"/>
        <c:crosses val="autoZero"/>
        <c:auto val="1"/>
        <c:lblAlgn val="ctr"/>
        <c:lblOffset val="100"/>
        <c:noMultiLvlLbl val="0"/>
      </c:catAx>
      <c:valAx>
        <c:axId val="220172784"/>
        <c:scaling>
          <c:orientation val="minMax"/>
          <c:max val="80"/>
        </c:scaling>
        <c:delete val="1"/>
        <c:axPos val="l"/>
        <c:majorGridlines/>
        <c:minorGridlines/>
        <c:numFmt formatCode="0" sourceLinked="0"/>
        <c:majorTickMark val="out"/>
        <c:minorTickMark val="none"/>
        <c:tickLblPos val="nextTo"/>
        <c:crossAx val="220172392"/>
        <c:crosses val="autoZero"/>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739859374071833E-2"/>
          <c:y val="6.3702670709384374E-2"/>
          <c:w val="0.92141824314626619"/>
          <c:h val="0.82370105484759493"/>
        </c:manualLayout>
      </c:layout>
      <c:barChart>
        <c:barDir val="col"/>
        <c:grouping val="clustered"/>
        <c:varyColors val="0"/>
        <c:ser>
          <c:idx val="0"/>
          <c:order val="0"/>
          <c:tx>
            <c:v>Wearable</c:v>
          </c:tx>
          <c:invertIfNegative val="0"/>
          <c:cat>
            <c:numRef>
              <c:f>Hists!$A$1169:$A$1178</c:f>
              <c:numCache>
                <c:formatCode>General</c:formatCode>
                <c:ptCount val="10"/>
                <c:pt idx="0">
                  <c:v>999.99999990000003</c:v>
                </c:pt>
                <c:pt idx="1">
                  <c:v>1999.9999998000001</c:v>
                </c:pt>
                <c:pt idx="2">
                  <c:v>2999.9999997</c:v>
                </c:pt>
                <c:pt idx="3">
                  <c:v>3999.9999996000001</c:v>
                </c:pt>
                <c:pt idx="4">
                  <c:v>4999.9999994999998</c:v>
                </c:pt>
                <c:pt idx="5">
                  <c:v>5999.9999994</c:v>
                </c:pt>
                <c:pt idx="6">
                  <c:v>6999.9999993000001</c:v>
                </c:pt>
                <c:pt idx="7">
                  <c:v>7999.9999992000003</c:v>
                </c:pt>
                <c:pt idx="8">
                  <c:v>8999.9999991000004</c:v>
                </c:pt>
                <c:pt idx="9">
                  <c:v>9999.9999989999997</c:v>
                </c:pt>
              </c:numCache>
            </c:numRef>
          </c:cat>
          <c:val>
            <c:numRef>
              <c:f>Hists!$D$1169:$D$1178</c:f>
              <c:numCache>
                <c:formatCode>0.00</c:formatCode>
                <c:ptCount val="10"/>
                <c:pt idx="0">
                  <c:v>0</c:v>
                </c:pt>
                <c:pt idx="1">
                  <c:v>0</c:v>
                </c:pt>
                <c:pt idx="2">
                  <c:v>0</c:v>
                </c:pt>
                <c:pt idx="3">
                  <c:v>0</c:v>
                </c:pt>
                <c:pt idx="4">
                  <c:v>33.333333332962965</c:v>
                </c:pt>
                <c:pt idx="5">
                  <c:v>0</c:v>
                </c:pt>
                <c:pt idx="6">
                  <c:v>0</c:v>
                </c:pt>
                <c:pt idx="7">
                  <c:v>22.222222221975308</c:v>
                </c:pt>
                <c:pt idx="8">
                  <c:v>0</c:v>
                </c:pt>
                <c:pt idx="9">
                  <c:v>0</c:v>
                </c:pt>
              </c:numCache>
            </c:numRef>
          </c:val>
          <c:extLst xmlns:c16r2="http://schemas.microsoft.com/office/drawing/2015/06/chart">
            <c:ext xmlns:c16="http://schemas.microsoft.com/office/drawing/2014/chart" uri="{C3380CC4-5D6E-409C-BE32-E72D297353CC}">
              <c16:uniqueId val="{00000000-5718-42C7-B04D-AEE41F63D8EB}"/>
            </c:ext>
          </c:extLst>
        </c:ser>
        <c:ser>
          <c:idx val="1"/>
          <c:order val="1"/>
          <c:tx>
            <c:strRef>
              <c:f>Hists!$E$1148</c:f>
              <c:strCache>
                <c:ptCount val="1"/>
                <c:pt idx="0">
                  <c:v>Mote (on PCB)</c:v>
                </c:pt>
              </c:strCache>
            </c:strRef>
          </c:tx>
          <c:invertIfNegative val="0"/>
          <c:cat>
            <c:numRef>
              <c:f>Hists!$A$1169:$A$1178</c:f>
              <c:numCache>
                <c:formatCode>General</c:formatCode>
                <c:ptCount val="10"/>
                <c:pt idx="0">
                  <c:v>999.99999990000003</c:v>
                </c:pt>
                <c:pt idx="1">
                  <c:v>1999.9999998000001</c:v>
                </c:pt>
                <c:pt idx="2">
                  <c:v>2999.9999997</c:v>
                </c:pt>
                <c:pt idx="3">
                  <c:v>3999.9999996000001</c:v>
                </c:pt>
                <c:pt idx="4">
                  <c:v>4999.9999994999998</c:v>
                </c:pt>
                <c:pt idx="5">
                  <c:v>5999.9999994</c:v>
                </c:pt>
                <c:pt idx="6">
                  <c:v>6999.9999993000001</c:v>
                </c:pt>
                <c:pt idx="7">
                  <c:v>7999.9999992000003</c:v>
                </c:pt>
                <c:pt idx="8">
                  <c:v>8999.9999991000004</c:v>
                </c:pt>
                <c:pt idx="9">
                  <c:v>9999.9999989999997</c:v>
                </c:pt>
              </c:numCache>
            </c:numRef>
          </c:cat>
          <c:val>
            <c:numRef>
              <c:f>Hists!$F$1169:$F$1178</c:f>
              <c:numCache>
                <c:formatCode>0.00</c:formatCode>
                <c:ptCount val="10"/>
                <c:pt idx="0">
                  <c:v>0</c:v>
                </c:pt>
                <c:pt idx="1">
                  <c:v>24.999999999375</c:v>
                </c:pt>
                <c:pt idx="2">
                  <c:v>0</c:v>
                </c:pt>
                <c:pt idx="3">
                  <c:v>0</c:v>
                </c:pt>
                <c:pt idx="4">
                  <c:v>0</c:v>
                </c:pt>
                <c:pt idx="5">
                  <c:v>0</c:v>
                </c:pt>
                <c:pt idx="6">
                  <c:v>0</c:v>
                </c:pt>
                <c:pt idx="7">
                  <c:v>74.999999998125006</c:v>
                </c:pt>
                <c:pt idx="8">
                  <c:v>0</c:v>
                </c:pt>
                <c:pt idx="9">
                  <c:v>0</c:v>
                </c:pt>
              </c:numCache>
            </c:numRef>
          </c:val>
          <c:extLst xmlns:c16r2="http://schemas.microsoft.com/office/drawing/2015/06/chart">
            <c:ext xmlns:c16="http://schemas.microsoft.com/office/drawing/2014/chart" uri="{C3380CC4-5D6E-409C-BE32-E72D297353CC}">
              <c16:uniqueId val="{00000001-5718-42C7-B04D-AEE41F63D8EB}"/>
            </c:ext>
          </c:extLst>
        </c:ser>
        <c:dLbls>
          <c:showLegendKey val="0"/>
          <c:showVal val="0"/>
          <c:showCatName val="0"/>
          <c:showSerName val="0"/>
          <c:showPercent val="0"/>
          <c:showBubbleSize val="0"/>
        </c:dLbls>
        <c:gapWidth val="150"/>
        <c:axId val="220173568"/>
        <c:axId val="220173960"/>
      </c:barChart>
      <c:catAx>
        <c:axId val="220173568"/>
        <c:scaling>
          <c:orientation val="minMax"/>
        </c:scaling>
        <c:delete val="0"/>
        <c:axPos val="b"/>
        <c:title>
          <c:tx>
            <c:rich>
              <a:bodyPr/>
              <a:lstStyle/>
              <a:p>
                <a:pPr>
                  <a:defRPr/>
                </a:pPr>
                <a:r>
                  <a:rPr lang="en-US"/>
                  <a:t>Lifetime (h)</a:t>
                </a:r>
              </a:p>
            </c:rich>
          </c:tx>
          <c:layout>
            <c:manualLayout>
              <c:xMode val="edge"/>
              <c:yMode val="edge"/>
              <c:x val="0.34851802840065582"/>
              <c:y val="0.96154041382153943"/>
            </c:manualLayout>
          </c:layout>
          <c:overlay val="0"/>
        </c:title>
        <c:numFmt formatCode="#,##0;\-#,##0" sourceLinked="0"/>
        <c:majorTickMark val="out"/>
        <c:minorTickMark val="none"/>
        <c:tickLblPos val="nextTo"/>
        <c:txPr>
          <a:bodyPr rot="5400000" vert="horz"/>
          <a:lstStyle/>
          <a:p>
            <a:pPr>
              <a:defRPr>
                <a:latin typeface="+mn-lt"/>
              </a:defRPr>
            </a:pPr>
            <a:endParaRPr lang="en-US"/>
          </a:p>
        </c:txPr>
        <c:crossAx val="220173960"/>
        <c:crosses val="autoZero"/>
        <c:auto val="1"/>
        <c:lblAlgn val="ctr"/>
        <c:lblOffset val="100"/>
        <c:noMultiLvlLbl val="0"/>
      </c:catAx>
      <c:valAx>
        <c:axId val="220173960"/>
        <c:scaling>
          <c:orientation val="minMax"/>
          <c:max val="80"/>
        </c:scaling>
        <c:delete val="1"/>
        <c:axPos val="l"/>
        <c:majorGridlines/>
        <c:minorGridlines/>
        <c:numFmt formatCode="0" sourceLinked="0"/>
        <c:majorTickMark val="out"/>
        <c:minorTickMark val="none"/>
        <c:tickLblPos val="nextTo"/>
        <c:crossAx val="220173568"/>
        <c:crosses val="autoZero"/>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6.6289422580359636E-2"/>
          <c:w val="0.79434861612198138"/>
          <c:h val="0.80415295077198801"/>
        </c:manualLayout>
      </c:layout>
      <c:barChart>
        <c:barDir val="col"/>
        <c:grouping val="clustered"/>
        <c:varyColors val="0"/>
        <c:ser>
          <c:idx val="1"/>
          <c:order val="0"/>
          <c:tx>
            <c:v>Wearable</c:v>
          </c:tx>
          <c:invertIfNegative val="0"/>
          <c:cat>
            <c:numRef>
              <c:f>Hists!$B$1650:$B$1658</c:f>
              <c:numCache>
                <c:formatCode>0.0</c:formatCode>
                <c:ptCount val="9"/>
                <c:pt idx="0">
                  <c:v>10</c:v>
                </c:pt>
                <c:pt idx="1">
                  <c:v>20</c:v>
                </c:pt>
                <c:pt idx="2">
                  <c:v>30</c:v>
                </c:pt>
                <c:pt idx="3">
                  <c:v>40</c:v>
                </c:pt>
                <c:pt idx="4">
                  <c:v>50</c:v>
                </c:pt>
                <c:pt idx="5">
                  <c:v>60</c:v>
                </c:pt>
                <c:pt idx="6">
                  <c:v>70</c:v>
                </c:pt>
                <c:pt idx="7">
                  <c:v>80</c:v>
                </c:pt>
                <c:pt idx="8">
                  <c:v>90</c:v>
                </c:pt>
              </c:numCache>
            </c:numRef>
          </c:cat>
          <c:val>
            <c:numRef>
              <c:f>Hists!$D$1650:$D$1658</c:f>
              <c:numCache>
                <c:formatCode>0.00</c:formatCode>
                <c:ptCount val="9"/>
                <c:pt idx="0">
                  <c:v>0</c:v>
                </c:pt>
                <c:pt idx="1">
                  <c:v>0</c:v>
                </c:pt>
                <c:pt idx="2">
                  <c:v>83.333333331944445</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679C-4245-B2C6-D5EB0DB63BA8}"/>
            </c:ext>
          </c:extLst>
        </c:ser>
        <c:ser>
          <c:idx val="0"/>
          <c:order val="1"/>
          <c:tx>
            <c:strRef>
              <c:f>Hists!$E$1648</c:f>
              <c:strCache>
                <c:ptCount val="1"/>
                <c:pt idx="0">
                  <c:v>Mote (on PCB)</c:v>
                </c:pt>
              </c:strCache>
            </c:strRef>
          </c:tx>
          <c:invertIfNegative val="0"/>
          <c:cat>
            <c:numRef>
              <c:f>Hists!$B$1650:$B$1658</c:f>
              <c:numCache>
                <c:formatCode>0.0</c:formatCode>
                <c:ptCount val="9"/>
                <c:pt idx="0">
                  <c:v>10</c:v>
                </c:pt>
                <c:pt idx="1">
                  <c:v>20</c:v>
                </c:pt>
                <c:pt idx="2">
                  <c:v>30</c:v>
                </c:pt>
                <c:pt idx="3">
                  <c:v>40</c:v>
                </c:pt>
                <c:pt idx="4">
                  <c:v>50</c:v>
                </c:pt>
                <c:pt idx="5">
                  <c:v>60</c:v>
                </c:pt>
                <c:pt idx="6">
                  <c:v>70</c:v>
                </c:pt>
                <c:pt idx="7">
                  <c:v>80</c:v>
                </c:pt>
                <c:pt idx="8">
                  <c:v>90</c:v>
                </c:pt>
              </c:numCache>
            </c:numRef>
          </c:cat>
          <c:val>
            <c:numRef>
              <c:f>Hists!$F$1650:$F$1658</c:f>
              <c:numCache>
                <c:formatCode>0.00</c:formatCode>
                <c:ptCount val="9"/>
                <c:pt idx="0">
                  <c:v>17.647058823425606</c:v>
                </c:pt>
                <c:pt idx="1">
                  <c:v>23.529411764567477</c:v>
                </c:pt>
                <c:pt idx="2">
                  <c:v>5.8823529411418694</c:v>
                </c:pt>
                <c:pt idx="3">
                  <c:v>0</c:v>
                </c:pt>
                <c:pt idx="4">
                  <c:v>11.764705882283739</c:v>
                </c:pt>
                <c:pt idx="5">
                  <c:v>0</c:v>
                </c:pt>
                <c:pt idx="6">
                  <c:v>0</c:v>
                </c:pt>
                <c:pt idx="7">
                  <c:v>5.8823529411418694</c:v>
                </c:pt>
                <c:pt idx="8">
                  <c:v>0</c:v>
                </c:pt>
              </c:numCache>
            </c:numRef>
          </c:val>
          <c:extLst xmlns:c16r2="http://schemas.microsoft.com/office/drawing/2015/06/chart">
            <c:ext xmlns:c16="http://schemas.microsoft.com/office/drawing/2014/chart" uri="{C3380CC4-5D6E-409C-BE32-E72D297353CC}">
              <c16:uniqueId val="{00000001-679C-4245-B2C6-D5EB0DB63BA8}"/>
            </c:ext>
          </c:extLst>
        </c:ser>
        <c:ser>
          <c:idx val="2"/>
          <c:order val="2"/>
          <c:tx>
            <c:v>MCU</c:v>
          </c:tx>
          <c:invertIfNegative val="0"/>
          <c:cat>
            <c:numRef>
              <c:f>Hists!$B$1650:$B$1658</c:f>
              <c:numCache>
                <c:formatCode>0.0</c:formatCode>
                <c:ptCount val="9"/>
                <c:pt idx="0">
                  <c:v>10</c:v>
                </c:pt>
                <c:pt idx="1">
                  <c:v>20</c:v>
                </c:pt>
                <c:pt idx="2">
                  <c:v>30</c:v>
                </c:pt>
                <c:pt idx="3">
                  <c:v>40</c:v>
                </c:pt>
                <c:pt idx="4">
                  <c:v>50</c:v>
                </c:pt>
                <c:pt idx="5">
                  <c:v>60</c:v>
                </c:pt>
                <c:pt idx="6">
                  <c:v>70</c:v>
                </c:pt>
                <c:pt idx="7">
                  <c:v>80</c:v>
                </c:pt>
                <c:pt idx="8">
                  <c:v>90</c:v>
                </c:pt>
              </c:numCache>
            </c:numRef>
          </c:cat>
          <c:val>
            <c:numRef>
              <c:f>Hists!$H$1650:$H$1658</c:f>
              <c:numCache>
                <c:formatCode>0.00</c:formatCode>
                <c:ptCount val="9"/>
                <c:pt idx="0">
                  <c:v>0</c:v>
                </c:pt>
                <c:pt idx="1">
                  <c:v>0</c:v>
                </c:pt>
                <c:pt idx="2">
                  <c:v>11.111111111049384</c:v>
                </c:pt>
                <c:pt idx="3">
                  <c:v>5.555555555524692</c:v>
                </c:pt>
                <c:pt idx="4">
                  <c:v>61.11111111077161</c:v>
                </c:pt>
                <c:pt idx="5">
                  <c:v>0</c:v>
                </c:pt>
                <c:pt idx="6">
                  <c:v>0</c:v>
                </c:pt>
                <c:pt idx="7">
                  <c:v>0</c:v>
                </c:pt>
                <c:pt idx="8">
                  <c:v>5.555555555524692</c:v>
                </c:pt>
              </c:numCache>
            </c:numRef>
          </c:val>
          <c:extLst xmlns:c16r2="http://schemas.microsoft.com/office/drawing/2015/06/chart">
            <c:ext xmlns:c16="http://schemas.microsoft.com/office/drawing/2014/chart" uri="{C3380CC4-5D6E-409C-BE32-E72D297353CC}">
              <c16:uniqueId val="{00000002-679C-4245-B2C6-D5EB0DB63BA8}"/>
            </c:ext>
          </c:extLst>
        </c:ser>
        <c:ser>
          <c:idx val="3"/>
          <c:order val="3"/>
          <c:tx>
            <c:v>SensHub</c:v>
          </c:tx>
          <c:invertIfNegative val="0"/>
          <c:cat>
            <c:numRef>
              <c:f>Hists!$B$1650:$B$1658</c:f>
              <c:numCache>
                <c:formatCode>0.0</c:formatCode>
                <c:ptCount val="9"/>
                <c:pt idx="0">
                  <c:v>10</c:v>
                </c:pt>
                <c:pt idx="1">
                  <c:v>20</c:v>
                </c:pt>
                <c:pt idx="2">
                  <c:v>30</c:v>
                </c:pt>
                <c:pt idx="3">
                  <c:v>40</c:v>
                </c:pt>
                <c:pt idx="4">
                  <c:v>50</c:v>
                </c:pt>
                <c:pt idx="5">
                  <c:v>60</c:v>
                </c:pt>
                <c:pt idx="6">
                  <c:v>70</c:v>
                </c:pt>
                <c:pt idx="7">
                  <c:v>80</c:v>
                </c:pt>
                <c:pt idx="8">
                  <c:v>90</c:v>
                </c:pt>
              </c:numCache>
            </c:numRef>
          </c:cat>
          <c:val>
            <c:numRef>
              <c:f>Hists!$J$1650:$J$1658</c:f>
              <c:numCache>
                <c:formatCode>0.00</c:formatCode>
                <c:ptCount val="9"/>
                <c:pt idx="0">
                  <c:v>0</c:v>
                </c:pt>
                <c:pt idx="1">
                  <c:v>0</c:v>
                </c:pt>
                <c:pt idx="2">
                  <c:v>0</c:v>
                </c:pt>
                <c:pt idx="3">
                  <c:v>0</c:v>
                </c:pt>
                <c:pt idx="4">
                  <c:v>0</c:v>
                </c:pt>
                <c:pt idx="5">
                  <c:v>0</c:v>
                </c:pt>
                <c:pt idx="6">
                  <c:v>0</c:v>
                </c:pt>
                <c:pt idx="7">
                  <c:v>0</c:v>
                </c:pt>
                <c:pt idx="8">
                  <c:v>49.999999997499998</c:v>
                </c:pt>
              </c:numCache>
            </c:numRef>
          </c:val>
          <c:extLst xmlns:c16r2="http://schemas.microsoft.com/office/drawing/2015/06/chart">
            <c:ext xmlns:c16="http://schemas.microsoft.com/office/drawing/2014/chart" uri="{C3380CC4-5D6E-409C-BE32-E72D297353CC}">
              <c16:uniqueId val="{00000003-679C-4245-B2C6-D5EB0DB63BA8}"/>
            </c:ext>
          </c:extLst>
        </c:ser>
        <c:dLbls>
          <c:showLegendKey val="0"/>
          <c:showVal val="0"/>
          <c:showCatName val="0"/>
          <c:showSerName val="0"/>
          <c:showPercent val="0"/>
          <c:showBubbleSize val="0"/>
        </c:dLbls>
        <c:gapWidth val="150"/>
        <c:axId val="220174744"/>
        <c:axId val="220175136"/>
      </c:barChart>
      <c:catAx>
        <c:axId val="220174744"/>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Frequency (MHz)</a:t>
                </a:r>
              </a:p>
            </c:rich>
          </c:tx>
          <c:layout>
            <c:manualLayout>
              <c:xMode val="edge"/>
              <c:yMode val="edge"/>
              <c:x val="0.29363830493546428"/>
              <c:y val="0.95546252206664262"/>
            </c:manualLayout>
          </c:layout>
          <c:overlay val="0"/>
        </c:title>
        <c:numFmt formatCode="#,##0" sourceLinked="0"/>
        <c:majorTickMark val="out"/>
        <c:minorTickMark val="none"/>
        <c:tickLblPos val="nextTo"/>
        <c:txPr>
          <a:bodyPr rot="5400000" vert="horz"/>
          <a:lstStyle/>
          <a:p>
            <a:pPr>
              <a:defRPr/>
            </a:pPr>
            <a:endParaRPr lang="en-US"/>
          </a:p>
        </c:txPr>
        <c:crossAx val="220175136"/>
        <c:crosses val="autoZero"/>
        <c:auto val="1"/>
        <c:lblAlgn val="ctr"/>
        <c:lblOffset val="100"/>
        <c:noMultiLvlLbl val="0"/>
      </c:catAx>
      <c:valAx>
        <c:axId val="220175136"/>
        <c:scaling>
          <c:orientation val="minMax"/>
          <c:max val="90"/>
        </c:scaling>
        <c:delete val="0"/>
        <c:axPos val="l"/>
        <c:majorGridlines/>
        <c:minorGridlines/>
        <c:numFmt formatCode="0" sourceLinked="0"/>
        <c:majorTickMark val="out"/>
        <c:minorTickMark val="none"/>
        <c:tickLblPos val="nextTo"/>
        <c:crossAx val="2201747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6.6348141790263854E-2"/>
          <c:w val="0.89561356086810229"/>
          <c:h val="0.80140306582204412"/>
        </c:manualLayout>
      </c:layout>
      <c:barChart>
        <c:barDir val="col"/>
        <c:grouping val="clustered"/>
        <c:varyColors val="0"/>
        <c:ser>
          <c:idx val="1"/>
          <c:order val="0"/>
          <c:tx>
            <c:v>Wearable</c:v>
          </c:tx>
          <c:invertIfNegative val="0"/>
          <c:cat>
            <c:numRef>
              <c:f>Hists!$B$1659:$B$1667</c:f>
              <c:numCache>
                <c:formatCode>0.0</c:formatCode>
                <c:ptCount val="9"/>
                <c:pt idx="0">
                  <c:v>100</c:v>
                </c:pt>
                <c:pt idx="1">
                  <c:v>200</c:v>
                </c:pt>
                <c:pt idx="2">
                  <c:v>300</c:v>
                </c:pt>
                <c:pt idx="3">
                  <c:v>400</c:v>
                </c:pt>
                <c:pt idx="4">
                  <c:v>500</c:v>
                </c:pt>
                <c:pt idx="5">
                  <c:v>600</c:v>
                </c:pt>
                <c:pt idx="6">
                  <c:v>700</c:v>
                </c:pt>
                <c:pt idx="7">
                  <c:v>800</c:v>
                </c:pt>
                <c:pt idx="8">
                  <c:v>900</c:v>
                </c:pt>
              </c:numCache>
            </c:numRef>
          </c:cat>
          <c:val>
            <c:numRef>
              <c:f>Hists!$D$1659:$D$1667</c:f>
              <c:numCache>
                <c:formatCode>0.00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9E15-4251-9E49-23B665F98A6A}"/>
            </c:ext>
          </c:extLst>
        </c:ser>
        <c:ser>
          <c:idx val="0"/>
          <c:order val="1"/>
          <c:tx>
            <c:v>Mote</c:v>
          </c:tx>
          <c:invertIfNegative val="0"/>
          <c:cat>
            <c:numRef>
              <c:f>Hists!$B$1659:$B$1667</c:f>
              <c:numCache>
                <c:formatCode>0.0</c:formatCode>
                <c:ptCount val="9"/>
                <c:pt idx="0">
                  <c:v>100</c:v>
                </c:pt>
                <c:pt idx="1">
                  <c:v>200</c:v>
                </c:pt>
                <c:pt idx="2">
                  <c:v>300</c:v>
                </c:pt>
                <c:pt idx="3">
                  <c:v>400</c:v>
                </c:pt>
                <c:pt idx="4">
                  <c:v>500</c:v>
                </c:pt>
                <c:pt idx="5">
                  <c:v>600</c:v>
                </c:pt>
                <c:pt idx="6">
                  <c:v>700</c:v>
                </c:pt>
                <c:pt idx="7">
                  <c:v>800</c:v>
                </c:pt>
                <c:pt idx="8">
                  <c:v>900</c:v>
                </c:pt>
              </c:numCache>
            </c:numRef>
          </c:cat>
          <c:val>
            <c:numRef>
              <c:f>Hists!$F$1659:$F$1667</c:f>
              <c:numCache>
                <c:formatCode>0.00</c:formatCode>
                <c:ptCount val="9"/>
                <c:pt idx="0">
                  <c:v>0</c:v>
                </c:pt>
                <c:pt idx="1">
                  <c:v>11.764705882283739</c:v>
                </c:pt>
                <c:pt idx="2">
                  <c:v>0</c:v>
                </c:pt>
                <c:pt idx="3">
                  <c:v>0</c:v>
                </c:pt>
                <c:pt idx="4">
                  <c:v>17.647058823425606</c:v>
                </c:pt>
                <c:pt idx="5">
                  <c:v>5.8823529411418694</c:v>
                </c:pt>
                <c:pt idx="6">
                  <c:v>0</c:v>
                </c:pt>
                <c:pt idx="7">
                  <c:v>0</c:v>
                </c:pt>
                <c:pt idx="8">
                  <c:v>0</c:v>
                </c:pt>
              </c:numCache>
            </c:numRef>
          </c:val>
          <c:extLst xmlns:c16r2="http://schemas.microsoft.com/office/drawing/2015/06/chart">
            <c:ext xmlns:c16="http://schemas.microsoft.com/office/drawing/2014/chart" uri="{C3380CC4-5D6E-409C-BE32-E72D297353CC}">
              <c16:uniqueId val="{00000001-9E15-4251-9E49-23B665F98A6A}"/>
            </c:ext>
          </c:extLst>
        </c:ser>
        <c:ser>
          <c:idx val="2"/>
          <c:order val="2"/>
          <c:tx>
            <c:v>MCU</c:v>
          </c:tx>
          <c:invertIfNegative val="0"/>
          <c:cat>
            <c:numRef>
              <c:f>Hists!$B$1659:$B$1667</c:f>
              <c:numCache>
                <c:formatCode>0.0</c:formatCode>
                <c:ptCount val="9"/>
                <c:pt idx="0">
                  <c:v>100</c:v>
                </c:pt>
                <c:pt idx="1">
                  <c:v>200</c:v>
                </c:pt>
                <c:pt idx="2">
                  <c:v>300</c:v>
                </c:pt>
                <c:pt idx="3">
                  <c:v>400</c:v>
                </c:pt>
                <c:pt idx="4">
                  <c:v>500</c:v>
                </c:pt>
                <c:pt idx="5">
                  <c:v>600</c:v>
                </c:pt>
                <c:pt idx="6">
                  <c:v>700</c:v>
                </c:pt>
                <c:pt idx="7">
                  <c:v>800</c:v>
                </c:pt>
                <c:pt idx="8">
                  <c:v>900</c:v>
                </c:pt>
              </c:numCache>
            </c:numRef>
          </c:cat>
          <c:val>
            <c:numRef>
              <c:f>Hists!$H$1659:$H$1667</c:f>
              <c:numCache>
                <c:formatCode>0.00</c:formatCode>
                <c:ptCount val="9"/>
                <c:pt idx="0">
                  <c:v>0</c:v>
                </c:pt>
                <c:pt idx="1">
                  <c:v>5.555555555524692</c:v>
                </c:pt>
                <c:pt idx="2">
                  <c:v>11.111111111049384</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9E15-4251-9E49-23B665F98A6A}"/>
            </c:ext>
          </c:extLst>
        </c:ser>
        <c:ser>
          <c:idx val="3"/>
          <c:order val="3"/>
          <c:tx>
            <c:v>SensHub</c:v>
          </c:tx>
          <c:invertIfNegative val="0"/>
          <c:cat>
            <c:numRef>
              <c:f>Hists!$B$1659:$B$1667</c:f>
              <c:numCache>
                <c:formatCode>0.0</c:formatCode>
                <c:ptCount val="9"/>
                <c:pt idx="0">
                  <c:v>100</c:v>
                </c:pt>
                <c:pt idx="1">
                  <c:v>200</c:v>
                </c:pt>
                <c:pt idx="2">
                  <c:v>300</c:v>
                </c:pt>
                <c:pt idx="3">
                  <c:v>400</c:v>
                </c:pt>
                <c:pt idx="4">
                  <c:v>500</c:v>
                </c:pt>
                <c:pt idx="5">
                  <c:v>600</c:v>
                </c:pt>
                <c:pt idx="6">
                  <c:v>700</c:v>
                </c:pt>
                <c:pt idx="7">
                  <c:v>800</c:v>
                </c:pt>
                <c:pt idx="8">
                  <c:v>900</c:v>
                </c:pt>
              </c:numCache>
            </c:numRef>
          </c:cat>
          <c:val>
            <c:numRef>
              <c:f>Hists!$J$1659:$J$1667</c:f>
              <c:numCache>
                <c:formatCode>0.00</c:formatCode>
                <c:ptCount val="9"/>
                <c:pt idx="0">
                  <c:v>0</c:v>
                </c:pt>
                <c:pt idx="1">
                  <c:v>49.999999997499998</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3-9E15-4251-9E49-23B665F98A6A}"/>
            </c:ext>
          </c:extLst>
        </c:ser>
        <c:dLbls>
          <c:showLegendKey val="0"/>
          <c:showVal val="0"/>
          <c:showCatName val="0"/>
          <c:showSerName val="0"/>
          <c:showPercent val="0"/>
          <c:showBubbleSize val="0"/>
        </c:dLbls>
        <c:gapWidth val="150"/>
        <c:axId val="219610824"/>
        <c:axId val="219611216"/>
      </c:barChart>
      <c:catAx>
        <c:axId val="219610824"/>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Frequency (MHz)</a:t>
                </a:r>
              </a:p>
            </c:rich>
          </c:tx>
          <c:layout>
            <c:manualLayout>
              <c:xMode val="edge"/>
              <c:yMode val="edge"/>
              <c:x val="0.28487456315477283"/>
              <c:y val="0.95981351395240411"/>
            </c:manualLayout>
          </c:layout>
          <c:overlay val="0"/>
        </c:title>
        <c:numFmt formatCode="#,##0" sourceLinked="0"/>
        <c:majorTickMark val="out"/>
        <c:minorTickMark val="none"/>
        <c:tickLblPos val="nextTo"/>
        <c:txPr>
          <a:bodyPr rot="5400000" vert="horz"/>
          <a:lstStyle/>
          <a:p>
            <a:pPr>
              <a:defRPr/>
            </a:pPr>
            <a:endParaRPr lang="en-US"/>
          </a:p>
        </c:txPr>
        <c:crossAx val="219611216"/>
        <c:crosses val="autoZero"/>
        <c:auto val="1"/>
        <c:lblAlgn val="ctr"/>
        <c:lblOffset val="100"/>
        <c:noMultiLvlLbl val="0"/>
      </c:catAx>
      <c:valAx>
        <c:axId val="219611216"/>
        <c:scaling>
          <c:orientation val="minMax"/>
          <c:max val="90"/>
        </c:scaling>
        <c:delete val="1"/>
        <c:axPos val="l"/>
        <c:majorGridlines/>
        <c:minorGridlines/>
        <c:numFmt formatCode="0.00" sourceLinked="1"/>
        <c:majorTickMark val="out"/>
        <c:minorTickMark val="none"/>
        <c:tickLblPos val="nextTo"/>
        <c:crossAx val="219610824"/>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9592254145521E-2"/>
          <c:y val="6.891893621257289E-2"/>
          <c:w val="0.89494650093627326"/>
          <c:h val="0.79882848025302589"/>
        </c:manualLayout>
      </c:layout>
      <c:barChart>
        <c:barDir val="col"/>
        <c:grouping val="clustered"/>
        <c:varyColors val="0"/>
        <c:ser>
          <c:idx val="1"/>
          <c:order val="0"/>
          <c:tx>
            <c:v>Wearable</c:v>
          </c:tx>
          <c:invertIfNegative val="0"/>
          <c:cat>
            <c:numRef>
              <c:f>Hists!$B$1668:$B$1677</c:f>
              <c:numCache>
                <c:formatCode>0.0</c:formatCode>
                <c:ptCount val="10"/>
                <c:pt idx="0">
                  <c:v>1000</c:v>
                </c:pt>
                <c:pt idx="1">
                  <c:v>2000</c:v>
                </c:pt>
                <c:pt idx="2">
                  <c:v>3000</c:v>
                </c:pt>
                <c:pt idx="3">
                  <c:v>4000</c:v>
                </c:pt>
                <c:pt idx="4">
                  <c:v>5000</c:v>
                </c:pt>
                <c:pt idx="5">
                  <c:v>6000</c:v>
                </c:pt>
                <c:pt idx="6">
                  <c:v>7000</c:v>
                </c:pt>
                <c:pt idx="7">
                  <c:v>8000</c:v>
                </c:pt>
                <c:pt idx="8">
                  <c:v>9000</c:v>
                </c:pt>
                <c:pt idx="9">
                  <c:v>10000</c:v>
                </c:pt>
              </c:numCache>
            </c:numRef>
          </c:cat>
          <c:val>
            <c:numRef>
              <c:f>Hists!$D$1668:$D$1677</c:f>
              <c:numCache>
                <c:formatCode>0.00</c:formatCode>
                <c:ptCount val="10"/>
                <c:pt idx="0">
                  <c:v>0</c:v>
                </c:pt>
                <c:pt idx="1">
                  <c:v>16.666666666388888</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B574-4AC7-AE2C-850D989E5A7F}"/>
            </c:ext>
          </c:extLst>
        </c:ser>
        <c:ser>
          <c:idx val="0"/>
          <c:order val="1"/>
          <c:tx>
            <c:strRef>
              <c:f>Hists!$E$1648</c:f>
              <c:strCache>
                <c:ptCount val="1"/>
                <c:pt idx="0">
                  <c:v>Mote (on PCB)</c:v>
                </c:pt>
              </c:strCache>
            </c:strRef>
          </c:tx>
          <c:invertIfNegative val="0"/>
          <c:cat>
            <c:numRef>
              <c:f>Hists!$B$1668:$B$1677</c:f>
              <c:numCache>
                <c:formatCode>0.0</c:formatCode>
                <c:ptCount val="10"/>
                <c:pt idx="0">
                  <c:v>1000</c:v>
                </c:pt>
                <c:pt idx="1">
                  <c:v>2000</c:v>
                </c:pt>
                <c:pt idx="2">
                  <c:v>3000</c:v>
                </c:pt>
                <c:pt idx="3">
                  <c:v>4000</c:v>
                </c:pt>
                <c:pt idx="4">
                  <c:v>5000</c:v>
                </c:pt>
                <c:pt idx="5">
                  <c:v>6000</c:v>
                </c:pt>
                <c:pt idx="6">
                  <c:v>7000</c:v>
                </c:pt>
                <c:pt idx="7">
                  <c:v>8000</c:v>
                </c:pt>
                <c:pt idx="8">
                  <c:v>9000</c:v>
                </c:pt>
                <c:pt idx="9">
                  <c:v>10000</c:v>
                </c:pt>
              </c:numCache>
            </c:numRef>
          </c:cat>
          <c:val>
            <c:numRef>
              <c:f>Hists!$F$1668:$F$1677</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B574-4AC7-AE2C-850D989E5A7F}"/>
            </c:ext>
          </c:extLst>
        </c:ser>
        <c:ser>
          <c:idx val="2"/>
          <c:order val="2"/>
          <c:tx>
            <c:v>MCU</c:v>
          </c:tx>
          <c:invertIfNegative val="0"/>
          <c:cat>
            <c:numRef>
              <c:f>Hists!$B$1668:$B$1677</c:f>
              <c:numCache>
                <c:formatCode>0.0</c:formatCode>
                <c:ptCount val="10"/>
                <c:pt idx="0">
                  <c:v>1000</c:v>
                </c:pt>
                <c:pt idx="1">
                  <c:v>2000</c:v>
                </c:pt>
                <c:pt idx="2">
                  <c:v>3000</c:v>
                </c:pt>
                <c:pt idx="3">
                  <c:v>4000</c:v>
                </c:pt>
                <c:pt idx="4">
                  <c:v>5000</c:v>
                </c:pt>
                <c:pt idx="5">
                  <c:v>6000</c:v>
                </c:pt>
                <c:pt idx="6">
                  <c:v>7000</c:v>
                </c:pt>
                <c:pt idx="7">
                  <c:v>8000</c:v>
                </c:pt>
                <c:pt idx="8">
                  <c:v>9000</c:v>
                </c:pt>
                <c:pt idx="9">
                  <c:v>10000</c:v>
                </c:pt>
              </c:numCache>
            </c:numRef>
          </c:cat>
          <c:val>
            <c:numRef>
              <c:f>Hists!$H$1668:$H$1677</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B574-4AC7-AE2C-850D989E5A7F}"/>
            </c:ext>
          </c:extLst>
        </c:ser>
        <c:ser>
          <c:idx val="3"/>
          <c:order val="3"/>
          <c:tx>
            <c:v>SensHub</c:v>
          </c:tx>
          <c:invertIfNegative val="0"/>
          <c:cat>
            <c:numRef>
              <c:f>Hists!$B$1668:$B$1677</c:f>
              <c:numCache>
                <c:formatCode>0.0</c:formatCode>
                <c:ptCount val="10"/>
                <c:pt idx="0">
                  <c:v>1000</c:v>
                </c:pt>
                <c:pt idx="1">
                  <c:v>2000</c:v>
                </c:pt>
                <c:pt idx="2">
                  <c:v>3000</c:v>
                </c:pt>
                <c:pt idx="3">
                  <c:v>4000</c:v>
                </c:pt>
                <c:pt idx="4">
                  <c:v>5000</c:v>
                </c:pt>
                <c:pt idx="5">
                  <c:v>6000</c:v>
                </c:pt>
                <c:pt idx="6">
                  <c:v>7000</c:v>
                </c:pt>
                <c:pt idx="7">
                  <c:v>8000</c:v>
                </c:pt>
                <c:pt idx="8">
                  <c:v>9000</c:v>
                </c:pt>
                <c:pt idx="9">
                  <c:v>10000</c:v>
                </c:pt>
              </c:numCache>
            </c:numRef>
          </c:cat>
          <c:val>
            <c:numRef>
              <c:f>Hists!$J$1668:$J$1677</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B574-4AC7-AE2C-850D989E5A7F}"/>
            </c:ext>
          </c:extLst>
        </c:ser>
        <c:dLbls>
          <c:showLegendKey val="0"/>
          <c:showVal val="0"/>
          <c:showCatName val="0"/>
          <c:showSerName val="0"/>
          <c:showPercent val="0"/>
          <c:showBubbleSize val="0"/>
        </c:dLbls>
        <c:gapWidth val="150"/>
        <c:axId val="219612000"/>
        <c:axId val="219612392"/>
      </c:barChart>
      <c:catAx>
        <c:axId val="219612000"/>
        <c:scaling>
          <c:orientation val="minMax"/>
        </c:scaling>
        <c:delete val="0"/>
        <c:axPos val="b"/>
        <c:title>
          <c:tx>
            <c:rich>
              <a:bodyPr/>
              <a:lstStyle/>
              <a:p>
                <a:pPr algn="ctr" rtl="0">
                  <a:defRPr lang="en-US" sz="1000" b="1" i="0" u="none" strike="noStrike" kern="1200" baseline="0">
                    <a:solidFill>
                      <a:sysClr val="windowText" lastClr="000000"/>
                    </a:solidFill>
                    <a:latin typeface="Times New Roman" pitchFamily="18" charset="0"/>
                    <a:ea typeface="+mn-ea"/>
                    <a:cs typeface="Times New Roman" pitchFamily="18" charset="0"/>
                  </a:defRPr>
                </a:pPr>
                <a:r>
                  <a:rPr lang="en-US" sz="1000" b="1" i="0" u="none" strike="noStrike" kern="1200" baseline="0">
                    <a:solidFill>
                      <a:sysClr val="windowText" lastClr="000000"/>
                    </a:solidFill>
                    <a:latin typeface="Times New Roman" pitchFamily="18" charset="0"/>
                    <a:ea typeface="+mn-ea"/>
                    <a:cs typeface="Times New Roman" pitchFamily="18" charset="0"/>
                  </a:rPr>
                  <a:t>Frequency (MHz)</a:t>
                </a:r>
              </a:p>
            </c:rich>
          </c:tx>
          <c:layout>
            <c:manualLayout>
              <c:xMode val="edge"/>
              <c:yMode val="edge"/>
              <c:x val="0.27858866423757095"/>
              <c:y val="0.95449132787494961"/>
            </c:manualLayout>
          </c:layout>
          <c:overlay val="0"/>
        </c:title>
        <c:numFmt formatCode="#,##0" sourceLinked="0"/>
        <c:majorTickMark val="out"/>
        <c:minorTickMark val="none"/>
        <c:tickLblPos val="nextTo"/>
        <c:txPr>
          <a:bodyPr rot="5400000" vert="horz"/>
          <a:lstStyle/>
          <a:p>
            <a:pPr>
              <a:defRPr/>
            </a:pPr>
            <a:endParaRPr lang="en-US"/>
          </a:p>
        </c:txPr>
        <c:crossAx val="219612392"/>
        <c:crosses val="autoZero"/>
        <c:auto val="1"/>
        <c:lblAlgn val="ctr"/>
        <c:lblOffset val="100"/>
        <c:noMultiLvlLbl val="0"/>
      </c:catAx>
      <c:valAx>
        <c:axId val="219612392"/>
        <c:scaling>
          <c:orientation val="minMax"/>
          <c:max val="90"/>
        </c:scaling>
        <c:delete val="1"/>
        <c:axPos val="l"/>
        <c:majorGridlines/>
        <c:minorGridlines/>
        <c:numFmt formatCode="0.00" sourceLinked="1"/>
        <c:majorTickMark val="out"/>
        <c:minorTickMark val="none"/>
        <c:tickLblPos val="nextTo"/>
        <c:crossAx val="219612000"/>
        <c:crosses val="autoZero"/>
        <c:crossBetween val="between"/>
      </c:valAx>
    </c:plotArea>
    <c:legend>
      <c:legendPos val="t"/>
      <c:layout>
        <c:manualLayout>
          <c:xMode val="edge"/>
          <c:yMode val="edge"/>
          <c:x val="0.22858511378316607"/>
          <c:y val="0.14387526279053814"/>
          <c:w val="0.38128748882043123"/>
          <c:h val="0.18028590016130897"/>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Hists!$E$49</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Hists!$B$51:$B$79</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Hists!$F$51:$F$79</c:f>
              <c:numCache>
                <c:formatCode>0.00</c:formatCode>
                <c:ptCount val="29"/>
                <c:pt idx="0">
                  <c:v>0</c:v>
                </c:pt>
                <c:pt idx="1">
                  <c:v>0</c:v>
                </c:pt>
                <c:pt idx="2">
                  <c:v>9.9999999999500009</c:v>
                </c:pt>
                <c:pt idx="3">
                  <c:v>0</c:v>
                </c:pt>
                <c:pt idx="4">
                  <c:v>4.9999999999750004</c:v>
                </c:pt>
                <c:pt idx="5">
                  <c:v>0</c:v>
                </c:pt>
                <c:pt idx="6">
                  <c:v>0</c:v>
                </c:pt>
                <c:pt idx="7">
                  <c:v>0</c:v>
                </c:pt>
                <c:pt idx="8">
                  <c:v>24.999999999875001</c:v>
                </c:pt>
                <c:pt idx="9">
                  <c:v>0</c:v>
                </c:pt>
                <c:pt idx="10">
                  <c:v>4.9999999999750004</c:v>
                </c:pt>
                <c:pt idx="11">
                  <c:v>0</c:v>
                </c:pt>
                <c:pt idx="12">
                  <c:v>4.9999999999750004</c:v>
                </c:pt>
                <c:pt idx="13">
                  <c:v>4.9999999999750004</c:v>
                </c:pt>
                <c:pt idx="14">
                  <c:v>0</c:v>
                </c:pt>
                <c:pt idx="15">
                  <c:v>4.9999999999750004</c:v>
                </c:pt>
                <c:pt idx="16">
                  <c:v>0</c:v>
                </c:pt>
                <c:pt idx="17">
                  <c:v>4.9999999999750004</c:v>
                </c:pt>
                <c:pt idx="18">
                  <c:v>0</c:v>
                </c:pt>
                <c:pt idx="19">
                  <c:v>4.9999999999750004</c:v>
                </c:pt>
                <c:pt idx="20">
                  <c:v>14.999999999925002</c:v>
                </c:pt>
                <c:pt idx="21">
                  <c:v>0</c:v>
                </c:pt>
                <c:pt idx="22">
                  <c:v>0</c:v>
                </c:pt>
                <c:pt idx="23">
                  <c:v>4.9999999999750004</c:v>
                </c:pt>
                <c:pt idx="24">
                  <c:v>0</c:v>
                </c:pt>
                <c:pt idx="25">
                  <c:v>0</c:v>
                </c:pt>
                <c:pt idx="26">
                  <c:v>0</c:v>
                </c:pt>
                <c:pt idx="27">
                  <c:v>0</c:v>
                </c:pt>
                <c:pt idx="28">
                  <c:v>9.9999999999500009</c:v>
                </c:pt>
              </c:numCache>
            </c:numRef>
          </c:val>
          <c:extLst xmlns:c16r2="http://schemas.microsoft.com/office/drawing/2015/06/chart">
            <c:ext xmlns:c16="http://schemas.microsoft.com/office/drawing/2014/chart" uri="{C3380CC4-5D6E-409C-BE32-E72D297353CC}">
              <c16:uniqueId val="{00000000-F182-441A-B287-4DBBA42F3B56}"/>
            </c:ext>
          </c:extLst>
        </c:ser>
        <c:ser>
          <c:idx val="2"/>
          <c:order val="2"/>
          <c:tx>
            <c:strRef>
              <c:f>Hists!$G$49</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Hists!$B$51:$B$79</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Hists!$H$51:$H$79</c:f>
              <c:numCache>
                <c:formatCode>0.00</c:formatCode>
                <c:ptCount val="29"/>
                <c:pt idx="0">
                  <c:v>0</c:v>
                </c:pt>
                <c:pt idx="1">
                  <c:v>0</c:v>
                </c:pt>
                <c:pt idx="2">
                  <c:v>6.2499999999609379</c:v>
                </c:pt>
                <c:pt idx="3">
                  <c:v>0</c:v>
                </c:pt>
                <c:pt idx="4">
                  <c:v>31.24999999980469</c:v>
                </c:pt>
                <c:pt idx="5">
                  <c:v>0</c:v>
                </c:pt>
                <c:pt idx="6">
                  <c:v>0</c:v>
                </c:pt>
                <c:pt idx="7">
                  <c:v>0</c:v>
                </c:pt>
                <c:pt idx="8">
                  <c:v>6.2499999999609379</c:v>
                </c:pt>
                <c:pt idx="9">
                  <c:v>0</c:v>
                </c:pt>
                <c:pt idx="10">
                  <c:v>0</c:v>
                </c:pt>
                <c:pt idx="11">
                  <c:v>12.499999999921876</c:v>
                </c:pt>
                <c:pt idx="12">
                  <c:v>31.24999999980469</c:v>
                </c:pt>
                <c:pt idx="13">
                  <c:v>0</c:v>
                </c:pt>
                <c:pt idx="14">
                  <c:v>0</c:v>
                </c:pt>
                <c:pt idx="15">
                  <c:v>0</c:v>
                </c:pt>
                <c:pt idx="16">
                  <c:v>0</c:v>
                </c:pt>
                <c:pt idx="17">
                  <c:v>0</c:v>
                </c:pt>
                <c:pt idx="18">
                  <c:v>0</c:v>
                </c:pt>
                <c:pt idx="19">
                  <c:v>0</c:v>
                </c:pt>
                <c:pt idx="20">
                  <c:v>0</c:v>
                </c:pt>
                <c:pt idx="21">
                  <c:v>0</c:v>
                </c:pt>
                <c:pt idx="22">
                  <c:v>0</c:v>
                </c:pt>
                <c:pt idx="23">
                  <c:v>12.499999999921876</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F182-441A-B287-4DBBA42F3B56}"/>
            </c:ext>
          </c:extLst>
        </c:ser>
        <c:ser>
          <c:idx val="3"/>
          <c:order val="3"/>
          <c:tx>
            <c:strRef>
              <c:f>Hists!$I$49</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Hists!$B$51:$B$79</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f>Hists!$J$51:$J$79</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49.999999997499998</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F182-441A-B287-4DBBA42F3B56}"/>
            </c:ext>
          </c:extLst>
        </c:ser>
        <c:dLbls>
          <c:showLegendKey val="0"/>
          <c:showVal val="0"/>
          <c:showCatName val="0"/>
          <c:showSerName val="0"/>
          <c:showPercent val="0"/>
          <c:showBubbleSize val="0"/>
        </c:dLbls>
        <c:gapWidth val="0"/>
        <c:overlap val="75"/>
        <c:axId val="219613568"/>
        <c:axId val="21961396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Hists!$C$49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Hists!$B$51:$B$79</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Hists!$D$51:$D$79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F182-441A-B287-4DBBA42F3B56}"/>
                  </c:ext>
                </c:extLst>
              </c15:ser>
            </c15:filteredBarSeries>
          </c:ext>
        </c:extLst>
      </c:barChart>
      <c:catAx>
        <c:axId val="219613568"/>
        <c:scaling>
          <c:orientation val="minMax"/>
        </c:scaling>
        <c:delete val="0"/>
        <c:axPos val="b"/>
        <c:title>
          <c:tx>
            <c:rich>
              <a:bodyPr/>
              <a:lstStyle/>
              <a:p>
                <a:pPr>
                  <a:defRPr/>
                </a:pPr>
                <a:r>
                  <a:rPr lang="en-US" sz="1400">
                    <a:latin typeface="+mn-lt"/>
                  </a:rPr>
                  <a:t>RAM (kB)</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19613960"/>
        <c:crosses val="autoZero"/>
        <c:auto val="1"/>
        <c:lblAlgn val="ctr"/>
        <c:lblOffset val="100"/>
        <c:tickLblSkip val="2"/>
        <c:noMultiLvlLbl val="0"/>
      </c:catAx>
      <c:valAx>
        <c:axId val="219613960"/>
        <c:scaling>
          <c:orientation val="minMax"/>
          <c:max val="35"/>
        </c:scaling>
        <c:delete val="0"/>
        <c:axPos val="l"/>
        <c:numFmt formatCode="0" sourceLinked="0"/>
        <c:majorTickMark val="out"/>
        <c:minorTickMark val="none"/>
        <c:tickLblPos val="nextTo"/>
        <c:txPr>
          <a:bodyPr/>
          <a:lstStyle/>
          <a:p>
            <a:pPr>
              <a:defRPr sz="1200">
                <a:latin typeface="+mn-lt"/>
              </a:defRPr>
            </a:pPr>
            <a:endParaRPr lang="en-US"/>
          </a:p>
        </c:txPr>
        <c:crossAx val="219613568"/>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Hists!$E$99</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Hists!$B$101:$B$129</c:f>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f>Hists!$F$101:$F$129</c:f>
              <c:numCache>
                <c:formatCode>0.00</c:formatCode>
                <c:ptCount val="29"/>
                <c:pt idx="0">
                  <c:v>0</c:v>
                </c:pt>
                <c:pt idx="1">
                  <c:v>0</c:v>
                </c:pt>
                <c:pt idx="2">
                  <c:v>0</c:v>
                </c:pt>
                <c:pt idx="3">
                  <c:v>12.499999999947917</c:v>
                </c:pt>
                <c:pt idx="4">
                  <c:v>4.1666666666493057</c:v>
                </c:pt>
                <c:pt idx="5">
                  <c:v>0</c:v>
                </c:pt>
                <c:pt idx="6">
                  <c:v>0</c:v>
                </c:pt>
                <c:pt idx="7">
                  <c:v>0</c:v>
                </c:pt>
                <c:pt idx="8">
                  <c:v>0</c:v>
                </c:pt>
                <c:pt idx="9">
                  <c:v>4.1666666666493057</c:v>
                </c:pt>
                <c:pt idx="10">
                  <c:v>24.999999999895834</c:v>
                </c:pt>
                <c:pt idx="11">
                  <c:v>8.3333333332986115</c:v>
                </c:pt>
                <c:pt idx="12">
                  <c:v>4.1666666666493057</c:v>
                </c:pt>
                <c:pt idx="13">
                  <c:v>0</c:v>
                </c:pt>
                <c:pt idx="14">
                  <c:v>0</c:v>
                </c:pt>
                <c:pt idx="15">
                  <c:v>0</c:v>
                </c:pt>
                <c:pt idx="16">
                  <c:v>0</c:v>
                </c:pt>
                <c:pt idx="17">
                  <c:v>0</c:v>
                </c:pt>
                <c:pt idx="18">
                  <c:v>0</c:v>
                </c:pt>
                <c:pt idx="19">
                  <c:v>12.499999999947917</c:v>
                </c:pt>
                <c:pt idx="20">
                  <c:v>4.1666666666493057</c:v>
                </c:pt>
                <c:pt idx="21">
                  <c:v>0</c:v>
                </c:pt>
                <c:pt idx="22">
                  <c:v>12.499999999947917</c:v>
                </c:pt>
                <c:pt idx="23">
                  <c:v>0</c:v>
                </c:pt>
                <c:pt idx="24">
                  <c:v>0</c:v>
                </c:pt>
                <c:pt idx="25">
                  <c:v>0</c:v>
                </c:pt>
                <c:pt idx="26">
                  <c:v>0</c:v>
                </c:pt>
                <c:pt idx="27">
                  <c:v>0</c:v>
                </c:pt>
                <c:pt idx="28">
                  <c:v>12.499999999947917</c:v>
                </c:pt>
              </c:numCache>
            </c:numRef>
          </c:val>
          <c:extLst xmlns:c16r2="http://schemas.microsoft.com/office/drawing/2015/06/chart">
            <c:ext xmlns:c16="http://schemas.microsoft.com/office/drawing/2014/chart" uri="{C3380CC4-5D6E-409C-BE32-E72D297353CC}">
              <c16:uniqueId val="{00000000-1CB5-4392-9D3A-A5F0182C3C56}"/>
            </c:ext>
          </c:extLst>
        </c:ser>
        <c:ser>
          <c:idx val="2"/>
          <c:order val="2"/>
          <c:tx>
            <c:strRef>
              <c:f>Hists!$G$99</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Hists!$B$101:$B$129</c:f>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f>Hists!$H$101:$H$129</c:f>
              <c:numCache>
                <c:formatCode>0.00</c:formatCode>
                <c:ptCount val="29"/>
                <c:pt idx="0">
                  <c:v>0</c:v>
                </c:pt>
                <c:pt idx="1">
                  <c:v>0</c:v>
                </c:pt>
                <c:pt idx="2">
                  <c:v>0</c:v>
                </c:pt>
                <c:pt idx="3">
                  <c:v>31.24999999980469</c:v>
                </c:pt>
                <c:pt idx="4">
                  <c:v>0</c:v>
                </c:pt>
                <c:pt idx="5">
                  <c:v>0</c:v>
                </c:pt>
                <c:pt idx="6">
                  <c:v>12.499999999921876</c:v>
                </c:pt>
                <c:pt idx="7">
                  <c:v>0</c:v>
                </c:pt>
                <c:pt idx="8">
                  <c:v>0</c:v>
                </c:pt>
                <c:pt idx="9">
                  <c:v>0</c:v>
                </c:pt>
                <c:pt idx="10">
                  <c:v>31.24999999980469</c:v>
                </c:pt>
                <c:pt idx="11">
                  <c:v>18.749999999882814</c:v>
                </c:pt>
                <c:pt idx="12">
                  <c:v>0</c:v>
                </c:pt>
                <c:pt idx="13">
                  <c:v>0</c:v>
                </c:pt>
                <c:pt idx="14">
                  <c:v>0</c:v>
                </c:pt>
                <c:pt idx="15">
                  <c:v>0</c:v>
                </c:pt>
                <c:pt idx="16">
                  <c:v>0</c:v>
                </c:pt>
                <c:pt idx="17">
                  <c:v>0</c:v>
                </c:pt>
                <c:pt idx="18">
                  <c:v>0</c:v>
                </c:pt>
                <c:pt idx="19">
                  <c:v>6.2499999999609379</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1CB5-4392-9D3A-A5F0182C3C56}"/>
            </c:ext>
          </c:extLst>
        </c:ser>
        <c:ser>
          <c:idx val="3"/>
          <c:order val="3"/>
          <c:tx>
            <c:strRef>
              <c:f>Hists!$I$99</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Hists!$B$101:$B$129</c:f>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f>Hists!$J$101:$J$129</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1CB5-4392-9D3A-A5F0182C3C56}"/>
            </c:ext>
          </c:extLst>
        </c:ser>
        <c:dLbls>
          <c:showLegendKey val="0"/>
          <c:showVal val="0"/>
          <c:showCatName val="0"/>
          <c:showSerName val="0"/>
          <c:showPercent val="0"/>
          <c:showBubbleSize val="0"/>
        </c:dLbls>
        <c:gapWidth val="0"/>
        <c:overlap val="75"/>
        <c:axId val="220352224"/>
        <c:axId val="22035261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Hists!$C$99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Hists!$B$101:$B$129</c15:sqref>
                        </c15:formulaRef>
                      </c:ext>
                    </c:extLst>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extLst xmlns:c16r2="http://schemas.microsoft.com/office/drawing/2015/06/chart">
                      <c:ext uri="{02D57815-91ED-43cb-92C2-25804820EDAC}">
                        <c15:formulaRef>
                          <c15:sqref>Hists!$D$101:$D$129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49.999999997499998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1CB5-4392-9D3A-A5F0182C3C56}"/>
                  </c:ext>
                </c:extLst>
              </c15:ser>
            </c15:filteredBarSeries>
          </c:ext>
        </c:extLst>
      </c:barChart>
      <c:catAx>
        <c:axId val="220352224"/>
        <c:scaling>
          <c:orientation val="minMax"/>
        </c:scaling>
        <c:delete val="0"/>
        <c:axPos val="b"/>
        <c:title>
          <c:tx>
            <c:rich>
              <a:bodyPr/>
              <a:lstStyle/>
              <a:p>
                <a:pPr>
                  <a:defRPr/>
                </a:pPr>
                <a:r>
                  <a:rPr lang="en-US" sz="1400">
                    <a:latin typeface="+mn-lt"/>
                  </a:rPr>
                  <a:t>Flash (kB)</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0352616"/>
        <c:crosses val="autoZero"/>
        <c:auto val="1"/>
        <c:lblAlgn val="ctr"/>
        <c:lblOffset val="100"/>
        <c:tickLblSkip val="2"/>
        <c:noMultiLvlLbl val="0"/>
      </c:catAx>
      <c:valAx>
        <c:axId val="220352616"/>
        <c:scaling>
          <c:orientation val="minMax"/>
          <c:max val="35"/>
        </c:scaling>
        <c:delete val="0"/>
        <c:axPos val="l"/>
        <c:numFmt formatCode="0" sourceLinked="0"/>
        <c:majorTickMark val="out"/>
        <c:minorTickMark val="none"/>
        <c:tickLblPos val="nextTo"/>
        <c:txPr>
          <a:bodyPr/>
          <a:lstStyle/>
          <a:p>
            <a:pPr>
              <a:defRPr sz="1200">
                <a:latin typeface="+mn-lt"/>
              </a:defRPr>
            </a:pPr>
            <a:endParaRPr lang="en-US"/>
          </a:p>
        </c:txPr>
        <c:crossAx val="220352224"/>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54038480630579E-2"/>
          <c:y val="2.5749721059450944E-2"/>
          <c:w val="0.88235327321327406"/>
          <c:h val="0.59787331985550707"/>
        </c:manualLayout>
      </c:layout>
      <c:barChart>
        <c:barDir val="col"/>
        <c:grouping val="clustered"/>
        <c:varyColors val="0"/>
        <c:ser>
          <c:idx val="1"/>
          <c:order val="1"/>
          <c:tx>
            <c:strRef>
              <c:f>Hists!$E$149</c:f>
              <c:strCache>
                <c:ptCount val="1"/>
                <c:pt idx="0">
                  <c:v>Mote (on PCB)</c:v>
                </c:pt>
              </c:strCache>
            </c:strRef>
          </c:tx>
          <c:spPr>
            <a:pattFill prst="pct25">
              <a:fgClr>
                <a:srgbClr val="C00000"/>
              </a:fgClr>
              <a:bgClr>
                <a:schemeClr val="bg1"/>
              </a:bgClr>
            </a:pattFill>
            <a:ln w="25400">
              <a:solidFill>
                <a:srgbClr val="C00000"/>
              </a:solidFill>
            </a:ln>
          </c:spPr>
          <c:invertIfNegative val="0"/>
          <c:cat>
            <c:strRef>
              <c:f>Hists!$A$151:$B$174</c:f>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f>Hists!$E$151:$E$174</c:f>
              <c:numCache>
                <c:formatCode>General</c:formatCode>
                <c:ptCount val="24"/>
                <c:pt idx="0">
                  <c:v>26</c:v>
                </c:pt>
                <c:pt idx="1">
                  <c:v>8</c:v>
                </c:pt>
                <c:pt idx="2">
                  <c:v>2</c:v>
                </c:pt>
                <c:pt idx="3">
                  <c:v>14</c:v>
                </c:pt>
                <c:pt idx="4">
                  <c:v>16</c:v>
                </c:pt>
                <c:pt idx="5">
                  <c:v>0</c:v>
                </c:pt>
                <c:pt idx="6">
                  <c:v>5</c:v>
                </c:pt>
                <c:pt idx="7">
                  <c:v>5</c:v>
                </c:pt>
                <c:pt idx="8">
                  <c:v>1</c:v>
                </c:pt>
                <c:pt idx="9">
                  <c:v>3</c:v>
                </c:pt>
                <c:pt idx="10">
                  <c:v>4</c:v>
                </c:pt>
                <c:pt idx="11">
                  <c:v>0</c:v>
                </c:pt>
                <c:pt idx="12">
                  <c:v>0</c:v>
                </c:pt>
                <c:pt idx="13">
                  <c:v>5</c:v>
                </c:pt>
                <c:pt idx="14">
                  <c:v>2</c:v>
                </c:pt>
                <c:pt idx="15">
                  <c:v>1</c:v>
                </c:pt>
                <c:pt idx="16">
                  <c:v>0</c:v>
                </c:pt>
                <c:pt idx="17">
                  <c:v>0</c:v>
                </c:pt>
                <c:pt idx="18">
                  <c:v>0</c:v>
                </c:pt>
                <c:pt idx="19">
                  <c:v>0</c:v>
                </c:pt>
                <c:pt idx="20">
                  <c:v>1</c:v>
                </c:pt>
                <c:pt idx="21">
                  <c:v>0</c:v>
                </c:pt>
                <c:pt idx="22">
                  <c:v>0</c:v>
                </c:pt>
                <c:pt idx="23">
                  <c:v>0</c:v>
                </c:pt>
              </c:numCache>
            </c:numRef>
          </c:val>
          <c:extLst xmlns:c16r2="http://schemas.microsoft.com/office/drawing/2015/06/chart">
            <c:ext xmlns:c16="http://schemas.microsoft.com/office/drawing/2014/chart" uri="{C3380CC4-5D6E-409C-BE32-E72D297353CC}">
              <c16:uniqueId val="{00000000-168D-4DFC-83C8-88E6EE331537}"/>
            </c:ext>
          </c:extLst>
        </c:ser>
        <c:ser>
          <c:idx val="2"/>
          <c:order val="2"/>
          <c:tx>
            <c:strRef>
              <c:f>Hists!$G$149</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strRef>
              <c:f>Hists!$A$151:$B$174</c:f>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f>Hists!$G$151:$G$174</c:f>
              <c:numCache>
                <c:formatCode>0</c:formatCode>
                <c:ptCount val="24"/>
                <c:pt idx="0">
                  <c:v>16</c:v>
                </c:pt>
                <c:pt idx="1">
                  <c:v>1</c:v>
                </c:pt>
                <c:pt idx="2" formatCode="General">
                  <c:v>0</c:v>
                </c:pt>
                <c:pt idx="3" formatCode="General">
                  <c:v>1</c:v>
                </c:pt>
                <c:pt idx="4" formatCode="General">
                  <c:v>1</c:v>
                </c:pt>
                <c:pt idx="5" formatCode="General">
                  <c:v>0</c:v>
                </c:pt>
                <c:pt idx="6" formatCode="General">
                  <c:v>2</c:v>
                </c:pt>
                <c:pt idx="7" formatCode="General">
                  <c:v>2</c:v>
                </c:pt>
                <c:pt idx="8" formatCode="General">
                  <c:v>0</c:v>
                </c:pt>
                <c:pt idx="9" formatCode="General">
                  <c:v>2</c:v>
                </c:pt>
                <c:pt idx="10" formatCode="General">
                  <c:v>2</c:v>
                </c:pt>
                <c:pt idx="11" formatCode="General">
                  <c:v>1</c:v>
                </c:pt>
                <c:pt idx="12" formatCode="General">
                  <c:v>0</c:v>
                </c:pt>
                <c:pt idx="13" formatCode="General">
                  <c:v>1</c:v>
                </c:pt>
                <c:pt idx="14" formatCode="General">
                  <c:v>1</c:v>
                </c:pt>
                <c:pt idx="15" formatCode="General">
                  <c:v>5</c:v>
                </c:pt>
                <c:pt idx="16" formatCode="General">
                  <c:v>0</c:v>
                </c:pt>
                <c:pt idx="17" formatCode="General">
                  <c:v>1</c:v>
                </c:pt>
                <c:pt idx="18" formatCode="General">
                  <c:v>1</c:v>
                </c:pt>
                <c:pt idx="19" formatCode="General">
                  <c:v>1</c:v>
                </c:pt>
                <c:pt idx="20" formatCode="General">
                  <c:v>0</c:v>
                </c:pt>
                <c:pt idx="21" formatCode="General">
                  <c:v>3</c:v>
                </c:pt>
                <c:pt idx="22" formatCode="General">
                  <c:v>0</c:v>
                </c:pt>
                <c:pt idx="23" formatCode="General">
                  <c:v>0</c:v>
                </c:pt>
              </c:numCache>
            </c:numRef>
          </c:val>
          <c:extLst xmlns:c16r2="http://schemas.microsoft.com/office/drawing/2015/06/chart">
            <c:ext xmlns:c16="http://schemas.microsoft.com/office/drawing/2014/chart" uri="{C3380CC4-5D6E-409C-BE32-E72D297353CC}">
              <c16:uniqueId val="{00000001-168D-4DFC-83C8-88E6EE331537}"/>
            </c:ext>
          </c:extLst>
        </c:ser>
        <c:ser>
          <c:idx val="3"/>
          <c:order val="3"/>
          <c:tx>
            <c:strRef>
              <c:f>Hists!$I$149</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strRef>
              <c:f>Hists!$A$151:$B$174</c:f>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f>Hists!$I$151:$I$174</c:f>
              <c:numCache>
                <c:formatCode>0</c:formatCode>
                <c:ptCount val="24"/>
                <c:pt idx="0">
                  <c:v>8</c:v>
                </c:pt>
                <c:pt idx="1">
                  <c:v>4</c:v>
                </c:pt>
                <c:pt idx="2" formatCode="General">
                  <c:v>1</c:v>
                </c:pt>
                <c:pt idx="3" formatCode="General">
                  <c:v>1</c:v>
                </c:pt>
                <c:pt idx="4" formatCode="General">
                  <c:v>2</c:v>
                </c:pt>
                <c:pt idx="5" formatCode="General">
                  <c:v>0</c:v>
                </c:pt>
                <c:pt idx="6" formatCode="General">
                  <c:v>0</c:v>
                </c:pt>
                <c:pt idx="7" formatCode="General">
                  <c:v>0</c:v>
                </c:pt>
                <c:pt idx="8" formatCode="General">
                  <c:v>0</c:v>
                </c:pt>
                <c:pt idx="9" formatCode="General">
                  <c:v>1</c:v>
                </c:pt>
                <c:pt idx="10" formatCode="General">
                  <c:v>1</c:v>
                </c:pt>
                <c:pt idx="11" formatCode="General">
                  <c:v>1</c:v>
                </c:pt>
                <c:pt idx="12" formatCode="General">
                  <c:v>2</c:v>
                </c:pt>
                <c:pt idx="13" formatCode="General">
                  <c:v>5</c:v>
                </c:pt>
                <c:pt idx="14" formatCode="General">
                  <c:v>1</c:v>
                </c:pt>
                <c:pt idx="15" formatCode="General">
                  <c:v>0</c:v>
                </c:pt>
                <c:pt idx="16" formatCode="General">
                  <c:v>4</c:v>
                </c:pt>
                <c:pt idx="17" formatCode="General">
                  <c:v>0</c:v>
                </c:pt>
                <c:pt idx="18" formatCode="General">
                  <c:v>0</c:v>
                </c:pt>
                <c:pt idx="19" formatCode="General">
                  <c:v>2</c:v>
                </c:pt>
                <c:pt idx="20" formatCode="General">
                  <c:v>0</c:v>
                </c:pt>
                <c:pt idx="21" formatCode="General">
                  <c:v>1</c:v>
                </c:pt>
                <c:pt idx="22" formatCode="General">
                  <c:v>0</c:v>
                </c:pt>
                <c:pt idx="23" formatCode="General">
                  <c:v>0</c:v>
                </c:pt>
              </c:numCache>
            </c:numRef>
          </c:val>
          <c:extLst xmlns:c16r2="http://schemas.microsoft.com/office/drawing/2015/06/chart">
            <c:ext xmlns:c16="http://schemas.microsoft.com/office/drawing/2014/chart" uri="{C3380CC4-5D6E-409C-BE32-E72D297353CC}">
              <c16:uniqueId val="{00000002-168D-4DFC-83C8-88E6EE331537}"/>
            </c:ext>
          </c:extLst>
        </c:ser>
        <c:dLbls>
          <c:showLegendKey val="0"/>
          <c:showVal val="0"/>
          <c:showCatName val="0"/>
          <c:showSerName val="0"/>
          <c:showPercent val="0"/>
          <c:showBubbleSize val="0"/>
        </c:dLbls>
        <c:gapWidth val="0"/>
        <c:overlap val="75"/>
        <c:axId val="220381288"/>
        <c:axId val="22038168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Hists!$C$149</c15:sqref>
                        </c15:formulaRef>
                      </c:ext>
                    </c:extLst>
                    <c:strCache>
                      <c:ptCount val="1"/>
                      <c:pt idx="0">
                        <c:v>Wearable</c:v>
                      </c:pt>
                    </c:strCache>
                  </c:strRef>
                </c:tx>
                <c:invertIfNegative val="0"/>
                <c:cat>
                  <c:strRef>
                    <c:extLst xmlns:c16r2="http://schemas.microsoft.com/office/drawing/2015/06/chart">
                      <c:ext uri="{02D57815-91ED-43cb-92C2-25804820EDAC}">
                        <c15:formulaRef>
                          <c15:sqref>Hists!$A$151:$B$174</c15:sqref>
                        </c15:formulaRef>
                      </c:ext>
                    </c:extLst>
                    <c:strCache>
                      <c:ptCount val="24"/>
                      <c:pt idx="0">
                        <c:v>temperature</c:v>
                      </c:pt>
                      <c:pt idx="1">
                        <c:v>humidity</c:v>
                      </c:pt>
                      <c:pt idx="2">
                        <c:v>2-axis accelerometer</c:v>
                      </c:pt>
                      <c:pt idx="3">
                        <c:v>3-axis accelerometer</c:v>
                      </c:pt>
                      <c:pt idx="4">
                        <c:v>all accelerometers</c:v>
                      </c:pt>
                      <c:pt idx="5">
                        <c:v>2-axis gyroscope</c:v>
                      </c:pt>
                      <c:pt idx="6">
                        <c:v>3-axis gyroscope</c:v>
                      </c:pt>
                      <c:pt idx="7">
                        <c:v>all gyroscopes</c:v>
                      </c:pt>
                      <c:pt idx="8">
                        <c:v>2-axis magnetometer</c:v>
                      </c:pt>
                      <c:pt idx="9">
                        <c:v>3-axis magnetometer</c:v>
                      </c:pt>
                      <c:pt idx="10">
                        <c:v>all magnetometers</c:v>
                      </c:pt>
                      <c:pt idx="11">
                        <c:v>altimeter</c:v>
                      </c:pt>
                      <c:pt idx="12">
                        <c:v>heartrate</c:v>
                      </c:pt>
                      <c:pt idx="13">
                        <c:v>light</c:v>
                      </c:pt>
                      <c:pt idx="14">
                        <c:v>microphone</c:v>
                      </c:pt>
                      <c:pt idx="15">
                        <c:v>battery monitor</c:v>
                      </c:pt>
                      <c:pt idx="16">
                        <c:v>infrared proximity</c:v>
                      </c:pt>
                      <c:pt idx="17">
                        <c:v>gesture</c:v>
                      </c:pt>
                      <c:pt idx="18">
                        <c:v>gas</c:v>
                      </c:pt>
                      <c:pt idx="19">
                        <c:v>UV</c:v>
                      </c:pt>
                      <c:pt idx="20">
                        <c:v>float level</c:v>
                      </c:pt>
                      <c:pt idx="21">
                        <c:v>capacitive</c:v>
                      </c:pt>
                      <c:pt idx="22">
                        <c:v>GSR</c:v>
                      </c:pt>
                      <c:pt idx="23">
                        <c:v>loadcell</c:v>
                      </c:pt>
                    </c:strCache>
                  </c:strRef>
                </c:cat>
                <c:val>
                  <c:numRef>
                    <c:extLst xmlns:c16r2="http://schemas.microsoft.com/office/drawing/2015/06/chart">
                      <c:ext uri="{02D57815-91ED-43cb-92C2-25804820EDAC}">
                        <c15:formulaRef>
                          <c15:sqref>Hists!$C$151:$C$174</c15:sqref>
                        </c15:formulaRef>
                      </c:ext>
                    </c:extLst>
                    <c:numCache>
                      <c:formatCode>General</c:formatCode>
                      <c:ptCount val="24"/>
                      <c:pt idx="0">
                        <c:v>1</c:v>
                      </c:pt>
                      <c:pt idx="1">
                        <c:v>0</c:v>
                      </c:pt>
                      <c:pt idx="2">
                        <c:v>0</c:v>
                      </c:pt>
                      <c:pt idx="3">
                        <c:v>9</c:v>
                      </c:pt>
                      <c:pt idx="4">
                        <c:v>9</c:v>
                      </c:pt>
                      <c:pt idx="5">
                        <c:v>0</c:v>
                      </c:pt>
                      <c:pt idx="6">
                        <c:v>1</c:v>
                      </c:pt>
                      <c:pt idx="7">
                        <c:v>1</c:v>
                      </c:pt>
                      <c:pt idx="8">
                        <c:v>1</c:v>
                      </c:pt>
                      <c:pt idx="9">
                        <c:v>1</c:v>
                      </c:pt>
                      <c:pt idx="10">
                        <c:v>2</c:v>
                      </c:pt>
                      <c:pt idx="11">
                        <c:v>4</c:v>
                      </c:pt>
                      <c:pt idx="12">
                        <c:v>3</c:v>
                      </c:pt>
                      <c:pt idx="13">
                        <c:v>0</c:v>
                      </c:pt>
                      <c:pt idx="14">
                        <c:v>1</c:v>
                      </c:pt>
                      <c:pt idx="15">
                        <c:v>0</c:v>
                      </c:pt>
                      <c:pt idx="16">
                        <c:v>0</c:v>
                      </c:pt>
                      <c:pt idx="17">
                        <c:v>0</c:v>
                      </c:pt>
                      <c:pt idx="18">
                        <c:v>0</c:v>
                      </c:pt>
                      <c:pt idx="19">
                        <c:v>0</c:v>
                      </c:pt>
                      <c:pt idx="20">
                        <c:v>0</c:v>
                      </c:pt>
                      <c:pt idx="21">
                        <c:v>1</c:v>
                      </c:pt>
                      <c:pt idx="22">
                        <c:v>2</c:v>
                      </c:pt>
                      <c:pt idx="23">
                        <c:v>1</c:v>
                      </c:pt>
                    </c:numCache>
                  </c:numRef>
                </c:val>
                <c:extLst xmlns:c16r2="http://schemas.microsoft.com/office/drawing/2015/06/chart">
                  <c:ext xmlns:c16="http://schemas.microsoft.com/office/drawing/2014/chart" uri="{C3380CC4-5D6E-409C-BE32-E72D297353CC}">
                    <c16:uniqueId val="{00000003-168D-4DFC-83C8-88E6EE331537}"/>
                  </c:ext>
                </c:extLst>
              </c15:ser>
            </c15:filteredBarSeries>
          </c:ext>
        </c:extLst>
      </c:barChart>
      <c:catAx>
        <c:axId val="220381288"/>
        <c:scaling>
          <c:orientation val="minMax"/>
        </c:scaling>
        <c:delete val="0"/>
        <c:axPos val="b"/>
        <c:numFmt formatCode="#,##0" sourceLinked="0"/>
        <c:majorTickMark val="out"/>
        <c:minorTickMark val="none"/>
        <c:tickLblPos val="nextTo"/>
        <c:spPr>
          <a:ln/>
        </c:spPr>
        <c:txPr>
          <a:bodyPr rot="5400000" vert="horz"/>
          <a:lstStyle/>
          <a:p>
            <a:pPr>
              <a:defRPr sz="1200">
                <a:latin typeface="+mn-lt"/>
              </a:defRPr>
            </a:pPr>
            <a:endParaRPr lang="en-US"/>
          </a:p>
        </c:txPr>
        <c:crossAx val="220381680"/>
        <c:crosses val="autoZero"/>
        <c:auto val="1"/>
        <c:lblAlgn val="ctr"/>
        <c:lblOffset val="100"/>
        <c:tickLblSkip val="1"/>
        <c:noMultiLvlLbl val="0"/>
      </c:catAx>
      <c:valAx>
        <c:axId val="220381680"/>
        <c:scaling>
          <c:orientation val="minMax"/>
          <c:max val="28"/>
          <c:min val="0"/>
        </c:scaling>
        <c:delete val="0"/>
        <c:axPos val="l"/>
        <c:numFmt formatCode="0" sourceLinked="0"/>
        <c:majorTickMark val="out"/>
        <c:minorTickMark val="none"/>
        <c:tickLblPos val="nextTo"/>
        <c:txPr>
          <a:bodyPr/>
          <a:lstStyle/>
          <a:p>
            <a:pPr>
              <a:defRPr sz="1200">
                <a:latin typeface="+mn-lt"/>
              </a:defRPr>
            </a:pPr>
            <a:endParaRPr lang="en-US"/>
          </a:p>
        </c:txPr>
        <c:crossAx val="220381288"/>
        <c:crosses val="autoZero"/>
        <c:crossBetween val="between"/>
      </c:valAx>
      <c:spPr>
        <a:noFill/>
        <a:ln>
          <a:solidFill>
            <a:schemeClr val="bg1">
              <a:lumMod val="50000"/>
            </a:schemeClr>
          </a:solidFill>
        </a:ln>
      </c:spPr>
    </c:plotArea>
    <c:legend>
      <c:legendPos val="r"/>
      <c:layout>
        <c:manualLayout>
          <c:xMode val="edge"/>
          <c:yMode val="edge"/>
          <c:x val="0.462055831794218"/>
          <c:y val="4.6803054824585077E-2"/>
          <c:w val="0.51062176929406189"/>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2"/>
          <c:order val="0"/>
          <c:tx>
            <c:strRef>
              <c:f>Hists!$K$198</c:f>
              <c:strCache>
                <c:ptCount val="1"/>
                <c:pt idx="0">
                  <c:v>Resolution
(bits)</c:v>
                </c:pt>
              </c:strCache>
            </c:strRef>
          </c:tx>
          <c:spPr>
            <a:pattFill prst="ltDnDiag">
              <a:fgClr>
                <a:srgbClr val="00B050"/>
              </a:fgClr>
              <a:bgClr>
                <a:schemeClr val="bg1"/>
              </a:bgClr>
            </a:pattFill>
            <a:ln w="25400">
              <a:solidFill>
                <a:srgbClr val="00B050"/>
              </a:solidFill>
            </a:ln>
          </c:spPr>
          <c:invertIfNegative val="0"/>
          <c:cat>
            <c:numRef>
              <c:f>Hists!$B$200:$B$228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Hists!$K$200:$K$228</c:f>
              <c:numCache>
                <c:formatCode>0.00</c:formatCode>
                <c:ptCount val="29"/>
                <c:pt idx="0">
                  <c:v>0</c:v>
                </c:pt>
                <c:pt idx="1">
                  <c:v>0</c:v>
                </c:pt>
                <c:pt idx="2">
                  <c:v>0</c:v>
                </c:pt>
                <c:pt idx="3">
                  <c:v>0</c:v>
                </c:pt>
                <c:pt idx="4">
                  <c:v>24.999999999583334</c:v>
                </c:pt>
                <c:pt idx="5">
                  <c:v>0</c:v>
                </c:pt>
                <c:pt idx="6">
                  <c:v>0</c:v>
                </c:pt>
                <c:pt idx="7">
                  <c:v>8.3333333331944441</c:v>
                </c:pt>
                <c:pt idx="8">
                  <c:v>0</c:v>
                </c:pt>
                <c:pt idx="9">
                  <c:v>0</c:v>
                </c:pt>
                <c:pt idx="10">
                  <c:v>0</c:v>
                </c:pt>
                <c:pt idx="11">
                  <c:v>8.3333333331944441</c:v>
                </c:pt>
                <c:pt idx="12">
                  <c:v>8.3333333331944441</c:v>
                </c:pt>
                <c:pt idx="13">
                  <c:v>0</c:v>
                </c:pt>
                <c:pt idx="14">
                  <c:v>0</c:v>
                </c:pt>
                <c:pt idx="15">
                  <c:v>0</c:v>
                </c:pt>
                <c:pt idx="16">
                  <c:v>8.3333333331944441</c:v>
                </c:pt>
                <c:pt idx="17">
                  <c:v>24.999999999583331</c:v>
                </c:pt>
                <c:pt idx="18">
                  <c:v>0</c:v>
                </c:pt>
                <c:pt idx="19">
                  <c:v>0</c:v>
                </c:pt>
                <c:pt idx="20">
                  <c:v>8.3333333331944441</c:v>
                </c:pt>
                <c:pt idx="21">
                  <c:v>0</c:v>
                </c:pt>
                <c:pt idx="22">
                  <c:v>8.3333333331944441</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DF79-490E-977C-CDE5BF698B51}"/>
            </c:ext>
          </c:extLst>
        </c:ser>
        <c:ser>
          <c:idx val="3"/>
          <c:order val="1"/>
          <c:tx>
            <c:strRef>
              <c:f>Hists!$L$198</c:f>
              <c:strCache>
                <c:ptCount val="1"/>
                <c:pt idx="0">
                  <c:v>Accuracy
(bits)</c:v>
                </c:pt>
              </c:strCache>
            </c:strRef>
          </c:tx>
          <c:spPr>
            <a:pattFill prst="smGrid">
              <a:fgClr>
                <a:schemeClr val="tx2"/>
              </a:fgClr>
              <a:bgClr>
                <a:schemeClr val="bg1"/>
              </a:bgClr>
            </a:pattFill>
            <a:ln w="25400">
              <a:solidFill>
                <a:schemeClr val="tx2"/>
              </a:solidFill>
            </a:ln>
          </c:spPr>
          <c:invertIfNegative val="0"/>
          <c:cat>
            <c:numRef>
              <c:f>Hists!$B$200:$B$228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Hists!$L$200:$L$228</c:f>
              <c:numCache>
                <c:formatCode>0.00</c:formatCode>
                <c:ptCount val="29"/>
                <c:pt idx="0">
                  <c:v>5.555555555493827</c:v>
                </c:pt>
                <c:pt idx="1">
                  <c:v>0</c:v>
                </c:pt>
                <c:pt idx="2">
                  <c:v>16.666666666481483</c:v>
                </c:pt>
                <c:pt idx="3">
                  <c:v>0</c:v>
                </c:pt>
                <c:pt idx="4">
                  <c:v>0</c:v>
                </c:pt>
                <c:pt idx="5">
                  <c:v>0</c:v>
                </c:pt>
                <c:pt idx="6">
                  <c:v>7.1428571427551022</c:v>
                </c:pt>
                <c:pt idx="7">
                  <c:v>7.1428571427551022</c:v>
                </c:pt>
                <c:pt idx="8">
                  <c:v>11.111111110987654</c:v>
                </c:pt>
                <c:pt idx="9">
                  <c:v>26.984126983759133</c:v>
                </c:pt>
                <c:pt idx="10">
                  <c:v>12.69841269824893</c:v>
                </c:pt>
                <c:pt idx="11">
                  <c:v>5.555555555493827</c:v>
                </c:pt>
                <c:pt idx="12">
                  <c:v>7.1428571427551022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DF79-490E-977C-CDE5BF698B51}"/>
            </c:ext>
          </c:extLst>
        </c:ser>
        <c:dLbls>
          <c:showLegendKey val="0"/>
          <c:showVal val="0"/>
          <c:showCatName val="0"/>
          <c:showSerName val="0"/>
          <c:showPercent val="0"/>
          <c:showBubbleSize val="0"/>
        </c:dLbls>
        <c:gapWidth val="0"/>
        <c:overlap val="75"/>
        <c:axId val="220354184"/>
        <c:axId val="220353792"/>
        <c:extLst xmlns:c16r2="http://schemas.microsoft.com/office/drawing/2015/06/chart"/>
      </c:barChart>
      <c:catAx>
        <c:axId val="220354184"/>
        <c:scaling>
          <c:orientation val="minMax"/>
        </c:scaling>
        <c:delete val="0"/>
        <c:axPos val="b"/>
        <c:title>
          <c:tx>
            <c:rich>
              <a:bodyPr/>
              <a:lstStyle/>
              <a:p>
                <a:pPr>
                  <a:defRPr/>
                </a:pPr>
                <a:r>
                  <a:rPr lang="en-US" sz="1400">
                    <a:latin typeface="+mn-lt"/>
                  </a:rPr>
                  <a:t>Bits</a:t>
                </a:r>
              </a:p>
            </c:rich>
          </c:tx>
          <c:layout>
            <c:manualLayout>
              <c:xMode val="edge"/>
              <c:yMode val="edge"/>
              <c:x val="0.46823560679445531"/>
              <c:y val="0.91613763632771716"/>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353792"/>
        <c:crosses val="autoZero"/>
        <c:auto val="1"/>
        <c:lblAlgn val="ctr"/>
        <c:lblOffset val="100"/>
        <c:tickLblSkip val="2"/>
        <c:noMultiLvlLbl val="0"/>
      </c:catAx>
      <c:valAx>
        <c:axId val="220353792"/>
        <c:scaling>
          <c:orientation val="minMax"/>
          <c:max val="30"/>
        </c:scaling>
        <c:delete val="0"/>
        <c:axPos val="l"/>
        <c:numFmt formatCode="0" sourceLinked="0"/>
        <c:majorTickMark val="out"/>
        <c:minorTickMark val="none"/>
        <c:tickLblPos val="nextTo"/>
        <c:txPr>
          <a:bodyPr/>
          <a:lstStyle/>
          <a:p>
            <a:pPr>
              <a:defRPr sz="1200">
                <a:latin typeface="+mn-lt"/>
              </a:defRPr>
            </a:pPr>
            <a:endParaRPr lang="en-US"/>
          </a:p>
        </c:txPr>
        <c:crossAx val="220354184"/>
        <c:crosses val="autoZero"/>
        <c:crossBetween val="between"/>
      </c:valAx>
      <c:spPr>
        <a:noFill/>
        <a:ln>
          <a:solidFill>
            <a:schemeClr val="bg1">
              <a:lumMod val="50000"/>
            </a:schemeClr>
          </a:solidFill>
        </a:ln>
      </c:spPr>
    </c:plotArea>
    <c:legend>
      <c:legendPos val="r"/>
      <c:layout>
        <c:manualLayout>
          <c:xMode val="edge"/>
          <c:yMode val="edge"/>
          <c:x val="0.69469247084923036"/>
          <c:y val="6.335280568084499E-2"/>
          <c:w val="0.22934292389118333"/>
          <c:h val="0.51193569590403076"/>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2"/>
          <c:order val="0"/>
          <c:tx>
            <c:strRef>
              <c:f>Hists!$K$248</c:f>
              <c:strCache>
                <c:ptCount val="1"/>
                <c:pt idx="0">
                  <c:v>Resolution
(bits)
</c:v>
                </c:pt>
              </c:strCache>
            </c:strRef>
          </c:tx>
          <c:spPr>
            <a:pattFill prst="ltDnDiag">
              <a:fgClr>
                <a:srgbClr val="00B050"/>
              </a:fgClr>
              <a:bgClr>
                <a:schemeClr val="bg1"/>
              </a:bgClr>
            </a:pattFill>
            <a:ln w="25400">
              <a:solidFill>
                <a:srgbClr val="00B050"/>
              </a:solidFill>
            </a:ln>
          </c:spPr>
          <c:invertIfNegative val="0"/>
          <c:cat>
            <c:numRef>
              <c:f>Hists!$B$250:$B$278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Hists!$K$250:$K$278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16.666666666111112</c:v>
                </c:pt>
                <c:pt idx="17">
                  <c:v>0</c:v>
                </c:pt>
                <c:pt idx="18">
                  <c:v>33.333333332222224</c:v>
                </c:pt>
                <c:pt idx="19">
                  <c:v>49.999999997499998</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F2C8-42EC-AB8F-C45424531C32}"/>
            </c:ext>
          </c:extLst>
        </c:ser>
        <c:ser>
          <c:idx val="3"/>
          <c:order val="1"/>
          <c:tx>
            <c:strRef>
              <c:f>Hists!$L$248</c:f>
              <c:strCache>
                <c:ptCount val="1"/>
                <c:pt idx="0">
                  <c:v>Accuracy
(bits)
</c:v>
                </c:pt>
              </c:strCache>
            </c:strRef>
          </c:tx>
          <c:spPr>
            <a:pattFill prst="smGrid">
              <a:fgClr>
                <a:schemeClr val="tx2"/>
              </a:fgClr>
              <a:bgClr>
                <a:schemeClr val="bg1"/>
              </a:bgClr>
            </a:pattFill>
            <a:ln w="25400">
              <a:solidFill>
                <a:schemeClr val="tx2"/>
              </a:solidFill>
            </a:ln>
          </c:spPr>
          <c:invertIfNegative val="0"/>
          <c:cat>
            <c:numRef>
              <c:f>Hists!$B$250:$B$278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Hists!$L$250:$L$278</c:f>
              <c:numCache>
                <c:formatCode>0.00</c:formatCode>
                <c:ptCount val="29"/>
                <c:pt idx="0">
                  <c:v>0</c:v>
                </c:pt>
                <c:pt idx="1">
                  <c:v>9.9999999998</c:v>
                </c:pt>
                <c:pt idx="2">
                  <c:v>36.666666665711112</c:v>
                </c:pt>
                <c:pt idx="3">
                  <c:v>43.333333332022221</c:v>
                </c:pt>
                <c:pt idx="4">
                  <c:v>9.9999999998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F2C8-42EC-AB8F-C45424531C32}"/>
            </c:ext>
          </c:extLst>
        </c:ser>
        <c:dLbls>
          <c:showLegendKey val="0"/>
          <c:showVal val="0"/>
          <c:showCatName val="0"/>
          <c:showSerName val="0"/>
          <c:showPercent val="0"/>
          <c:showBubbleSize val="0"/>
        </c:dLbls>
        <c:gapWidth val="0"/>
        <c:overlap val="75"/>
        <c:axId val="220382072"/>
        <c:axId val="220382464"/>
        <c:extLst xmlns:c16r2="http://schemas.microsoft.com/office/drawing/2015/06/chart"/>
      </c:barChart>
      <c:catAx>
        <c:axId val="220382072"/>
        <c:scaling>
          <c:orientation val="minMax"/>
        </c:scaling>
        <c:delete val="0"/>
        <c:axPos val="b"/>
        <c:title>
          <c:tx>
            <c:rich>
              <a:bodyPr/>
              <a:lstStyle/>
              <a:p>
                <a:pPr>
                  <a:defRPr/>
                </a:pPr>
                <a:r>
                  <a:rPr lang="en-US" sz="1400">
                    <a:latin typeface="+mn-lt"/>
                  </a:rPr>
                  <a:t>Bits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382464"/>
        <c:crosses val="autoZero"/>
        <c:auto val="1"/>
        <c:lblAlgn val="ctr"/>
        <c:lblOffset val="100"/>
        <c:tickLblSkip val="2"/>
        <c:noMultiLvlLbl val="0"/>
      </c:catAx>
      <c:valAx>
        <c:axId val="220382464"/>
        <c:scaling>
          <c:orientation val="minMax"/>
          <c:max val="55"/>
          <c:min val="0"/>
        </c:scaling>
        <c:delete val="0"/>
        <c:axPos val="l"/>
        <c:numFmt formatCode="0" sourceLinked="0"/>
        <c:majorTickMark val="out"/>
        <c:minorTickMark val="none"/>
        <c:tickLblPos val="nextTo"/>
        <c:txPr>
          <a:bodyPr/>
          <a:lstStyle/>
          <a:p>
            <a:pPr>
              <a:defRPr sz="1200">
                <a:latin typeface="+mn-lt"/>
              </a:defRPr>
            </a:pPr>
            <a:endParaRPr lang="en-US"/>
          </a:p>
        </c:txPr>
        <c:crossAx val="220382072"/>
        <c:crosses val="autoZero"/>
        <c:crossBetween val="between"/>
      </c:valAx>
      <c:spPr>
        <a:noFill/>
        <a:ln>
          <a:solidFill>
            <a:schemeClr val="bg1">
              <a:lumMod val="50000"/>
            </a:schemeClr>
          </a:solidFill>
        </a:ln>
      </c:spPr>
    </c:plotArea>
    <c:legend>
      <c:legendPos val="r"/>
      <c:layout>
        <c:manualLayout>
          <c:xMode val="edge"/>
          <c:yMode val="edge"/>
          <c:x val="0.25691261371843438"/>
          <c:y val="4.0183023038947656E-2"/>
          <c:w val="0.35412075756614447"/>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974188214834874E-2"/>
          <c:y val="4.7320950402967722E-2"/>
          <c:w val="0.91111842784407326"/>
          <c:h val="0.87956196036939793"/>
        </c:manualLayout>
      </c:layout>
      <c:barChart>
        <c:barDir val="col"/>
        <c:grouping val="clustered"/>
        <c:varyColors val="0"/>
        <c:ser>
          <c:idx val="0"/>
          <c:order val="0"/>
          <c:tx>
            <c:v>Resolution</c:v>
          </c:tx>
          <c:invertIfNegative val="0"/>
          <c:cat>
            <c:numRef>
              <c:f>Hists!$B$301:$B$328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Hists!$K$301:$K$328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33.333333332222224</c:v>
                </c:pt>
                <c:pt idx="14">
                  <c:v>33.333333332222224</c:v>
                </c:pt>
                <c:pt idx="15">
                  <c:v>0</c:v>
                </c:pt>
                <c:pt idx="16">
                  <c:v>0</c:v>
                </c:pt>
                <c:pt idx="17">
                  <c:v>0</c:v>
                </c:pt>
                <c:pt idx="18">
                  <c:v>0</c:v>
                </c:pt>
                <c:pt idx="19">
                  <c:v>0</c:v>
                </c:pt>
                <c:pt idx="20">
                  <c:v>33.333333332222224</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DF0F-4549-89A5-F79F2ACE0E65}"/>
            </c:ext>
          </c:extLst>
        </c:ser>
        <c:ser>
          <c:idx val="1"/>
          <c:order val="1"/>
          <c:tx>
            <c:v>Accuracy</c:v>
          </c:tx>
          <c:invertIfNegative val="0"/>
          <c:cat>
            <c:numRef>
              <c:f>Hists!$B$301:$B$328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Hists!$L$301:$L$328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24.999999998749999</c:v>
                </c:pt>
                <c:pt idx="15">
                  <c:v>0</c:v>
                </c:pt>
                <c:pt idx="16">
                  <c:v>0</c:v>
                </c:pt>
                <c:pt idx="17">
                  <c:v>24.999999998749999</c:v>
                </c:pt>
                <c:pt idx="18">
                  <c:v>0</c:v>
                </c:pt>
                <c:pt idx="19">
                  <c:v>0</c:v>
                </c:pt>
                <c:pt idx="20">
                  <c:v>0</c:v>
                </c:pt>
                <c:pt idx="21">
                  <c:v>0</c:v>
                </c:pt>
                <c:pt idx="22">
                  <c:v>0</c:v>
                </c:pt>
                <c:pt idx="23">
                  <c:v>0</c:v>
                </c:pt>
                <c:pt idx="24">
                  <c:v>0</c:v>
                </c:pt>
                <c:pt idx="25">
                  <c:v>0</c:v>
                </c:pt>
                <c:pt idx="26">
                  <c:v>49.999999995000003</c:v>
                </c:pt>
                <c:pt idx="27">
                  <c:v>0</c:v>
                </c:pt>
              </c:numCache>
            </c:numRef>
          </c:val>
          <c:extLst xmlns:c16r2="http://schemas.microsoft.com/office/drawing/2015/06/chart">
            <c:ext xmlns:c16="http://schemas.microsoft.com/office/drawing/2014/chart" uri="{C3380CC4-5D6E-409C-BE32-E72D297353CC}">
              <c16:uniqueId val="{00000001-DF0F-4549-89A5-F79F2ACE0E65}"/>
            </c:ext>
          </c:extLst>
        </c:ser>
        <c:dLbls>
          <c:showLegendKey val="0"/>
          <c:showVal val="0"/>
          <c:showCatName val="0"/>
          <c:showSerName val="0"/>
          <c:showPercent val="0"/>
          <c:showBubbleSize val="0"/>
        </c:dLbls>
        <c:gapWidth val="150"/>
        <c:axId val="215762368"/>
        <c:axId val="215762760"/>
      </c:barChart>
      <c:catAx>
        <c:axId val="215762368"/>
        <c:scaling>
          <c:orientation val="minMax"/>
        </c:scaling>
        <c:delete val="0"/>
        <c:axPos val="b"/>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Bits</a:t>
                </a:r>
              </a:p>
            </c:rich>
          </c:tx>
          <c:layout>
            <c:manualLayout>
              <c:xMode val="edge"/>
              <c:yMode val="edge"/>
              <c:x val="0.49747332786300907"/>
              <c:y val="0.96191132691387404"/>
            </c:manualLayout>
          </c:layout>
          <c:overlay val="0"/>
        </c:title>
        <c:numFmt formatCode="General" sourceLinked="1"/>
        <c:majorTickMark val="out"/>
        <c:minorTickMark val="none"/>
        <c:tickLblPos val="nextTo"/>
        <c:txPr>
          <a:bodyPr rot="5400000" vert="horz"/>
          <a:lstStyle/>
          <a:p>
            <a:pPr>
              <a:defRPr/>
            </a:pPr>
            <a:endParaRPr lang="en-US"/>
          </a:p>
        </c:txPr>
        <c:crossAx val="215762760"/>
        <c:crosses val="autoZero"/>
        <c:auto val="1"/>
        <c:lblAlgn val="ctr"/>
        <c:lblOffset val="100"/>
        <c:noMultiLvlLbl val="0"/>
      </c:catAx>
      <c:valAx>
        <c:axId val="215762760"/>
        <c:scaling>
          <c:orientation val="minMax"/>
          <c:max val="55"/>
          <c:min val="0"/>
        </c:scaling>
        <c:delete val="0"/>
        <c:axPos val="l"/>
        <c:majorGridlines/>
        <c:minorGridlines/>
        <c:numFmt formatCode="0" sourceLinked="0"/>
        <c:majorTickMark val="out"/>
        <c:minorTickMark val="none"/>
        <c:tickLblPos val="nextTo"/>
        <c:crossAx val="215762368"/>
        <c:crosses val="autoZero"/>
        <c:crossBetween val="between"/>
      </c:valAx>
    </c:plotArea>
    <c:legend>
      <c:legendPos val="r"/>
      <c:layout>
        <c:manualLayout>
          <c:xMode val="edge"/>
          <c:yMode val="edge"/>
          <c:x val="0.41043205349155187"/>
          <c:y val="0.22273288351994414"/>
          <c:w val="0.1950372611247557"/>
          <c:h val="0.13038502506154059"/>
        </c:manualLayout>
      </c:layout>
      <c:overlay val="0"/>
      <c:spPr>
        <a:solidFill>
          <a:schemeClr val="bg1"/>
        </a:solidFill>
      </c:spPr>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0"/>
          <c:order val="0"/>
          <c:tx>
            <c:strRef>
              <c:f>Hists!$K$298</c:f>
              <c:strCache>
                <c:ptCount val="1"/>
                <c:pt idx="0">
                  <c:v>Resolution
(bits)
</c:v>
                </c:pt>
              </c:strCache>
            </c:strRef>
          </c:tx>
          <c:spPr>
            <a:pattFill prst="ltDnDiag">
              <a:fgClr>
                <a:srgbClr val="00B050"/>
              </a:fgClr>
              <a:bgClr>
                <a:schemeClr val="bg1"/>
              </a:bgClr>
            </a:pattFill>
            <a:ln w="25400">
              <a:solidFill>
                <a:srgbClr val="00B050"/>
              </a:solidFill>
            </a:ln>
          </c:spPr>
          <c:invertIfNegative val="0"/>
          <c:cat>
            <c:numRef>
              <c:f>Hists!$B$300:$B$328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Hists!$K$300:$K$328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33.333333332222224</c:v>
                </c:pt>
                <c:pt idx="15">
                  <c:v>33.333333332222224</c:v>
                </c:pt>
                <c:pt idx="16">
                  <c:v>0</c:v>
                </c:pt>
                <c:pt idx="17">
                  <c:v>0</c:v>
                </c:pt>
                <c:pt idx="18">
                  <c:v>0</c:v>
                </c:pt>
                <c:pt idx="19">
                  <c:v>0</c:v>
                </c:pt>
                <c:pt idx="20">
                  <c:v>0</c:v>
                </c:pt>
                <c:pt idx="21">
                  <c:v>33.333333332222224</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4-082B-4A07-BBBC-A5F6CCB1B325}"/>
            </c:ext>
          </c:extLst>
        </c:ser>
        <c:ser>
          <c:idx val="1"/>
          <c:order val="1"/>
          <c:tx>
            <c:strRef>
              <c:f>Hists!$L$298</c:f>
              <c:strCache>
                <c:ptCount val="1"/>
                <c:pt idx="0">
                  <c:v>Accuracy
(bits)
</c:v>
                </c:pt>
              </c:strCache>
            </c:strRef>
          </c:tx>
          <c:spPr>
            <a:pattFill prst="smGrid">
              <a:fgClr>
                <a:schemeClr val="tx2"/>
              </a:fgClr>
              <a:bgClr>
                <a:schemeClr val="bg1"/>
              </a:bgClr>
            </a:pattFill>
            <a:ln w="25400">
              <a:solidFill>
                <a:schemeClr val="tx2"/>
              </a:solidFill>
            </a:ln>
          </c:spPr>
          <c:invertIfNegative val="0"/>
          <c:cat>
            <c:numRef>
              <c:f>Hists!$B$300:$B$328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Hists!$L$300:$L$328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24.999999998749999</c:v>
                </c:pt>
                <c:pt idx="16">
                  <c:v>0</c:v>
                </c:pt>
                <c:pt idx="17">
                  <c:v>0</c:v>
                </c:pt>
                <c:pt idx="18">
                  <c:v>24.999999998749999</c:v>
                </c:pt>
                <c:pt idx="19">
                  <c:v>0</c:v>
                </c:pt>
                <c:pt idx="20">
                  <c:v>0</c:v>
                </c:pt>
                <c:pt idx="21">
                  <c:v>0</c:v>
                </c:pt>
                <c:pt idx="22">
                  <c:v>0</c:v>
                </c:pt>
                <c:pt idx="23">
                  <c:v>0</c:v>
                </c:pt>
                <c:pt idx="24">
                  <c:v>0</c:v>
                </c:pt>
                <c:pt idx="25">
                  <c:v>0</c:v>
                </c:pt>
                <c:pt idx="26">
                  <c:v>0</c:v>
                </c:pt>
                <c:pt idx="27">
                  <c:v>49.999999995000003</c:v>
                </c:pt>
                <c:pt idx="28">
                  <c:v>0</c:v>
                </c:pt>
              </c:numCache>
            </c:numRef>
          </c:val>
          <c:extLst xmlns:c16r2="http://schemas.microsoft.com/office/drawing/2015/06/chart">
            <c:ext xmlns:c16="http://schemas.microsoft.com/office/drawing/2014/chart" uri="{C3380CC4-5D6E-409C-BE32-E72D297353CC}">
              <c16:uniqueId val="{00000005-082B-4A07-BBBC-A5F6CCB1B325}"/>
            </c:ext>
          </c:extLst>
        </c:ser>
        <c:ser>
          <c:idx val="2"/>
          <c:order val="2"/>
          <c:tx>
            <c:strRef>
              <c:f>Hists!$K$248</c:f>
              <c:strCache>
                <c:ptCount val="1"/>
                <c:pt idx="0">
                  <c:v>Resolution
(bits)
</c:v>
                </c:pt>
              </c:strCache>
            </c:strRef>
          </c:tx>
          <c:spPr>
            <a:pattFill prst="ltDnDiag">
              <a:fgClr>
                <a:srgbClr val="00B050"/>
              </a:fgClr>
              <a:bgClr>
                <a:schemeClr val="bg1"/>
              </a:bgClr>
            </a:pattFill>
            <a:ln w="25400">
              <a:solidFill>
                <a:srgbClr val="00B050"/>
              </a:solidFill>
            </a:ln>
          </c:spPr>
          <c:invertIfNegative val="0"/>
          <c:cat>
            <c:numRef>
              <c:f>Hists!$B$250:$B$278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Hists!$K$250:$K$278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16.666666666111112</c:v>
                </c:pt>
                <c:pt idx="17">
                  <c:v>0</c:v>
                </c:pt>
                <c:pt idx="18">
                  <c:v>33.333333332222224</c:v>
                </c:pt>
                <c:pt idx="19">
                  <c:v>49.999999997499998</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082B-4A07-BBBC-A5F6CCB1B325}"/>
            </c:ext>
          </c:extLst>
        </c:ser>
        <c:ser>
          <c:idx val="3"/>
          <c:order val="3"/>
          <c:tx>
            <c:strRef>
              <c:f>Hists!$L$248</c:f>
              <c:strCache>
                <c:ptCount val="1"/>
                <c:pt idx="0">
                  <c:v>Accuracy
(bits)
</c:v>
                </c:pt>
              </c:strCache>
            </c:strRef>
          </c:tx>
          <c:spPr>
            <a:pattFill prst="smGrid">
              <a:fgClr>
                <a:schemeClr val="tx2"/>
              </a:fgClr>
              <a:bgClr>
                <a:schemeClr val="bg1"/>
              </a:bgClr>
            </a:pattFill>
            <a:ln w="25400">
              <a:solidFill>
                <a:schemeClr val="tx2"/>
              </a:solidFill>
            </a:ln>
          </c:spPr>
          <c:invertIfNegative val="0"/>
          <c:cat>
            <c:numRef>
              <c:f>Hists!$B$250:$B$278</c:f>
              <c:numCache>
                <c:formatCode>General</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Hists!$L$250:$L$278</c:f>
              <c:numCache>
                <c:formatCode>0.00</c:formatCode>
                <c:ptCount val="29"/>
                <c:pt idx="0">
                  <c:v>0</c:v>
                </c:pt>
                <c:pt idx="1">
                  <c:v>9.9999999998</c:v>
                </c:pt>
                <c:pt idx="2">
                  <c:v>36.666666665711112</c:v>
                </c:pt>
                <c:pt idx="3">
                  <c:v>43.333333332022221</c:v>
                </c:pt>
                <c:pt idx="4">
                  <c:v>9.9999999998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082B-4A07-BBBC-A5F6CCB1B325}"/>
            </c:ext>
          </c:extLst>
        </c:ser>
        <c:dLbls>
          <c:showLegendKey val="0"/>
          <c:showVal val="0"/>
          <c:showCatName val="0"/>
          <c:showSerName val="0"/>
          <c:showPercent val="0"/>
          <c:showBubbleSize val="0"/>
        </c:dLbls>
        <c:gapWidth val="0"/>
        <c:overlap val="75"/>
        <c:axId val="220383248"/>
        <c:axId val="220383640"/>
        <c:extLst xmlns:c16r2="http://schemas.microsoft.com/office/drawing/2015/06/chart"/>
      </c:barChart>
      <c:catAx>
        <c:axId val="220383248"/>
        <c:scaling>
          <c:orientation val="minMax"/>
        </c:scaling>
        <c:delete val="0"/>
        <c:axPos val="b"/>
        <c:title>
          <c:tx>
            <c:rich>
              <a:bodyPr/>
              <a:lstStyle/>
              <a:p>
                <a:pPr>
                  <a:defRPr/>
                </a:pPr>
                <a:r>
                  <a:rPr lang="en-US" sz="1400">
                    <a:latin typeface="+mn-lt"/>
                  </a:rPr>
                  <a:t>Bits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383640"/>
        <c:crosses val="autoZero"/>
        <c:auto val="1"/>
        <c:lblAlgn val="ctr"/>
        <c:lblOffset val="100"/>
        <c:tickLblSkip val="2"/>
        <c:noMultiLvlLbl val="0"/>
      </c:catAx>
      <c:valAx>
        <c:axId val="220383640"/>
        <c:scaling>
          <c:orientation val="minMax"/>
          <c:max val="55"/>
          <c:min val="0"/>
        </c:scaling>
        <c:delete val="0"/>
        <c:axPos val="l"/>
        <c:numFmt formatCode="0" sourceLinked="0"/>
        <c:majorTickMark val="out"/>
        <c:minorTickMark val="none"/>
        <c:tickLblPos val="nextTo"/>
        <c:txPr>
          <a:bodyPr/>
          <a:lstStyle/>
          <a:p>
            <a:pPr>
              <a:defRPr sz="1200">
                <a:latin typeface="+mn-lt"/>
              </a:defRPr>
            </a:pPr>
            <a:endParaRPr lang="en-US"/>
          </a:p>
        </c:txPr>
        <c:crossAx val="220383248"/>
        <c:crosses val="autoZero"/>
        <c:crossBetween val="between"/>
      </c:valAx>
      <c:spPr>
        <a:noFill/>
        <a:ln>
          <a:solidFill>
            <a:schemeClr val="bg1">
              <a:lumMod val="50000"/>
            </a:schemeClr>
          </a:solidFill>
        </a:ln>
      </c:spPr>
    </c:plotArea>
    <c:legend>
      <c:legendPos val="r"/>
      <c:layout>
        <c:manualLayout>
          <c:xMode val="edge"/>
          <c:yMode val="edge"/>
          <c:x val="0.25691261371843438"/>
          <c:y val="4.0183023038947656E-2"/>
          <c:w val="0.35412075756614447"/>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0384816"/>
        <c:axId val="22038520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Hists!$C$49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Hists!$B$51:$B$79</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Hists!$D$51:$D$79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CBF7-4E60-AF98-07AA6215C37E}"/>
                  </c:ext>
                </c:extLst>
              </c15:ser>
            </c15:filteredBarSeries>
          </c:ext>
        </c:extLst>
      </c:barChart>
      <c:catAx>
        <c:axId val="220384816"/>
        <c:scaling>
          <c:orientation val="minMax"/>
        </c:scaling>
        <c:delete val="0"/>
        <c:axPos val="b"/>
        <c:title>
          <c:tx>
            <c:rich>
              <a:bodyPr/>
              <a:lstStyle/>
              <a:p>
                <a:pPr>
                  <a:defRPr/>
                </a:pPr>
                <a:r>
                  <a:rPr lang="en-US" sz="1400">
                    <a:latin typeface="+mn-lt"/>
                  </a:rPr>
                  <a:t>kl</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385208"/>
        <c:crosses val="autoZero"/>
        <c:auto val="1"/>
        <c:lblAlgn val="ctr"/>
        <c:lblOffset val="100"/>
        <c:tickLblSkip val="2"/>
        <c:noMultiLvlLbl val="0"/>
      </c:catAx>
      <c:valAx>
        <c:axId val="220385208"/>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0384816"/>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0385992"/>
        <c:axId val="22038638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Hists!$C$99</c15:sqref>
                        </c15:formulaRef>
                      </c:ext>
                    </c:extLst>
                    <c:strCache>
                      <c:ptCount val="1"/>
                      <c:pt idx="0">
                        <c:v>Wearable</c:v>
                      </c:pt>
                    </c:strCache>
                  </c:strRef>
                </c:tx>
                <c:invertIfNegative val="0"/>
                <c:cat>
                  <c:numRef>
                    <c:extLst xmlns:c16r2="http://schemas.microsoft.com/office/drawing/2015/06/chart">
                      <c:ext uri="{02D57815-91ED-43cb-92C2-25804820EDAC}">
                        <c15:formulaRef>
                          <c15:sqref>Hists!$A$101:$A$129</c15:sqref>
                        </c15:formulaRef>
                      </c:ext>
                    </c:extLst>
                    <c:numCache>
                      <c:formatCode>General</c:formatCode>
                      <c:ptCount val="29"/>
                      <c:pt idx="0">
                        <c:v>0</c:v>
                      </c:pt>
                      <c:pt idx="1">
                        <c:v>9.9999999989999999</c:v>
                      </c:pt>
                      <c:pt idx="2">
                        <c:v>19.999999998</c:v>
                      </c:pt>
                      <c:pt idx="3">
                        <c:v>29.999999997</c:v>
                      </c:pt>
                      <c:pt idx="4">
                        <c:v>39.999999996</c:v>
                      </c:pt>
                      <c:pt idx="5">
                        <c:v>49.999999994999996</c:v>
                      </c:pt>
                      <c:pt idx="6">
                        <c:v>59.999999994</c:v>
                      </c:pt>
                      <c:pt idx="7">
                        <c:v>69.999999993000003</c:v>
                      </c:pt>
                      <c:pt idx="8">
                        <c:v>79.999999991999999</c:v>
                      </c:pt>
                      <c:pt idx="9">
                        <c:v>89.999999990999996</c:v>
                      </c:pt>
                      <c:pt idx="10">
                        <c:v>99.999999989999992</c:v>
                      </c:pt>
                      <c:pt idx="11">
                        <c:v>199.99999997999998</c:v>
                      </c:pt>
                      <c:pt idx="12">
                        <c:v>299.99999996999998</c:v>
                      </c:pt>
                      <c:pt idx="13">
                        <c:v>399.99999995999997</c:v>
                      </c:pt>
                      <c:pt idx="14">
                        <c:v>499.99999995000002</c:v>
                      </c:pt>
                      <c:pt idx="15">
                        <c:v>599.99999993999995</c:v>
                      </c:pt>
                      <c:pt idx="16">
                        <c:v>699.99999992999994</c:v>
                      </c:pt>
                      <c:pt idx="17">
                        <c:v>799.99999991999994</c:v>
                      </c:pt>
                      <c:pt idx="18">
                        <c:v>899.99999991000004</c:v>
                      </c:pt>
                      <c:pt idx="19">
                        <c:v>999.99999990000003</c:v>
                      </c:pt>
                      <c:pt idx="20">
                        <c:v>1999.9999998000001</c:v>
                      </c:pt>
                      <c:pt idx="21">
                        <c:v>2999.9999997</c:v>
                      </c:pt>
                      <c:pt idx="22">
                        <c:v>3999.9999996000001</c:v>
                      </c:pt>
                      <c:pt idx="23">
                        <c:v>4999.9999994999998</c:v>
                      </c:pt>
                      <c:pt idx="24">
                        <c:v>5999.9999994</c:v>
                      </c:pt>
                      <c:pt idx="25">
                        <c:v>6999.9999993000001</c:v>
                      </c:pt>
                      <c:pt idx="26">
                        <c:v>7999.9999992000003</c:v>
                      </c:pt>
                      <c:pt idx="27">
                        <c:v>8999.9999991000004</c:v>
                      </c:pt>
                      <c:pt idx="28">
                        <c:v>9999.9999989999997</c:v>
                      </c:pt>
                    </c:numCache>
                  </c:numRef>
                </c:cat>
                <c:val>
                  <c:numRef>
                    <c:extLst xmlns:c16r2="http://schemas.microsoft.com/office/drawing/2015/06/chart">
                      <c:ext uri="{02D57815-91ED-43cb-92C2-25804820EDAC}">
                        <c15:formulaRef>
                          <c15:sqref>Hists!$D$101:$D$129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49.999999997499998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8F37-405B-8175-70319F0792F2}"/>
                  </c:ext>
                </c:extLst>
              </c15:ser>
            </c15:filteredBarSeries>
          </c:ext>
        </c:extLst>
      </c:barChart>
      <c:catAx>
        <c:axId val="220385992"/>
        <c:scaling>
          <c:orientation val="minMax"/>
        </c:scaling>
        <c:delete val="0"/>
        <c:axPos val="b"/>
        <c:title>
          <c:tx>
            <c:rich>
              <a:bodyPr/>
              <a:lstStyle/>
              <a:p>
                <a:pPr>
                  <a:defRPr/>
                </a:pPr>
                <a:r>
                  <a:rPr lang="en-US" sz="1400">
                    <a:latin typeface="+mn-lt"/>
                  </a:rPr>
                  <a:t>cost/node (US$)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386384"/>
        <c:crosses val="autoZero"/>
        <c:auto val="1"/>
        <c:lblAlgn val="ctr"/>
        <c:lblOffset val="100"/>
        <c:tickLblSkip val="2"/>
        <c:noMultiLvlLbl val="0"/>
      </c:catAx>
      <c:valAx>
        <c:axId val="220386384"/>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0385992"/>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0387168"/>
        <c:axId val="22038756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Hists!$C$49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Hists!$B$51:$B$79</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Hists!$D$51:$D$79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D359-45E6-8BE7-25C6EEEF375A}"/>
                  </c:ext>
                </c:extLst>
              </c15:ser>
            </c15:filteredBarSeries>
          </c:ext>
        </c:extLst>
      </c:barChart>
      <c:catAx>
        <c:axId val="220387168"/>
        <c:scaling>
          <c:orientation val="minMax"/>
        </c:scaling>
        <c:delete val="0"/>
        <c:axPos val="b"/>
        <c:title>
          <c:tx>
            <c:rich>
              <a:bodyPr/>
              <a:lstStyle/>
              <a:p>
                <a:pPr>
                  <a:defRPr/>
                </a:pPr>
                <a:r>
                  <a:rPr lang="en-US" sz="1400">
                    <a:latin typeface="+mn-lt"/>
                  </a:rPr>
                  <a:t>kl</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387560"/>
        <c:crosses val="autoZero"/>
        <c:auto val="1"/>
        <c:lblAlgn val="ctr"/>
        <c:lblOffset val="100"/>
        <c:tickLblSkip val="2"/>
        <c:noMultiLvlLbl val="0"/>
      </c:catAx>
      <c:valAx>
        <c:axId val="220387560"/>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0387168"/>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0388344"/>
        <c:axId val="22089292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Hists!$C$99</c15:sqref>
                        </c15:formulaRef>
                      </c:ext>
                    </c:extLst>
                    <c:strCache>
                      <c:ptCount val="1"/>
                      <c:pt idx="0">
                        <c:v>Wearable</c:v>
                      </c:pt>
                    </c:strCache>
                  </c:strRef>
                </c:tx>
                <c:invertIfNegative val="0"/>
                <c:cat>
                  <c:numRef>
                    <c:extLst xmlns:c16r2="http://schemas.microsoft.com/office/drawing/2015/06/chart">
                      <c:ext uri="{02D57815-91ED-43cb-92C2-25804820EDAC}">
                        <c15:formulaRef>
                          <c15:sqref>Hists!$A$101:$A$129</c15:sqref>
                        </c15:formulaRef>
                      </c:ext>
                    </c:extLst>
                    <c:numCache>
                      <c:formatCode>General</c:formatCode>
                      <c:ptCount val="29"/>
                      <c:pt idx="0">
                        <c:v>0</c:v>
                      </c:pt>
                      <c:pt idx="1">
                        <c:v>9.9999999989999999</c:v>
                      </c:pt>
                      <c:pt idx="2">
                        <c:v>19.999999998</c:v>
                      </c:pt>
                      <c:pt idx="3">
                        <c:v>29.999999997</c:v>
                      </c:pt>
                      <c:pt idx="4">
                        <c:v>39.999999996</c:v>
                      </c:pt>
                      <c:pt idx="5">
                        <c:v>49.999999994999996</c:v>
                      </c:pt>
                      <c:pt idx="6">
                        <c:v>59.999999994</c:v>
                      </c:pt>
                      <c:pt idx="7">
                        <c:v>69.999999993000003</c:v>
                      </c:pt>
                      <c:pt idx="8">
                        <c:v>79.999999991999999</c:v>
                      </c:pt>
                      <c:pt idx="9">
                        <c:v>89.999999990999996</c:v>
                      </c:pt>
                      <c:pt idx="10">
                        <c:v>99.999999989999992</c:v>
                      </c:pt>
                      <c:pt idx="11">
                        <c:v>199.99999997999998</c:v>
                      </c:pt>
                      <c:pt idx="12">
                        <c:v>299.99999996999998</c:v>
                      </c:pt>
                      <c:pt idx="13">
                        <c:v>399.99999995999997</c:v>
                      </c:pt>
                      <c:pt idx="14">
                        <c:v>499.99999995000002</c:v>
                      </c:pt>
                      <c:pt idx="15">
                        <c:v>599.99999993999995</c:v>
                      </c:pt>
                      <c:pt idx="16">
                        <c:v>699.99999992999994</c:v>
                      </c:pt>
                      <c:pt idx="17">
                        <c:v>799.99999991999994</c:v>
                      </c:pt>
                      <c:pt idx="18">
                        <c:v>899.99999991000004</c:v>
                      </c:pt>
                      <c:pt idx="19">
                        <c:v>999.99999990000003</c:v>
                      </c:pt>
                      <c:pt idx="20">
                        <c:v>1999.9999998000001</c:v>
                      </c:pt>
                      <c:pt idx="21">
                        <c:v>2999.9999997</c:v>
                      </c:pt>
                      <c:pt idx="22">
                        <c:v>3999.9999996000001</c:v>
                      </c:pt>
                      <c:pt idx="23">
                        <c:v>4999.9999994999998</c:v>
                      </c:pt>
                      <c:pt idx="24">
                        <c:v>5999.9999994</c:v>
                      </c:pt>
                      <c:pt idx="25">
                        <c:v>6999.9999993000001</c:v>
                      </c:pt>
                      <c:pt idx="26">
                        <c:v>7999.9999992000003</c:v>
                      </c:pt>
                      <c:pt idx="27">
                        <c:v>8999.9999991000004</c:v>
                      </c:pt>
                      <c:pt idx="28">
                        <c:v>9999.9999989999997</c:v>
                      </c:pt>
                    </c:numCache>
                  </c:numRef>
                </c:cat>
                <c:val>
                  <c:numRef>
                    <c:extLst xmlns:c16r2="http://schemas.microsoft.com/office/drawing/2015/06/chart">
                      <c:ext uri="{02D57815-91ED-43cb-92C2-25804820EDAC}">
                        <c15:formulaRef>
                          <c15:sqref>Hists!$D$101:$D$129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49.999999997499998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254C-4570-B7EE-65CD5F360F21}"/>
                  </c:ext>
                </c:extLst>
              </c15:ser>
            </c15:filteredBarSeries>
          </c:ext>
        </c:extLst>
      </c:barChart>
      <c:catAx>
        <c:axId val="220388344"/>
        <c:scaling>
          <c:orientation val="minMax"/>
        </c:scaling>
        <c:delete val="0"/>
        <c:axPos val="b"/>
        <c:title>
          <c:tx>
            <c:rich>
              <a:bodyPr/>
              <a:lstStyle/>
              <a:p>
                <a:pPr>
                  <a:defRPr/>
                </a:pPr>
                <a:r>
                  <a:rPr lang="en-US" sz="1400">
                    <a:latin typeface="+mn-lt"/>
                  </a:rPr>
                  <a:t>cost/node (US$)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892920"/>
        <c:crosses val="autoZero"/>
        <c:auto val="1"/>
        <c:lblAlgn val="ctr"/>
        <c:lblOffset val="100"/>
        <c:tickLblSkip val="2"/>
        <c:noMultiLvlLbl val="0"/>
      </c:catAx>
      <c:valAx>
        <c:axId val="220892920"/>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0388344"/>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0893704"/>
        <c:axId val="22089409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Hists!$C$49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Hists!$B$51:$B$79</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Hists!$D$51:$D$79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34A0-483F-965A-6741A04891F1}"/>
                  </c:ext>
                </c:extLst>
              </c15:ser>
            </c15:filteredBarSeries>
          </c:ext>
        </c:extLst>
      </c:barChart>
      <c:catAx>
        <c:axId val="220893704"/>
        <c:scaling>
          <c:orientation val="minMax"/>
        </c:scaling>
        <c:delete val="0"/>
        <c:axPos val="b"/>
        <c:title>
          <c:tx>
            <c:rich>
              <a:bodyPr/>
              <a:lstStyle/>
              <a:p>
                <a:pPr>
                  <a:defRPr/>
                </a:pPr>
                <a:r>
                  <a:rPr lang="en-US" sz="1400">
                    <a:latin typeface="+mn-lt"/>
                  </a:rPr>
                  <a:t>kl</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894096"/>
        <c:crosses val="autoZero"/>
        <c:auto val="1"/>
        <c:lblAlgn val="ctr"/>
        <c:lblOffset val="100"/>
        <c:tickLblSkip val="2"/>
        <c:noMultiLvlLbl val="0"/>
      </c:catAx>
      <c:valAx>
        <c:axId val="220894096"/>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0893704"/>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0895272"/>
        <c:axId val="22089566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Hists!$C$99</c15:sqref>
                        </c15:formulaRef>
                      </c:ext>
                    </c:extLst>
                    <c:strCache>
                      <c:ptCount val="1"/>
                      <c:pt idx="0">
                        <c:v>Wearable</c:v>
                      </c:pt>
                    </c:strCache>
                  </c:strRef>
                </c:tx>
                <c:invertIfNegative val="0"/>
                <c:cat>
                  <c:numRef>
                    <c:extLst xmlns:c16r2="http://schemas.microsoft.com/office/drawing/2015/06/chart">
                      <c:ext uri="{02D57815-91ED-43cb-92C2-25804820EDAC}">
                        <c15:formulaRef>
                          <c15:sqref>Hists!$A$101:$A$129</c15:sqref>
                        </c15:formulaRef>
                      </c:ext>
                    </c:extLst>
                    <c:numCache>
                      <c:formatCode>General</c:formatCode>
                      <c:ptCount val="29"/>
                      <c:pt idx="0">
                        <c:v>0</c:v>
                      </c:pt>
                      <c:pt idx="1">
                        <c:v>9.9999999989999999</c:v>
                      </c:pt>
                      <c:pt idx="2">
                        <c:v>19.999999998</c:v>
                      </c:pt>
                      <c:pt idx="3">
                        <c:v>29.999999997</c:v>
                      </c:pt>
                      <c:pt idx="4">
                        <c:v>39.999999996</c:v>
                      </c:pt>
                      <c:pt idx="5">
                        <c:v>49.999999994999996</c:v>
                      </c:pt>
                      <c:pt idx="6">
                        <c:v>59.999999994</c:v>
                      </c:pt>
                      <c:pt idx="7">
                        <c:v>69.999999993000003</c:v>
                      </c:pt>
                      <c:pt idx="8">
                        <c:v>79.999999991999999</c:v>
                      </c:pt>
                      <c:pt idx="9">
                        <c:v>89.999999990999996</c:v>
                      </c:pt>
                      <c:pt idx="10">
                        <c:v>99.999999989999992</c:v>
                      </c:pt>
                      <c:pt idx="11">
                        <c:v>199.99999997999998</c:v>
                      </c:pt>
                      <c:pt idx="12">
                        <c:v>299.99999996999998</c:v>
                      </c:pt>
                      <c:pt idx="13">
                        <c:v>399.99999995999997</c:v>
                      </c:pt>
                      <c:pt idx="14">
                        <c:v>499.99999995000002</c:v>
                      </c:pt>
                      <c:pt idx="15">
                        <c:v>599.99999993999995</c:v>
                      </c:pt>
                      <c:pt idx="16">
                        <c:v>699.99999992999994</c:v>
                      </c:pt>
                      <c:pt idx="17">
                        <c:v>799.99999991999994</c:v>
                      </c:pt>
                      <c:pt idx="18">
                        <c:v>899.99999991000004</c:v>
                      </c:pt>
                      <c:pt idx="19">
                        <c:v>999.99999990000003</c:v>
                      </c:pt>
                      <c:pt idx="20">
                        <c:v>1999.9999998000001</c:v>
                      </c:pt>
                      <c:pt idx="21">
                        <c:v>2999.9999997</c:v>
                      </c:pt>
                      <c:pt idx="22">
                        <c:v>3999.9999996000001</c:v>
                      </c:pt>
                      <c:pt idx="23">
                        <c:v>4999.9999994999998</c:v>
                      </c:pt>
                      <c:pt idx="24">
                        <c:v>5999.9999994</c:v>
                      </c:pt>
                      <c:pt idx="25">
                        <c:v>6999.9999993000001</c:v>
                      </c:pt>
                      <c:pt idx="26">
                        <c:v>7999.9999992000003</c:v>
                      </c:pt>
                      <c:pt idx="27">
                        <c:v>8999.9999991000004</c:v>
                      </c:pt>
                      <c:pt idx="28">
                        <c:v>9999.9999989999997</c:v>
                      </c:pt>
                    </c:numCache>
                  </c:numRef>
                </c:cat>
                <c:val>
                  <c:numRef>
                    <c:extLst xmlns:c16r2="http://schemas.microsoft.com/office/drawing/2015/06/chart">
                      <c:ext uri="{02D57815-91ED-43cb-92C2-25804820EDAC}">
                        <c15:formulaRef>
                          <c15:sqref>Hists!$D$101:$D$129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49.999999997499998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DD2E-46C0-AB3B-F16716D13D9A}"/>
                  </c:ext>
                </c:extLst>
              </c15:ser>
            </c15:filteredBarSeries>
          </c:ext>
        </c:extLst>
      </c:barChart>
      <c:catAx>
        <c:axId val="220895272"/>
        <c:scaling>
          <c:orientation val="minMax"/>
        </c:scaling>
        <c:delete val="0"/>
        <c:axPos val="b"/>
        <c:title>
          <c:tx>
            <c:rich>
              <a:bodyPr/>
              <a:lstStyle/>
              <a:p>
                <a:pPr>
                  <a:defRPr/>
                </a:pPr>
                <a:r>
                  <a:rPr lang="en-US" sz="1400">
                    <a:latin typeface="+mn-lt"/>
                  </a:rPr>
                  <a:t>cost/node (US$)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895664"/>
        <c:crosses val="autoZero"/>
        <c:auto val="1"/>
        <c:lblAlgn val="ctr"/>
        <c:lblOffset val="100"/>
        <c:tickLblSkip val="2"/>
        <c:noMultiLvlLbl val="0"/>
      </c:catAx>
      <c:valAx>
        <c:axId val="220895664"/>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0895272"/>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0896448"/>
        <c:axId val="22089684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Hists!$C$49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Hists!$B$51:$B$79</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Hists!$D$51:$D$79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AE26-43D2-A7DF-131952759D14}"/>
                  </c:ext>
                </c:extLst>
              </c15:ser>
            </c15:filteredBarSeries>
          </c:ext>
        </c:extLst>
      </c:barChart>
      <c:catAx>
        <c:axId val="220896448"/>
        <c:scaling>
          <c:orientation val="minMax"/>
        </c:scaling>
        <c:delete val="0"/>
        <c:axPos val="b"/>
        <c:title>
          <c:tx>
            <c:rich>
              <a:bodyPr/>
              <a:lstStyle/>
              <a:p>
                <a:pPr>
                  <a:defRPr/>
                </a:pPr>
                <a:r>
                  <a:rPr lang="en-US" sz="1400">
                    <a:latin typeface="+mn-lt"/>
                  </a:rPr>
                  <a:t>kl</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896840"/>
        <c:crosses val="autoZero"/>
        <c:auto val="1"/>
        <c:lblAlgn val="ctr"/>
        <c:lblOffset val="100"/>
        <c:tickLblSkip val="2"/>
        <c:noMultiLvlLbl val="0"/>
      </c:catAx>
      <c:valAx>
        <c:axId val="220896840"/>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0896448"/>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0898408"/>
        <c:axId val="22089880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Hists!$C$99</c15:sqref>
                        </c15:formulaRef>
                      </c:ext>
                    </c:extLst>
                    <c:strCache>
                      <c:ptCount val="1"/>
                      <c:pt idx="0">
                        <c:v>Wearable</c:v>
                      </c:pt>
                    </c:strCache>
                  </c:strRef>
                </c:tx>
                <c:invertIfNegative val="0"/>
                <c:cat>
                  <c:numRef>
                    <c:extLst xmlns:c16r2="http://schemas.microsoft.com/office/drawing/2015/06/chart">
                      <c:ext uri="{02D57815-91ED-43cb-92C2-25804820EDAC}">
                        <c15:formulaRef>
                          <c15:sqref>Hists!$A$101:$A$129</c15:sqref>
                        </c15:formulaRef>
                      </c:ext>
                    </c:extLst>
                    <c:numCache>
                      <c:formatCode>General</c:formatCode>
                      <c:ptCount val="29"/>
                      <c:pt idx="0">
                        <c:v>0</c:v>
                      </c:pt>
                      <c:pt idx="1">
                        <c:v>9.9999999989999999</c:v>
                      </c:pt>
                      <c:pt idx="2">
                        <c:v>19.999999998</c:v>
                      </c:pt>
                      <c:pt idx="3">
                        <c:v>29.999999997</c:v>
                      </c:pt>
                      <c:pt idx="4">
                        <c:v>39.999999996</c:v>
                      </c:pt>
                      <c:pt idx="5">
                        <c:v>49.999999994999996</c:v>
                      </c:pt>
                      <c:pt idx="6">
                        <c:v>59.999999994</c:v>
                      </c:pt>
                      <c:pt idx="7">
                        <c:v>69.999999993000003</c:v>
                      </c:pt>
                      <c:pt idx="8">
                        <c:v>79.999999991999999</c:v>
                      </c:pt>
                      <c:pt idx="9">
                        <c:v>89.999999990999996</c:v>
                      </c:pt>
                      <c:pt idx="10">
                        <c:v>99.999999989999992</c:v>
                      </c:pt>
                      <c:pt idx="11">
                        <c:v>199.99999997999998</c:v>
                      </c:pt>
                      <c:pt idx="12">
                        <c:v>299.99999996999998</c:v>
                      </c:pt>
                      <c:pt idx="13">
                        <c:v>399.99999995999997</c:v>
                      </c:pt>
                      <c:pt idx="14">
                        <c:v>499.99999995000002</c:v>
                      </c:pt>
                      <c:pt idx="15">
                        <c:v>599.99999993999995</c:v>
                      </c:pt>
                      <c:pt idx="16">
                        <c:v>699.99999992999994</c:v>
                      </c:pt>
                      <c:pt idx="17">
                        <c:v>799.99999991999994</c:v>
                      </c:pt>
                      <c:pt idx="18">
                        <c:v>899.99999991000004</c:v>
                      </c:pt>
                      <c:pt idx="19">
                        <c:v>999.99999990000003</c:v>
                      </c:pt>
                      <c:pt idx="20">
                        <c:v>1999.9999998000001</c:v>
                      </c:pt>
                      <c:pt idx="21">
                        <c:v>2999.9999997</c:v>
                      </c:pt>
                      <c:pt idx="22">
                        <c:v>3999.9999996000001</c:v>
                      </c:pt>
                      <c:pt idx="23">
                        <c:v>4999.9999994999998</c:v>
                      </c:pt>
                      <c:pt idx="24">
                        <c:v>5999.9999994</c:v>
                      </c:pt>
                      <c:pt idx="25">
                        <c:v>6999.9999993000001</c:v>
                      </c:pt>
                      <c:pt idx="26">
                        <c:v>7999.9999992000003</c:v>
                      </c:pt>
                      <c:pt idx="27">
                        <c:v>8999.9999991000004</c:v>
                      </c:pt>
                      <c:pt idx="28">
                        <c:v>9999.9999989999997</c:v>
                      </c:pt>
                    </c:numCache>
                  </c:numRef>
                </c:cat>
                <c:val>
                  <c:numRef>
                    <c:extLst xmlns:c16r2="http://schemas.microsoft.com/office/drawing/2015/06/chart">
                      <c:ext uri="{02D57815-91ED-43cb-92C2-25804820EDAC}">
                        <c15:formulaRef>
                          <c15:sqref>Hists!$D$101:$D$129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49.999999997499998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492B-4F24-B77C-05C42554A0AD}"/>
                  </c:ext>
                </c:extLst>
              </c15:ser>
            </c15:filteredBarSeries>
          </c:ext>
        </c:extLst>
      </c:barChart>
      <c:catAx>
        <c:axId val="220898408"/>
        <c:scaling>
          <c:orientation val="minMax"/>
        </c:scaling>
        <c:delete val="0"/>
        <c:axPos val="b"/>
        <c:title>
          <c:tx>
            <c:rich>
              <a:bodyPr/>
              <a:lstStyle/>
              <a:p>
                <a:pPr>
                  <a:defRPr/>
                </a:pPr>
                <a:r>
                  <a:rPr lang="en-US" sz="1400">
                    <a:latin typeface="+mn-lt"/>
                  </a:rPr>
                  <a:t>cost/node (US$)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898800"/>
        <c:crosses val="autoZero"/>
        <c:auto val="1"/>
        <c:lblAlgn val="ctr"/>
        <c:lblOffset val="100"/>
        <c:tickLblSkip val="2"/>
        <c:noMultiLvlLbl val="0"/>
      </c:catAx>
      <c:valAx>
        <c:axId val="220898800"/>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0898408"/>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0899584"/>
        <c:axId val="22089997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Hists!$C$49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Hists!$B$51:$B$79</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Hists!$D$51:$D$79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6ADA-4E5C-B866-9BEE0B12129D}"/>
                  </c:ext>
                </c:extLst>
              </c15:ser>
            </c15:filteredBarSeries>
          </c:ext>
        </c:extLst>
      </c:barChart>
      <c:catAx>
        <c:axId val="220899584"/>
        <c:scaling>
          <c:orientation val="minMax"/>
        </c:scaling>
        <c:delete val="0"/>
        <c:axPos val="b"/>
        <c:title>
          <c:tx>
            <c:rich>
              <a:bodyPr/>
              <a:lstStyle/>
              <a:p>
                <a:pPr>
                  <a:defRPr/>
                </a:pPr>
                <a:r>
                  <a:rPr lang="en-US" sz="1400">
                    <a:latin typeface="+mn-lt"/>
                  </a:rPr>
                  <a:t>kl</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0899976"/>
        <c:crosses val="autoZero"/>
        <c:auto val="1"/>
        <c:lblAlgn val="ctr"/>
        <c:lblOffset val="100"/>
        <c:tickLblSkip val="2"/>
        <c:noMultiLvlLbl val="0"/>
      </c:catAx>
      <c:valAx>
        <c:axId val="220899976"/>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0899584"/>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848300133042312E-2"/>
          <c:y val="4.6093779142782537E-2"/>
          <c:w val="0.92524431592586576"/>
          <c:h val="0.88452149376451084"/>
        </c:manualLayout>
      </c:layout>
      <c:barChart>
        <c:barDir val="col"/>
        <c:grouping val="clustered"/>
        <c:varyColors val="0"/>
        <c:ser>
          <c:idx val="0"/>
          <c:order val="0"/>
          <c:tx>
            <c:v>Resolution</c:v>
          </c:tx>
          <c:invertIfNegative val="0"/>
          <c:cat>
            <c:numRef>
              <c:f>Hists!$B$351:$B$378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Hists!$K$351:$K$378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DEE0-43B5-8764-C1DF387973F9}"/>
            </c:ext>
          </c:extLst>
        </c:ser>
        <c:ser>
          <c:idx val="1"/>
          <c:order val="1"/>
          <c:tx>
            <c:v>Accuracy</c:v>
          </c:tx>
          <c:invertIfNegative val="0"/>
          <c:cat>
            <c:numRef>
              <c:f>Hists!$B$351:$B$378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Hists!$L$351:$L$378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49.999999995000003</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DEE0-43B5-8764-C1DF387973F9}"/>
            </c:ext>
          </c:extLst>
        </c:ser>
        <c:dLbls>
          <c:showLegendKey val="0"/>
          <c:showVal val="0"/>
          <c:showCatName val="0"/>
          <c:showSerName val="0"/>
          <c:showPercent val="0"/>
          <c:showBubbleSize val="0"/>
        </c:dLbls>
        <c:gapWidth val="150"/>
        <c:axId val="215763544"/>
        <c:axId val="215763936"/>
      </c:barChart>
      <c:catAx>
        <c:axId val="215763544"/>
        <c:scaling>
          <c:orientation val="minMax"/>
        </c:scaling>
        <c:delete val="0"/>
        <c:axPos val="b"/>
        <c:title>
          <c:tx>
            <c:rich>
              <a:bodyPr/>
              <a:lstStyle/>
              <a:p>
                <a:pPr>
                  <a:defRPr/>
                </a:pPr>
                <a:r>
                  <a:rPr lang="en-US"/>
                  <a:t>Bits</a:t>
                </a:r>
              </a:p>
            </c:rich>
          </c:tx>
          <c:layout>
            <c:manualLayout>
              <c:xMode val="edge"/>
              <c:yMode val="edge"/>
              <c:x val="0.48572258910470378"/>
              <c:y val="0.96106285688838877"/>
            </c:manualLayout>
          </c:layout>
          <c:overlay val="0"/>
        </c:title>
        <c:numFmt formatCode="General" sourceLinked="1"/>
        <c:majorTickMark val="out"/>
        <c:minorTickMark val="none"/>
        <c:tickLblPos val="nextTo"/>
        <c:txPr>
          <a:bodyPr rot="5400000" vert="horz"/>
          <a:lstStyle/>
          <a:p>
            <a:pPr>
              <a:defRPr/>
            </a:pPr>
            <a:endParaRPr lang="en-US"/>
          </a:p>
        </c:txPr>
        <c:crossAx val="215763936"/>
        <c:crosses val="autoZero"/>
        <c:auto val="1"/>
        <c:lblAlgn val="ctr"/>
        <c:lblOffset val="100"/>
        <c:noMultiLvlLbl val="0"/>
      </c:catAx>
      <c:valAx>
        <c:axId val="215763936"/>
        <c:scaling>
          <c:orientation val="minMax"/>
        </c:scaling>
        <c:delete val="0"/>
        <c:axPos val="l"/>
        <c:majorGridlines/>
        <c:minorGridlines/>
        <c:numFmt formatCode="0" sourceLinked="0"/>
        <c:majorTickMark val="out"/>
        <c:minorTickMark val="none"/>
        <c:tickLblPos val="nextTo"/>
        <c:crossAx val="215763544"/>
        <c:crosses val="autoZero"/>
        <c:crossBetween val="between"/>
      </c:valAx>
    </c:plotArea>
    <c:legend>
      <c:legendPos val="r"/>
      <c:layout>
        <c:manualLayout>
          <c:xMode val="edge"/>
          <c:yMode val="edge"/>
          <c:x val="0.28386159612150808"/>
          <c:y val="0.38416581626972962"/>
          <c:w val="9.4224304702227216E-2"/>
          <c:h val="6.6408458299994588E-2"/>
        </c:manualLayout>
      </c:layout>
      <c:overlay val="0"/>
      <c:spPr>
        <a:solidFill>
          <a:schemeClr val="bg1"/>
        </a:solidFill>
      </c:spPr>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2215576"/>
        <c:axId val="2222159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Hists!$C$99</c15:sqref>
                        </c15:formulaRef>
                      </c:ext>
                    </c:extLst>
                    <c:strCache>
                      <c:ptCount val="1"/>
                      <c:pt idx="0">
                        <c:v>Wearable</c:v>
                      </c:pt>
                    </c:strCache>
                  </c:strRef>
                </c:tx>
                <c:invertIfNegative val="0"/>
                <c:cat>
                  <c:numRef>
                    <c:extLst xmlns:c16r2="http://schemas.microsoft.com/office/drawing/2015/06/chart">
                      <c:ext uri="{02D57815-91ED-43cb-92C2-25804820EDAC}">
                        <c15:formulaRef>
                          <c15:sqref>Hists!$A$101:$A$129</c15:sqref>
                        </c15:formulaRef>
                      </c:ext>
                    </c:extLst>
                    <c:numCache>
                      <c:formatCode>General</c:formatCode>
                      <c:ptCount val="29"/>
                      <c:pt idx="0">
                        <c:v>0</c:v>
                      </c:pt>
                      <c:pt idx="1">
                        <c:v>9.9999999989999999</c:v>
                      </c:pt>
                      <c:pt idx="2">
                        <c:v>19.999999998</c:v>
                      </c:pt>
                      <c:pt idx="3">
                        <c:v>29.999999997</c:v>
                      </c:pt>
                      <c:pt idx="4">
                        <c:v>39.999999996</c:v>
                      </c:pt>
                      <c:pt idx="5">
                        <c:v>49.999999994999996</c:v>
                      </c:pt>
                      <c:pt idx="6">
                        <c:v>59.999999994</c:v>
                      </c:pt>
                      <c:pt idx="7">
                        <c:v>69.999999993000003</c:v>
                      </c:pt>
                      <c:pt idx="8">
                        <c:v>79.999999991999999</c:v>
                      </c:pt>
                      <c:pt idx="9">
                        <c:v>89.999999990999996</c:v>
                      </c:pt>
                      <c:pt idx="10">
                        <c:v>99.999999989999992</c:v>
                      </c:pt>
                      <c:pt idx="11">
                        <c:v>199.99999997999998</c:v>
                      </c:pt>
                      <c:pt idx="12">
                        <c:v>299.99999996999998</c:v>
                      </c:pt>
                      <c:pt idx="13">
                        <c:v>399.99999995999997</c:v>
                      </c:pt>
                      <c:pt idx="14">
                        <c:v>499.99999995000002</c:v>
                      </c:pt>
                      <c:pt idx="15">
                        <c:v>599.99999993999995</c:v>
                      </c:pt>
                      <c:pt idx="16">
                        <c:v>699.99999992999994</c:v>
                      </c:pt>
                      <c:pt idx="17">
                        <c:v>799.99999991999994</c:v>
                      </c:pt>
                      <c:pt idx="18">
                        <c:v>899.99999991000004</c:v>
                      </c:pt>
                      <c:pt idx="19">
                        <c:v>999.99999990000003</c:v>
                      </c:pt>
                      <c:pt idx="20">
                        <c:v>1999.9999998000001</c:v>
                      </c:pt>
                      <c:pt idx="21">
                        <c:v>2999.9999997</c:v>
                      </c:pt>
                      <c:pt idx="22">
                        <c:v>3999.9999996000001</c:v>
                      </c:pt>
                      <c:pt idx="23">
                        <c:v>4999.9999994999998</c:v>
                      </c:pt>
                      <c:pt idx="24">
                        <c:v>5999.9999994</c:v>
                      </c:pt>
                      <c:pt idx="25">
                        <c:v>6999.9999993000001</c:v>
                      </c:pt>
                      <c:pt idx="26">
                        <c:v>7999.9999992000003</c:v>
                      </c:pt>
                      <c:pt idx="27">
                        <c:v>8999.9999991000004</c:v>
                      </c:pt>
                      <c:pt idx="28">
                        <c:v>9999.9999989999997</c:v>
                      </c:pt>
                    </c:numCache>
                  </c:numRef>
                </c:cat>
                <c:val>
                  <c:numRef>
                    <c:extLst xmlns:c16r2="http://schemas.microsoft.com/office/drawing/2015/06/chart">
                      <c:ext uri="{02D57815-91ED-43cb-92C2-25804820EDAC}">
                        <c15:formulaRef>
                          <c15:sqref>Hists!$D$101:$D$129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49.999999997499998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972A-43AA-A30B-5AD2BA10328E}"/>
                  </c:ext>
                </c:extLst>
              </c15:ser>
            </c15:filteredBarSeries>
          </c:ext>
        </c:extLst>
      </c:barChart>
      <c:catAx>
        <c:axId val="222215576"/>
        <c:scaling>
          <c:orientation val="minMax"/>
        </c:scaling>
        <c:delete val="0"/>
        <c:axPos val="b"/>
        <c:title>
          <c:tx>
            <c:rich>
              <a:bodyPr/>
              <a:lstStyle/>
              <a:p>
                <a:pPr>
                  <a:defRPr/>
                </a:pPr>
                <a:r>
                  <a:rPr lang="en-US" sz="1400">
                    <a:latin typeface="+mn-lt"/>
                  </a:rPr>
                  <a:t>cost/node (US$)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2215968"/>
        <c:crosses val="autoZero"/>
        <c:auto val="1"/>
        <c:lblAlgn val="ctr"/>
        <c:lblOffset val="100"/>
        <c:tickLblSkip val="2"/>
        <c:noMultiLvlLbl val="0"/>
      </c:catAx>
      <c:valAx>
        <c:axId val="222215968"/>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2215576"/>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2216752"/>
        <c:axId val="2222171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Hists!$C$49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Hists!$B$51:$B$79</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Hists!$D$51:$D$79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6B4F-4C92-8F2B-A849F56674E7}"/>
                  </c:ext>
                </c:extLst>
              </c15:ser>
            </c15:filteredBarSeries>
          </c:ext>
        </c:extLst>
      </c:barChart>
      <c:catAx>
        <c:axId val="222216752"/>
        <c:scaling>
          <c:orientation val="minMax"/>
        </c:scaling>
        <c:delete val="0"/>
        <c:axPos val="b"/>
        <c:title>
          <c:tx>
            <c:rich>
              <a:bodyPr/>
              <a:lstStyle/>
              <a:p>
                <a:pPr>
                  <a:defRPr/>
                </a:pPr>
                <a:r>
                  <a:rPr lang="en-US" sz="1400">
                    <a:latin typeface="+mn-lt"/>
                  </a:rPr>
                  <a:t>kl</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2217144"/>
        <c:crosses val="autoZero"/>
        <c:auto val="1"/>
        <c:lblAlgn val="ctr"/>
        <c:lblOffset val="100"/>
        <c:tickLblSkip val="2"/>
        <c:noMultiLvlLbl val="0"/>
      </c:catAx>
      <c:valAx>
        <c:axId val="222217144"/>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2216752"/>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2217928"/>
        <c:axId val="22221832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Hists!$C$99</c15:sqref>
                        </c15:formulaRef>
                      </c:ext>
                    </c:extLst>
                    <c:strCache>
                      <c:ptCount val="1"/>
                      <c:pt idx="0">
                        <c:v>Wearable</c:v>
                      </c:pt>
                    </c:strCache>
                  </c:strRef>
                </c:tx>
                <c:invertIfNegative val="0"/>
                <c:cat>
                  <c:numRef>
                    <c:extLst xmlns:c16r2="http://schemas.microsoft.com/office/drawing/2015/06/chart">
                      <c:ext uri="{02D57815-91ED-43cb-92C2-25804820EDAC}">
                        <c15:formulaRef>
                          <c15:sqref>Hists!$A$101:$A$129</c15:sqref>
                        </c15:formulaRef>
                      </c:ext>
                    </c:extLst>
                    <c:numCache>
                      <c:formatCode>General</c:formatCode>
                      <c:ptCount val="29"/>
                      <c:pt idx="0">
                        <c:v>0</c:v>
                      </c:pt>
                      <c:pt idx="1">
                        <c:v>9.9999999989999999</c:v>
                      </c:pt>
                      <c:pt idx="2">
                        <c:v>19.999999998</c:v>
                      </c:pt>
                      <c:pt idx="3">
                        <c:v>29.999999997</c:v>
                      </c:pt>
                      <c:pt idx="4">
                        <c:v>39.999999996</c:v>
                      </c:pt>
                      <c:pt idx="5">
                        <c:v>49.999999994999996</c:v>
                      </c:pt>
                      <c:pt idx="6">
                        <c:v>59.999999994</c:v>
                      </c:pt>
                      <c:pt idx="7">
                        <c:v>69.999999993000003</c:v>
                      </c:pt>
                      <c:pt idx="8">
                        <c:v>79.999999991999999</c:v>
                      </c:pt>
                      <c:pt idx="9">
                        <c:v>89.999999990999996</c:v>
                      </c:pt>
                      <c:pt idx="10">
                        <c:v>99.999999989999992</c:v>
                      </c:pt>
                      <c:pt idx="11">
                        <c:v>199.99999997999998</c:v>
                      </c:pt>
                      <c:pt idx="12">
                        <c:v>299.99999996999998</c:v>
                      </c:pt>
                      <c:pt idx="13">
                        <c:v>399.99999995999997</c:v>
                      </c:pt>
                      <c:pt idx="14">
                        <c:v>499.99999995000002</c:v>
                      </c:pt>
                      <c:pt idx="15">
                        <c:v>599.99999993999995</c:v>
                      </c:pt>
                      <c:pt idx="16">
                        <c:v>699.99999992999994</c:v>
                      </c:pt>
                      <c:pt idx="17">
                        <c:v>799.99999991999994</c:v>
                      </c:pt>
                      <c:pt idx="18">
                        <c:v>899.99999991000004</c:v>
                      </c:pt>
                      <c:pt idx="19">
                        <c:v>999.99999990000003</c:v>
                      </c:pt>
                      <c:pt idx="20">
                        <c:v>1999.9999998000001</c:v>
                      </c:pt>
                      <c:pt idx="21">
                        <c:v>2999.9999997</c:v>
                      </c:pt>
                      <c:pt idx="22">
                        <c:v>3999.9999996000001</c:v>
                      </c:pt>
                      <c:pt idx="23">
                        <c:v>4999.9999994999998</c:v>
                      </c:pt>
                      <c:pt idx="24">
                        <c:v>5999.9999994</c:v>
                      </c:pt>
                      <c:pt idx="25">
                        <c:v>6999.9999993000001</c:v>
                      </c:pt>
                      <c:pt idx="26">
                        <c:v>7999.9999992000003</c:v>
                      </c:pt>
                      <c:pt idx="27">
                        <c:v>8999.9999991000004</c:v>
                      </c:pt>
                      <c:pt idx="28">
                        <c:v>9999.9999989999997</c:v>
                      </c:pt>
                    </c:numCache>
                  </c:numRef>
                </c:cat>
                <c:val>
                  <c:numRef>
                    <c:extLst xmlns:c16r2="http://schemas.microsoft.com/office/drawing/2015/06/chart">
                      <c:ext uri="{02D57815-91ED-43cb-92C2-25804820EDAC}">
                        <c15:formulaRef>
                          <c15:sqref>Hists!$D$101:$D$129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49.999999997499998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834E-4F4D-BFED-47A0C6134A25}"/>
                  </c:ext>
                </c:extLst>
              </c15:ser>
            </c15:filteredBarSeries>
          </c:ext>
        </c:extLst>
      </c:barChart>
      <c:catAx>
        <c:axId val="222217928"/>
        <c:scaling>
          <c:orientation val="minMax"/>
        </c:scaling>
        <c:delete val="0"/>
        <c:axPos val="b"/>
        <c:title>
          <c:tx>
            <c:rich>
              <a:bodyPr/>
              <a:lstStyle/>
              <a:p>
                <a:pPr>
                  <a:defRPr/>
                </a:pPr>
                <a:r>
                  <a:rPr lang="en-US" sz="1400">
                    <a:latin typeface="+mn-lt"/>
                  </a:rPr>
                  <a:t>cost/node (US$)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2218320"/>
        <c:crosses val="autoZero"/>
        <c:auto val="1"/>
        <c:lblAlgn val="ctr"/>
        <c:lblOffset val="100"/>
        <c:tickLblSkip val="2"/>
        <c:noMultiLvlLbl val="0"/>
      </c:catAx>
      <c:valAx>
        <c:axId val="222218320"/>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2217928"/>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2219104"/>
        <c:axId val="22221949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Hists!$C$49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Hists!$B$51:$B$79</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Hists!$D$51:$D$79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449D-44DE-9766-ACC3C9954E08}"/>
                  </c:ext>
                </c:extLst>
              </c15:ser>
            </c15:filteredBarSeries>
          </c:ext>
        </c:extLst>
      </c:barChart>
      <c:catAx>
        <c:axId val="222219104"/>
        <c:scaling>
          <c:orientation val="minMax"/>
        </c:scaling>
        <c:delete val="0"/>
        <c:axPos val="b"/>
        <c:title>
          <c:tx>
            <c:rich>
              <a:bodyPr/>
              <a:lstStyle/>
              <a:p>
                <a:pPr>
                  <a:defRPr/>
                </a:pPr>
                <a:r>
                  <a:rPr lang="en-US" sz="1400">
                    <a:latin typeface="+mn-lt"/>
                  </a:rPr>
                  <a:t>kl</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2219496"/>
        <c:crosses val="autoZero"/>
        <c:auto val="1"/>
        <c:lblAlgn val="ctr"/>
        <c:lblOffset val="100"/>
        <c:tickLblSkip val="2"/>
        <c:noMultiLvlLbl val="0"/>
      </c:catAx>
      <c:valAx>
        <c:axId val="222219496"/>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2219104"/>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2220280"/>
        <c:axId val="22222067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Hists!$C$99</c15:sqref>
                        </c15:formulaRef>
                      </c:ext>
                    </c:extLst>
                    <c:strCache>
                      <c:ptCount val="1"/>
                      <c:pt idx="0">
                        <c:v>Wearable</c:v>
                      </c:pt>
                    </c:strCache>
                  </c:strRef>
                </c:tx>
                <c:invertIfNegative val="0"/>
                <c:cat>
                  <c:numRef>
                    <c:extLst xmlns:c16r2="http://schemas.microsoft.com/office/drawing/2015/06/chart">
                      <c:ext uri="{02D57815-91ED-43cb-92C2-25804820EDAC}">
                        <c15:formulaRef>
                          <c15:sqref>Hists!$A$101:$A$129</c15:sqref>
                        </c15:formulaRef>
                      </c:ext>
                    </c:extLst>
                    <c:numCache>
                      <c:formatCode>General</c:formatCode>
                      <c:ptCount val="29"/>
                      <c:pt idx="0">
                        <c:v>0</c:v>
                      </c:pt>
                      <c:pt idx="1">
                        <c:v>9.9999999989999999</c:v>
                      </c:pt>
                      <c:pt idx="2">
                        <c:v>19.999999998</c:v>
                      </c:pt>
                      <c:pt idx="3">
                        <c:v>29.999999997</c:v>
                      </c:pt>
                      <c:pt idx="4">
                        <c:v>39.999999996</c:v>
                      </c:pt>
                      <c:pt idx="5">
                        <c:v>49.999999994999996</c:v>
                      </c:pt>
                      <c:pt idx="6">
                        <c:v>59.999999994</c:v>
                      </c:pt>
                      <c:pt idx="7">
                        <c:v>69.999999993000003</c:v>
                      </c:pt>
                      <c:pt idx="8">
                        <c:v>79.999999991999999</c:v>
                      </c:pt>
                      <c:pt idx="9">
                        <c:v>89.999999990999996</c:v>
                      </c:pt>
                      <c:pt idx="10">
                        <c:v>99.999999989999992</c:v>
                      </c:pt>
                      <c:pt idx="11">
                        <c:v>199.99999997999998</c:v>
                      </c:pt>
                      <c:pt idx="12">
                        <c:v>299.99999996999998</c:v>
                      </c:pt>
                      <c:pt idx="13">
                        <c:v>399.99999995999997</c:v>
                      </c:pt>
                      <c:pt idx="14">
                        <c:v>499.99999995000002</c:v>
                      </c:pt>
                      <c:pt idx="15">
                        <c:v>599.99999993999995</c:v>
                      </c:pt>
                      <c:pt idx="16">
                        <c:v>699.99999992999994</c:v>
                      </c:pt>
                      <c:pt idx="17">
                        <c:v>799.99999991999994</c:v>
                      </c:pt>
                      <c:pt idx="18">
                        <c:v>899.99999991000004</c:v>
                      </c:pt>
                      <c:pt idx="19">
                        <c:v>999.99999990000003</c:v>
                      </c:pt>
                      <c:pt idx="20">
                        <c:v>1999.9999998000001</c:v>
                      </c:pt>
                      <c:pt idx="21">
                        <c:v>2999.9999997</c:v>
                      </c:pt>
                      <c:pt idx="22">
                        <c:v>3999.9999996000001</c:v>
                      </c:pt>
                      <c:pt idx="23">
                        <c:v>4999.9999994999998</c:v>
                      </c:pt>
                      <c:pt idx="24">
                        <c:v>5999.9999994</c:v>
                      </c:pt>
                      <c:pt idx="25">
                        <c:v>6999.9999993000001</c:v>
                      </c:pt>
                      <c:pt idx="26">
                        <c:v>7999.9999992000003</c:v>
                      </c:pt>
                      <c:pt idx="27">
                        <c:v>8999.9999991000004</c:v>
                      </c:pt>
                      <c:pt idx="28">
                        <c:v>9999.9999989999997</c:v>
                      </c:pt>
                    </c:numCache>
                  </c:numRef>
                </c:cat>
                <c:val>
                  <c:numRef>
                    <c:extLst xmlns:c16r2="http://schemas.microsoft.com/office/drawing/2015/06/chart">
                      <c:ext uri="{02D57815-91ED-43cb-92C2-25804820EDAC}">
                        <c15:formulaRef>
                          <c15:sqref>Hists!$D$101:$D$129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49.999999997499998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8C8A-4C37-985E-690BA84F4973}"/>
                  </c:ext>
                </c:extLst>
              </c15:ser>
            </c15:filteredBarSeries>
          </c:ext>
        </c:extLst>
      </c:barChart>
      <c:catAx>
        <c:axId val="222220280"/>
        <c:scaling>
          <c:orientation val="minMax"/>
        </c:scaling>
        <c:delete val="0"/>
        <c:axPos val="b"/>
        <c:title>
          <c:tx>
            <c:rich>
              <a:bodyPr/>
              <a:lstStyle/>
              <a:p>
                <a:pPr>
                  <a:defRPr/>
                </a:pPr>
                <a:r>
                  <a:rPr lang="en-US" sz="1400">
                    <a:latin typeface="+mn-lt"/>
                  </a:rPr>
                  <a:t>cost/node (US$)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2220672"/>
        <c:crosses val="autoZero"/>
        <c:auto val="1"/>
        <c:lblAlgn val="ctr"/>
        <c:lblOffset val="100"/>
        <c:tickLblSkip val="2"/>
        <c:noMultiLvlLbl val="0"/>
      </c:catAx>
      <c:valAx>
        <c:axId val="222220672"/>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2220280"/>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2221456"/>
        <c:axId val="22222184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Hists!$C$49</c15:sqref>
                        </c15:formulaRef>
                      </c:ext>
                    </c:extLst>
                    <c:strCache>
                      <c:ptCount val="1"/>
                      <c:pt idx="0">
                        <c:v>Wearable</c:v>
                      </c:pt>
                    </c:strCache>
                  </c:strRef>
                </c:tx>
                <c:invertIfNegative val="0"/>
                <c:cat>
                  <c:numRef>
                    <c:extLst xmlns:c16r2="http://schemas.microsoft.com/office/drawing/2015/06/chart">
                      <c:ext uri="{02D57815-91ED-43cb-92C2-25804820EDAC}">
                        <c15:formulaRef>
                          <c15:sqref>Hists!$B$51:$B$79</c15:sqref>
                        </c15:formulaRef>
                      </c:ext>
                    </c:extLst>
                    <c:numCache>
                      <c:formatCode>General</c:formatCode>
                      <c:ptCount val="29"/>
                      <c:pt idx="0">
                        <c:v>0</c:v>
                      </c:pt>
                      <c:pt idx="1">
                        <c:v>1</c:v>
                      </c:pt>
                      <c:pt idx="2">
                        <c:v>2</c:v>
                      </c:pt>
                      <c:pt idx="3">
                        <c:v>3</c:v>
                      </c:pt>
                      <c:pt idx="4">
                        <c:v>4</c:v>
                      </c:pt>
                      <c:pt idx="5">
                        <c:v>5</c:v>
                      </c:pt>
                      <c:pt idx="6">
                        <c:v>6</c:v>
                      </c:pt>
                      <c:pt idx="7">
                        <c:v>7</c:v>
                      </c:pt>
                      <c:pt idx="8">
                        <c:v>8</c:v>
                      </c:pt>
                      <c:pt idx="9">
                        <c:v>9</c:v>
                      </c:pt>
                      <c:pt idx="10">
                        <c:v>10</c:v>
                      </c:pt>
                      <c:pt idx="11">
                        <c:v>20</c:v>
                      </c:pt>
                      <c:pt idx="12">
                        <c:v>30</c:v>
                      </c:pt>
                      <c:pt idx="13">
                        <c:v>40</c:v>
                      </c:pt>
                      <c:pt idx="14">
                        <c:v>50</c:v>
                      </c:pt>
                      <c:pt idx="15">
                        <c:v>60</c:v>
                      </c:pt>
                      <c:pt idx="16">
                        <c:v>70</c:v>
                      </c:pt>
                      <c:pt idx="17">
                        <c:v>80</c:v>
                      </c:pt>
                      <c:pt idx="18">
                        <c:v>90</c:v>
                      </c:pt>
                      <c:pt idx="19">
                        <c:v>100</c:v>
                      </c:pt>
                      <c:pt idx="20">
                        <c:v>200</c:v>
                      </c:pt>
                      <c:pt idx="21">
                        <c:v>300</c:v>
                      </c:pt>
                      <c:pt idx="22">
                        <c:v>400</c:v>
                      </c:pt>
                      <c:pt idx="23">
                        <c:v>500</c:v>
                      </c:pt>
                      <c:pt idx="24">
                        <c:v>600</c:v>
                      </c:pt>
                      <c:pt idx="25">
                        <c:v>700</c:v>
                      </c:pt>
                      <c:pt idx="26">
                        <c:v>800</c:v>
                      </c:pt>
                      <c:pt idx="27">
                        <c:v>900</c:v>
                      </c:pt>
                      <c:pt idx="28">
                        <c:v>1000</c:v>
                      </c:pt>
                    </c:numCache>
                  </c:numRef>
                </c:cat>
                <c:val>
                  <c:numRef>
                    <c:extLst xmlns:c16r2="http://schemas.microsoft.com/office/drawing/2015/06/chart">
                      <c:ext uri="{02D57815-91ED-43cb-92C2-25804820EDAC}">
                        <c15:formulaRef>
                          <c15:sqref>Hists!$D$51:$D$79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49.999999997499998</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7546-4630-A652-3B7D8CA8A40A}"/>
                  </c:ext>
                </c:extLst>
              </c15:ser>
            </c15:filteredBarSeries>
          </c:ext>
        </c:extLst>
      </c:barChart>
      <c:catAx>
        <c:axId val="222221456"/>
        <c:scaling>
          <c:orientation val="minMax"/>
        </c:scaling>
        <c:delete val="0"/>
        <c:axPos val="b"/>
        <c:title>
          <c:tx>
            <c:rich>
              <a:bodyPr/>
              <a:lstStyle/>
              <a:p>
                <a:pPr>
                  <a:defRPr/>
                </a:pPr>
                <a:r>
                  <a:rPr lang="en-US" sz="1400">
                    <a:latin typeface="+mn-lt"/>
                  </a:rPr>
                  <a:t>kl</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2221848"/>
        <c:crosses val="autoZero"/>
        <c:auto val="1"/>
        <c:lblAlgn val="ctr"/>
        <c:lblOffset val="100"/>
        <c:tickLblSkip val="2"/>
        <c:noMultiLvlLbl val="0"/>
      </c:catAx>
      <c:valAx>
        <c:axId val="222221848"/>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2221456"/>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dLbls>
          <c:showLegendKey val="0"/>
          <c:showVal val="0"/>
          <c:showCatName val="0"/>
          <c:showSerName val="0"/>
          <c:showPercent val="0"/>
          <c:showBubbleSize val="0"/>
        </c:dLbls>
        <c:gapWidth val="0"/>
        <c:overlap val="75"/>
        <c:axId val="222222632"/>
        <c:axId val="22222302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Hists!$C$99</c15:sqref>
                        </c15:formulaRef>
                      </c:ext>
                    </c:extLst>
                    <c:strCache>
                      <c:ptCount val="1"/>
                      <c:pt idx="0">
                        <c:v>Wearable</c:v>
                      </c:pt>
                    </c:strCache>
                  </c:strRef>
                </c:tx>
                <c:invertIfNegative val="0"/>
                <c:cat>
                  <c:numRef>
                    <c:extLst xmlns:c16r2="http://schemas.microsoft.com/office/drawing/2015/06/chart">
                      <c:ext uri="{02D57815-91ED-43cb-92C2-25804820EDAC}">
                        <c15:formulaRef>
                          <c15:sqref>Hists!$A$101:$A$129</c15:sqref>
                        </c15:formulaRef>
                      </c:ext>
                    </c:extLst>
                    <c:numCache>
                      <c:formatCode>General</c:formatCode>
                      <c:ptCount val="29"/>
                      <c:pt idx="0">
                        <c:v>0</c:v>
                      </c:pt>
                      <c:pt idx="1">
                        <c:v>9.9999999989999999</c:v>
                      </c:pt>
                      <c:pt idx="2">
                        <c:v>19.999999998</c:v>
                      </c:pt>
                      <c:pt idx="3">
                        <c:v>29.999999997</c:v>
                      </c:pt>
                      <c:pt idx="4">
                        <c:v>39.999999996</c:v>
                      </c:pt>
                      <c:pt idx="5">
                        <c:v>49.999999994999996</c:v>
                      </c:pt>
                      <c:pt idx="6">
                        <c:v>59.999999994</c:v>
                      </c:pt>
                      <c:pt idx="7">
                        <c:v>69.999999993000003</c:v>
                      </c:pt>
                      <c:pt idx="8">
                        <c:v>79.999999991999999</c:v>
                      </c:pt>
                      <c:pt idx="9">
                        <c:v>89.999999990999996</c:v>
                      </c:pt>
                      <c:pt idx="10">
                        <c:v>99.999999989999992</c:v>
                      </c:pt>
                      <c:pt idx="11">
                        <c:v>199.99999997999998</c:v>
                      </c:pt>
                      <c:pt idx="12">
                        <c:v>299.99999996999998</c:v>
                      </c:pt>
                      <c:pt idx="13">
                        <c:v>399.99999995999997</c:v>
                      </c:pt>
                      <c:pt idx="14">
                        <c:v>499.99999995000002</c:v>
                      </c:pt>
                      <c:pt idx="15">
                        <c:v>599.99999993999995</c:v>
                      </c:pt>
                      <c:pt idx="16">
                        <c:v>699.99999992999994</c:v>
                      </c:pt>
                      <c:pt idx="17">
                        <c:v>799.99999991999994</c:v>
                      </c:pt>
                      <c:pt idx="18">
                        <c:v>899.99999991000004</c:v>
                      </c:pt>
                      <c:pt idx="19">
                        <c:v>999.99999990000003</c:v>
                      </c:pt>
                      <c:pt idx="20">
                        <c:v>1999.9999998000001</c:v>
                      </c:pt>
                      <c:pt idx="21">
                        <c:v>2999.9999997</c:v>
                      </c:pt>
                      <c:pt idx="22">
                        <c:v>3999.9999996000001</c:v>
                      </c:pt>
                      <c:pt idx="23">
                        <c:v>4999.9999994999998</c:v>
                      </c:pt>
                      <c:pt idx="24">
                        <c:v>5999.9999994</c:v>
                      </c:pt>
                      <c:pt idx="25">
                        <c:v>6999.9999993000001</c:v>
                      </c:pt>
                      <c:pt idx="26">
                        <c:v>7999.9999992000003</c:v>
                      </c:pt>
                      <c:pt idx="27">
                        <c:v>8999.9999991000004</c:v>
                      </c:pt>
                      <c:pt idx="28">
                        <c:v>9999.9999989999997</c:v>
                      </c:pt>
                    </c:numCache>
                  </c:numRef>
                </c:cat>
                <c:val>
                  <c:numRef>
                    <c:extLst xmlns:c16r2="http://schemas.microsoft.com/office/drawing/2015/06/chart">
                      <c:ext uri="{02D57815-91ED-43cb-92C2-25804820EDAC}">
                        <c15:formulaRef>
                          <c15:sqref>Hists!$D$101:$D$129</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49.999999997499998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8366-4068-B574-FDAF189219F6}"/>
                  </c:ext>
                </c:extLst>
              </c15:ser>
            </c15:filteredBarSeries>
          </c:ext>
        </c:extLst>
      </c:barChart>
      <c:catAx>
        <c:axId val="222222632"/>
        <c:scaling>
          <c:orientation val="minMax"/>
        </c:scaling>
        <c:delete val="0"/>
        <c:axPos val="b"/>
        <c:title>
          <c:tx>
            <c:rich>
              <a:bodyPr/>
              <a:lstStyle/>
              <a:p>
                <a:pPr>
                  <a:defRPr/>
                </a:pPr>
                <a:r>
                  <a:rPr lang="en-US" sz="1400">
                    <a:latin typeface="+mn-lt"/>
                  </a:rPr>
                  <a:t>cost/node (US$)</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2223024"/>
        <c:crosses val="autoZero"/>
        <c:auto val="1"/>
        <c:lblAlgn val="ctr"/>
        <c:lblOffset val="100"/>
        <c:tickLblSkip val="2"/>
        <c:noMultiLvlLbl val="0"/>
      </c:catAx>
      <c:valAx>
        <c:axId val="222223024"/>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2222632"/>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Hists!$E$1148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Hists!$B$1150:$B$1178</c:f>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f>Hists!$F$1150:$F$1178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24.999999999375</c:v>
                </c:pt>
                <c:pt idx="21">
                  <c:v>0</c:v>
                </c:pt>
                <c:pt idx="22">
                  <c:v>0</c:v>
                </c:pt>
                <c:pt idx="23">
                  <c:v>0</c:v>
                </c:pt>
                <c:pt idx="24">
                  <c:v>0</c:v>
                </c:pt>
                <c:pt idx="25">
                  <c:v>0</c:v>
                </c:pt>
                <c:pt idx="26">
                  <c:v>74.999999998125006</c:v>
                </c:pt>
                <c:pt idx="27">
                  <c:v>0</c:v>
                </c:pt>
                <c:pt idx="28">
                  <c:v>0</c:v>
                </c:pt>
              </c:numCache>
            </c:numRef>
          </c:val>
          <c:extLst xmlns:c16r2="http://schemas.microsoft.com/office/drawing/2015/06/chart">
            <c:ext xmlns:c16="http://schemas.microsoft.com/office/drawing/2014/chart" uri="{C3380CC4-5D6E-409C-BE32-E72D297353CC}">
              <c16:uniqueId val="{00000000-DA5F-4D58-9EB5-798B924EE427}"/>
            </c:ext>
          </c:extLst>
        </c:ser>
        <c:ser>
          <c:idx val="2"/>
          <c:order val="2"/>
          <c:tx>
            <c:strRef>
              <c:f>Hists!$G$1148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Hists!$B$1150:$B$1178</c:f>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f>Hists!$H$1150:$H$1178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DA5F-4D58-9EB5-798B924EE427}"/>
            </c:ext>
          </c:extLst>
        </c:ser>
        <c:ser>
          <c:idx val="3"/>
          <c:order val="3"/>
          <c:tx>
            <c:strRef>
              <c:f>Hists!$I$1148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Hists!$B$1150:$B$1178</c:f>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f>Hists!$J$1150:$J$1178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DA5F-4D58-9EB5-798B924EE427}"/>
            </c:ext>
          </c:extLst>
        </c:ser>
        <c:dLbls>
          <c:showLegendKey val="0"/>
          <c:showVal val="0"/>
          <c:showCatName val="0"/>
          <c:showSerName val="0"/>
          <c:showPercent val="0"/>
          <c:showBubbleSize val="0"/>
        </c:dLbls>
        <c:gapWidth val="0"/>
        <c:axId val="221739392"/>
        <c:axId val="22173978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Hists!$C$1148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Hists!$B$1150:$B$1178</c15:sqref>
                        </c15:formulaRef>
                      </c:ext>
                    </c:extLst>
                    <c:numCache>
                      <c:formatCode>General</c:formatCode>
                      <c:ptCount val="29"/>
                      <c:pt idx="0">
                        <c:v>0</c:v>
                      </c:pt>
                      <c:pt idx="1">
                        <c:v>10</c:v>
                      </c:pt>
                      <c:pt idx="2">
                        <c:v>20</c:v>
                      </c:pt>
                      <c:pt idx="3">
                        <c:v>30</c:v>
                      </c:pt>
                      <c:pt idx="4">
                        <c:v>40</c:v>
                      </c:pt>
                      <c:pt idx="5">
                        <c:v>50</c:v>
                      </c:pt>
                      <c:pt idx="6">
                        <c:v>60</c:v>
                      </c:pt>
                      <c:pt idx="7">
                        <c:v>70</c:v>
                      </c:pt>
                      <c:pt idx="8">
                        <c:v>80</c:v>
                      </c:pt>
                      <c:pt idx="9">
                        <c:v>90</c:v>
                      </c:pt>
                      <c:pt idx="10">
                        <c:v>100</c:v>
                      </c:pt>
                      <c:pt idx="11">
                        <c:v>200</c:v>
                      </c:pt>
                      <c:pt idx="12">
                        <c:v>300</c:v>
                      </c:pt>
                      <c:pt idx="13">
                        <c:v>400</c:v>
                      </c:pt>
                      <c:pt idx="14">
                        <c:v>500</c:v>
                      </c:pt>
                      <c:pt idx="15">
                        <c:v>600</c:v>
                      </c:pt>
                      <c:pt idx="16">
                        <c:v>700</c:v>
                      </c:pt>
                      <c:pt idx="17">
                        <c:v>800</c:v>
                      </c:pt>
                      <c:pt idx="18">
                        <c:v>900</c:v>
                      </c:pt>
                      <c:pt idx="19">
                        <c:v>1000</c:v>
                      </c:pt>
                      <c:pt idx="20">
                        <c:v>2000</c:v>
                      </c:pt>
                      <c:pt idx="21">
                        <c:v>3000</c:v>
                      </c:pt>
                      <c:pt idx="22">
                        <c:v>4000</c:v>
                      </c:pt>
                      <c:pt idx="23">
                        <c:v>5000</c:v>
                      </c:pt>
                      <c:pt idx="24">
                        <c:v>6000</c:v>
                      </c:pt>
                      <c:pt idx="25">
                        <c:v>7000</c:v>
                      </c:pt>
                      <c:pt idx="26">
                        <c:v>8000</c:v>
                      </c:pt>
                      <c:pt idx="27">
                        <c:v>9000</c:v>
                      </c:pt>
                      <c:pt idx="28">
                        <c:v>10000</c:v>
                      </c:pt>
                    </c:numCache>
                  </c:numRef>
                </c:cat>
                <c:val>
                  <c:numRef>
                    <c:extLst xmlns:c16r2="http://schemas.microsoft.com/office/drawing/2015/06/chart">
                      <c:ext uri="{02D57815-91ED-43cb-92C2-25804820EDAC}">
                        <c15:formulaRef>
                          <c15:sqref>Hists!$D$1150:$D$1178</c15:sqref>
                        </c15:formulaRef>
                      </c:ext>
                    </c:extLst>
                    <c:numCache>
                      <c:formatCode>0.00</c:formatCode>
                      <c:ptCount val="29"/>
                      <c:pt idx="0">
                        <c:v>11.111111110987654</c:v>
                      </c:pt>
                      <c:pt idx="1">
                        <c:v>0</c:v>
                      </c:pt>
                      <c:pt idx="2">
                        <c:v>0</c:v>
                      </c:pt>
                      <c:pt idx="3">
                        <c:v>0</c:v>
                      </c:pt>
                      <c:pt idx="4">
                        <c:v>0</c:v>
                      </c:pt>
                      <c:pt idx="5">
                        <c:v>0</c:v>
                      </c:pt>
                      <c:pt idx="6">
                        <c:v>0</c:v>
                      </c:pt>
                      <c:pt idx="7">
                        <c:v>0</c:v>
                      </c:pt>
                      <c:pt idx="8">
                        <c:v>0</c:v>
                      </c:pt>
                      <c:pt idx="9">
                        <c:v>11.111111110987654</c:v>
                      </c:pt>
                      <c:pt idx="10">
                        <c:v>0</c:v>
                      </c:pt>
                      <c:pt idx="11">
                        <c:v>11.111111110987654</c:v>
                      </c:pt>
                      <c:pt idx="12">
                        <c:v>11.111111110987654</c:v>
                      </c:pt>
                      <c:pt idx="13">
                        <c:v>0</c:v>
                      </c:pt>
                      <c:pt idx="14">
                        <c:v>0</c:v>
                      </c:pt>
                      <c:pt idx="15">
                        <c:v>0</c:v>
                      </c:pt>
                      <c:pt idx="16">
                        <c:v>0</c:v>
                      </c:pt>
                      <c:pt idx="17">
                        <c:v>0</c:v>
                      </c:pt>
                      <c:pt idx="18">
                        <c:v>0</c:v>
                      </c:pt>
                      <c:pt idx="19">
                        <c:v>0</c:v>
                      </c:pt>
                      <c:pt idx="20">
                        <c:v>0</c:v>
                      </c:pt>
                      <c:pt idx="21">
                        <c:v>0</c:v>
                      </c:pt>
                      <c:pt idx="22">
                        <c:v>0</c:v>
                      </c:pt>
                      <c:pt idx="23">
                        <c:v>33.333333332962965</c:v>
                      </c:pt>
                      <c:pt idx="24">
                        <c:v>0</c:v>
                      </c:pt>
                      <c:pt idx="25">
                        <c:v>0</c:v>
                      </c:pt>
                      <c:pt idx="26">
                        <c:v>22.222222221975308</c:v>
                      </c:pt>
                      <c:pt idx="27">
                        <c:v>0</c:v>
                      </c:pt>
                      <c:pt idx="28">
                        <c:v>0</c:v>
                      </c:pt>
                    </c:numCache>
                  </c:numRef>
                </c:val>
                <c:extLst xmlns:c16r2="http://schemas.microsoft.com/office/drawing/2015/06/chart">
                  <c:ext xmlns:c16="http://schemas.microsoft.com/office/drawing/2014/chart" uri="{C3380CC4-5D6E-409C-BE32-E72D297353CC}">
                    <c16:uniqueId val="{00000003-DA5F-4D58-9EB5-798B924EE427}"/>
                  </c:ext>
                </c:extLst>
              </c15:ser>
            </c15:filteredBarSeries>
          </c:ext>
        </c:extLst>
      </c:barChart>
      <c:catAx>
        <c:axId val="221739392"/>
        <c:scaling>
          <c:orientation val="minMax"/>
        </c:scaling>
        <c:delete val="0"/>
        <c:axPos val="b"/>
        <c:title>
          <c:tx>
            <c:rich>
              <a:bodyPr/>
              <a:lstStyle/>
              <a:p>
                <a:pPr>
                  <a:defRPr/>
                </a:pPr>
                <a:r>
                  <a:rPr lang="en-US" sz="1400">
                    <a:latin typeface="+mn-lt"/>
                  </a:rPr>
                  <a:t>Lifetime (h)</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1739784"/>
        <c:crosses val="autoZero"/>
        <c:auto val="1"/>
        <c:lblAlgn val="ctr"/>
        <c:lblOffset val="100"/>
        <c:tickLblSkip val="2"/>
        <c:noMultiLvlLbl val="0"/>
      </c:catAx>
      <c:valAx>
        <c:axId val="221739784"/>
        <c:scaling>
          <c:orientation val="minMax"/>
          <c:max val="80"/>
        </c:scaling>
        <c:delete val="0"/>
        <c:axPos val="l"/>
        <c:numFmt formatCode="0" sourceLinked="0"/>
        <c:majorTickMark val="out"/>
        <c:minorTickMark val="none"/>
        <c:tickLblPos val="nextTo"/>
        <c:txPr>
          <a:bodyPr/>
          <a:lstStyle/>
          <a:p>
            <a:pPr>
              <a:defRPr sz="1200">
                <a:latin typeface="+mn-lt"/>
              </a:defRPr>
            </a:pPr>
            <a:endParaRPr lang="en-US"/>
          </a:p>
        </c:txPr>
        <c:crossAx val="221739392"/>
        <c:crosses val="autoZero"/>
        <c:crossBetween val="between"/>
      </c:valAx>
      <c:spPr>
        <a:noFill/>
        <a:ln>
          <a:solidFill>
            <a:schemeClr val="bg1">
              <a:lumMod val="50000"/>
            </a:schemeClr>
          </a:solidFill>
        </a:ln>
      </c:spPr>
    </c:plotArea>
    <c:legend>
      <c:legendPos val="r"/>
      <c:layout>
        <c:manualLayout>
          <c:xMode val="edge"/>
          <c:yMode val="edge"/>
          <c:x val="0.15539844394897445"/>
          <c:y val="9.9762464118112196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Hists!$E$1198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Hists!$B$1200:$B$1228</c:f>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f>Hists!$F$1200:$F$1228</c:f>
              <c:numCache>
                <c:formatCode>0.00</c:formatCode>
                <c:ptCount val="29"/>
                <c:pt idx="0">
                  <c:v>0</c:v>
                </c:pt>
                <c:pt idx="1">
                  <c:v>0</c:v>
                </c:pt>
                <c:pt idx="2">
                  <c:v>0</c:v>
                </c:pt>
                <c:pt idx="3">
                  <c:v>0</c:v>
                </c:pt>
                <c:pt idx="4">
                  <c:v>15.384615384497041</c:v>
                </c:pt>
                <c:pt idx="5">
                  <c:v>0</c:v>
                </c:pt>
                <c:pt idx="6">
                  <c:v>0</c:v>
                </c:pt>
                <c:pt idx="7">
                  <c:v>0</c:v>
                </c:pt>
                <c:pt idx="8">
                  <c:v>0</c:v>
                </c:pt>
                <c:pt idx="9">
                  <c:v>0</c:v>
                </c:pt>
                <c:pt idx="10">
                  <c:v>0</c:v>
                </c:pt>
                <c:pt idx="11">
                  <c:v>7.6923076922485203</c:v>
                </c:pt>
                <c:pt idx="12">
                  <c:v>15.384615384497041</c:v>
                </c:pt>
                <c:pt idx="13">
                  <c:v>7.6923076922485203</c:v>
                </c:pt>
                <c:pt idx="14">
                  <c:v>0</c:v>
                </c:pt>
                <c:pt idx="15">
                  <c:v>0</c:v>
                </c:pt>
                <c:pt idx="16">
                  <c:v>0</c:v>
                </c:pt>
                <c:pt idx="17">
                  <c:v>0</c:v>
                </c:pt>
                <c:pt idx="18">
                  <c:v>7.6923076922485203</c:v>
                </c:pt>
                <c:pt idx="19">
                  <c:v>30.769230768994081</c:v>
                </c:pt>
                <c:pt idx="20">
                  <c:v>15.384615384497041</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4922-494B-B6E5-C23B9FFAF0F9}"/>
            </c:ext>
          </c:extLst>
        </c:ser>
        <c:ser>
          <c:idx val="2"/>
          <c:order val="2"/>
          <c:tx>
            <c:strRef>
              <c:f>Hists!$G$1198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Hists!$B$1200:$B$1228</c:f>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f>Hists!$H$1200:$H$1228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4922-494B-B6E5-C23B9FFAF0F9}"/>
            </c:ext>
          </c:extLst>
        </c:ser>
        <c:ser>
          <c:idx val="3"/>
          <c:order val="3"/>
          <c:tx>
            <c:strRef>
              <c:f>Hists!$I$1198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Hists!$B$1200:$B$1228</c:f>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f>Hists!$J$1200:$J$1228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4922-494B-B6E5-C23B9FFAF0F9}"/>
            </c:ext>
          </c:extLst>
        </c:ser>
        <c:dLbls>
          <c:showLegendKey val="0"/>
          <c:showVal val="0"/>
          <c:showCatName val="0"/>
          <c:showSerName val="0"/>
          <c:showPercent val="0"/>
          <c:showBubbleSize val="0"/>
        </c:dLbls>
        <c:gapWidth val="0"/>
        <c:overlap val="75"/>
        <c:axId val="221740568"/>
        <c:axId val="22174096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Hists!$C$1198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Hists!$B$1200:$B$1228</c15:sqref>
                        </c15:formulaRef>
                      </c:ext>
                    </c:extLst>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extLst xmlns:c16r2="http://schemas.microsoft.com/office/drawing/2015/06/chart">
                      <c:ext uri="{02D57815-91ED-43cb-92C2-25804820EDAC}">
                        <c15:formulaRef>
                          <c15:sqref>Hists!$D$1200:$D$1228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4922-494B-B6E5-C23B9FFAF0F9}"/>
                  </c:ext>
                </c:extLst>
              </c15:ser>
            </c15:filteredBarSeries>
          </c:ext>
        </c:extLst>
      </c:barChart>
      <c:catAx>
        <c:axId val="221740568"/>
        <c:scaling>
          <c:orientation val="minMax"/>
        </c:scaling>
        <c:delete val="0"/>
        <c:axPos val="b"/>
        <c:title>
          <c:tx>
            <c:rich>
              <a:bodyPr/>
              <a:lstStyle/>
              <a:p>
                <a:pPr>
                  <a:defRPr/>
                </a:pPr>
                <a:r>
                  <a:rPr lang="en-US" sz="1400">
                    <a:latin typeface="+mn-lt"/>
                  </a:rPr>
                  <a:t>Lifetime (h)</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1740960"/>
        <c:crosses val="autoZero"/>
        <c:auto val="1"/>
        <c:lblAlgn val="ctr"/>
        <c:lblOffset val="100"/>
        <c:tickLblSkip val="2"/>
        <c:noMultiLvlLbl val="0"/>
      </c:catAx>
      <c:valAx>
        <c:axId val="221740960"/>
        <c:scaling>
          <c:orientation val="minMax"/>
          <c:max val="35"/>
        </c:scaling>
        <c:delete val="0"/>
        <c:axPos val="l"/>
        <c:numFmt formatCode="0" sourceLinked="0"/>
        <c:majorTickMark val="out"/>
        <c:minorTickMark val="none"/>
        <c:tickLblPos val="nextTo"/>
        <c:txPr>
          <a:bodyPr/>
          <a:lstStyle/>
          <a:p>
            <a:pPr>
              <a:defRPr sz="1200">
                <a:latin typeface="+mn-lt"/>
              </a:defRPr>
            </a:pPr>
            <a:endParaRPr lang="en-US"/>
          </a:p>
        </c:txPr>
        <c:crossAx val="221740568"/>
        <c:crosses val="autoZero"/>
        <c:crossBetween val="between"/>
      </c:valAx>
      <c:spPr>
        <a:noFill/>
        <a:ln>
          <a:solidFill>
            <a:schemeClr val="bg1">
              <a:lumMod val="50000"/>
            </a:schemeClr>
          </a:solidFill>
        </a:ln>
      </c:spPr>
    </c:plotArea>
    <c:legend>
      <c:legendPos val="r"/>
      <c:layout>
        <c:manualLayout>
          <c:xMode val="edge"/>
          <c:yMode val="edge"/>
          <c:x val="0.19558113614938569"/>
          <c:y val="0.10307243306695468"/>
          <c:w val="0.3118231868288695"/>
          <c:h val="0.36960703110380427"/>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Hists!$E$1248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Hists!$B$1250:$B$1278</c:f>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f>Hists!$F$1250:$F$1278</c:f>
              <c:numCache>
                <c:formatCode>0.00</c:formatCode>
                <c:ptCount val="29"/>
                <c:pt idx="0">
                  <c:v>19.999999991999999</c:v>
                </c:pt>
                <c:pt idx="1">
                  <c:v>7.9999999967999997</c:v>
                </c:pt>
                <c:pt idx="2">
                  <c:v>0</c:v>
                </c:pt>
                <c:pt idx="3">
                  <c:v>11.9999999952</c:v>
                </c:pt>
                <c:pt idx="4">
                  <c:v>7.9999999967999997</c:v>
                </c:pt>
                <c:pt idx="5">
                  <c:v>11.9999999952</c:v>
                </c:pt>
                <c:pt idx="6">
                  <c:v>3.9999999983999999</c:v>
                </c:pt>
                <c:pt idx="7">
                  <c:v>7.9999999967999997</c:v>
                </c:pt>
                <c:pt idx="8">
                  <c:v>0</c:v>
                </c:pt>
                <c:pt idx="9">
                  <c:v>0</c:v>
                </c:pt>
                <c:pt idx="10">
                  <c:v>0</c:v>
                </c:pt>
                <c:pt idx="11">
                  <c:v>7.9999999967999997</c:v>
                </c:pt>
                <c:pt idx="12">
                  <c:v>7.9999999967999997</c:v>
                </c:pt>
                <c:pt idx="13">
                  <c:v>0</c:v>
                </c:pt>
                <c:pt idx="14">
                  <c:v>0</c:v>
                </c:pt>
                <c:pt idx="15">
                  <c:v>0</c:v>
                </c:pt>
                <c:pt idx="16">
                  <c:v>0</c:v>
                </c:pt>
                <c:pt idx="17">
                  <c:v>0</c:v>
                </c:pt>
                <c:pt idx="18">
                  <c:v>0</c:v>
                </c:pt>
                <c:pt idx="19">
                  <c:v>0</c:v>
                </c:pt>
                <c:pt idx="20">
                  <c:v>0</c:v>
                </c:pt>
                <c:pt idx="21">
                  <c:v>0</c:v>
                </c:pt>
                <c:pt idx="22">
                  <c:v>3.9999999983999999</c:v>
                </c:pt>
                <c:pt idx="23">
                  <c:v>0</c:v>
                </c:pt>
                <c:pt idx="24">
                  <c:v>0</c:v>
                </c:pt>
                <c:pt idx="25">
                  <c:v>0</c:v>
                </c:pt>
                <c:pt idx="26">
                  <c:v>0</c:v>
                </c:pt>
                <c:pt idx="27">
                  <c:v>0</c:v>
                </c:pt>
                <c:pt idx="28">
                  <c:v>7.9999999967999997</c:v>
                </c:pt>
              </c:numCache>
            </c:numRef>
          </c:val>
          <c:extLst xmlns:c16r2="http://schemas.microsoft.com/office/drawing/2015/06/chart">
            <c:ext xmlns:c16="http://schemas.microsoft.com/office/drawing/2014/chart" uri="{C3380CC4-5D6E-409C-BE32-E72D297353CC}">
              <c16:uniqueId val="{00000000-3768-4882-8136-8A38114A795A}"/>
            </c:ext>
          </c:extLst>
        </c:ser>
        <c:ser>
          <c:idx val="2"/>
          <c:order val="2"/>
          <c:tx>
            <c:strRef>
              <c:f>Hists!$G$1248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Hists!$B$1250:$B$1278</c:f>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f>Hists!$H$1250:$H$1278</c:f>
              <c:numCache>
                <c:formatCode>0.00</c:formatCode>
                <c:ptCount val="29"/>
                <c:pt idx="0">
                  <c:v>0</c:v>
                </c:pt>
                <c:pt idx="1">
                  <c:v>0</c:v>
                </c:pt>
                <c:pt idx="2">
                  <c:v>24.999999999791665</c:v>
                </c:pt>
                <c:pt idx="3">
                  <c:v>0</c:v>
                </c:pt>
                <c:pt idx="4">
                  <c:v>8.333333333263889</c:v>
                </c:pt>
                <c:pt idx="5">
                  <c:v>8.333333333263889</c:v>
                </c:pt>
                <c:pt idx="6">
                  <c:v>0</c:v>
                </c:pt>
                <c:pt idx="7">
                  <c:v>8.333333333263889</c:v>
                </c:pt>
                <c:pt idx="8">
                  <c:v>0</c:v>
                </c:pt>
                <c:pt idx="9">
                  <c:v>0</c:v>
                </c:pt>
                <c:pt idx="10">
                  <c:v>8.333333333263889</c:v>
                </c:pt>
                <c:pt idx="11">
                  <c:v>8.333333333263889</c:v>
                </c:pt>
                <c:pt idx="12">
                  <c:v>8.333333333263889</c:v>
                </c:pt>
                <c:pt idx="13">
                  <c:v>24.999999999791665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3768-4882-8136-8A38114A795A}"/>
            </c:ext>
          </c:extLst>
        </c:ser>
        <c:ser>
          <c:idx val="3"/>
          <c:order val="3"/>
          <c:tx>
            <c:strRef>
              <c:f>Hists!$I$1248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Hists!$B$1250:$B$1278</c:f>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f>Hists!$J$1250:$J$1278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7.6923076922485203</c:v>
                </c:pt>
                <c:pt idx="13">
                  <c:v>23.076923076745562</c:v>
                </c:pt>
                <c:pt idx="14">
                  <c:v>23.076923076745562</c:v>
                </c:pt>
                <c:pt idx="15">
                  <c:v>0</c:v>
                </c:pt>
                <c:pt idx="16">
                  <c:v>0</c:v>
                </c:pt>
                <c:pt idx="17">
                  <c:v>7.6923076922485203</c:v>
                </c:pt>
                <c:pt idx="18">
                  <c:v>0</c:v>
                </c:pt>
                <c:pt idx="19">
                  <c:v>7.6923076922485203</c:v>
                </c:pt>
                <c:pt idx="20">
                  <c:v>0</c:v>
                </c:pt>
                <c:pt idx="21">
                  <c:v>0</c:v>
                </c:pt>
                <c:pt idx="22">
                  <c:v>0</c:v>
                </c:pt>
                <c:pt idx="23">
                  <c:v>0</c:v>
                </c:pt>
                <c:pt idx="24">
                  <c:v>0</c:v>
                </c:pt>
                <c:pt idx="25">
                  <c:v>0</c:v>
                </c:pt>
                <c:pt idx="26">
                  <c:v>0</c:v>
                </c:pt>
                <c:pt idx="27">
                  <c:v>0</c:v>
                </c:pt>
                <c:pt idx="28">
                  <c:v>30.769230768994081</c:v>
                </c:pt>
              </c:numCache>
            </c:numRef>
          </c:val>
          <c:extLst xmlns:c16r2="http://schemas.microsoft.com/office/drawing/2015/06/chart">
            <c:ext xmlns:c16="http://schemas.microsoft.com/office/drawing/2014/chart" uri="{C3380CC4-5D6E-409C-BE32-E72D297353CC}">
              <c16:uniqueId val="{00000002-3768-4882-8136-8A38114A795A}"/>
            </c:ext>
          </c:extLst>
        </c:ser>
        <c:dLbls>
          <c:showLegendKey val="0"/>
          <c:showVal val="0"/>
          <c:showCatName val="0"/>
          <c:showSerName val="0"/>
          <c:showPercent val="0"/>
          <c:showBubbleSize val="0"/>
        </c:dLbls>
        <c:gapWidth val="0"/>
        <c:overlap val="75"/>
        <c:axId val="221741744"/>
        <c:axId val="22174213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Hists!$C$1248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Hists!$B$1250:$B$1278</c15:sqref>
                        </c15:formulaRef>
                      </c:ext>
                    </c:extLst>
                    <c:numCache>
                      <c:formatCode>General</c:formatCode>
                      <c:ptCount val="29"/>
                      <c:pt idx="0">
                        <c:v>0</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numCache>
                  </c:numRef>
                </c:cat>
                <c:val>
                  <c:numRef>
                    <c:extLst xmlns:c16r2="http://schemas.microsoft.com/office/drawing/2015/06/chart">
                      <c:ext uri="{02D57815-91ED-43cb-92C2-25804820EDAC}">
                        <c15:formulaRef>
                          <c15:sqref>Hists!$D$1250:$D$1278</c15:sqref>
                        </c15:formulaRef>
                      </c:ext>
                    </c:extLst>
                    <c:numCache>
                      <c:formatCode>0.00</c:formatCode>
                      <c:ptCount val="29"/>
                      <c:pt idx="0">
                        <c:v>0</c:v>
                      </c:pt>
                      <c:pt idx="1">
                        <c:v>0</c:v>
                      </c:pt>
                      <c:pt idx="2">
                        <c:v>0</c:v>
                      </c:pt>
                      <c:pt idx="3">
                        <c:v>0</c:v>
                      </c:pt>
                      <c:pt idx="4">
                        <c:v>0</c:v>
                      </c:pt>
                      <c:pt idx="5">
                        <c:v>49.999999997499998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49.999999997499998</c:v>
                      </c:pt>
                    </c:numCache>
                  </c:numRef>
                </c:val>
                <c:extLst xmlns:c16r2="http://schemas.microsoft.com/office/drawing/2015/06/chart">
                  <c:ext xmlns:c16="http://schemas.microsoft.com/office/drawing/2014/chart" uri="{C3380CC4-5D6E-409C-BE32-E72D297353CC}">
                    <c16:uniqueId val="{00000003-3768-4882-8136-8A38114A795A}"/>
                  </c:ext>
                </c:extLst>
              </c15:ser>
            </c15:filteredBarSeries>
          </c:ext>
        </c:extLst>
      </c:barChart>
      <c:catAx>
        <c:axId val="221741744"/>
        <c:scaling>
          <c:orientation val="minMax"/>
        </c:scaling>
        <c:delete val="0"/>
        <c:axPos val="b"/>
        <c:title>
          <c:tx>
            <c:rich>
              <a:bodyPr/>
              <a:lstStyle/>
              <a:p>
                <a:pPr>
                  <a:defRPr/>
                </a:pPr>
                <a:r>
                  <a:rPr lang="en-US" sz="1400">
                    <a:latin typeface="+mn-lt"/>
                  </a:rPr>
                  <a:t>Lifetime (h)</a:t>
                </a:r>
              </a:p>
            </c:rich>
          </c:tx>
          <c:layout>
            <c:manualLayout>
              <c:xMode val="edge"/>
              <c:yMode val="edge"/>
              <c:x val="8.568041505105066E-2"/>
              <c:y val="0.92937751212308706"/>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1742136"/>
        <c:crosses val="autoZero"/>
        <c:auto val="1"/>
        <c:lblAlgn val="ctr"/>
        <c:lblOffset val="100"/>
        <c:tickLblSkip val="2"/>
        <c:noMultiLvlLbl val="0"/>
      </c:catAx>
      <c:valAx>
        <c:axId val="221742136"/>
        <c:scaling>
          <c:orientation val="minMax"/>
          <c:max val="35"/>
        </c:scaling>
        <c:delete val="0"/>
        <c:axPos val="l"/>
        <c:numFmt formatCode="0" sourceLinked="0"/>
        <c:majorTickMark val="out"/>
        <c:minorTickMark val="none"/>
        <c:tickLblPos val="nextTo"/>
        <c:txPr>
          <a:bodyPr/>
          <a:lstStyle/>
          <a:p>
            <a:pPr>
              <a:defRPr sz="1200">
                <a:latin typeface="+mn-lt"/>
              </a:defRPr>
            </a:pPr>
            <a:endParaRPr lang="en-US"/>
          </a:p>
        </c:txPr>
        <c:crossAx val="221741744"/>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097812866926065E-2"/>
          <c:y val="4.9988294499925347E-2"/>
          <c:w val="0.92361921375716427"/>
          <c:h val="0.88031736137696182"/>
        </c:manualLayout>
      </c:layout>
      <c:barChart>
        <c:barDir val="col"/>
        <c:grouping val="clustered"/>
        <c:varyColors val="0"/>
        <c:ser>
          <c:idx val="0"/>
          <c:order val="0"/>
          <c:tx>
            <c:v>Resolution</c:v>
          </c:tx>
          <c:invertIfNegative val="0"/>
          <c:cat>
            <c:numRef>
              <c:f>Hists!$B$401:$B$428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Hists!$K$401:$K$428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49.999999995000003</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016D-4F0D-8712-D56A34612351}"/>
            </c:ext>
          </c:extLst>
        </c:ser>
        <c:ser>
          <c:idx val="1"/>
          <c:order val="1"/>
          <c:tx>
            <c:v>Accuracy</c:v>
          </c:tx>
          <c:invertIfNegative val="0"/>
          <c:cat>
            <c:numRef>
              <c:f>Hists!$B$401:$B$428</c:f>
              <c:numCache>
                <c:formatCode>General</c:formatCode>
                <c:ptCount val="28"/>
                <c:pt idx="0">
                  <c:v>3</c:v>
                </c:pt>
                <c:pt idx="1">
                  <c:v>3.5</c:v>
                </c:pt>
                <c:pt idx="2">
                  <c:v>4</c:v>
                </c:pt>
                <c:pt idx="3">
                  <c:v>4.5</c:v>
                </c:pt>
                <c:pt idx="4">
                  <c:v>5</c:v>
                </c:pt>
                <c:pt idx="5">
                  <c:v>5.5</c:v>
                </c:pt>
                <c:pt idx="6">
                  <c:v>6</c:v>
                </c:pt>
                <c:pt idx="7">
                  <c:v>6.5</c:v>
                </c:pt>
                <c:pt idx="8">
                  <c:v>7</c:v>
                </c:pt>
                <c:pt idx="9">
                  <c:v>7.5</c:v>
                </c:pt>
                <c:pt idx="10">
                  <c:v>8</c:v>
                </c:pt>
                <c:pt idx="11">
                  <c:v>8.5</c:v>
                </c:pt>
                <c:pt idx="12">
                  <c:v>9</c:v>
                </c:pt>
                <c:pt idx="13">
                  <c:v>9.5</c:v>
                </c:pt>
                <c:pt idx="14">
                  <c:v>10</c:v>
                </c:pt>
                <c:pt idx="15">
                  <c:v>10.5</c:v>
                </c:pt>
                <c:pt idx="16">
                  <c:v>11</c:v>
                </c:pt>
                <c:pt idx="17">
                  <c:v>11.5</c:v>
                </c:pt>
                <c:pt idx="18">
                  <c:v>12</c:v>
                </c:pt>
                <c:pt idx="19">
                  <c:v>12.5</c:v>
                </c:pt>
                <c:pt idx="20">
                  <c:v>13</c:v>
                </c:pt>
                <c:pt idx="21">
                  <c:v>13.5</c:v>
                </c:pt>
                <c:pt idx="22">
                  <c:v>14</c:v>
                </c:pt>
                <c:pt idx="23">
                  <c:v>14.5</c:v>
                </c:pt>
                <c:pt idx="24">
                  <c:v>15</c:v>
                </c:pt>
                <c:pt idx="25">
                  <c:v>15.5</c:v>
                </c:pt>
                <c:pt idx="26">
                  <c:v>16</c:v>
                </c:pt>
                <c:pt idx="27">
                  <c:v>16.5</c:v>
                </c:pt>
              </c:numCache>
            </c:numRef>
          </c:cat>
          <c:val>
            <c:numRef>
              <c:f>Hists!$L$401:$L$428</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49.999999995000003</c:v>
                </c:pt>
                <c:pt idx="18">
                  <c:v>0</c:v>
                </c:pt>
                <c:pt idx="19">
                  <c:v>0</c:v>
                </c:pt>
                <c:pt idx="20">
                  <c:v>0</c:v>
                </c:pt>
                <c:pt idx="21">
                  <c:v>0</c:v>
                </c:pt>
                <c:pt idx="22">
                  <c:v>0</c:v>
                </c:pt>
                <c:pt idx="23">
                  <c:v>0</c:v>
                </c:pt>
                <c:pt idx="24">
                  <c:v>0</c:v>
                </c:pt>
                <c:pt idx="25">
                  <c:v>49.999999995000003</c:v>
                </c:pt>
                <c:pt idx="26">
                  <c:v>0</c:v>
                </c:pt>
                <c:pt idx="27">
                  <c:v>0</c:v>
                </c:pt>
              </c:numCache>
            </c:numRef>
          </c:val>
          <c:extLst xmlns:c16r2="http://schemas.microsoft.com/office/drawing/2015/06/chart">
            <c:ext xmlns:c16="http://schemas.microsoft.com/office/drawing/2014/chart" uri="{C3380CC4-5D6E-409C-BE32-E72D297353CC}">
              <c16:uniqueId val="{00000001-016D-4F0D-8712-D56A34612351}"/>
            </c:ext>
          </c:extLst>
        </c:ser>
        <c:dLbls>
          <c:showLegendKey val="0"/>
          <c:showVal val="0"/>
          <c:showCatName val="0"/>
          <c:showSerName val="0"/>
          <c:showPercent val="0"/>
          <c:showBubbleSize val="0"/>
        </c:dLbls>
        <c:gapWidth val="150"/>
        <c:axId val="173130744"/>
        <c:axId val="173129960"/>
      </c:barChart>
      <c:catAx>
        <c:axId val="173130744"/>
        <c:scaling>
          <c:orientation val="minMax"/>
        </c:scaling>
        <c:delete val="0"/>
        <c:axPos val="b"/>
        <c:title>
          <c:tx>
            <c:rich>
              <a:bodyPr/>
              <a:lstStyle/>
              <a:p>
                <a:pPr>
                  <a:defRPr/>
                </a:pPr>
                <a:r>
                  <a:rPr lang="en-US"/>
                  <a:t>Bits</a:t>
                </a:r>
              </a:p>
            </c:rich>
          </c:tx>
          <c:layout>
            <c:manualLayout>
              <c:xMode val="edge"/>
              <c:yMode val="edge"/>
              <c:x val="0.49044163578689548"/>
              <c:y val="0.96457793684606763"/>
            </c:manualLayout>
          </c:layout>
          <c:overlay val="0"/>
        </c:title>
        <c:numFmt formatCode="General" sourceLinked="1"/>
        <c:majorTickMark val="out"/>
        <c:minorTickMark val="none"/>
        <c:tickLblPos val="nextTo"/>
        <c:txPr>
          <a:bodyPr rot="5400000" vert="horz"/>
          <a:lstStyle/>
          <a:p>
            <a:pPr>
              <a:defRPr/>
            </a:pPr>
            <a:endParaRPr lang="en-US"/>
          </a:p>
        </c:txPr>
        <c:crossAx val="173129960"/>
        <c:crosses val="autoZero"/>
        <c:auto val="1"/>
        <c:lblAlgn val="ctr"/>
        <c:lblOffset val="100"/>
        <c:noMultiLvlLbl val="0"/>
      </c:catAx>
      <c:valAx>
        <c:axId val="173129960"/>
        <c:scaling>
          <c:orientation val="minMax"/>
          <c:max val="55"/>
          <c:min val="0"/>
        </c:scaling>
        <c:delete val="0"/>
        <c:axPos val="l"/>
        <c:majorGridlines/>
        <c:minorGridlines/>
        <c:numFmt formatCode="0" sourceLinked="0"/>
        <c:majorTickMark val="out"/>
        <c:minorTickMark val="none"/>
        <c:tickLblPos val="nextTo"/>
        <c:crossAx val="173130744"/>
        <c:crosses val="autoZero"/>
        <c:crossBetween val="between"/>
      </c:valAx>
    </c:plotArea>
    <c:legend>
      <c:legendPos val="r"/>
      <c:layout>
        <c:manualLayout>
          <c:xMode val="edge"/>
          <c:yMode val="edge"/>
          <c:x val="0.35730371336091621"/>
          <c:y val="0.3670491915653013"/>
          <c:w val="9.4224304702227216E-2"/>
          <c:h val="6.6704794259134795E-2"/>
        </c:manualLayout>
      </c:layout>
      <c:overlay val="0"/>
      <c:spPr>
        <a:solidFill>
          <a:schemeClr val="bg1"/>
        </a:solidFill>
      </c:spPr>
    </c:legend>
    <c:plotVisOnly val="1"/>
    <c:dispBlanksAs val="gap"/>
    <c:showDLblsOverMax val="0"/>
  </c:chart>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Hists!$E$1298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Hists!$B$1300:$B$1328</c:f>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numRef>
          </c:cat>
          <c:val>
            <c:numRef>
              <c:f>Hists!$F$1300:$F$1328</c:f>
              <c:numCache>
                <c:formatCode>0.00</c:formatCode>
                <c:ptCount val="29"/>
                <c:pt idx="0">
                  <c:v>0</c:v>
                </c:pt>
                <c:pt idx="1">
                  <c:v>0</c:v>
                </c:pt>
                <c:pt idx="2">
                  <c:v>0</c:v>
                </c:pt>
                <c:pt idx="3">
                  <c:v>0</c:v>
                </c:pt>
                <c:pt idx="4">
                  <c:v>0</c:v>
                </c:pt>
                <c:pt idx="5">
                  <c:v>0</c:v>
                </c:pt>
                <c:pt idx="6">
                  <c:v>0</c:v>
                </c:pt>
                <c:pt idx="7">
                  <c:v>0</c:v>
                </c:pt>
                <c:pt idx="8">
                  <c:v>0</c:v>
                </c:pt>
                <c:pt idx="9">
                  <c:v>2.5641025640959896</c:v>
                </c:pt>
                <c:pt idx="10">
                  <c:v>17.948717948671927</c:v>
                </c:pt>
                <c:pt idx="11">
                  <c:v>12.820512820479946</c:v>
                </c:pt>
                <c:pt idx="12">
                  <c:v>2.5641025640959896</c:v>
                </c:pt>
                <c:pt idx="13">
                  <c:v>23.076923076863903</c:v>
                </c:pt>
                <c:pt idx="14">
                  <c:v>2.5641025640959896</c:v>
                </c:pt>
                <c:pt idx="15">
                  <c:v>15.384615384575936</c:v>
                </c:pt>
                <c:pt idx="16">
                  <c:v>10.256410256383958</c:v>
                </c:pt>
                <c:pt idx="17">
                  <c:v>2.5641025640959896</c:v>
                </c:pt>
                <c:pt idx="18">
                  <c:v>0</c:v>
                </c:pt>
                <c:pt idx="19">
                  <c:v>2.5641025640959896</c:v>
                </c:pt>
                <c:pt idx="20">
                  <c:v>0</c:v>
                </c:pt>
                <c:pt idx="21">
                  <c:v>0</c:v>
                </c:pt>
                <c:pt idx="22">
                  <c:v>2.5641025640959896</c:v>
                </c:pt>
                <c:pt idx="23">
                  <c:v>2.5641025640959896</c:v>
                </c:pt>
                <c:pt idx="24">
                  <c:v>0</c:v>
                </c:pt>
                <c:pt idx="25">
                  <c:v>2.5641025640959896</c:v>
                </c:pt>
                <c:pt idx="26">
                  <c:v>0</c:v>
                </c:pt>
                <c:pt idx="27">
                  <c:v>0</c:v>
                </c:pt>
                <c:pt idx="28">
                  <c:v>0</c:v>
                </c:pt>
              </c:numCache>
            </c:numRef>
          </c:val>
          <c:extLst xmlns:c16r2="http://schemas.microsoft.com/office/drawing/2015/06/chart">
            <c:ext xmlns:c16="http://schemas.microsoft.com/office/drawing/2014/chart" uri="{C3380CC4-5D6E-409C-BE32-E72D297353CC}">
              <c16:uniqueId val="{00000000-7161-49B1-9AB9-F1CD3DC7A5C1}"/>
            </c:ext>
          </c:extLst>
        </c:ser>
        <c:ser>
          <c:idx val="2"/>
          <c:order val="2"/>
          <c:tx>
            <c:strRef>
              <c:f>Hists!$G$1298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Hists!$B$1300:$B$1328</c:f>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numRef>
          </c:cat>
          <c:val>
            <c:numRef>
              <c:f>Hists!$H$1300:$H$1328</c:f>
              <c:numCache>
                <c:formatCode>0.00</c:formatCode>
                <c:ptCount val="29"/>
                <c:pt idx="0">
                  <c:v>5.263157894709142</c:v>
                </c:pt>
                <c:pt idx="1">
                  <c:v>5.263157894709142</c:v>
                </c:pt>
                <c:pt idx="2">
                  <c:v>0</c:v>
                </c:pt>
                <c:pt idx="3">
                  <c:v>42.105263157673136</c:v>
                </c:pt>
                <c:pt idx="4">
                  <c:v>5.263157894709142</c:v>
                </c:pt>
                <c:pt idx="5">
                  <c:v>0</c:v>
                </c:pt>
                <c:pt idx="6">
                  <c:v>15.789473684127426</c:v>
                </c:pt>
                <c:pt idx="7">
                  <c:v>10.526315789418284</c:v>
                </c:pt>
                <c:pt idx="8">
                  <c:v>15.789473684127426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7161-49B1-9AB9-F1CD3DC7A5C1}"/>
            </c:ext>
          </c:extLst>
        </c:ser>
        <c:ser>
          <c:idx val="3"/>
          <c:order val="3"/>
          <c:tx>
            <c:strRef>
              <c:f>Hists!$I$1298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Hists!$B$1300:$B$1328</c:f>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numRef>
          </c:cat>
          <c:val>
            <c:numRef>
              <c:f>Hists!$J$1300:$J$1328</c:f>
              <c:numCache>
                <c:formatCode>0.00</c:formatCode>
                <c:ptCount val="29"/>
                <c:pt idx="0">
                  <c:v>14.285714285612245</c:v>
                </c:pt>
                <c:pt idx="1">
                  <c:v>42.857142856836738</c:v>
                </c:pt>
                <c:pt idx="2">
                  <c:v>35.714285714030609</c:v>
                </c:pt>
                <c:pt idx="3">
                  <c:v>7.1428571428061227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7161-49B1-9AB9-F1CD3DC7A5C1}"/>
            </c:ext>
          </c:extLst>
        </c:ser>
        <c:dLbls>
          <c:showLegendKey val="0"/>
          <c:showVal val="0"/>
          <c:showCatName val="0"/>
          <c:showSerName val="0"/>
          <c:showPercent val="0"/>
          <c:showBubbleSize val="0"/>
        </c:dLbls>
        <c:gapWidth val="0"/>
        <c:overlap val="75"/>
        <c:axId val="222410312"/>
        <c:axId val="22241070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Hists!$C$1298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Hists!$B$1300:$B$1328</c15:sqref>
                        </c15:formulaRef>
                      </c:ext>
                    </c:extLst>
                    <c:numCache>
                      <c:formatCode>0.0</c:formatCode>
                      <c:ptCount val="29"/>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110</c:v>
                      </c:pt>
                      <c:pt idx="20">
                        <c:v>120</c:v>
                      </c:pt>
                      <c:pt idx="21">
                        <c:v>130</c:v>
                      </c:pt>
                      <c:pt idx="22">
                        <c:v>140</c:v>
                      </c:pt>
                      <c:pt idx="23">
                        <c:v>150</c:v>
                      </c:pt>
                      <c:pt idx="24">
                        <c:v>160</c:v>
                      </c:pt>
                      <c:pt idx="25">
                        <c:v>170</c:v>
                      </c:pt>
                      <c:pt idx="26">
                        <c:v>180</c:v>
                      </c:pt>
                      <c:pt idx="27">
                        <c:v>190</c:v>
                      </c:pt>
                      <c:pt idx="28">
                        <c:v>200</c:v>
                      </c:pt>
                    </c:numCache>
                  </c:numRef>
                </c:cat>
                <c:val>
                  <c:numRef>
                    <c:extLst xmlns:c16r2="http://schemas.microsoft.com/office/drawing/2015/06/chart">
                      <c:ext uri="{02D57815-91ED-43cb-92C2-25804820EDAC}">
                        <c15:formulaRef>
                          <c15:sqref>Hists!$D$1300:$D$1328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15.384615384497041</c:v>
                      </c:pt>
                      <c:pt idx="11">
                        <c:v>0</c:v>
                      </c:pt>
                      <c:pt idx="12">
                        <c:v>23.076923076745562</c:v>
                      </c:pt>
                      <c:pt idx="13">
                        <c:v>15.384615384497041</c:v>
                      </c:pt>
                      <c:pt idx="14">
                        <c:v>30.769230768994081</c:v>
                      </c:pt>
                      <c:pt idx="15">
                        <c:v>7.6923076922485203</c:v>
                      </c:pt>
                      <c:pt idx="16">
                        <c:v>0</c:v>
                      </c:pt>
                      <c:pt idx="17">
                        <c:v>0</c:v>
                      </c:pt>
                      <c:pt idx="18">
                        <c:v>0</c:v>
                      </c:pt>
                      <c:pt idx="19">
                        <c:v>0</c:v>
                      </c:pt>
                      <c:pt idx="20">
                        <c:v>0</c:v>
                      </c:pt>
                      <c:pt idx="21">
                        <c:v>0</c:v>
                      </c:pt>
                      <c:pt idx="22">
                        <c:v>7.6923076922485203</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7161-49B1-9AB9-F1CD3DC7A5C1}"/>
                  </c:ext>
                </c:extLst>
              </c15:ser>
            </c15:filteredBarSeries>
          </c:ext>
        </c:extLst>
      </c:barChart>
      <c:catAx>
        <c:axId val="222410312"/>
        <c:scaling>
          <c:orientation val="minMax"/>
        </c:scaling>
        <c:delete val="0"/>
        <c:axPos val="b"/>
        <c:title>
          <c:tx>
            <c:rich>
              <a:bodyPr/>
              <a:lstStyle/>
              <a:p>
                <a:pPr>
                  <a:defRPr/>
                </a:pPr>
                <a:r>
                  <a:rPr lang="en-US" sz="1400">
                    <a:latin typeface="+mn-lt"/>
                  </a:rPr>
                  <a:t>Dimension (mm)</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2410704"/>
        <c:crosses val="autoZero"/>
        <c:auto val="1"/>
        <c:lblAlgn val="ctr"/>
        <c:lblOffset val="100"/>
        <c:tickLblSkip val="2"/>
        <c:noMultiLvlLbl val="0"/>
      </c:catAx>
      <c:valAx>
        <c:axId val="222410704"/>
        <c:scaling>
          <c:orientation val="minMax"/>
          <c:max val="45"/>
        </c:scaling>
        <c:delete val="0"/>
        <c:axPos val="l"/>
        <c:numFmt formatCode="0" sourceLinked="0"/>
        <c:majorTickMark val="out"/>
        <c:minorTickMark val="none"/>
        <c:tickLblPos val="nextTo"/>
        <c:txPr>
          <a:bodyPr/>
          <a:lstStyle/>
          <a:p>
            <a:pPr>
              <a:defRPr sz="1200">
                <a:latin typeface="+mn-lt"/>
              </a:defRPr>
            </a:pPr>
            <a:endParaRPr lang="en-US"/>
          </a:p>
        </c:txPr>
        <c:crossAx val="222410312"/>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3841473575441"/>
          <c:y val="2.5749734029660451E-2"/>
          <c:w val="0.88174419371275636"/>
          <c:h val="0.8183231348073795"/>
        </c:manualLayout>
      </c:layout>
      <c:barChart>
        <c:barDir val="col"/>
        <c:grouping val="clustered"/>
        <c:varyColors val="0"/>
        <c:ser>
          <c:idx val="1"/>
          <c:order val="1"/>
          <c:tx>
            <c:strRef>
              <c:f>Hists!$E$1348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Hists!$B$1350:$B$1378</c:f>
              <c:numCache>
                <c:formatCode>0.0</c:formatCode>
                <c:ptCount val="29"/>
                <c:pt idx="0">
                  <c:v>100</c:v>
                </c:pt>
                <c:pt idx="1">
                  <c:v>200</c:v>
                </c:pt>
                <c:pt idx="2">
                  <c:v>300</c:v>
                </c:pt>
                <c:pt idx="3">
                  <c:v>400</c:v>
                </c:pt>
                <c:pt idx="4">
                  <c:v>500</c:v>
                </c:pt>
                <c:pt idx="5">
                  <c:v>600</c:v>
                </c:pt>
                <c:pt idx="6">
                  <c:v>700</c:v>
                </c:pt>
                <c:pt idx="7">
                  <c:v>800</c:v>
                </c:pt>
                <c:pt idx="8">
                  <c:v>900</c:v>
                </c:pt>
                <c:pt idx="9">
                  <c:v>1000</c:v>
                </c:pt>
                <c:pt idx="10">
                  <c:v>2000</c:v>
                </c:pt>
                <c:pt idx="11">
                  <c:v>3000</c:v>
                </c:pt>
                <c:pt idx="12">
                  <c:v>4000</c:v>
                </c:pt>
                <c:pt idx="13">
                  <c:v>5000</c:v>
                </c:pt>
                <c:pt idx="14">
                  <c:v>6000</c:v>
                </c:pt>
                <c:pt idx="15">
                  <c:v>7000</c:v>
                </c:pt>
                <c:pt idx="16">
                  <c:v>8000</c:v>
                </c:pt>
                <c:pt idx="17">
                  <c:v>9000</c:v>
                </c:pt>
                <c:pt idx="18">
                  <c:v>1000</c:v>
                </c:pt>
                <c:pt idx="19">
                  <c:v>20000</c:v>
                </c:pt>
                <c:pt idx="20">
                  <c:v>30000</c:v>
                </c:pt>
                <c:pt idx="21">
                  <c:v>40000</c:v>
                </c:pt>
                <c:pt idx="22">
                  <c:v>50000</c:v>
                </c:pt>
                <c:pt idx="23">
                  <c:v>60000</c:v>
                </c:pt>
                <c:pt idx="24">
                  <c:v>70000</c:v>
                </c:pt>
                <c:pt idx="25">
                  <c:v>80000</c:v>
                </c:pt>
                <c:pt idx="26">
                  <c:v>90000</c:v>
                </c:pt>
                <c:pt idx="27">
                  <c:v>100000</c:v>
                </c:pt>
                <c:pt idx="28">
                  <c:v>200000</c:v>
                </c:pt>
              </c:numCache>
            </c:numRef>
          </c:cat>
          <c:val>
            <c:numRef>
              <c:f>Hists!$F$1350:$F$1378</c:f>
              <c:numCache>
                <c:formatCode>0.00</c:formatCode>
                <c:ptCount val="29"/>
                <c:pt idx="0">
                  <c:v>9.6774193548074923</c:v>
                </c:pt>
                <c:pt idx="1">
                  <c:v>0</c:v>
                </c:pt>
                <c:pt idx="2">
                  <c:v>0</c:v>
                </c:pt>
                <c:pt idx="3">
                  <c:v>0</c:v>
                </c:pt>
                <c:pt idx="4">
                  <c:v>0</c:v>
                </c:pt>
                <c:pt idx="5">
                  <c:v>0</c:v>
                </c:pt>
                <c:pt idx="6">
                  <c:v>0</c:v>
                </c:pt>
                <c:pt idx="7">
                  <c:v>0</c:v>
                </c:pt>
                <c:pt idx="8">
                  <c:v>0</c:v>
                </c:pt>
                <c:pt idx="9">
                  <c:v>0</c:v>
                </c:pt>
                <c:pt idx="10">
                  <c:v>19.354838709614985</c:v>
                </c:pt>
                <c:pt idx="11">
                  <c:v>0</c:v>
                </c:pt>
                <c:pt idx="12">
                  <c:v>0</c:v>
                </c:pt>
                <c:pt idx="13">
                  <c:v>3.2258064516024976</c:v>
                </c:pt>
                <c:pt idx="14">
                  <c:v>0</c:v>
                </c:pt>
                <c:pt idx="15">
                  <c:v>3.2258064516024976</c:v>
                </c:pt>
                <c:pt idx="16">
                  <c:v>0</c:v>
                </c:pt>
                <c:pt idx="17">
                  <c:v>0</c:v>
                </c:pt>
                <c:pt idx="18">
                  <c:v>25.806451612819981</c:v>
                </c:pt>
                <c:pt idx="19">
                  <c:v>12.90322580640999</c:v>
                </c:pt>
                <c:pt idx="20">
                  <c:v>0</c:v>
                </c:pt>
                <c:pt idx="21">
                  <c:v>6.4516129032049951</c:v>
                </c:pt>
                <c:pt idx="22">
                  <c:v>0</c:v>
                </c:pt>
                <c:pt idx="23">
                  <c:v>3.2258064516024976</c:v>
                </c:pt>
                <c:pt idx="24">
                  <c:v>0</c:v>
                </c:pt>
                <c:pt idx="25">
                  <c:v>0</c:v>
                </c:pt>
                <c:pt idx="26">
                  <c:v>0</c:v>
                </c:pt>
                <c:pt idx="27">
                  <c:v>0</c:v>
                </c:pt>
                <c:pt idx="28">
                  <c:v>16.129032258012487</c:v>
                </c:pt>
              </c:numCache>
            </c:numRef>
          </c:val>
          <c:extLst xmlns:c16r2="http://schemas.microsoft.com/office/drawing/2015/06/chart">
            <c:ext xmlns:c16="http://schemas.microsoft.com/office/drawing/2014/chart" uri="{C3380CC4-5D6E-409C-BE32-E72D297353CC}">
              <c16:uniqueId val="{00000000-FBAB-4760-9ECE-3A7A1FF96241}"/>
            </c:ext>
          </c:extLst>
        </c:ser>
        <c:dLbls>
          <c:showLegendKey val="0"/>
          <c:showVal val="0"/>
          <c:showCatName val="0"/>
          <c:showSerName val="0"/>
          <c:showPercent val="0"/>
          <c:showBubbleSize val="0"/>
        </c:dLbls>
        <c:gapWidth val="0"/>
        <c:overlap val="75"/>
        <c:axId val="222411488"/>
        <c:axId val="22241188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Hists!$C$1348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Hists!$B$1350:$B$1378</c15:sqref>
                        </c15:formulaRef>
                      </c:ext>
                    </c:extLst>
                    <c:numCache>
                      <c:formatCode>0.0</c:formatCode>
                      <c:ptCount val="29"/>
                      <c:pt idx="0">
                        <c:v>100</c:v>
                      </c:pt>
                      <c:pt idx="1">
                        <c:v>200</c:v>
                      </c:pt>
                      <c:pt idx="2">
                        <c:v>300</c:v>
                      </c:pt>
                      <c:pt idx="3">
                        <c:v>400</c:v>
                      </c:pt>
                      <c:pt idx="4">
                        <c:v>500</c:v>
                      </c:pt>
                      <c:pt idx="5">
                        <c:v>600</c:v>
                      </c:pt>
                      <c:pt idx="6">
                        <c:v>700</c:v>
                      </c:pt>
                      <c:pt idx="7">
                        <c:v>800</c:v>
                      </c:pt>
                      <c:pt idx="8">
                        <c:v>900</c:v>
                      </c:pt>
                      <c:pt idx="9">
                        <c:v>1000</c:v>
                      </c:pt>
                      <c:pt idx="10">
                        <c:v>2000</c:v>
                      </c:pt>
                      <c:pt idx="11">
                        <c:v>3000</c:v>
                      </c:pt>
                      <c:pt idx="12">
                        <c:v>4000</c:v>
                      </c:pt>
                      <c:pt idx="13">
                        <c:v>5000</c:v>
                      </c:pt>
                      <c:pt idx="14">
                        <c:v>6000</c:v>
                      </c:pt>
                      <c:pt idx="15">
                        <c:v>7000</c:v>
                      </c:pt>
                      <c:pt idx="16">
                        <c:v>8000</c:v>
                      </c:pt>
                      <c:pt idx="17">
                        <c:v>9000</c:v>
                      </c:pt>
                      <c:pt idx="18">
                        <c:v>1000</c:v>
                      </c:pt>
                      <c:pt idx="19">
                        <c:v>20000</c:v>
                      </c:pt>
                      <c:pt idx="20">
                        <c:v>30000</c:v>
                      </c:pt>
                      <c:pt idx="21">
                        <c:v>40000</c:v>
                      </c:pt>
                      <c:pt idx="22">
                        <c:v>50000</c:v>
                      </c:pt>
                      <c:pt idx="23">
                        <c:v>60000</c:v>
                      </c:pt>
                      <c:pt idx="24">
                        <c:v>70000</c:v>
                      </c:pt>
                      <c:pt idx="25">
                        <c:v>80000</c:v>
                      </c:pt>
                      <c:pt idx="26">
                        <c:v>90000</c:v>
                      </c:pt>
                      <c:pt idx="27">
                        <c:v>100000</c:v>
                      </c:pt>
                      <c:pt idx="28">
                        <c:v>200000</c:v>
                      </c:pt>
                    </c:numCache>
                  </c:numRef>
                </c:cat>
                <c:val>
                  <c:numRef>
                    <c:extLst xmlns:c16r2="http://schemas.microsoft.com/office/drawing/2015/06/chart">
                      <c:ext uri="{02D57815-91ED-43cb-92C2-25804820EDAC}">
                        <c15:formulaRef>
                          <c15:sqref>Hists!$D$1350:$D$1378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8.333333333263889</c:v>
                      </c:pt>
                      <c:pt idx="11">
                        <c:v>0</c:v>
                      </c:pt>
                      <c:pt idx="12">
                        <c:v>0</c:v>
                      </c:pt>
                      <c:pt idx="13">
                        <c:v>0</c:v>
                      </c:pt>
                      <c:pt idx="14">
                        <c:v>0</c:v>
                      </c:pt>
                      <c:pt idx="15">
                        <c:v>8.333333333263889</c:v>
                      </c:pt>
                      <c:pt idx="16">
                        <c:v>8.333333333263889</c:v>
                      </c:pt>
                      <c:pt idx="17">
                        <c:v>0</c:v>
                      </c:pt>
                      <c:pt idx="18">
                        <c:v>0</c:v>
                      </c:pt>
                      <c:pt idx="19">
                        <c:v>58.333333332847225</c:v>
                      </c:pt>
                      <c:pt idx="20">
                        <c:v>0</c:v>
                      </c:pt>
                      <c:pt idx="21">
                        <c:v>0</c:v>
                      </c:pt>
                      <c:pt idx="22">
                        <c:v>0</c:v>
                      </c:pt>
                      <c:pt idx="23">
                        <c:v>0</c:v>
                      </c:pt>
                      <c:pt idx="24">
                        <c:v>0</c:v>
                      </c:pt>
                      <c:pt idx="25">
                        <c:v>0</c:v>
                      </c:pt>
                      <c:pt idx="26">
                        <c:v>0</c:v>
                      </c:pt>
                      <c:pt idx="27">
                        <c:v>0</c:v>
                      </c:pt>
                      <c:pt idx="28">
                        <c:v>16.666666666527778</c:v>
                      </c:pt>
                    </c:numCache>
                  </c:numRef>
                </c:val>
                <c:extLst xmlns:c16r2="http://schemas.microsoft.com/office/drawing/2015/06/chart">
                  <c:ext xmlns:c16="http://schemas.microsoft.com/office/drawing/2014/chart" uri="{C3380CC4-5D6E-409C-BE32-E72D297353CC}">
                    <c16:uniqueId val="{00000003-FBAB-4760-9ECE-3A7A1FF96241}"/>
                  </c:ext>
                </c:extLst>
              </c15:ser>
            </c15:filteredBarSeries>
          </c:ext>
        </c:extLst>
      </c:barChart>
      <c:catAx>
        <c:axId val="222411488"/>
        <c:scaling>
          <c:orientation val="minMax"/>
        </c:scaling>
        <c:delete val="0"/>
        <c:axPos val="b"/>
        <c:title>
          <c:tx>
            <c:rich>
              <a:bodyPr/>
              <a:lstStyle/>
              <a:p>
                <a:pPr>
                  <a:defRPr/>
                </a:pPr>
                <a:r>
                  <a:rPr lang="en-US" sz="1400">
                    <a:latin typeface="+mn-lt"/>
                  </a:rPr>
                  <a:t>Volume (mm3)</a:t>
                </a:r>
              </a:p>
            </c:rich>
          </c:tx>
          <c:layout>
            <c:manualLayout>
              <c:xMode val="edge"/>
              <c:yMode val="edge"/>
              <c:x val="8.7557470158980605E-2"/>
              <c:y val="0.92937751212308706"/>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2411880"/>
        <c:crosses val="autoZero"/>
        <c:auto val="1"/>
        <c:lblAlgn val="ctr"/>
        <c:lblOffset val="100"/>
        <c:tickLblSkip val="2"/>
        <c:noMultiLvlLbl val="0"/>
      </c:catAx>
      <c:valAx>
        <c:axId val="222411880"/>
        <c:scaling>
          <c:orientation val="minMax"/>
          <c:max val="30"/>
        </c:scaling>
        <c:delete val="0"/>
        <c:axPos val="l"/>
        <c:numFmt formatCode="0" sourceLinked="0"/>
        <c:majorTickMark val="out"/>
        <c:minorTickMark val="none"/>
        <c:tickLblPos val="nextTo"/>
        <c:txPr>
          <a:bodyPr/>
          <a:lstStyle/>
          <a:p>
            <a:pPr>
              <a:defRPr sz="1200">
                <a:latin typeface="+mn-lt"/>
              </a:defRPr>
            </a:pPr>
            <a:endParaRPr lang="en-US"/>
          </a:p>
        </c:txPr>
        <c:crossAx val="222411488"/>
        <c:crosses val="autoZero"/>
        <c:crossBetween val="between"/>
      </c:valAx>
      <c:spPr>
        <a:noFill/>
        <a:ln>
          <a:solidFill>
            <a:schemeClr val="bg1">
              <a:lumMod val="50000"/>
            </a:schemeClr>
          </a:solidFill>
        </a:ln>
      </c:spPr>
    </c:plotArea>
    <c:legend>
      <c:legendPos val="r"/>
      <c:layout>
        <c:manualLayout>
          <c:xMode val="edge"/>
          <c:yMode val="edge"/>
          <c:x val="0.69680734938609401"/>
          <c:y val="4.6803054824585077E-2"/>
          <c:w val="0.27587025170218582"/>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2"/>
          <c:order val="0"/>
          <c:tx>
            <c:strRef>
              <c:f>Hists!$G$1398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Hists!$B$1400:$B$1428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11</c:v>
                </c:pt>
                <c:pt idx="17">
                  <c:v>12</c:v>
                </c:pt>
                <c:pt idx="18">
                  <c:v>13</c:v>
                </c:pt>
                <c:pt idx="19">
                  <c:v>14</c:v>
                </c:pt>
                <c:pt idx="20">
                  <c:v>15</c:v>
                </c:pt>
                <c:pt idx="21">
                  <c:v>16</c:v>
                </c:pt>
                <c:pt idx="22">
                  <c:v>17</c:v>
                </c:pt>
                <c:pt idx="23">
                  <c:v>18</c:v>
                </c:pt>
                <c:pt idx="24">
                  <c:v>19</c:v>
                </c:pt>
                <c:pt idx="25">
                  <c:v>20</c:v>
                </c:pt>
                <c:pt idx="26">
                  <c:v>25</c:v>
                </c:pt>
                <c:pt idx="27">
                  <c:v>30</c:v>
                </c:pt>
                <c:pt idx="28">
                  <c:v>35</c:v>
                </c:pt>
              </c:numCache>
            </c:numRef>
          </c:cat>
          <c:val>
            <c:numRef>
              <c:f>Hists!$H$1400:$H$1428</c:f>
              <c:numCache>
                <c:formatCode>0.00</c:formatCode>
                <c:ptCount val="29"/>
                <c:pt idx="0">
                  <c:v>18.18181818173554</c:v>
                </c:pt>
                <c:pt idx="1">
                  <c:v>4.5454545454338851</c:v>
                </c:pt>
                <c:pt idx="2">
                  <c:v>4.5454545454338851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36.36363636347108</c:v>
                </c:pt>
                <c:pt idx="22">
                  <c:v>0</c:v>
                </c:pt>
                <c:pt idx="23">
                  <c:v>0</c:v>
                </c:pt>
                <c:pt idx="24">
                  <c:v>0</c:v>
                </c:pt>
                <c:pt idx="25">
                  <c:v>0</c:v>
                </c:pt>
                <c:pt idx="26">
                  <c:v>4.5454545454338851</c:v>
                </c:pt>
                <c:pt idx="27">
                  <c:v>0</c:v>
                </c:pt>
                <c:pt idx="28">
                  <c:v>31.818181818037193</c:v>
                </c:pt>
              </c:numCache>
            </c:numRef>
          </c:val>
          <c:extLst xmlns:c16r2="http://schemas.microsoft.com/office/drawing/2015/06/chart">
            <c:ext xmlns:c16="http://schemas.microsoft.com/office/drawing/2014/chart" uri="{C3380CC4-5D6E-409C-BE32-E72D297353CC}">
              <c16:uniqueId val="{00000001-12ED-4149-9FFC-A28EE411EF12}"/>
            </c:ext>
          </c:extLst>
        </c:ser>
        <c:ser>
          <c:idx val="3"/>
          <c:order val="1"/>
          <c:tx>
            <c:strRef>
              <c:f>Hists!$I$1398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Hists!$B$1400:$B$1428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11</c:v>
                </c:pt>
                <c:pt idx="17">
                  <c:v>12</c:v>
                </c:pt>
                <c:pt idx="18">
                  <c:v>13</c:v>
                </c:pt>
                <c:pt idx="19">
                  <c:v>14</c:v>
                </c:pt>
                <c:pt idx="20">
                  <c:v>15</c:v>
                </c:pt>
                <c:pt idx="21">
                  <c:v>16</c:v>
                </c:pt>
                <c:pt idx="22">
                  <c:v>17</c:v>
                </c:pt>
                <c:pt idx="23">
                  <c:v>18</c:v>
                </c:pt>
                <c:pt idx="24">
                  <c:v>19</c:v>
                </c:pt>
                <c:pt idx="25">
                  <c:v>20</c:v>
                </c:pt>
                <c:pt idx="26">
                  <c:v>25</c:v>
                </c:pt>
                <c:pt idx="27">
                  <c:v>30</c:v>
                </c:pt>
                <c:pt idx="28">
                  <c:v>35</c:v>
                </c:pt>
              </c:numCache>
            </c:numRef>
          </c:cat>
          <c:val>
            <c:numRef>
              <c:f>Hists!$J$1400:$J$1428</c:f>
              <c:numCache>
                <c:formatCode>0.00</c:formatCode>
                <c:ptCount val="29"/>
                <c:pt idx="0">
                  <c:v>21.428571428418369</c:v>
                </c:pt>
                <c:pt idx="1">
                  <c:v>0</c:v>
                </c:pt>
                <c:pt idx="2">
                  <c:v>0</c:v>
                </c:pt>
                <c:pt idx="3">
                  <c:v>21.428571428418369</c:v>
                </c:pt>
                <c:pt idx="4">
                  <c:v>0</c:v>
                </c:pt>
                <c:pt idx="5">
                  <c:v>7.1428571428061227</c:v>
                </c:pt>
                <c:pt idx="6">
                  <c:v>0</c:v>
                </c:pt>
                <c:pt idx="7">
                  <c:v>0</c:v>
                </c:pt>
                <c:pt idx="8">
                  <c:v>0</c:v>
                </c:pt>
                <c:pt idx="9">
                  <c:v>7.1428571428061227</c:v>
                </c:pt>
                <c:pt idx="10">
                  <c:v>0</c:v>
                </c:pt>
                <c:pt idx="11">
                  <c:v>0</c:v>
                </c:pt>
                <c:pt idx="12">
                  <c:v>0</c:v>
                </c:pt>
                <c:pt idx="13">
                  <c:v>28.571428571224491</c:v>
                </c:pt>
                <c:pt idx="14">
                  <c:v>0</c:v>
                </c:pt>
                <c:pt idx="15">
                  <c:v>7.1428571428061227</c:v>
                </c:pt>
                <c:pt idx="16">
                  <c:v>0</c:v>
                </c:pt>
                <c:pt idx="17">
                  <c:v>0</c:v>
                </c:pt>
                <c:pt idx="18">
                  <c:v>7.1428571428061227</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12ED-4149-9FFC-A28EE411EF12}"/>
            </c:ext>
          </c:extLst>
        </c:ser>
        <c:dLbls>
          <c:showLegendKey val="0"/>
          <c:showVal val="0"/>
          <c:showCatName val="0"/>
          <c:showSerName val="0"/>
          <c:showPercent val="0"/>
          <c:showBubbleSize val="0"/>
        </c:dLbls>
        <c:gapWidth val="0"/>
        <c:overlap val="75"/>
        <c:axId val="222412664"/>
        <c:axId val="222413056"/>
        <c:extLst xmlns:c16r2="http://schemas.microsoft.com/office/drawing/2015/06/chart"/>
      </c:barChart>
      <c:catAx>
        <c:axId val="222412664"/>
        <c:scaling>
          <c:orientation val="minMax"/>
        </c:scaling>
        <c:delete val="0"/>
        <c:axPos val="b"/>
        <c:title>
          <c:tx>
            <c:rich>
              <a:bodyPr/>
              <a:lstStyle/>
              <a:p>
                <a:pPr>
                  <a:defRPr/>
                </a:pPr>
                <a:r>
                  <a:rPr lang="en-US" sz="1400">
                    <a:latin typeface="+mn-lt"/>
                  </a:rPr>
                  <a:t>Area (mm2)</a:t>
                </a:r>
              </a:p>
            </c:rich>
          </c:tx>
          <c:layout>
            <c:manualLayout>
              <c:xMode val="edge"/>
              <c:yMode val="edge"/>
              <c:x val="0.37518095117245037"/>
              <c:y val="0.91944760527655967"/>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2413056"/>
        <c:crosses val="autoZero"/>
        <c:auto val="1"/>
        <c:lblAlgn val="ctr"/>
        <c:lblOffset val="100"/>
        <c:tickLblSkip val="2"/>
        <c:noMultiLvlLbl val="0"/>
      </c:catAx>
      <c:valAx>
        <c:axId val="222413056"/>
        <c:scaling>
          <c:orientation val="minMax"/>
          <c:max val="40"/>
        </c:scaling>
        <c:delete val="0"/>
        <c:axPos val="l"/>
        <c:numFmt formatCode="0" sourceLinked="0"/>
        <c:majorTickMark val="out"/>
        <c:minorTickMark val="none"/>
        <c:tickLblPos val="nextTo"/>
        <c:txPr>
          <a:bodyPr/>
          <a:lstStyle/>
          <a:p>
            <a:pPr>
              <a:defRPr sz="1200">
                <a:latin typeface="+mn-lt"/>
              </a:defRPr>
            </a:pPr>
            <a:endParaRPr lang="en-US"/>
          </a:p>
        </c:txPr>
        <c:crossAx val="222412664"/>
        <c:crosses val="autoZero"/>
        <c:crossBetween val="between"/>
      </c:valAx>
      <c:spPr>
        <a:noFill/>
        <a:ln>
          <a:solidFill>
            <a:schemeClr val="bg1">
              <a:lumMod val="50000"/>
            </a:schemeClr>
          </a:solidFill>
        </a:ln>
      </c:spPr>
    </c:plotArea>
    <c:legend>
      <c:legendPos val="r"/>
      <c:layout>
        <c:manualLayout>
          <c:xMode val="edge"/>
          <c:yMode val="edge"/>
          <c:x val="0.11521575174856323"/>
          <c:y val="5.3422898834317549E-2"/>
          <c:w val="0.39430348007286764"/>
          <c:h val="0.24382821104779026"/>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Hists!$E$1448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Hists!$B$1450:$B$1478</c:f>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f>Hists!$F$1450:$F$1478</c:f>
              <c:numCache>
                <c:formatCode>0.00</c:formatCode>
                <c:ptCount val="29"/>
                <c:pt idx="0">
                  <c:v>9.9999999999</c:v>
                </c:pt>
                <c:pt idx="1">
                  <c:v>0</c:v>
                </c:pt>
                <c:pt idx="2">
                  <c:v>39.9999999996</c:v>
                </c:pt>
                <c:pt idx="3">
                  <c:v>0</c:v>
                </c:pt>
                <c:pt idx="4">
                  <c:v>0</c:v>
                </c:pt>
                <c:pt idx="5">
                  <c:v>0</c:v>
                </c:pt>
                <c:pt idx="6">
                  <c:v>0</c:v>
                </c:pt>
                <c:pt idx="7">
                  <c:v>0</c:v>
                </c:pt>
                <c:pt idx="8">
                  <c:v>0</c:v>
                </c:pt>
                <c:pt idx="9">
                  <c:v>49.999999999499998</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5BD2-4318-AD0A-AF92D558CF98}"/>
            </c:ext>
          </c:extLst>
        </c:ser>
        <c:ser>
          <c:idx val="2"/>
          <c:order val="2"/>
          <c:tx>
            <c:strRef>
              <c:f>Hists!$G$1448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Hists!$B$1450:$B$1478</c:f>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f>Hists!$H$1450:$H$1478</c:f>
              <c:numCache>
                <c:formatCode>0.00</c:formatCode>
                <c:ptCount val="29"/>
                <c:pt idx="0">
                  <c:v>0</c:v>
                </c:pt>
                <c:pt idx="1">
                  <c:v>0</c:v>
                </c:pt>
                <c:pt idx="2">
                  <c:v>0</c:v>
                </c:pt>
                <c:pt idx="3">
                  <c:v>12.49999999984375</c:v>
                </c:pt>
                <c:pt idx="4">
                  <c:v>12.49999999984375</c:v>
                </c:pt>
                <c:pt idx="5">
                  <c:v>37.499999999531248</c:v>
                </c:pt>
                <c:pt idx="6">
                  <c:v>0</c:v>
                </c:pt>
                <c:pt idx="7">
                  <c:v>0</c:v>
                </c:pt>
                <c:pt idx="8">
                  <c:v>24.9999999996875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12.49999999984375</c:v>
                </c:pt>
                <c:pt idx="28">
                  <c:v>0</c:v>
                </c:pt>
              </c:numCache>
            </c:numRef>
          </c:val>
          <c:extLst xmlns:c16r2="http://schemas.microsoft.com/office/drawing/2015/06/chart">
            <c:ext xmlns:c16="http://schemas.microsoft.com/office/drawing/2014/chart" uri="{C3380CC4-5D6E-409C-BE32-E72D297353CC}">
              <c16:uniqueId val="{00000001-5BD2-4318-AD0A-AF92D558CF98}"/>
            </c:ext>
          </c:extLst>
        </c:ser>
        <c:ser>
          <c:idx val="3"/>
          <c:order val="3"/>
          <c:tx>
            <c:strRef>
              <c:f>Hists!$I$1448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Hists!$B$1450:$B$1478</c:f>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f>Hists!$J$1450:$J$1478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5BD2-4318-AD0A-AF92D558CF98}"/>
            </c:ext>
          </c:extLst>
        </c:ser>
        <c:dLbls>
          <c:showLegendKey val="0"/>
          <c:showVal val="0"/>
          <c:showCatName val="0"/>
          <c:showSerName val="0"/>
          <c:showPercent val="0"/>
          <c:showBubbleSize val="0"/>
        </c:dLbls>
        <c:gapWidth val="0"/>
        <c:overlap val="75"/>
        <c:axId val="222413840"/>
        <c:axId val="22241423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Hists!$C$1448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Hists!$B$1450:$B$1478</c15:sqref>
                        </c15:formulaRef>
                      </c:ext>
                    </c:extLst>
                    <c:numCache>
                      <c:formatCode>0.0</c:formatCode>
                      <c:ptCount val="29"/>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-117</c:v>
                      </c:pt>
                      <c:pt idx="27">
                        <c:v>-118</c:v>
                      </c:pt>
                      <c:pt idx="28">
                        <c:v>-119</c:v>
                      </c:pt>
                    </c:numCache>
                  </c:numRef>
                </c:cat>
                <c:val>
                  <c:numRef>
                    <c:extLst xmlns:c16r2="http://schemas.microsoft.com/office/drawing/2015/06/chart">
                      <c:ext uri="{02D57815-91ED-43cb-92C2-25804820EDAC}">
                        <c15:formulaRef>
                          <c15:sqref>Hists!$D$1450:$D$1478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5BD2-4318-AD0A-AF92D558CF98}"/>
                  </c:ext>
                </c:extLst>
              </c15:ser>
            </c15:filteredBarSeries>
          </c:ext>
        </c:extLst>
      </c:barChart>
      <c:catAx>
        <c:axId val="222413840"/>
        <c:scaling>
          <c:orientation val="minMax"/>
        </c:scaling>
        <c:delete val="0"/>
        <c:axPos val="b"/>
        <c:title>
          <c:tx>
            <c:rich>
              <a:bodyPr/>
              <a:lstStyle/>
              <a:p>
                <a:pPr>
                  <a:defRPr/>
                </a:pPr>
                <a:r>
                  <a:rPr lang="en-US" sz="1400">
                    <a:latin typeface="+mn-lt"/>
                  </a:rPr>
                  <a:t>Sensitivity (dBm)</a:t>
                </a:r>
              </a:p>
            </c:rich>
          </c:tx>
          <c:layout>
            <c:manualLayout>
              <c:xMode val="edge"/>
              <c:yMode val="edge"/>
              <c:x val="0.193301397002168"/>
              <c:y val="0.92937751212308706"/>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2414232"/>
        <c:crosses val="autoZero"/>
        <c:auto val="1"/>
        <c:lblAlgn val="ctr"/>
        <c:lblOffset val="100"/>
        <c:tickLblSkip val="2"/>
        <c:noMultiLvlLbl val="0"/>
      </c:catAx>
      <c:valAx>
        <c:axId val="222414232"/>
        <c:scaling>
          <c:orientation val="minMax"/>
          <c:max val="55"/>
          <c:min val="0"/>
        </c:scaling>
        <c:delete val="0"/>
        <c:axPos val="l"/>
        <c:numFmt formatCode="0" sourceLinked="0"/>
        <c:majorTickMark val="out"/>
        <c:minorTickMark val="none"/>
        <c:tickLblPos val="nextTo"/>
        <c:txPr>
          <a:bodyPr/>
          <a:lstStyle/>
          <a:p>
            <a:pPr>
              <a:defRPr sz="1200">
                <a:latin typeface="+mn-lt"/>
              </a:defRPr>
            </a:pPr>
            <a:endParaRPr lang="en-US"/>
          </a:p>
        </c:txPr>
        <c:crossAx val="222413840"/>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rot="5400000" vert="horz"/>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Hists!$E$1498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Hists!$B$1500:$B$1518</c:f>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f>Hists!$F$1500:$F$1518</c:f>
              <c:numCache>
                <c:formatCode>0.00</c:formatCode>
                <c:ptCount val="19"/>
                <c:pt idx="0">
                  <c:v>0</c:v>
                </c:pt>
                <c:pt idx="1">
                  <c:v>4.5454545454338851</c:v>
                </c:pt>
                <c:pt idx="2">
                  <c:v>0</c:v>
                </c:pt>
                <c:pt idx="3">
                  <c:v>40.909090908904965</c:v>
                </c:pt>
                <c:pt idx="4">
                  <c:v>36.36363636347108</c:v>
                </c:pt>
                <c:pt idx="5">
                  <c:v>0</c:v>
                </c:pt>
                <c:pt idx="6">
                  <c:v>0</c:v>
                </c:pt>
                <c:pt idx="7">
                  <c:v>0</c:v>
                </c:pt>
                <c:pt idx="8">
                  <c:v>18.18181818173554</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0-F065-4E1F-8034-9702CB86FC6A}"/>
            </c:ext>
          </c:extLst>
        </c:ser>
        <c:ser>
          <c:idx val="2"/>
          <c:order val="2"/>
          <c:tx>
            <c:strRef>
              <c:f>Hists!$G$1498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Hists!$B$1500:$B$1518</c:f>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f>Hists!$H$1500:$H$1518</c:f>
              <c:numCache>
                <c:formatCode>0.00</c:formatCode>
                <c:ptCount val="19"/>
                <c:pt idx="0">
                  <c:v>0</c:v>
                </c:pt>
                <c:pt idx="1">
                  <c:v>0</c:v>
                </c:pt>
                <c:pt idx="2">
                  <c:v>0</c:v>
                </c:pt>
                <c:pt idx="3">
                  <c:v>5.8823529411418694</c:v>
                </c:pt>
                <c:pt idx="4">
                  <c:v>76.4705882348443</c:v>
                </c:pt>
                <c:pt idx="5">
                  <c:v>5.8823529411418694</c:v>
                </c:pt>
                <c:pt idx="6">
                  <c:v>0</c:v>
                </c:pt>
                <c:pt idx="7">
                  <c:v>0</c:v>
                </c:pt>
                <c:pt idx="8">
                  <c:v>11.764705882283739</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1-F065-4E1F-8034-9702CB86FC6A}"/>
            </c:ext>
          </c:extLst>
        </c:ser>
        <c:ser>
          <c:idx val="3"/>
          <c:order val="3"/>
          <c:tx>
            <c:strRef>
              <c:f>Hists!$I$1498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Hists!$B$1500:$B$1518</c:f>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f>Hists!$J$1500:$J$1518</c:f>
              <c:numCache>
                <c:formatCode>0.00</c:formatCode>
                <c:ptCount val="19"/>
                <c:pt idx="0">
                  <c:v>0</c:v>
                </c:pt>
                <c:pt idx="1">
                  <c:v>0</c:v>
                </c:pt>
                <c:pt idx="2">
                  <c:v>0</c:v>
                </c:pt>
                <c:pt idx="3">
                  <c:v>0</c:v>
                </c:pt>
                <c:pt idx="4">
                  <c:v>9.0909090908264467</c:v>
                </c:pt>
                <c:pt idx="5">
                  <c:v>0</c:v>
                </c:pt>
                <c:pt idx="6">
                  <c:v>36.363636363305787</c:v>
                </c:pt>
                <c:pt idx="7">
                  <c:v>9.0909090908264467</c:v>
                </c:pt>
                <c:pt idx="8">
                  <c:v>18.181818181652893</c:v>
                </c:pt>
                <c:pt idx="9">
                  <c:v>27.27272727247934</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2-F065-4E1F-8034-9702CB86FC6A}"/>
            </c:ext>
          </c:extLst>
        </c:ser>
        <c:dLbls>
          <c:showLegendKey val="0"/>
          <c:showVal val="0"/>
          <c:showCatName val="0"/>
          <c:showSerName val="0"/>
          <c:showPercent val="0"/>
          <c:showBubbleSize val="0"/>
        </c:dLbls>
        <c:gapWidth val="0"/>
        <c:overlap val="75"/>
        <c:axId val="222415016"/>
        <c:axId val="22241540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Hists!$C$1498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Hists!$B$1500:$B$1518</c15:sqref>
                        </c15:formulaRef>
                      </c:ext>
                    </c:extLst>
                    <c:numCache>
                      <c:formatCode>0.0</c:formatCode>
                      <c:ptCount val="19"/>
                      <c:pt idx="0">
                        <c:v>7</c:v>
                      </c:pt>
                      <c:pt idx="1">
                        <c:v>8</c:v>
                      </c:pt>
                      <c:pt idx="2">
                        <c:v>9</c:v>
                      </c:pt>
                      <c:pt idx="3">
                        <c:v>10</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extLst xmlns:c16r2="http://schemas.microsoft.com/office/drawing/2015/06/chart">
                      <c:ext uri="{02D57815-91ED-43cb-92C2-25804820EDAC}">
                        <c15:formulaRef>
                          <c15:sqref>Hists!$D$1500:$D$1518</c15:sqref>
                        </c15:formulaRef>
                      </c:ext>
                    </c:extLst>
                    <c:numCache>
                      <c:formatCode>0.00</c:formatCode>
                      <c:ptCount val="19"/>
                      <c:pt idx="0">
                        <c:v>0</c:v>
                      </c:pt>
                      <c:pt idx="1">
                        <c:v>0</c:v>
                      </c:pt>
                      <c:pt idx="2">
                        <c:v>0</c:v>
                      </c:pt>
                      <c:pt idx="3">
                        <c:v>0</c:v>
                      </c:pt>
                      <c:pt idx="4">
                        <c:v>59.9999999988</c:v>
                      </c:pt>
                      <c:pt idx="5">
                        <c:v>0</c:v>
                      </c:pt>
                      <c:pt idx="6">
                        <c:v>0</c:v>
                      </c:pt>
                      <c:pt idx="7">
                        <c:v>0</c:v>
                      </c:pt>
                      <c:pt idx="8">
                        <c:v>0</c:v>
                      </c:pt>
                      <c:pt idx="9">
                        <c:v>0</c:v>
                      </c:pt>
                      <c:pt idx="10">
                        <c:v>0</c:v>
                      </c:pt>
                      <c:pt idx="11">
                        <c:v>0</c:v>
                      </c:pt>
                      <c:pt idx="12">
                        <c:v>0</c:v>
                      </c:pt>
                      <c:pt idx="13">
                        <c:v>0</c:v>
                      </c:pt>
                      <c:pt idx="14">
                        <c:v>0</c:v>
                      </c:pt>
                      <c:pt idx="15">
                        <c:v>0</c:v>
                      </c:pt>
                      <c:pt idx="16">
                        <c:v>39.9999999992</c:v>
                      </c:pt>
                      <c:pt idx="17">
                        <c:v>0</c:v>
                      </c:pt>
                      <c:pt idx="18">
                        <c:v>0</c:v>
                      </c:pt>
                    </c:numCache>
                  </c:numRef>
                </c:val>
                <c:extLst xmlns:c16r2="http://schemas.microsoft.com/office/drawing/2015/06/chart">
                  <c:ext xmlns:c16="http://schemas.microsoft.com/office/drawing/2014/chart" uri="{C3380CC4-5D6E-409C-BE32-E72D297353CC}">
                    <c16:uniqueId val="{00000003-F065-4E1F-8034-9702CB86FC6A}"/>
                  </c:ext>
                </c:extLst>
              </c15:ser>
            </c15:filteredBarSeries>
          </c:ext>
        </c:extLst>
      </c:barChart>
      <c:catAx>
        <c:axId val="222415016"/>
        <c:scaling>
          <c:orientation val="minMax"/>
        </c:scaling>
        <c:delete val="0"/>
        <c:axPos val="b"/>
        <c:title>
          <c:tx>
            <c:rich>
              <a:bodyPr/>
              <a:lstStyle/>
              <a:p>
                <a:pPr>
                  <a:defRPr/>
                </a:pPr>
                <a:r>
                  <a:rPr lang="en-US" sz="1400">
                    <a:latin typeface="+mn-lt"/>
                  </a:rPr>
                  <a:t>Resolution (b)</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2415408"/>
        <c:crosses val="autoZero"/>
        <c:auto val="1"/>
        <c:lblAlgn val="ctr"/>
        <c:lblOffset val="100"/>
        <c:tickLblSkip val="2"/>
        <c:noMultiLvlLbl val="0"/>
      </c:catAx>
      <c:valAx>
        <c:axId val="222415408"/>
        <c:scaling>
          <c:orientation val="minMax"/>
          <c:max val="80"/>
        </c:scaling>
        <c:delete val="0"/>
        <c:axPos val="l"/>
        <c:numFmt formatCode="0" sourceLinked="0"/>
        <c:majorTickMark val="out"/>
        <c:minorTickMark val="none"/>
        <c:tickLblPos val="nextTo"/>
        <c:txPr>
          <a:bodyPr/>
          <a:lstStyle/>
          <a:p>
            <a:pPr>
              <a:defRPr sz="1200">
                <a:latin typeface="+mn-lt"/>
              </a:defRPr>
            </a:pPr>
            <a:endParaRPr lang="en-US"/>
          </a:p>
        </c:txPr>
        <c:crossAx val="222415016"/>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Hists!$E$1548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Hists!$B$1550:$B$1578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Hists!$F$1550:$F$1578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24.999999999375</c:v>
                </c:pt>
                <c:pt idx="18">
                  <c:v>0</c:v>
                </c:pt>
                <c:pt idx="19">
                  <c:v>74.999999998125006</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8AEB-4C6C-951D-656671592643}"/>
            </c:ext>
          </c:extLst>
        </c:ser>
        <c:ser>
          <c:idx val="2"/>
          <c:order val="2"/>
          <c:tx>
            <c:strRef>
              <c:f>Hists!$G$1548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Hists!$B$1550:$B$1578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Hists!$H$1550:$H$1578</c:f>
              <c:numCache>
                <c:formatCode>0.00</c:formatCode>
                <c:ptCount val="29"/>
                <c:pt idx="0">
                  <c:v>0</c:v>
                </c:pt>
                <c:pt idx="1">
                  <c:v>0</c:v>
                </c:pt>
                <c:pt idx="2">
                  <c:v>0</c:v>
                </c:pt>
                <c:pt idx="3">
                  <c:v>9.0909090908264467</c:v>
                </c:pt>
                <c:pt idx="4">
                  <c:v>0</c:v>
                </c:pt>
                <c:pt idx="5">
                  <c:v>0</c:v>
                </c:pt>
                <c:pt idx="6">
                  <c:v>0</c:v>
                </c:pt>
                <c:pt idx="7">
                  <c:v>36.363636363305787</c:v>
                </c:pt>
                <c:pt idx="8">
                  <c:v>0</c:v>
                </c:pt>
                <c:pt idx="9">
                  <c:v>0</c:v>
                </c:pt>
                <c:pt idx="10">
                  <c:v>0</c:v>
                </c:pt>
                <c:pt idx="11">
                  <c:v>0</c:v>
                </c:pt>
                <c:pt idx="12">
                  <c:v>0</c:v>
                </c:pt>
                <c:pt idx="13">
                  <c:v>0</c:v>
                </c:pt>
                <c:pt idx="14">
                  <c:v>0</c:v>
                </c:pt>
                <c:pt idx="15">
                  <c:v>18.181818181652893</c:v>
                </c:pt>
                <c:pt idx="16">
                  <c:v>0</c:v>
                </c:pt>
                <c:pt idx="17">
                  <c:v>0</c:v>
                </c:pt>
                <c:pt idx="18">
                  <c:v>0</c:v>
                </c:pt>
                <c:pt idx="19">
                  <c:v>36.363636363305787</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8AEB-4C6C-951D-656671592643}"/>
            </c:ext>
          </c:extLst>
        </c:ser>
        <c:ser>
          <c:idx val="3"/>
          <c:order val="3"/>
          <c:tx>
            <c:strRef>
              <c:f>Hists!$I$1548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Hists!$B$1550:$B$1578</c:f>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f>Hists!$J$1550:$J$1578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8AEB-4C6C-951D-656671592643}"/>
            </c:ext>
          </c:extLst>
        </c:ser>
        <c:dLbls>
          <c:showLegendKey val="0"/>
          <c:showVal val="0"/>
          <c:showCatName val="0"/>
          <c:showSerName val="0"/>
          <c:showPercent val="0"/>
          <c:showBubbleSize val="0"/>
        </c:dLbls>
        <c:gapWidth val="0"/>
        <c:overlap val="75"/>
        <c:axId val="222416192"/>
        <c:axId val="22241658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Hists!$C$1548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Hists!$B$1550:$B$1578</c15:sqref>
                        </c15:formulaRef>
                      </c:ext>
                    </c:extLst>
                    <c:numCache>
                      <c:formatCode>0.0</c:formatCode>
                      <c:ptCount val="29"/>
                      <c:pt idx="0">
                        <c:v>2.5</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pt idx="23">
                        <c:v>14</c:v>
                      </c:pt>
                      <c:pt idx="24">
                        <c:v>14.5</c:v>
                      </c:pt>
                      <c:pt idx="25">
                        <c:v>15</c:v>
                      </c:pt>
                      <c:pt idx="26">
                        <c:v>15.5</c:v>
                      </c:pt>
                      <c:pt idx="27">
                        <c:v>16</c:v>
                      </c:pt>
                      <c:pt idx="28">
                        <c:v>16.5</c:v>
                      </c:pt>
                    </c:numCache>
                  </c:numRef>
                </c:cat>
                <c:val>
                  <c:numRef>
                    <c:extLst xmlns:c16r2="http://schemas.microsoft.com/office/drawing/2015/06/chart">
                      <c:ext uri="{02D57815-91ED-43cb-92C2-25804820EDAC}">
                        <c15:formulaRef>
                          <c15:sqref>Hists!$D$1550:$D$1578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8AEB-4C6C-951D-656671592643}"/>
                  </c:ext>
                </c:extLst>
              </c15:ser>
            </c15:filteredBarSeries>
          </c:ext>
        </c:extLst>
      </c:barChart>
      <c:catAx>
        <c:axId val="222416192"/>
        <c:scaling>
          <c:orientation val="minMax"/>
        </c:scaling>
        <c:delete val="0"/>
        <c:axPos val="b"/>
        <c:title>
          <c:tx>
            <c:rich>
              <a:bodyPr/>
              <a:lstStyle/>
              <a:p>
                <a:pPr>
                  <a:defRPr/>
                </a:pPr>
                <a:r>
                  <a:rPr lang="en-US" sz="1400">
                    <a:latin typeface="+mn-lt"/>
                  </a:rPr>
                  <a:t>Resolution (b)</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0" vert="horz"/>
          <a:lstStyle/>
          <a:p>
            <a:pPr>
              <a:defRPr sz="1200">
                <a:latin typeface="+mn-lt"/>
              </a:defRPr>
            </a:pPr>
            <a:endParaRPr lang="en-US"/>
          </a:p>
        </c:txPr>
        <c:crossAx val="222416584"/>
        <c:crosses val="autoZero"/>
        <c:auto val="1"/>
        <c:lblAlgn val="ctr"/>
        <c:lblOffset val="100"/>
        <c:tickLblSkip val="2"/>
        <c:noMultiLvlLbl val="0"/>
      </c:catAx>
      <c:valAx>
        <c:axId val="222416584"/>
        <c:scaling>
          <c:orientation val="minMax"/>
          <c:max val="80"/>
        </c:scaling>
        <c:delete val="0"/>
        <c:axPos val="l"/>
        <c:numFmt formatCode="0" sourceLinked="0"/>
        <c:majorTickMark val="out"/>
        <c:minorTickMark val="none"/>
        <c:tickLblPos val="nextTo"/>
        <c:txPr>
          <a:bodyPr/>
          <a:lstStyle/>
          <a:p>
            <a:pPr>
              <a:defRPr sz="1200">
                <a:latin typeface="+mn-lt"/>
              </a:defRPr>
            </a:pPr>
            <a:endParaRPr lang="en-US"/>
          </a:p>
        </c:txPr>
        <c:crossAx val="222416192"/>
        <c:crosses val="autoZero"/>
        <c:crossBetween val="between"/>
      </c:valAx>
      <c:spPr>
        <a:noFill/>
        <a:ln>
          <a:solidFill>
            <a:schemeClr val="bg1">
              <a:lumMod val="50000"/>
            </a:schemeClr>
          </a:solidFill>
        </a:ln>
      </c:spPr>
    </c:plotArea>
    <c:legend>
      <c:legendPos val="r"/>
      <c:layout>
        <c:manualLayout>
          <c:xMode val="edge"/>
          <c:yMode val="edge"/>
          <c:x val="0.18712162200193067"/>
          <c:y val="9.6452495169269722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Hists!$E$1598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Hists!$B$1600:$B$1628</c:f>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f>Hists!$F$1600:$F$1628</c:f>
              <c:numCache>
                <c:formatCode>0.00</c:formatCode>
                <c:ptCount val="29"/>
                <c:pt idx="0">
                  <c:v>0</c:v>
                </c:pt>
                <c:pt idx="1">
                  <c:v>0</c:v>
                </c:pt>
                <c:pt idx="2">
                  <c:v>0</c:v>
                </c:pt>
                <c:pt idx="3">
                  <c:v>3.7037037036899867</c:v>
                </c:pt>
                <c:pt idx="4">
                  <c:v>7.4074074073799734</c:v>
                </c:pt>
                <c:pt idx="5">
                  <c:v>0</c:v>
                </c:pt>
                <c:pt idx="6">
                  <c:v>0</c:v>
                </c:pt>
                <c:pt idx="7">
                  <c:v>0</c:v>
                </c:pt>
                <c:pt idx="8">
                  <c:v>7.4074074073799734</c:v>
                </c:pt>
                <c:pt idx="9">
                  <c:v>11.11111111106996</c:v>
                </c:pt>
                <c:pt idx="10">
                  <c:v>0</c:v>
                </c:pt>
                <c:pt idx="11">
                  <c:v>0</c:v>
                </c:pt>
                <c:pt idx="12">
                  <c:v>0</c:v>
                </c:pt>
                <c:pt idx="13">
                  <c:v>0</c:v>
                </c:pt>
                <c:pt idx="14">
                  <c:v>0</c:v>
                </c:pt>
                <c:pt idx="15">
                  <c:v>3.7037037036899867</c:v>
                </c:pt>
                <c:pt idx="16">
                  <c:v>0</c:v>
                </c:pt>
                <c:pt idx="17">
                  <c:v>0</c:v>
                </c:pt>
                <c:pt idx="18">
                  <c:v>3.7037037036899867</c:v>
                </c:pt>
                <c:pt idx="19">
                  <c:v>3.7037037036899867</c:v>
                </c:pt>
                <c:pt idx="20">
                  <c:v>0</c:v>
                </c:pt>
                <c:pt idx="21">
                  <c:v>0</c:v>
                </c:pt>
                <c:pt idx="22">
                  <c:v>0</c:v>
                </c:pt>
                <c:pt idx="23">
                  <c:v>0</c:v>
                </c:pt>
                <c:pt idx="24">
                  <c:v>59.259259259039787</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C80B-4A38-A674-DE4877FEBA21}"/>
            </c:ext>
          </c:extLst>
        </c:ser>
        <c:ser>
          <c:idx val="2"/>
          <c:order val="2"/>
          <c:tx>
            <c:strRef>
              <c:f>Hists!$G$1598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Hists!$B$1600:$B$1628</c:f>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f>Hists!$H$1600:$H$1628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99.999999998888896</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C80B-4A38-A674-DE4877FEBA21}"/>
            </c:ext>
          </c:extLst>
        </c:ser>
        <c:ser>
          <c:idx val="3"/>
          <c:order val="3"/>
          <c:tx>
            <c:strRef>
              <c:f>Hists!$I$1598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Hists!$B$1600:$B$1628</c:f>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f>Hists!$J$1600:$J$1628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C80B-4A38-A674-DE4877FEBA21}"/>
            </c:ext>
          </c:extLst>
        </c:ser>
        <c:dLbls>
          <c:showLegendKey val="0"/>
          <c:showVal val="0"/>
          <c:showCatName val="0"/>
          <c:showSerName val="0"/>
          <c:showPercent val="0"/>
          <c:showBubbleSize val="0"/>
        </c:dLbls>
        <c:gapWidth val="0"/>
        <c:overlap val="75"/>
        <c:axId val="222417368"/>
        <c:axId val="22241776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Hists!$C$1598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Hists!$B$1600:$B$1628</c15:sqref>
                        </c15:formulaRef>
                      </c:ext>
                    </c:extLst>
                    <c:numCache>
                      <c:formatCode>0</c:formatCode>
                      <c:ptCount val="29"/>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pt idx="22">
                        <c:v>2300</c:v>
                      </c:pt>
                      <c:pt idx="23">
                        <c:v>2400</c:v>
                      </c:pt>
                      <c:pt idx="24">
                        <c:v>2500</c:v>
                      </c:pt>
                      <c:pt idx="25">
                        <c:v>2600</c:v>
                      </c:pt>
                      <c:pt idx="26">
                        <c:v>2700</c:v>
                      </c:pt>
                      <c:pt idx="27">
                        <c:v>2800</c:v>
                      </c:pt>
                      <c:pt idx="28">
                        <c:v>2900</c:v>
                      </c:pt>
                    </c:numCache>
                  </c:numRef>
                </c:cat>
                <c:val>
                  <c:numRef>
                    <c:extLst xmlns:c16r2="http://schemas.microsoft.com/office/drawing/2015/06/chart">
                      <c:ext uri="{02D57815-91ED-43cb-92C2-25804820EDAC}">
                        <c15:formulaRef>
                          <c15:sqref>Hists!$D$1600:$D$1628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99.999999990000006</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C80B-4A38-A674-DE4877FEBA21}"/>
                  </c:ext>
                </c:extLst>
              </c15:ser>
            </c15:filteredBarSeries>
          </c:ext>
        </c:extLst>
      </c:barChart>
      <c:catAx>
        <c:axId val="222417368"/>
        <c:scaling>
          <c:orientation val="minMax"/>
        </c:scaling>
        <c:delete val="0"/>
        <c:axPos val="b"/>
        <c:title>
          <c:tx>
            <c:rich>
              <a:bodyPr/>
              <a:lstStyle/>
              <a:p>
                <a:pPr>
                  <a:defRPr/>
                </a:pPr>
                <a:r>
                  <a:rPr lang="en-US" sz="1400">
                    <a:latin typeface="+mn-lt"/>
                  </a:rPr>
                  <a:t>fC (MHz)</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2417760"/>
        <c:crosses val="autoZero"/>
        <c:auto val="1"/>
        <c:lblAlgn val="ctr"/>
        <c:lblOffset val="100"/>
        <c:tickLblSkip val="2"/>
        <c:noMultiLvlLbl val="0"/>
      </c:catAx>
      <c:valAx>
        <c:axId val="222417760"/>
        <c:scaling>
          <c:orientation val="minMax"/>
          <c:max val="100"/>
        </c:scaling>
        <c:delete val="0"/>
        <c:axPos val="l"/>
        <c:numFmt formatCode="0" sourceLinked="0"/>
        <c:majorTickMark val="out"/>
        <c:minorTickMark val="none"/>
        <c:tickLblPos val="nextTo"/>
        <c:txPr>
          <a:bodyPr/>
          <a:lstStyle/>
          <a:p>
            <a:pPr>
              <a:defRPr sz="1200">
                <a:latin typeface="+mn-lt"/>
              </a:defRPr>
            </a:pPr>
            <a:endParaRPr lang="en-US"/>
          </a:p>
        </c:txPr>
        <c:crossAx val="222417368"/>
        <c:crosses val="autoZero"/>
        <c:crossBetween val="between"/>
      </c:valAx>
      <c:spPr>
        <a:noFill/>
        <a:ln>
          <a:solidFill>
            <a:schemeClr val="bg1">
              <a:lumMod val="50000"/>
            </a:schemeClr>
          </a:solidFill>
        </a:ln>
      </c:spPr>
    </c:plotArea>
    <c:legend>
      <c:legendPos val="r"/>
      <c:layout>
        <c:manualLayout>
          <c:xMode val="edge"/>
          <c:yMode val="edge"/>
          <c:x val="0.19346625761252195"/>
          <c:y val="0.10638240201579716"/>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Hists!$E$1648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Hists!$B$1650:$B$1678</c:f>
              <c:numCache>
                <c:formatCode>0.0</c:formatCode>
                <c:ptCount val="29"/>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11000</c:v>
                </c:pt>
              </c:numCache>
            </c:numRef>
          </c:cat>
          <c:val>
            <c:numRef>
              <c:f>Hists!$F$1650:$F$1678</c:f>
              <c:numCache>
                <c:formatCode>0.00</c:formatCode>
                <c:ptCount val="29"/>
                <c:pt idx="0">
                  <c:v>17.647058823425606</c:v>
                </c:pt>
                <c:pt idx="1">
                  <c:v>23.529411764567477</c:v>
                </c:pt>
                <c:pt idx="2">
                  <c:v>5.8823529411418694</c:v>
                </c:pt>
                <c:pt idx="3">
                  <c:v>0</c:v>
                </c:pt>
                <c:pt idx="4">
                  <c:v>11.764705882283739</c:v>
                </c:pt>
                <c:pt idx="5">
                  <c:v>0</c:v>
                </c:pt>
                <c:pt idx="6">
                  <c:v>0</c:v>
                </c:pt>
                <c:pt idx="7">
                  <c:v>5.8823529411418694</c:v>
                </c:pt>
                <c:pt idx="8">
                  <c:v>0</c:v>
                </c:pt>
                <c:pt idx="9">
                  <c:v>0</c:v>
                </c:pt>
                <c:pt idx="10">
                  <c:v>11.764705882283739</c:v>
                </c:pt>
                <c:pt idx="11">
                  <c:v>0</c:v>
                </c:pt>
                <c:pt idx="12">
                  <c:v>0</c:v>
                </c:pt>
                <c:pt idx="13">
                  <c:v>17.647058823425606</c:v>
                </c:pt>
                <c:pt idx="14">
                  <c:v>5.8823529411418694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0-4A56-4A8F-8F77-4476F3C88C52}"/>
            </c:ext>
          </c:extLst>
        </c:ser>
        <c:ser>
          <c:idx val="2"/>
          <c:order val="2"/>
          <c:tx>
            <c:strRef>
              <c:f>Hists!$G$1648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Hists!$B$1650:$B$1678</c:f>
              <c:numCache>
                <c:formatCode>0.0</c:formatCode>
                <c:ptCount val="29"/>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11000</c:v>
                </c:pt>
              </c:numCache>
            </c:numRef>
          </c:cat>
          <c:val>
            <c:numRef>
              <c:f>Hists!$H$1650:$H$1678</c:f>
              <c:numCache>
                <c:formatCode>0.00</c:formatCode>
                <c:ptCount val="29"/>
                <c:pt idx="0">
                  <c:v>0</c:v>
                </c:pt>
                <c:pt idx="1">
                  <c:v>0</c:v>
                </c:pt>
                <c:pt idx="2">
                  <c:v>11.111111111049384</c:v>
                </c:pt>
                <c:pt idx="3">
                  <c:v>5.555555555524692</c:v>
                </c:pt>
                <c:pt idx="4">
                  <c:v>61.11111111077161</c:v>
                </c:pt>
                <c:pt idx="5">
                  <c:v>0</c:v>
                </c:pt>
                <c:pt idx="6">
                  <c:v>0</c:v>
                </c:pt>
                <c:pt idx="7">
                  <c:v>0</c:v>
                </c:pt>
                <c:pt idx="8">
                  <c:v>5.555555555524692</c:v>
                </c:pt>
                <c:pt idx="9">
                  <c:v>0</c:v>
                </c:pt>
                <c:pt idx="10">
                  <c:v>5.555555555524692</c:v>
                </c:pt>
                <c:pt idx="11">
                  <c:v>11.111111111049384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4A56-4A8F-8F77-4476F3C88C52}"/>
            </c:ext>
          </c:extLst>
        </c:ser>
        <c:ser>
          <c:idx val="3"/>
          <c:order val="3"/>
          <c:tx>
            <c:strRef>
              <c:f>Hists!$I$1648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Hists!$B$1650:$B$1678</c:f>
              <c:numCache>
                <c:formatCode>0.0</c:formatCode>
                <c:ptCount val="29"/>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11000</c:v>
                </c:pt>
              </c:numCache>
            </c:numRef>
          </c:cat>
          <c:val>
            <c:numRef>
              <c:f>Hists!$J$1650:$J$1678</c:f>
              <c:numCache>
                <c:formatCode>0.00</c:formatCode>
                <c:ptCount val="29"/>
                <c:pt idx="0">
                  <c:v>0</c:v>
                </c:pt>
                <c:pt idx="1">
                  <c:v>0</c:v>
                </c:pt>
                <c:pt idx="2">
                  <c:v>0</c:v>
                </c:pt>
                <c:pt idx="3">
                  <c:v>0</c:v>
                </c:pt>
                <c:pt idx="4">
                  <c:v>0</c:v>
                </c:pt>
                <c:pt idx="5">
                  <c:v>0</c:v>
                </c:pt>
                <c:pt idx="6">
                  <c:v>0</c:v>
                </c:pt>
                <c:pt idx="7">
                  <c:v>0</c:v>
                </c:pt>
                <c:pt idx="8">
                  <c:v>49.999999997499998</c:v>
                </c:pt>
                <c:pt idx="9">
                  <c:v>0</c:v>
                </c:pt>
                <c:pt idx="10">
                  <c:v>49.999999997499998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4A56-4A8F-8F77-4476F3C88C52}"/>
            </c:ext>
          </c:extLst>
        </c:ser>
        <c:dLbls>
          <c:showLegendKey val="0"/>
          <c:showVal val="0"/>
          <c:showCatName val="0"/>
          <c:showSerName val="0"/>
          <c:showPercent val="0"/>
          <c:showBubbleSize val="0"/>
        </c:dLbls>
        <c:gapWidth val="0"/>
        <c:overlap val="75"/>
        <c:axId val="228262384"/>
        <c:axId val="22826277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Hists!$C$1648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Hists!$B$1650:$B$1678</c15:sqref>
                        </c15:formulaRef>
                      </c:ext>
                    </c:extLst>
                    <c:numCache>
                      <c:formatCode>0.0</c:formatCode>
                      <c:ptCount val="29"/>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11000</c:v>
                      </c:pt>
                    </c:numCache>
                  </c:numRef>
                </c:cat>
                <c:val>
                  <c:numRef>
                    <c:extLst xmlns:c16r2="http://schemas.microsoft.com/office/drawing/2015/06/chart">
                      <c:ext uri="{02D57815-91ED-43cb-92C2-25804820EDAC}">
                        <c15:formulaRef>
                          <c15:sqref>Hists!$D$1650:$D$1678</c15:sqref>
                        </c15:formulaRef>
                      </c:ext>
                    </c:extLst>
                    <c:numCache>
                      <c:formatCode>0.00</c:formatCode>
                      <c:ptCount val="29"/>
                      <c:pt idx="0">
                        <c:v>0</c:v>
                      </c:pt>
                      <c:pt idx="1">
                        <c:v>0</c:v>
                      </c:pt>
                      <c:pt idx="2">
                        <c:v>83.333333331944445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16.666666666388888</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4A56-4A8F-8F77-4476F3C88C52}"/>
                  </c:ext>
                </c:extLst>
              </c15:ser>
            </c15:filteredBarSeries>
          </c:ext>
        </c:extLst>
      </c:barChart>
      <c:catAx>
        <c:axId val="228262384"/>
        <c:scaling>
          <c:orientation val="minMax"/>
        </c:scaling>
        <c:delete val="0"/>
        <c:axPos val="b"/>
        <c:title>
          <c:tx>
            <c:rich>
              <a:bodyPr/>
              <a:lstStyle/>
              <a:p>
                <a:pPr>
                  <a:defRPr/>
                </a:pPr>
                <a:r>
                  <a:rPr lang="en-US" sz="1400">
                    <a:latin typeface="+mn-lt"/>
                  </a:rPr>
                  <a:t>Frequency (MHz)</a:t>
                </a:r>
              </a:p>
            </c:rich>
          </c:tx>
          <c:layout>
            <c:manualLayout>
              <c:xMode val="edge"/>
              <c:yMode val="edge"/>
              <c:x val="0.36883639874220953"/>
              <c:y val="0.92937759512972984"/>
            </c:manualLayout>
          </c:layout>
          <c:overlay val="0"/>
        </c:title>
        <c:numFmt formatCode="#,##0" sourceLinked="0"/>
        <c:majorTickMark val="out"/>
        <c:minorTickMark val="none"/>
        <c:tickLblPos val="nextTo"/>
        <c:spPr>
          <a:ln/>
        </c:spPr>
        <c:txPr>
          <a:bodyPr rot="5400000" vert="horz"/>
          <a:lstStyle/>
          <a:p>
            <a:pPr>
              <a:defRPr sz="1200">
                <a:latin typeface="+mn-lt"/>
              </a:defRPr>
            </a:pPr>
            <a:endParaRPr lang="en-US"/>
          </a:p>
        </c:txPr>
        <c:crossAx val="228262776"/>
        <c:crosses val="autoZero"/>
        <c:auto val="1"/>
        <c:lblAlgn val="ctr"/>
        <c:lblOffset val="100"/>
        <c:tickLblSkip val="2"/>
        <c:noMultiLvlLbl val="0"/>
      </c:catAx>
      <c:valAx>
        <c:axId val="228262776"/>
        <c:scaling>
          <c:orientation val="minMax"/>
          <c:max val="65"/>
          <c:min val="0"/>
        </c:scaling>
        <c:delete val="0"/>
        <c:axPos val="l"/>
        <c:numFmt formatCode="0" sourceLinked="0"/>
        <c:majorTickMark val="out"/>
        <c:minorTickMark val="none"/>
        <c:tickLblPos val="nextTo"/>
        <c:txPr>
          <a:bodyPr/>
          <a:lstStyle/>
          <a:p>
            <a:pPr>
              <a:defRPr sz="1200">
                <a:latin typeface="+mn-lt"/>
              </a:defRPr>
            </a:pPr>
            <a:endParaRPr lang="en-US"/>
          </a:p>
        </c:txPr>
        <c:crossAx val="228262384"/>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32313873109"/>
          <c:y val="2.5749721059450944E-2"/>
          <c:w val="0.88174419371275636"/>
          <c:h val="0.8183231348073795"/>
        </c:manualLayout>
      </c:layout>
      <c:barChart>
        <c:barDir val="col"/>
        <c:grouping val="clustered"/>
        <c:varyColors val="0"/>
        <c:ser>
          <c:idx val="1"/>
          <c:order val="1"/>
          <c:tx>
            <c:strRef>
              <c:f>Hists!$E$1698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Hists!$B$1700:$B$1728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numCache>
            </c:numRef>
          </c:cat>
          <c:val>
            <c:numRef>
              <c:f>Hists!$F$1700:$F$1728</c:f>
              <c:numCache>
                <c:formatCode>0.00</c:formatCode>
                <c:ptCount val="29"/>
                <c:pt idx="0">
                  <c:v>0</c:v>
                </c:pt>
                <c:pt idx="1">
                  <c:v>0</c:v>
                </c:pt>
                <c:pt idx="2">
                  <c:v>0</c:v>
                </c:pt>
                <c:pt idx="3">
                  <c:v>0</c:v>
                </c:pt>
                <c:pt idx="4">
                  <c:v>2.6315789473614957</c:v>
                </c:pt>
                <c:pt idx="5">
                  <c:v>15.789473684168975</c:v>
                </c:pt>
                <c:pt idx="6">
                  <c:v>0</c:v>
                </c:pt>
                <c:pt idx="7">
                  <c:v>2.6315789473614957</c:v>
                </c:pt>
                <c:pt idx="8">
                  <c:v>7.8947368420844874</c:v>
                </c:pt>
                <c:pt idx="9">
                  <c:v>0</c:v>
                </c:pt>
                <c:pt idx="10">
                  <c:v>21.052631578891965</c:v>
                </c:pt>
                <c:pt idx="11">
                  <c:v>26.315789473614956</c:v>
                </c:pt>
                <c:pt idx="12">
                  <c:v>5.2631578947229913</c:v>
                </c:pt>
                <c:pt idx="13">
                  <c:v>5.2631578947229913</c:v>
                </c:pt>
                <c:pt idx="14">
                  <c:v>0</c:v>
                </c:pt>
                <c:pt idx="15">
                  <c:v>2.6315789473614957</c:v>
                </c:pt>
                <c:pt idx="16">
                  <c:v>0</c:v>
                </c:pt>
                <c:pt idx="17">
                  <c:v>0</c:v>
                </c:pt>
                <c:pt idx="18">
                  <c:v>2.6315789473614957</c:v>
                </c:pt>
                <c:pt idx="19">
                  <c:v>0</c:v>
                </c:pt>
                <c:pt idx="20">
                  <c:v>5.2631578947229913</c:v>
                </c:pt>
                <c:pt idx="21">
                  <c:v>0</c:v>
                </c:pt>
                <c:pt idx="22">
                  <c:v>0</c:v>
                </c:pt>
                <c:pt idx="23">
                  <c:v>0</c:v>
                </c:pt>
                <c:pt idx="24">
                  <c:v>0</c:v>
                </c:pt>
                <c:pt idx="25">
                  <c:v>0</c:v>
                </c:pt>
                <c:pt idx="26">
                  <c:v>0</c:v>
                </c:pt>
                <c:pt idx="27">
                  <c:v>2.6315789473614957</c:v>
                </c:pt>
                <c:pt idx="28">
                  <c:v>0</c:v>
                </c:pt>
              </c:numCache>
            </c:numRef>
          </c:val>
          <c:extLst xmlns:c16r2="http://schemas.microsoft.com/office/drawing/2015/06/chart">
            <c:ext xmlns:c16="http://schemas.microsoft.com/office/drawing/2014/chart" uri="{C3380CC4-5D6E-409C-BE32-E72D297353CC}">
              <c16:uniqueId val="{00000000-51F9-49A0-8A47-1149B753CB30}"/>
            </c:ext>
          </c:extLst>
        </c:ser>
        <c:ser>
          <c:idx val="2"/>
          <c:order val="2"/>
          <c:tx>
            <c:strRef>
              <c:f>Hists!$G$1698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Hists!$B$1700:$B$1728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numCache>
            </c:numRef>
          </c:cat>
          <c:val>
            <c:numRef>
              <c:f>Hists!$H$1700:$H$1728</c:f>
              <c:numCache>
                <c:formatCode>0.00</c:formatCode>
                <c:ptCount val="29"/>
                <c:pt idx="0">
                  <c:v>5.263157894709142</c:v>
                </c:pt>
                <c:pt idx="1">
                  <c:v>0</c:v>
                </c:pt>
                <c:pt idx="2">
                  <c:v>0</c:v>
                </c:pt>
                <c:pt idx="3">
                  <c:v>21.052631578836568</c:v>
                </c:pt>
                <c:pt idx="4">
                  <c:v>57.894736841800558</c:v>
                </c:pt>
                <c:pt idx="5">
                  <c:v>5.263157894709142</c:v>
                </c:pt>
                <c:pt idx="6">
                  <c:v>0</c:v>
                </c:pt>
                <c:pt idx="7">
                  <c:v>0</c:v>
                </c:pt>
                <c:pt idx="8">
                  <c:v>0</c:v>
                </c:pt>
                <c:pt idx="9">
                  <c:v>0</c:v>
                </c:pt>
                <c:pt idx="10">
                  <c:v>0</c:v>
                </c:pt>
                <c:pt idx="11">
                  <c:v>10.526315789418284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51F9-49A0-8A47-1149B753CB30}"/>
            </c:ext>
          </c:extLst>
        </c:ser>
        <c:ser>
          <c:idx val="3"/>
          <c:order val="3"/>
          <c:tx>
            <c:strRef>
              <c:f>Hists!$I$1698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Hists!$B$1700:$B$1728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numCache>
            </c:numRef>
          </c:cat>
          <c:val>
            <c:numRef>
              <c:f>Hists!$J$1700:$J$1728</c:f>
              <c:numCache>
                <c:formatCode>0.00</c:formatCode>
                <c:ptCount val="29"/>
                <c:pt idx="0">
                  <c:v>7.6923076922485203</c:v>
                </c:pt>
                <c:pt idx="1">
                  <c:v>0</c:v>
                </c:pt>
                <c:pt idx="2">
                  <c:v>7.6923076922485203</c:v>
                </c:pt>
                <c:pt idx="3">
                  <c:v>30.769230768994081</c:v>
                </c:pt>
                <c:pt idx="4">
                  <c:v>30.769230768994081</c:v>
                </c:pt>
                <c:pt idx="5">
                  <c:v>0</c:v>
                </c:pt>
                <c:pt idx="6">
                  <c:v>0</c:v>
                </c:pt>
                <c:pt idx="7">
                  <c:v>7.6923076922485203</c:v>
                </c:pt>
                <c:pt idx="8">
                  <c:v>0</c:v>
                </c:pt>
                <c:pt idx="9">
                  <c:v>0</c:v>
                </c:pt>
                <c:pt idx="10">
                  <c:v>15.384615384497041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51F9-49A0-8A47-1149B753CB30}"/>
            </c:ext>
          </c:extLst>
        </c:ser>
        <c:dLbls>
          <c:showLegendKey val="0"/>
          <c:showVal val="0"/>
          <c:showCatName val="0"/>
          <c:showSerName val="0"/>
          <c:showPercent val="0"/>
          <c:showBubbleSize val="0"/>
        </c:dLbls>
        <c:gapWidth val="0"/>
        <c:overlap val="75"/>
        <c:axId val="228263560"/>
        <c:axId val="22826395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Hists!$C$1698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Hists!$B$1700:$B$1728</c15:sqref>
                        </c15:formulaRef>
                      </c:ext>
                    </c:extLst>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numCache>
                  </c:numRef>
                </c:cat>
                <c:val>
                  <c:numRef>
                    <c:extLst xmlns:c16r2="http://schemas.microsoft.com/office/drawing/2015/06/chart">
                      <c:ext uri="{02D57815-91ED-43cb-92C2-25804820EDAC}">
                        <c15:formulaRef>
                          <c15:sqref>Hists!$D$1700:$D$1728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24.9999999996875</c:v>
                      </c:pt>
                      <c:pt idx="11">
                        <c:v>0</c:v>
                      </c:pt>
                      <c:pt idx="12">
                        <c:v>0</c:v>
                      </c:pt>
                      <c:pt idx="13">
                        <c:v>74.999999999062496</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51F9-49A0-8A47-1149B753CB30}"/>
                  </c:ext>
                </c:extLst>
              </c15:ser>
            </c15:filteredBarSeries>
          </c:ext>
        </c:extLst>
      </c:barChart>
      <c:catAx>
        <c:axId val="228263560"/>
        <c:scaling>
          <c:orientation val="minMax"/>
        </c:scaling>
        <c:delete val="0"/>
        <c:axPos val="b"/>
        <c:title>
          <c:tx>
            <c:rich>
              <a:bodyPr/>
              <a:lstStyle/>
              <a:p>
                <a:pPr>
                  <a:defRPr/>
                </a:pPr>
                <a:r>
                  <a:rPr lang="en-US" sz="1400">
                    <a:latin typeface="+mn-lt"/>
                  </a:rPr>
                  <a:t>Voltage (V)</a:t>
                </a:r>
              </a:p>
            </c:rich>
          </c:tx>
          <c:layout>
            <c:manualLayout>
              <c:xMode val="edge"/>
              <c:yMode val="edge"/>
              <c:x val="0.36883639874220953"/>
              <c:y val="0.92937759512972984"/>
            </c:manualLayout>
          </c:layout>
          <c:overlay val="0"/>
        </c:title>
        <c:numFmt formatCode="#,##0.0" sourceLinked="0"/>
        <c:majorTickMark val="out"/>
        <c:minorTickMark val="none"/>
        <c:tickLblPos val="nextTo"/>
        <c:spPr>
          <a:ln/>
        </c:spPr>
        <c:txPr>
          <a:bodyPr rot="5400000" vert="horz"/>
          <a:lstStyle/>
          <a:p>
            <a:pPr>
              <a:defRPr sz="1200">
                <a:latin typeface="+mn-lt"/>
              </a:defRPr>
            </a:pPr>
            <a:endParaRPr lang="en-US"/>
          </a:p>
        </c:txPr>
        <c:crossAx val="228263952"/>
        <c:crosses val="autoZero"/>
        <c:auto val="1"/>
        <c:lblAlgn val="ctr"/>
        <c:lblOffset val="100"/>
        <c:tickLblSkip val="2"/>
        <c:noMultiLvlLbl val="0"/>
      </c:catAx>
      <c:valAx>
        <c:axId val="228263952"/>
        <c:scaling>
          <c:orientation val="minMax"/>
          <c:max val="60"/>
        </c:scaling>
        <c:delete val="0"/>
        <c:axPos val="l"/>
        <c:numFmt formatCode="0" sourceLinked="0"/>
        <c:majorTickMark val="out"/>
        <c:minorTickMark val="none"/>
        <c:tickLblPos val="nextTo"/>
        <c:txPr>
          <a:bodyPr/>
          <a:lstStyle/>
          <a:p>
            <a:pPr>
              <a:defRPr sz="1200">
                <a:latin typeface="+mn-lt"/>
              </a:defRPr>
            </a:pPr>
            <a:endParaRPr lang="en-US"/>
          </a:p>
        </c:txPr>
        <c:crossAx val="228263560"/>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9226937283277"/>
          <c:y val="2.5749734029660451E-2"/>
          <c:w val="0.88174419371275636"/>
          <c:h val="0.8183231348073795"/>
        </c:manualLayout>
      </c:layout>
      <c:barChart>
        <c:barDir val="col"/>
        <c:grouping val="clustered"/>
        <c:varyColors val="0"/>
        <c:ser>
          <c:idx val="1"/>
          <c:order val="1"/>
          <c:tx>
            <c:strRef>
              <c:f>Hists!$E$1748</c:f>
              <c:strCache>
                <c:ptCount val="1"/>
                <c:pt idx="0">
                  <c:v>Mote (on PCB)</c:v>
                </c:pt>
              </c:strCache>
            </c:strRef>
          </c:tx>
          <c:spPr>
            <a:pattFill prst="pct25">
              <a:fgClr>
                <a:srgbClr val="C00000"/>
              </a:fgClr>
              <a:bgClr>
                <a:schemeClr val="bg1"/>
              </a:bgClr>
            </a:pattFill>
            <a:ln w="25400">
              <a:solidFill>
                <a:srgbClr val="C00000"/>
              </a:solidFill>
            </a:ln>
          </c:spPr>
          <c:invertIfNegative val="0"/>
          <c:cat>
            <c:numRef>
              <c:f>Hists!$B$1750:$B$1778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15</c:v>
                </c:pt>
                <c:pt idx="23">
                  <c:v>20</c:v>
                </c:pt>
                <c:pt idx="24">
                  <c:v>25</c:v>
                </c:pt>
                <c:pt idx="25">
                  <c:v>30</c:v>
                </c:pt>
                <c:pt idx="26">
                  <c:v>35</c:v>
                </c:pt>
                <c:pt idx="27">
                  <c:v>40</c:v>
                </c:pt>
                <c:pt idx="28">
                  <c:v>45</c:v>
                </c:pt>
              </c:numCache>
            </c:numRef>
          </c:cat>
          <c:val>
            <c:numRef>
              <c:f>Hists!$F$1750:$F$1778</c:f>
              <c:numCache>
                <c:formatCode>0.00</c:formatCode>
                <c:ptCount val="29"/>
                <c:pt idx="0">
                  <c:v>0</c:v>
                </c:pt>
                <c:pt idx="1">
                  <c:v>0</c:v>
                </c:pt>
                <c:pt idx="2">
                  <c:v>0</c:v>
                </c:pt>
                <c:pt idx="3">
                  <c:v>0</c:v>
                </c:pt>
                <c:pt idx="4">
                  <c:v>0</c:v>
                </c:pt>
                <c:pt idx="5">
                  <c:v>0</c:v>
                </c:pt>
                <c:pt idx="6">
                  <c:v>0</c:v>
                </c:pt>
                <c:pt idx="7">
                  <c:v>0</c:v>
                </c:pt>
                <c:pt idx="8">
                  <c:v>0</c:v>
                </c:pt>
                <c:pt idx="9">
                  <c:v>0</c:v>
                </c:pt>
                <c:pt idx="10">
                  <c:v>5.2631578947229913</c:v>
                </c:pt>
                <c:pt idx="11">
                  <c:v>23.684210526253462</c:v>
                </c:pt>
                <c:pt idx="12">
                  <c:v>2.6315789473614957</c:v>
                </c:pt>
                <c:pt idx="13">
                  <c:v>23.684210526253462</c:v>
                </c:pt>
                <c:pt idx="14">
                  <c:v>0</c:v>
                </c:pt>
                <c:pt idx="15">
                  <c:v>10.526315789445983</c:v>
                </c:pt>
                <c:pt idx="16">
                  <c:v>18.421052631530468</c:v>
                </c:pt>
                <c:pt idx="17">
                  <c:v>2.6315789473614957</c:v>
                </c:pt>
                <c:pt idx="18">
                  <c:v>2.6315789473614957</c:v>
                </c:pt>
                <c:pt idx="19">
                  <c:v>0</c:v>
                </c:pt>
                <c:pt idx="20">
                  <c:v>0</c:v>
                </c:pt>
                <c:pt idx="21">
                  <c:v>0</c:v>
                </c:pt>
                <c:pt idx="22">
                  <c:v>0</c:v>
                </c:pt>
                <c:pt idx="23">
                  <c:v>0</c:v>
                </c:pt>
                <c:pt idx="24">
                  <c:v>0</c:v>
                </c:pt>
                <c:pt idx="25">
                  <c:v>2.6315789473614957</c:v>
                </c:pt>
                <c:pt idx="26">
                  <c:v>2.6315789473614957</c:v>
                </c:pt>
                <c:pt idx="27">
                  <c:v>5.2631578947229913</c:v>
                </c:pt>
                <c:pt idx="28">
                  <c:v>0</c:v>
                </c:pt>
              </c:numCache>
            </c:numRef>
          </c:val>
          <c:extLst xmlns:c16r2="http://schemas.microsoft.com/office/drawing/2015/06/chart">
            <c:ext xmlns:c16="http://schemas.microsoft.com/office/drawing/2014/chart" uri="{C3380CC4-5D6E-409C-BE32-E72D297353CC}">
              <c16:uniqueId val="{00000000-03BE-4EA2-8481-2B06257ABB92}"/>
            </c:ext>
          </c:extLst>
        </c:ser>
        <c:ser>
          <c:idx val="2"/>
          <c:order val="2"/>
          <c:tx>
            <c:strRef>
              <c:f>Hists!$G$1748</c:f>
              <c:strCache>
                <c:ptCount val="1"/>
                <c:pt idx="0">
                  <c:v>MCU (Integrated Circuit)</c:v>
                </c:pt>
              </c:strCache>
            </c:strRef>
          </c:tx>
          <c:spPr>
            <a:pattFill prst="ltDnDiag">
              <a:fgClr>
                <a:srgbClr val="00B050"/>
              </a:fgClr>
              <a:bgClr>
                <a:schemeClr val="bg1"/>
              </a:bgClr>
            </a:pattFill>
            <a:ln w="25400">
              <a:solidFill>
                <a:srgbClr val="00B050"/>
              </a:solidFill>
            </a:ln>
          </c:spPr>
          <c:invertIfNegative val="0"/>
          <c:cat>
            <c:numRef>
              <c:f>Hists!$B$1750:$B$1778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15</c:v>
                </c:pt>
                <c:pt idx="23">
                  <c:v>20</c:v>
                </c:pt>
                <c:pt idx="24">
                  <c:v>25</c:v>
                </c:pt>
                <c:pt idx="25">
                  <c:v>30</c:v>
                </c:pt>
                <c:pt idx="26">
                  <c:v>35</c:v>
                </c:pt>
                <c:pt idx="27">
                  <c:v>40</c:v>
                </c:pt>
                <c:pt idx="28">
                  <c:v>45</c:v>
                </c:pt>
              </c:numCache>
            </c:numRef>
          </c:cat>
          <c:val>
            <c:numRef>
              <c:f>Hists!$H$1750:$H$1778</c:f>
              <c:numCache>
                <c:formatCode>0.00</c:formatCode>
                <c:ptCount val="29"/>
                <c:pt idx="0">
                  <c:v>5.263157894709142</c:v>
                </c:pt>
                <c:pt idx="1">
                  <c:v>0</c:v>
                </c:pt>
                <c:pt idx="2">
                  <c:v>0</c:v>
                </c:pt>
                <c:pt idx="3">
                  <c:v>0</c:v>
                </c:pt>
                <c:pt idx="4">
                  <c:v>0</c:v>
                </c:pt>
                <c:pt idx="5">
                  <c:v>0</c:v>
                </c:pt>
                <c:pt idx="6">
                  <c:v>0</c:v>
                </c:pt>
                <c:pt idx="7">
                  <c:v>0</c:v>
                </c:pt>
                <c:pt idx="8">
                  <c:v>0</c:v>
                </c:pt>
                <c:pt idx="9">
                  <c:v>0</c:v>
                </c:pt>
                <c:pt idx="10">
                  <c:v>0</c:v>
                </c:pt>
                <c:pt idx="11">
                  <c:v>10.526315789418284</c:v>
                </c:pt>
                <c:pt idx="12">
                  <c:v>0</c:v>
                </c:pt>
                <c:pt idx="13">
                  <c:v>42.105263157673136</c:v>
                </c:pt>
                <c:pt idx="14">
                  <c:v>42.105263157673136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1-03BE-4EA2-8481-2B06257ABB92}"/>
            </c:ext>
          </c:extLst>
        </c:ser>
        <c:ser>
          <c:idx val="3"/>
          <c:order val="3"/>
          <c:tx>
            <c:strRef>
              <c:f>Hists!$I$1748</c:f>
              <c:strCache>
                <c:ptCount val="1"/>
                <c:pt idx="0">
                  <c:v>Sensor Hub (Integrated Circuit)</c:v>
                </c:pt>
              </c:strCache>
            </c:strRef>
          </c:tx>
          <c:spPr>
            <a:pattFill prst="smGrid">
              <a:fgClr>
                <a:schemeClr val="tx2"/>
              </a:fgClr>
              <a:bgClr>
                <a:schemeClr val="bg1"/>
              </a:bgClr>
            </a:pattFill>
            <a:ln w="25400">
              <a:solidFill>
                <a:schemeClr val="tx2"/>
              </a:solidFill>
            </a:ln>
          </c:spPr>
          <c:invertIfNegative val="0"/>
          <c:cat>
            <c:numRef>
              <c:f>Hists!$B$1750:$B$1778</c:f>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15</c:v>
                </c:pt>
                <c:pt idx="23">
                  <c:v>20</c:v>
                </c:pt>
                <c:pt idx="24">
                  <c:v>25</c:v>
                </c:pt>
                <c:pt idx="25">
                  <c:v>30</c:v>
                </c:pt>
                <c:pt idx="26">
                  <c:v>35</c:v>
                </c:pt>
                <c:pt idx="27">
                  <c:v>40</c:v>
                </c:pt>
                <c:pt idx="28">
                  <c:v>45</c:v>
                </c:pt>
              </c:numCache>
            </c:numRef>
          </c:cat>
          <c:val>
            <c:numRef>
              <c:f>Hists!$J$1750:$J$1778</c:f>
              <c:numCache>
                <c:formatCode>0.00</c:formatCode>
                <c:ptCount val="29"/>
                <c:pt idx="0">
                  <c:v>0</c:v>
                </c:pt>
                <c:pt idx="1">
                  <c:v>7.6923076922485203</c:v>
                </c:pt>
                <c:pt idx="2">
                  <c:v>0</c:v>
                </c:pt>
                <c:pt idx="3">
                  <c:v>0</c:v>
                </c:pt>
                <c:pt idx="4">
                  <c:v>0</c:v>
                </c:pt>
                <c:pt idx="5">
                  <c:v>0</c:v>
                </c:pt>
                <c:pt idx="6">
                  <c:v>0</c:v>
                </c:pt>
                <c:pt idx="7">
                  <c:v>0</c:v>
                </c:pt>
                <c:pt idx="8">
                  <c:v>0</c:v>
                </c:pt>
                <c:pt idx="9">
                  <c:v>0</c:v>
                </c:pt>
                <c:pt idx="10">
                  <c:v>0</c:v>
                </c:pt>
                <c:pt idx="11">
                  <c:v>0</c:v>
                </c:pt>
                <c:pt idx="12">
                  <c:v>7.6923076922485203</c:v>
                </c:pt>
                <c:pt idx="13">
                  <c:v>69.230769230236689</c:v>
                </c:pt>
                <c:pt idx="14">
                  <c:v>0</c:v>
                </c:pt>
                <c:pt idx="15">
                  <c:v>0</c:v>
                </c:pt>
                <c:pt idx="16">
                  <c:v>15.384615384497041</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2-03BE-4EA2-8481-2B06257ABB92}"/>
            </c:ext>
          </c:extLst>
        </c:ser>
        <c:dLbls>
          <c:showLegendKey val="0"/>
          <c:showVal val="0"/>
          <c:showCatName val="0"/>
          <c:showSerName val="0"/>
          <c:showPercent val="0"/>
          <c:showBubbleSize val="0"/>
        </c:dLbls>
        <c:gapWidth val="0"/>
        <c:overlap val="75"/>
        <c:axId val="228264736"/>
        <c:axId val="2282651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Hists!$C$1748</c15:sqref>
                        </c15:formulaRef>
                      </c:ext>
                    </c:extLst>
                    <c:strCache>
                      <c:ptCount val="1"/>
                      <c:pt idx="0">
                        <c:v>Wearable</c:v>
                      </c:pt>
                    </c:strCache>
                  </c:strRef>
                </c:tx>
                <c:invertIfNegative val="0"/>
                <c:cat>
                  <c:numRef>
                    <c:extLst xmlns:c16r2="http://schemas.microsoft.com/office/drawing/2015/06/chart">
                      <c:ext uri="{02D57815-91ED-43cb-92C2-25804820EDAC}">
                        <c15:formulaRef>
                          <c15:sqref>Hists!$B$1750:$B$1778</c15:sqref>
                        </c15:formulaRef>
                      </c:ext>
                    </c:extLst>
                    <c:numCache>
                      <c:formatCode>0.0</c:formatCode>
                      <c:ptCount val="29"/>
                      <c:pt idx="0">
                        <c:v>1</c:v>
                      </c:pt>
                      <c:pt idx="1">
                        <c:v>1.2</c:v>
                      </c:pt>
                      <c:pt idx="2">
                        <c:v>1.4</c:v>
                      </c:pt>
                      <c:pt idx="3">
                        <c:v>1.6</c:v>
                      </c:pt>
                      <c:pt idx="4">
                        <c:v>1.8</c:v>
                      </c:pt>
                      <c:pt idx="5">
                        <c:v>2</c:v>
                      </c:pt>
                      <c:pt idx="6">
                        <c:v>2.2000000000000002</c:v>
                      </c:pt>
                      <c:pt idx="7">
                        <c:v>2.4</c:v>
                      </c:pt>
                      <c:pt idx="8">
                        <c:v>2.6</c:v>
                      </c:pt>
                      <c:pt idx="9">
                        <c:v>2.8</c:v>
                      </c:pt>
                      <c:pt idx="10">
                        <c:v>3</c:v>
                      </c:pt>
                      <c:pt idx="11">
                        <c:v>3.2</c:v>
                      </c:pt>
                      <c:pt idx="12">
                        <c:v>3.4</c:v>
                      </c:pt>
                      <c:pt idx="13">
                        <c:v>3.6</c:v>
                      </c:pt>
                      <c:pt idx="14">
                        <c:v>3.8</c:v>
                      </c:pt>
                      <c:pt idx="15">
                        <c:v>4</c:v>
                      </c:pt>
                      <c:pt idx="16">
                        <c:v>5</c:v>
                      </c:pt>
                      <c:pt idx="17">
                        <c:v>6</c:v>
                      </c:pt>
                      <c:pt idx="18">
                        <c:v>7</c:v>
                      </c:pt>
                      <c:pt idx="19">
                        <c:v>8</c:v>
                      </c:pt>
                      <c:pt idx="20">
                        <c:v>9</c:v>
                      </c:pt>
                      <c:pt idx="21">
                        <c:v>10</c:v>
                      </c:pt>
                      <c:pt idx="22">
                        <c:v>15</c:v>
                      </c:pt>
                      <c:pt idx="23">
                        <c:v>20</c:v>
                      </c:pt>
                      <c:pt idx="24">
                        <c:v>25</c:v>
                      </c:pt>
                      <c:pt idx="25">
                        <c:v>30</c:v>
                      </c:pt>
                      <c:pt idx="26">
                        <c:v>35</c:v>
                      </c:pt>
                      <c:pt idx="27">
                        <c:v>40</c:v>
                      </c:pt>
                      <c:pt idx="28">
                        <c:v>45</c:v>
                      </c:pt>
                    </c:numCache>
                  </c:numRef>
                </c:cat>
                <c:val>
                  <c:numRef>
                    <c:extLst xmlns:c16r2="http://schemas.microsoft.com/office/drawing/2015/06/chart">
                      <c:ext uri="{02D57815-91ED-43cb-92C2-25804820EDAC}">
                        <c15:formulaRef>
                          <c15:sqref>Hists!$D$1750:$D$1778</c15:sqref>
                        </c15:formulaRef>
                      </c:ext>
                    </c:extLst>
                    <c:numCache>
                      <c:formatCode>0.00</c:formatCode>
                      <c:ptCount val="29"/>
                      <c:pt idx="0">
                        <c:v>0</c:v>
                      </c:pt>
                      <c:pt idx="1">
                        <c:v>0</c:v>
                      </c:pt>
                      <c:pt idx="2">
                        <c:v>0</c:v>
                      </c:pt>
                      <c:pt idx="3">
                        <c:v>0</c:v>
                      </c:pt>
                      <c:pt idx="4">
                        <c:v>0</c:v>
                      </c:pt>
                      <c:pt idx="5">
                        <c:v>0</c:v>
                      </c:pt>
                      <c:pt idx="6">
                        <c:v>0</c:v>
                      </c:pt>
                      <c:pt idx="7">
                        <c:v>0</c:v>
                      </c:pt>
                      <c:pt idx="8">
                        <c:v>0</c:v>
                      </c:pt>
                      <c:pt idx="9">
                        <c:v>0</c:v>
                      </c:pt>
                      <c:pt idx="10">
                        <c:v>24.9999999996875</c:v>
                      </c:pt>
                      <c:pt idx="11">
                        <c:v>0</c:v>
                      </c:pt>
                      <c:pt idx="12">
                        <c:v>0</c:v>
                      </c:pt>
                      <c:pt idx="13">
                        <c:v>74.999999999062496</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6r2="http://schemas.microsoft.com/office/drawing/2015/06/chart">
                  <c:ext xmlns:c16="http://schemas.microsoft.com/office/drawing/2014/chart" uri="{C3380CC4-5D6E-409C-BE32-E72D297353CC}">
                    <c16:uniqueId val="{00000003-03BE-4EA2-8481-2B06257ABB92}"/>
                  </c:ext>
                </c:extLst>
              </c15:ser>
            </c15:filteredBarSeries>
          </c:ext>
        </c:extLst>
      </c:barChart>
      <c:catAx>
        <c:axId val="228264736"/>
        <c:scaling>
          <c:orientation val="minMax"/>
        </c:scaling>
        <c:delete val="0"/>
        <c:axPos val="b"/>
        <c:title>
          <c:tx>
            <c:rich>
              <a:bodyPr/>
              <a:lstStyle/>
              <a:p>
                <a:pPr>
                  <a:defRPr/>
                </a:pPr>
                <a:r>
                  <a:rPr lang="en-US" sz="1400">
                    <a:latin typeface="+mn-lt"/>
                  </a:rPr>
                  <a:t>Voltage (V)</a:t>
                </a:r>
              </a:p>
            </c:rich>
          </c:tx>
          <c:layout>
            <c:manualLayout>
              <c:xMode val="edge"/>
              <c:yMode val="edge"/>
              <c:x val="0.36883639874220953"/>
              <c:y val="0.92937759512972984"/>
            </c:manualLayout>
          </c:layout>
          <c:overlay val="0"/>
        </c:title>
        <c:numFmt formatCode="#,##0.0" sourceLinked="0"/>
        <c:majorTickMark val="out"/>
        <c:minorTickMark val="none"/>
        <c:tickLblPos val="nextTo"/>
        <c:spPr>
          <a:ln/>
        </c:spPr>
        <c:txPr>
          <a:bodyPr rot="5400000" vert="horz"/>
          <a:lstStyle/>
          <a:p>
            <a:pPr>
              <a:defRPr sz="1200">
                <a:latin typeface="+mn-lt"/>
              </a:defRPr>
            </a:pPr>
            <a:endParaRPr lang="en-US"/>
          </a:p>
        </c:txPr>
        <c:crossAx val="228265128"/>
        <c:crosses val="autoZero"/>
        <c:auto val="1"/>
        <c:lblAlgn val="ctr"/>
        <c:lblOffset val="100"/>
        <c:tickLblSkip val="2"/>
        <c:noMultiLvlLbl val="0"/>
      </c:catAx>
      <c:valAx>
        <c:axId val="228265128"/>
        <c:scaling>
          <c:orientation val="minMax"/>
          <c:max val="80"/>
        </c:scaling>
        <c:delete val="0"/>
        <c:axPos val="l"/>
        <c:numFmt formatCode="0" sourceLinked="0"/>
        <c:majorTickMark val="out"/>
        <c:minorTickMark val="none"/>
        <c:tickLblPos val="nextTo"/>
        <c:txPr>
          <a:bodyPr/>
          <a:lstStyle/>
          <a:p>
            <a:pPr>
              <a:defRPr sz="1200">
                <a:latin typeface="+mn-lt"/>
              </a:defRPr>
            </a:pPr>
            <a:endParaRPr lang="en-US"/>
          </a:p>
        </c:txPr>
        <c:crossAx val="228264736"/>
        <c:crosses val="autoZero"/>
        <c:crossBetween val="between"/>
      </c:valAx>
      <c:spPr>
        <a:noFill/>
        <a:ln>
          <a:solidFill>
            <a:schemeClr val="bg1">
              <a:lumMod val="50000"/>
            </a:schemeClr>
          </a:solidFill>
        </a:ln>
      </c:spPr>
    </c:plotArea>
    <c:legend>
      <c:legendPos val="r"/>
      <c:layout>
        <c:manualLayout>
          <c:xMode val="edge"/>
          <c:yMode val="edge"/>
          <c:x val="0.5783742186161307"/>
          <c:y val="4.6803054824585077E-2"/>
          <c:w val="0.39430348007286764"/>
          <c:h val="0.30009768317811225"/>
        </c:manualLayout>
      </c:layout>
      <c:overlay val="0"/>
      <c:spPr>
        <a:noFill/>
      </c:spPr>
      <c:txPr>
        <a:bodyPr/>
        <a:lstStyle/>
        <a:p>
          <a:pPr>
            <a:defRPr sz="1400">
              <a:latin typeface="+mn-lt"/>
            </a:defRPr>
          </a:pPr>
          <a:endParaRPr lang="en-US"/>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89" Type="http://schemas.openxmlformats.org/officeDocument/2006/relationships/chart" Target="../charts/chart89.xml"/><Relationship Id="rId112" Type="http://schemas.openxmlformats.org/officeDocument/2006/relationships/chart" Target="../charts/chart112.xml"/><Relationship Id="rId16" Type="http://schemas.openxmlformats.org/officeDocument/2006/relationships/chart" Target="../charts/chart16.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28" Type="http://schemas.openxmlformats.org/officeDocument/2006/relationships/chart" Target="../charts/chart128.xml"/><Relationship Id="rId5" Type="http://schemas.openxmlformats.org/officeDocument/2006/relationships/chart" Target="../charts/chart5.xml"/><Relationship Id="rId90" Type="http://schemas.openxmlformats.org/officeDocument/2006/relationships/chart" Target="../charts/chart90.xml"/><Relationship Id="rId95" Type="http://schemas.openxmlformats.org/officeDocument/2006/relationships/chart" Target="../charts/chart95.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113" Type="http://schemas.openxmlformats.org/officeDocument/2006/relationships/chart" Target="../charts/chart113.xml"/><Relationship Id="rId118" Type="http://schemas.openxmlformats.org/officeDocument/2006/relationships/chart" Target="../charts/chart118.xml"/><Relationship Id="rId126" Type="http://schemas.openxmlformats.org/officeDocument/2006/relationships/chart" Target="../charts/chart126.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93" Type="http://schemas.openxmlformats.org/officeDocument/2006/relationships/chart" Target="../charts/chart93.xml"/><Relationship Id="rId98" Type="http://schemas.openxmlformats.org/officeDocument/2006/relationships/chart" Target="../charts/chart98.xml"/><Relationship Id="rId121" Type="http://schemas.openxmlformats.org/officeDocument/2006/relationships/chart" Target="../charts/chart12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103" Type="http://schemas.openxmlformats.org/officeDocument/2006/relationships/chart" Target="../charts/chart103.xml"/><Relationship Id="rId108" Type="http://schemas.openxmlformats.org/officeDocument/2006/relationships/chart" Target="../charts/chart108.xml"/><Relationship Id="rId116" Type="http://schemas.openxmlformats.org/officeDocument/2006/relationships/chart" Target="../charts/chart116.xml"/><Relationship Id="rId124" Type="http://schemas.openxmlformats.org/officeDocument/2006/relationships/chart" Target="../charts/chart124.xml"/><Relationship Id="rId129" Type="http://schemas.openxmlformats.org/officeDocument/2006/relationships/chart" Target="../charts/chart129.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1.xml"/><Relationship Id="rId96" Type="http://schemas.openxmlformats.org/officeDocument/2006/relationships/chart" Target="../charts/chart96.xml"/><Relationship Id="rId111" Type="http://schemas.openxmlformats.org/officeDocument/2006/relationships/chart" Target="../charts/chart111.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6" Type="http://schemas.openxmlformats.org/officeDocument/2006/relationships/chart" Target="../charts/chart106.xml"/><Relationship Id="rId114" Type="http://schemas.openxmlformats.org/officeDocument/2006/relationships/chart" Target="../charts/chart114.xml"/><Relationship Id="rId119" Type="http://schemas.openxmlformats.org/officeDocument/2006/relationships/chart" Target="../charts/chart119.xml"/><Relationship Id="rId127" Type="http://schemas.openxmlformats.org/officeDocument/2006/relationships/chart" Target="../charts/chart12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120" Type="http://schemas.openxmlformats.org/officeDocument/2006/relationships/chart" Target="../charts/chart120.xml"/><Relationship Id="rId125" Type="http://schemas.openxmlformats.org/officeDocument/2006/relationships/chart" Target="../charts/chart125.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61" Type="http://schemas.openxmlformats.org/officeDocument/2006/relationships/chart" Target="../charts/chart61.xml"/><Relationship Id="rId82" Type="http://schemas.openxmlformats.org/officeDocument/2006/relationships/chart" Target="../charts/chart82.xml"/></Relationships>
</file>

<file path=xl/drawings/_rels/drawing103.xml.rels><?xml version="1.0" encoding="UTF-8" standalone="yes"?>
<Relationships xmlns="http://schemas.openxmlformats.org/package/2006/relationships"><Relationship Id="rId8" Type="http://schemas.openxmlformats.org/officeDocument/2006/relationships/chart" Target="../charts/chart137.xml"/><Relationship Id="rId13" Type="http://schemas.openxmlformats.org/officeDocument/2006/relationships/chart" Target="../charts/chart142.xml"/><Relationship Id="rId18" Type="http://schemas.openxmlformats.org/officeDocument/2006/relationships/chart" Target="../charts/chart147.xml"/><Relationship Id="rId26" Type="http://schemas.openxmlformats.org/officeDocument/2006/relationships/chart" Target="../charts/chart155.xml"/><Relationship Id="rId3" Type="http://schemas.openxmlformats.org/officeDocument/2006/relationships/chart" Target="../charts/chart132.xml"/><Relationship Id="rId21" Type="http://schemas.openxmlformats.org/officeDocument/2006/relationships/chart" Target="../charts/chart150.xml"/><Relationship Id="rId34" Type="http://schemas.openxmlformats.org/officeDocument/2006/relationships/chart" Target="../charts/chart163.xml"/><Relationship Id="rId7" Type="http://schemas.openxmlformats.org/officeDocument/2006/relationships/chart" Target="../charts/chart136.xml"/><Relationship Id="rId12" Type="http://schemas.openxmlformats.org/officeDocument/2006/relationships/chart" Target="../charts/chart141.xml"/><Relationship Id="rId17" Type="http://schemas.openxmlformats.org/officeDocument/2006/relationships/chart" Target="../charts/chart146.xml"/><Relationship Id="rId25" Type="http://schemas.openxmlformats.org/officeDocument/2006/relationships/chart" Target="../charts/chart154.xml"/><Relationship Id="rId33" Type="http://schemas.openxmlformats.org/officeDocument/2006/relationships/chart" Target="../charts/chart162.xml"/><Relationship Id="rId2" Type="http://schemas.openxmlformats.org/officeDocument/2006/relationships/chart" Target="../charts/chart131.xml"/><Relationship Id="rId16" Type="http://schemas.openxmlformats.org/officeDocument/2006/relationships/chart" Target="../charts/chart145.xml"/><Relationship Id="rId20" Type="http://schemas.openxmlformats.org/officeDocument/2006/relationships/chart" Target="../charts/chart149.xml"/><Relationship Id="rId29" Type="http://schemas.openxmlformats.org/officeDocument/2006/relationships/chart" Target="../charts/chart158.xml"/><Relationship Id="rId1" Type="http://schemas.openxmlformats.org/officeDocument/2006/relationships/chart" Target="../charts/chart130.xml"/><Relationship Id="rId6" Type="http://schemas.openxmlformats.org/officeDocument/2006/relationships/chart" Target="../charts/chart135.xml"/><Relationship Id="rId11" Type="http://schemas.openxmlformats.org/officeDocument/2006/relationships/chart" Target="../charts/chart140.xml"/><Relationship Id="rId24" Type="http://schemas.openxmlformats.org/officeDocument/2006/relationships/chart" Target="../charts/chart153.xml"/><Relationship Id="rId32" Type="http://schemas.openxmlformats.org/officeDocument/2006/relationships/chart" Target="../charts/chart161.xml"/><Relationship Id="rId5" Type="http://schemas.openxmlformats.org/officeDocument/2006/relationships/chart" Target="../charts/chart134.xml"/><Relationship Id="rId15" Type="http://schemas.openxmlformats.org/officeDocument/2006/relationships/chart" Target="../charts/chart144.xml"/><Relationship Id="rId23" Type="http://schemas.openxmlformats.org/officeDocument/2006/relationships/chart" Target="../charts/chart152.xml"/><Relationship Id="rId28" Type="http://schemas.openxmlformats.org/officeDocument/2006/relationships/chart" Target="../charts/chart157.xml"/><Relationship Id="rId36" Type="http://schemas.openxmlformats.org/officeDocument/2006/relationships/chart" Target="../charts/chart165.xml"/><Relationship Id="rId10" Type="http://schemas.openxmlformats.org/officeDocument/2006/relationships/chart" Target="../charts/chart139.xml"/><Relationship Id="rId19" Type="http://schemas.openxmlformats.org/officeDocument/2006/relationships/chart" Target="../charts/chart148.xml"/><Relationship Id="rId31" Type="http://schemas.openxmlformats.org/officeDocument/2006/relationships/chart" Target="../charts/chart160.xml"/><Relationship Id="rId4" Type="http://schemas.openxmlformats.org/officeDocument/2006/relationships/chart" Target="../charts/chart133.xml"/><Relationship Id="rId9" Type="http://schemas.openxmlformats.org/officeDocument/2006/relationships/chart" Target="../charts/chart138.xml"/><Relationship Id="rId14" Type="http://schemas.openxmlformats.org/officeDocument/2006/relationships/chart" Target="../charts/chart143.xml"/><Relationship Id="rId22" Type="http://schemas.openxmlformats.org/officeDocument/2006/relationships/chart" Target="../charts/chart151.xml"/><Relationship Id="rId27" Type="http://schemas.openxmlformats.org/officeDocument/2006/relationships/chart" Target="../charts/chart156.xml"/><Relationship Id="rId30" Type="http://schemas.openxmlformats.org/officeDocument/2006/relationships/chart" Target="../charts/chart159.xml"/><Relationship Id="rId35" Type="http://schemas.openxmlformats.org/officeDocument/2006/relationships/chart" Target="../charts/chart164.xml"/></Relationships>
</file>

<file path=xl/drawings/_rels/drawing104.xml.rels><?xml version="1.0" encoding="UTF-8" standalone="yes"?>
<Relationships xmlns="http://schemas.openxmlformats.org/package/2006/relationships"><Relationship Id="rId8" Type="http://schemas.openxmlformats.org/officeDocument/2006/relationships/chart" Target="../charts/chart173.xml"/><Relationship Id="rId3" Type="http://schemas.openxmlformats.org/officeDocument/2006/relationships/chart" Target="../charts/chart168.xml"/><Relationship Id="rId7" Type="http://schemas.openxmlformats.org/officeDocument/2006/relationships/chart" Target="../charts/chart172.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5" Type="http://schemas.openxmlformats.org/officeDocument/2006/relationships/chart" Target="../charts/chart170.xml"/><Relationship Id="rId10" Type="http://schemas.openxmlformats.org/officeDocument/2006/relationships/chart" Target="../charts/chart175.xml"/><Relationship Id="rId4" Type="http://schemas.openxmlformats.org/officeDocument/2006/relationships/chart" Target="../charts/chart169.xml"/><Relationship Id="rId9" Type="http://schemas.openxmlformats.org/officeDocument/2006/relationships/chart" Target="../charts/chart174.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177.xml"/><Relationship Id="rId1" Type="http://schemas.openxmlformats.org/officeDocument/2006/relationships/chart" Target="../charts/chart176.xml"/></Relationships>
</file>

<file path=xl/drawings/drawing1.xml><?xml version="1.0" encoding="utf-8"?>
<xdr:wsDr xmlns:xdr="http://schemas.openxmlformats.org/drawingml/2006/spreadsheetDrawing" xmlns:a="http://schemas.openxmlformats.org/drawingml/2006/main">
  <xdr:twoCellAnchor>
    <xdr:from>
      <xdr:col>10</xdr:col>
      <xdr:colOff>437284</xdr:colOff>
      <xdr:row>51</xdr:row>
      <xdr:rowOff>66675</xdr:rowOff>
    </xdr:from>
    <xdr:to>
      <xdr:col>21</xdr:col>
      <xdr:colOff>321020</xdr:colOff>
      <xdr:row>74</xdr:row>
      <xdr:rowOff>163285</xdr:rowOff>
    </xdr:to>
    <xdr:grpSp>
      <xdr:nvGrpSpPr>
        <xdr:cNvPr id="10" name="Group 9"/>
        <xdr:cNvGrpSpPr/>
      </xdr:nvGrpSpPr>
      <xdr:grpSpPr>
        <a:xfrm>
          <a:off x="5207404" y="9827895"/>
          <a:ext cx="7861876" cy="4302850"/>
          <a:chOff x="5092628" y="10306050"/>
          <a:chExt cx="7587080" cy="4478110"/>
        </a:xfrm>
      </xdr:grpSpPr>
      <xdr:graphicFrame macro="">
        <xdr:nvGraphicFramePr>
          <xdr:cNvPr id="7" name="Chart 6"/>
          <xdr:cNvGraphicFramePr>
            <a:graphicFrameLocks/>
          </xdr:cNvGraphicFramePr>
        </xdr:nvGraphicFramePr>
        <xdr:xfrm>
          <a:off x="5092628" y="10306050"/>
          <a:ext cx="2458811" cy="447811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xdr:cNvGraphicFramePr>
            <a:graphicFrameLocks/>
          </xdr:cNvGraphicFramePr>
        </xdr:nvGraphicFramePr>
        <xdr:xfrm>
          <a:off x="7635309" y="10315575"/>
          <a:ext cx="2481262" cy="44577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Chart 12"/>
          <xdr:cNvGraphicFramePr>
            <a:graphicFrameLocks/>
          </xdr:cNvGraphicFramePr>
        </xdr:nvGraphicFramePr>
        <xdr:xfrm>
          <a:off x="10183137" y="10312456"/>
          <a:ext cx="2496571" cy="44577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12</xdr:col>
      <xdr:colOff>250032</xdr:colOff>
      <xdr:row>147</xdr:row>
      <xdr:rowOff>178595</xdr:rowOff>
    </xdr:from>
    <xdr:to>
      <xdr:col>26</xdr:col>
      <xdr:colOff>107156</xdr:colOff>
      <xdr:row>181</xdr:row>
      <xdr:rowOff>142875</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9524</xdr:colOff>
      <xdr:row>197</xdr:row>
      <xdr:rowOff>11905</xdr:rowOff>
    </xdr:from>
    <xdr:to>
      <xdr:col>19</xdr:col>
      <xdr:colOff>1023938</xdr:colOff>
      <xdr:row>228</xdr:row>
      <xdr:rowOff>142874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247</xdr:row>
      <xdr:rowOff>0</xdr:rowOff>
    </xdr:from>
    <xdr:to>
      <xdr:col>19</xdr:col>
      <xdr:colOff>1738313</xdr:colOff>
      <xdr:row>280</xdr:row>
      <xdr:rowOff>107157</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2</xdr:colOff>
      <xdr:row>297</xdr:row>
      <xdr:rowOff>0</xdr:rowOff>
    </xdr:from>
    <xdr:to>
      <xdr:col>19</xdr:col>
      <xdr:colOff>1413388</xdr:colOff>
      <xdr:row>330</xdr:row>
      <xdr:rowOff>130968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347</xdr:row>
      <xdr:rowOff>0</xdr:rowOff>
    </xdr:from>
    <xdr:to>
      <xdr:col>24</xdr:col>
      <xdr:colOff>333376</xdr:colOff>
      <xdr:row>381</xdr:row>
      <xdr:rowOff>95249</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397</xdr:row>
      <xdr:rowOff>0</xdr:rowOff>
    </xdr:from>
    <xdr:to>
      <xdr:col>24</xdr:col>
      <xdr:colOff>333376</xdr:colOff>
      <xdr:row>431</xdr:row>
      <xdr:rowOff>95249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447</xdr:row>
      <xdr:rowOff>0</xdr:rowOff>
    </xdr:from>
    <xdr:to>
      <xdr:col>24</xdr:col>
      <xdr:colOff>333376</xdr:colOff>
      <xdr:row>481</xdr:row>
      <xdr:rowOff>95249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497</xdr:row>
      <xdr:rowOff>0</xdr:rowOff>
    </xdr:from>
    <xdr:to>
      <xdr:col>24</xdr:col>
      <xdr:colOff>333376</xdr:colOff>
      <xdr:row>531</xdr:row>
      <xdr:rowOff>95249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78441</xdr:colOff>
      <xdr:row>547</xdr:row>
      <xdr:rowOff>313765</xdr:rowOff>
    </xdr:from>
    <xdr:to>
      <xdr:col>24</xdr:col>
      <xdr:colOff>411817</xdr:colOff>
      <xdr:row>583</xdr:row>
      <xdr:rowOff>28014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597</xdr:row>
      <xdr:rowOff>0</xdr:rowOff>
    </xdr:from>
    <xdr:to>
      <xdr:col>24</xdr:col>
      <xdr:colOff>333376</xdr:colOff>
      <xdr:row>631</xdr:row>
      <xdr:rowOff>95249</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647</xdr:row>
      <xdr:rowOff>0</xdr:rowOff>
    </xdr:from>
    <xdr:to>
      <xdr:col>24</xdr:col>
      <xdr:colOff>333376</xdr:colOff>
      <xdr:row>681</xdr:row>
      <xdr:rowOff>95249</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697</xdr:row>
      <xdr:rowOff>0</xdr:rowOff>
    </xdr:from>
    <xdr:to>
      <xdr:col>24</xdr:col>
      <xdr:colOff>333376</xdr:colOff>
      <xdr:row>731</xdr:row>
      <xdr:rowOff>95249</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747</xdr:row>
      <xdr:rowOff>0</xdr:rowOff>
    </xdr:from>
    <xdr:to>
      <xdr:col>24</xdr:col>
      <xdr:colOff>333376</xdr:colOff>
      <xdr:row>781</xdr:row>
      <xdr:rowOff>95249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0</xdr:colOff>
      <xdr:row>797</xdr:row>
      <xdr:rowOff>0</xdr:rowOff>
    </xdr:from>
    <xdr:to>
      <xdr:col>24</xdr:col>
      <xdr:colOff>333376</xdr:colOff>
      <xdr:row>831</xdr:row>
      <xdr:rowOff>95249</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0</xdr:colOff>
      <xdr:row>847</xdr:row>
      <xdr:rowOff>0</xdr:rowOff>
    </xdr:from>
    <xdr:to>
      <xdr:col>24</xdr:col>
      <xdr:colOff>333376</xdr:colOff>
      <xdr:row>881</xdr:row>
      <xdr:rowOff>95249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0</xdr:colOff>
      <xdr:row>897</xdr:row>
      <xdr:rowOff>0</xdr:rowOff>
    </xdr:from>
    <xdr:to>
      <xdr:col>24</xdr:col>
      <xdr:colOff>333376</xdr:colOff>
      <xdr:row>931</xdr:row>
      <xdr:rowOff>95249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0</xdr:colOff>
      <xdr:row>947</xdr:row>
      <xdr:rowOff>0</xdr:rowOff>
    </xdr:from>
    <xdr:to>
      <xdr:col>24</xdr:col>
      <xdr:colOff>333376</xdr:colOff>
      <xdr:row>981</xdr:row>
      <xdr:rowOff>95249</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0</xdr:colOff>
      <xdr:row>997</xdr:row>
      <xdr:rowOff>0</xdr:rowOff>
    </xdr:from>
    <xdr:to>
      <xdr:col>24</xdr:col>
      <xdr:colOff>333376</xdr:colOff>
      <xdr:row>1031</xdr:row>
      <xdr:rowOff>95249</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0</xdr:colOff>
      <xdr:row>1047</xdr:row>
      <xdr:rowOff>0</xdr:rowOff>
    </xdr:from>
    <xdr:to>
      <xdr:col>24</xdr:col>
      <xdr:colOff>333376</xdr:colOff>
      <xdr:row>1081</xdr:row>
      <xdr:rowOff>95249</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0</xdr:colOff>
      <xdr:row>1097</xdr:row>
      <xdr:rowOff>0</xdr:rowOff>
    </xdr:from>
    <xdr:to>
      <xdr:col>24</xdr:col>
      <xdr:colOff>333376</xdr:colOff>
      <xdr:row>1131</xdr:row>
      <xdr:rowOff>95249</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0</xdr:colOff>
      <xdr:row>103</xdr:row>
      <xdr:rowOff>0</xdr:rowOff>
    </xdr:from>
    <xdr:to>
      <xdr:col>21</xdr:col>
      <xdr:colOff>463810</xdr:colOff>
      <xdr:row>126</xdr:row>
      <xdr:rowOff>96610</xdr:rowOff>
    </xdr:to>
    <xdr:grpSp>
      <xdr:nvGrpSpPr>
        <xdr:cNvPr id="11" name="Group 10"/>
        <xdr:cNvGrpSpPr/>
      </xdr:nvGrpSpPr>
      <xdr:grpSpPr>
        <a:xfrm>
          <a:off x="5387340" y="19316700"/>
          <a:ext cx="7824730" cy="4302850"/>
          <a:chOff x="5250656" y="20145375"/>
          <a:chExt cx="7571842" cy="4478110"/>
        </a:xfrm>
      </xdr:grpSpPr>
      <xdr:graphicFrame macro="">
        <xdr:nvGraphicFramePr>
          <xdr:cNvPr id="36" name="Chart 35"/>
          <xdr:cNvGraphicFramePr>
            <a:graphicFrameLocks/>
          </xdr:cNvGraphicFramePr>
        </xdr:nvGraphicFramePr>
        <xdr:xfrm>
          <a:off x="10325927" y="20158018"/>
          <a:ext cx="2496571" cy="4457700"/>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42" name="Chart 41"/>
          <xdr:cNvGraphicFramePr>
            <a:graphicFrameLocks/>
          </xdr:cNvGraphicFramePr>
        </xdr:nvGraphicFramePr>
        <xdr:xfrm>
          <a:off x="5250656" y="20145375"/>
          <a:ext cx="2496912" cy="447811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43" name="Chart 42"/>
          <xdr:cNvGraphicFramePr>
            <a:graphicFrameLocks/>
          </xdr:cNvGraphicFramePr>
        </xdr:nvGraphicFramePr>
        <xdr:xfrm>
          <a:off x="7792472" y="20154900"/>
          <a:ext cx="2488141" cy="4457700"/>
        </xdr:xfrm>
        <a:graphic>
          <a:graphicData uri="http://schemas.openxmlformats.org/drawingml/2006/chart">
            <c:chart xmlns:c="http://schemas.openxmlformats.org/drawingml/2006/chart" xmlns:r="http://schemas.openxmlformats.org/officeDocument/2006/relationships" r:id="rId26"/>
          </a:graphicData>
        </a:graphic>
      </xdr:graphicFrame>
    </xdr:grpSp>
    <xdr:clientData/>
  </xdr:twoCellAnchor>
  <xdr:twoCellAnchor>
    <xdr:from>
      <xdr:col>12</xdr:col>
      <xdr:colOff>0</xdr:colOff>
      <xdr:row>1199</xdr:row>
      <xdr:rowOff>11905</xdr:rowOff>
    </xdr:from>
    <xdr:to>
      <xdr:col>22</xdr:col>
      <xdr:colOff>524310</xdr:colOff>
      <xdr:row>1224</xdr:row>
      <xdr:rowOff>97910</xdr:rowOff>
    </xdr:to>
    <xdr:grpSp>
      <xdr:nvGrpSpPr>
        <xdr:cNvPr id="3" name="Group 2"/>
        <xdr:cNvGrpSpPr/>
      </xdr:nvGrpSpPr>
      <xdr:grpSpPr>
        <a:xfrm>
          <a:off x="6004560" y="225602005"/>
          <a:ext cx="7885230" cy="4658005"/>
          <a:chOff x="5849471" y="235256993"/>
          <a:chExt cx="7718486" cy="4848505"/>
        </a:xfrm>
      </xdr:grpSpPr>
      <xdr:graphicFrame macro="">
        <xdr:nvGraphicFramePr>
          <xdr:cNvPr id="46" name="Chart 45"/>
          <xdr:cNvGraphicFramePr>
            <a:graphicFrameLocks/>
          </xdr:cNvGraphicFramePr>
        </xdr:nvGraphicFramePr>
        <xdr:xfrm>
          <a:off x="5849471" y="235256993"/>
          <a:ext cx="2527361" cy="4802981"/>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47" name="Chart 46"/>
          <xdr:cNvGraphicFramePr>
            <a:graphicFrameLocks/>
          </xdr:cNvGraphicFramePr>
        </xdr:nvGraphicFramePr>
        <xdr:xfrm>
          <a:off x="8448535" y="235268901"/>
          <a:ext cx="2612806" cy="4802981"/>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49" name="Chart 48"/>
          <xdr:cNvGraphicFramePr>
            <a:graphicFrameLocks/>
          </xdr:cNvGraphicFramePr>
        </xdr:nvGraphicFramePr>
        <xdr:xfrm>
          <a:off x="11121838" y="235302517"/>
          <a:ext cx="2446119" cy="4802981"/>
        </xdr:xfrm>
        <a:graphic>
          <a:graphicData uri="http://schemas.openxmlformats.org/drawingml/2006/chart">
            <c:chart xmlns:c="http://schemas.openxmlformats.org/drawingml/2006/chart" xmlns:r="http://schemas.openxmlformats.org/officeDocument/2006/relationships" r:id="rId29"/>
          </a:graphicData>
        </a:graphic>
      </xdr:graphicFrame>
    </xdr:grpSp>
    <xdr:clientData/>
  </xdr:twoCellAnchor>
  <xdr:twoCellAnchor>
    <xdr:from>
      <xdr:col>11</xdr:col>
      <xdr:colOff>0</xdr:colOff>
      <xdr:row>1249</xdr:row>
      <xdr:rowOff>0</xdr:rowOff>
    </xdr:from>
    <xdr:to>
      <xdr:col>21</xdr:col>
      <xdr:colOff>535517</xdr:colOff>
      <xdr:row>1274</xdr:row>
      <xdr:rowOff>52389</xdr:rowOff>
    </xdr:to>
    <xdr:grpSp>
      <xdr:nvGrpSpPr>
        <xdr:cNvPr id="4" name="Group 3"/>
        <xdr:cNvGrpSpPr/>
      </xdr:nvGrpSpPr>
      <xdr:grpSpPr>
        <a:xfrm>
          <a:off x="5387340" y="235107480"/>
          <a:ext cx="7896437" cy="4624389"/>
          <a:chOff x="5244353" y="245162294"/>
          <a:chExt cx="7729693" cy="4814889"/>
        </a:xfrm>
      </xdr:grpSpPr>
      <xdr:graphicFrame macro="">
        <xdr:nvGraphicFramePr>
          <xdr:cNvPr id="50" name="Chart 49"/>
          <xdr:cNvGraphicFramePr>
            <a:graphicFrameLocks/>
          </xdr:cNvGraphicFramePr>
        </xdr:nvGraphicFramePr>
        <xdr:xfrm>
          <a:off x="5244353" y="245162294"/>
          <a:ext cx="2527362" cy="4802981"/>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51" name="Chart 50"/>
          <xdr:cNvGraphicFramePr>
            <a:graphicFrameLocks/>
          </xdr:cNvGraphicFramePr>
        </xdr:nvGraphicFramePr>
        <xdr:xfrm>
          <a:off x="7843418" y="245174202"/>
          <a:ext cx="2527361" cy="4802981"/>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52" name="Chart 51"/>
          <xdr:cNvGraphicFramePr>
            <a:graphicFrameLocks/>
          </xdr:cNvGraphicFramePr>
        </xdr:nvGraphicFramePr>
        <xdr:xfrm>
          <a:off x="10442482" y="245174201"/>
          <a:ext cx="2531564" cy="4802981"/>
        </xdr:xfrm>
        <a:graphic>
          <a:graphicData uri="http://schemas.openxmlformats.org/drawingml/2006/chart">
            <c:chart xmlns:c="http://schemas.openxmlformats.org/drawingml/2006/chart" xmlns:r="http://schemas.openxmlformats.org/officeDocument/2006/relationships" r:id="rId32"/>
          </a:graphicData>
        </a:graphic>
      </xdr:graphicFrame>
    </xdr:grpSp>
    <xdr:clientData/>
  </xdr:twoCellAnchor>
  <xdr:twoCellAnchor>
    <xdr:from>
      <xdr:col>12</xdr:col>
      <xdr:colOff>1</xdr:colOff>
      <xdr:row>1448</xdr:row>
      <xdr:rowOff>0</xdr:rowOff>
    </xdr:from>
    <xdr:to>
      <xdr:col>20</xdr:col>
      <xdr:colOff>78442</xdr:colOff>
      <xdr:row>1475</xdr:row>
      <xdr:rowOff>83343</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xdr:col>
      <xdr:colOff>0</xdr:colOff>
      <xdr:row>1497</xdr:row>
      <xdr:rowOff>0</xdr:rowOff>
    </xdr:from>
    <xdr:to>
      <xdr:col>23</xdr:col>
      <xdr:colOff>440531</xdr:colOff>
      <xdr:row>1525</xdr:row>
      <xdr:rowOff>7143</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xdr:col>
      <xdr:colOff>0</xdr:colOff>
      <xdr:row>1597</xdr:row>
      <xdr:rowOff>0</xdr:rowOff>
    </xdr:from>
    <xdr:to>
      <xdr:col>23</xdr:col>
      <xdr:colOff>440531</xdr:colOff>
      <xdr:row>1625</xdr:row>
      <xdr:rowOff>7143</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0</xdr:colOff>
      <xdr:row>1697</xdr:row>
      <xdr:rowOff>0</xdr:rowOff>
    </xdr:from>
    <xdr:to>
      <xdr:col>22</xdr:col>
      <xdr:colOff>381000</xdr:colOff>
      <xdr:row>1721</xdr:row>
      <xdr:rowOff>73555</xdr:rowOff>
    </xdr:to>
    <xdr:grpSp>
      <xdr:nvGrpSpPr>
        <xdr:cNvPr id="15" name="Group 14"/>
        <xdr:cNvGrpSpPr/>
      </xdr:nvGrpSpPr>
      <xdr:grpSpPr>
        <a:xfrm>
          <a:off x="6004560" y="317792100"/>
          <a:ext cx="7741920" cy="4592215"/>
          <a:chOff x="5849471" y="331391559"/>
          <a:chExt cx="7575176" cy="4768820"/>
        </a:xfrm>
      </xdr:grpSpPr>
      <xdr:graphicFrame macro="">
        <xdr:nvGraphicFramePr>
          <xdr:cNvPr id="57" name="Chart 56"/>
          <xdr:cNvGraphicFramePr>
            <a:graphicFrameLocks/>
          </xdr:cNvGraphicFramePr>
        </xdr:nvGraphicFramePr>
        <xdr:xfrm>
          <a:off x="5849471" y="331391559"/>
          <a:ext cx="5251823" cy="4767496"/>
        </xdr:xfrm>
        <a:graphic>
          <a:graphicData uri="http://schemas.openxmlformats.org/drawingml/2006/chart">
            <c:chart xmlns:c="http://schemas.openxmlformats.org/drawingml/2006/chart" xmlns:r="http://schemas.openxmlformats.org/officeDocument/2006/relationships" r:id="rId36"/>
          </a:graphicData>
        </a:graphic>
      </xdr:graphicFrame>
      <xdr:graphicFrame macro="">
        <xdr:nvGraphicFramePr>
          <xdr:cNvPr id="58" name="Chart 57"/>
          <xdr:cNvGraphicFramePr>
            <a:graphicFrameLocks/>
          </xdr:cNvGraphicFramePr>
        </xdr:nvGraphicFramePr>
        <xdr:xfrm>
          <a:off x="11249459" y="331392883"/>
          <a:ext cx="2175188" cy="4767496"/>
        </xdr:xfrm>
        <a:graphic>
          <a:graphicData uri="http://schemas.openxmlformats.org/drawingml/2006/chart">
            <c:chart xmlns:c="http://schemas.openxmlformats.org/drawingml/2006/chart" xmlns:r="http://schemas.openxmlformats.org/officeDocument/2006/relationships" r:id="rId37"/>
          </a:graphicData>
        </a:graphic>
      </xdr:graphicFrame>
    </xdr:grpSp>
    <xdr:clientData/>
  </xdr:twoCellAnchor>
  <xdr:twoCellAnchor>
    <xdr:from>
      <xdr:col>12</xdr:col>
      <xdr:colOff>0</xdr:colOff>
      <xdr:row>1547</xdr:row>
      <xdr:rowOff>0</xdr:rowOff>
    </xdr:from>
    <xdr:to>
      <xdr:col>23</xdr:col>
      <xdr:colOff>440531</xdr:colOff>
      <xdr:row>1575</xdr:row>
      <xdr:rowOff>7143</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xdr:col>
      <xdr:colOff>0</xdr:colOff>
      <xdr:row>1347</xdr:row>
      <xdr:rowOff>0</xdr:rowOff>
    </xdr:from>
    <xdr:to>
      <xdr:col>22</xdr:col>
      <xdr:colOff>535517</xdr:colOff>
      <xdr:row>1371</xdr:row>
      <xdr:rowOff>137055</xdr:rowOff>
    </xdr:to>
    <xdr:grpSp>
      <xdr:nvGrpSpPr>
        <xdr:cNvPr id="9" name="Group 8"/>
        <xdr:cNvGrpSpPr/>
      </xdr:nvGrpSpPr>
      <xdr:grpSpPr>
        <a:xfrm>
          <a:off x="6004560" y="253296420"/>
          <a:ext cx="7896437" cy="4541415"/>
          <a:chOff x="5849471" y="264122647"/>
          <a:chExt cx="7729693" cy="4731467"/>
        </a:xfrm>
      </xdr:grpSpPr>
      <xdr:graphicFrame macro="">
        <xdr:nvGraphicFramePr>
          <xdr:cNvPr id="60" name="Chart 59"/>
          <xdr:cNvGraphicFramePr>
            <a:graphicFrameLocks/>
          </xdr:cNvGraphicFramePr>
        </xdr:nvGraphicFramePr>
        <xdr:xfrm>
          <a:off x="5849471" y="264122647"/>
          <a:ext cx="2527361" cy="4719559"/>
        </xdr:xfrm>
        <a:graphic>
          <a:graphicData uri="http://schemas.openxmlformats.org/drawingml/2006/chart">
            <c:chart xmlns:c="http://schemas.openxmlformats.org/drawingml/2006/chart" xmlns:r="http://schemas.openxmlformats.org/officeDocument/2006/relationships" r:id="rId39"/>
          </a:graphicData>
        </a:graphic>
      </xdr:graphicFrame>
      <xdr:graphicFrame macro="">
        <xdr:nvGraphicFramePr>
          <xdr:cNvPr id="61" name="Chart 60"/>
          <xdr:cNvGraphicFramePr>
            <a:graphicFrameLocks/>
          </xdr:cNvGraphicFramePr>
        </xdr:nvGraphicFramePr>
        <xdr:xfrm>
          <a:off x="8448535" y="264134555"/>
          <a:ext cx="2525494" cy="4719559"/>
        </xdr:xfrm>
        <a:graphic>
          <a:graphicData uri="http://schemas.openxmlformats.org/drawingml/2006/chart">
            <c:chart xmlns:c="http://schemas.openxmlformats.org/drawingml/2006/chart" xmlns:r="http://schemas.openxmlformats.org/officeDocument/2006/relationships" r:id="rId40"/>
          </a:graphicData>
        </a:graphic>
      </xdr:graphicFrame>
      <xdr:graphicFrame macro="">
        <xdr:nvGraphicFramePr>
          <xdr:cNvPr id="62" name="Chart 61"/>
          <xdr:cNvGraphicFramePr>
            <a:graphicFrameLocks/>
          </xdr:cNvGraphicFramePr>
        </xdr:nvGraphicFramePr>
        <xdr:xfrm>
          <a:off x="11045732" y="264134554"/>
          <a:ext cx="2533432" cy="4719559"/>
        </xdr:xfrm>
        <a:graphic>
          <a:graphicData uri="http://schemas.openxmlformats.org/drawingml/2006/chart">
            <c:chart xmlns:c="http://schemas.openxmlformats.org/drawingml/2006/chart" xmlns:r="http://schemas.openxmlformats.org/officeDocument/2006/relationships" r:id="rId41"/>
          </a:graphicData>
        </a:graphic>
      </xdr:graphicFrame>
    </xdr:grpSp>
    <xdr:clientData/>
  </xdr:twoCellAnchor>
  <xdr:twoCellAnchor>
    <xdr:from>
      <xdr:col>12</xdr:col>
      <xdr:colOff>0</xdr:colOff>
      <xdr:row>1397</xdr:row>
      <xdr:rowOff>0</xdr:rowOff>
    </xdr:from>
    <xdr:to>
      <xdr:col>20</xdr:col>
      <xdr:colOff>78441</xdr:colOff>
      <xdr:row>1422</xdr:row>
      <xdr:rowOff>115889</xdr:rowOff>
    </xdr:to>
    <xdr:grpSp>
      <xdr:nvGrpSpPr>
        <xdr:cNvPr id="12" name="Group 11"/>
        <xdr:cNvGrpSpPr/>
      </xdr:nvGrpSpPr>
      <xdr:grpSpPr>
        <a:xfrm>
          <a:off x="6004560" y="262486140"/>
          <a:ext cx="6204921" cy="4710749"/>
          <a:chOff x="5849471" y="273714882"/>
          <a:chExt cx="6062382" cy="4900801"/>
        </a:xfrm>
      </xdr:grpSpPr>
      <xdr:graphicFrame macro="">
        <xdr:nvGraphicFramePr>
          <xdr:cNvPr id="63" name="Chart 62"/>
          <xdr:cNvGraphicFramePr>
            <a:graphicFrameLocks/>
          </xdr:cNvGraphicFramePr>
        </xdr:nvGraphicFramePr>
        <xdr:xfrm>
          <a:off x="5849471" y="273714882"/>
          <a:ext cx="2527361" cy="4888893"/>
        </xdr:xfrm>
        <a:graphic>
          <a:graphicData uri="http://schemas.openxmlformats.org/drawingml/2006/chart">
            <c:chart xmlns:c="http://schemas.openxmlformats.org/drawingml/2006/chart" xmlns:r="http://schemas.openxmlformats.org/officeDocument/2006/relationships" r:id="rId42"/>
          </a:graphicData>
        </a:graphic>
      </xdr:graphicFrame>
      <xdr:graphicFrame macro="">
        <xdr:nvGraphicFramePr>
          <xdr:cNvPr id="64" name="Chart 63"/>
          <xdr:cNvGraphicFramePr>
            <a:graphicFrameLocks/>
          </xdr:cNvGraphicFramePr>
        </xdr:nvGraphicFramePr>
        <xdr:xfrm>
          <a:off x="8448535" y="273726790"/>
          <a:ext cx="2525494" cy="4888893"/>
        </xdr:xfrm>
        <a:graphic>
          <a:graphicData uri="http://schemas.openxmlformats.org/drawingml/2006/chart">
            <c:chart xmlns:c="http://schemas.openxmlformats.org/drawingml/2006/chart" xmlns:r="http://schemas.openxmlformats.org/officeDocument/2006/relationships" r:id="rId43"/>
          </a:graphicData>
        </a:graphic>
      </xdr:graphicFrame>
      <xdr:graphicFrame macro="">
        <xdr:nvGraphicFramePr>
          <xdr:cNvPr id="65" name="Chart 64"/>
          <xdr:cNvGraphicFramePr>
            <a:graphicFrameLocks/>
          </xdr:cNvGraphicFramePr>
        </xdr:nvGraphicFramePr>
        <xdr:xfrm>
          <a:off x="11045734" y="273726789"/>
          <a:ext cx="866119" cy="4888893"/>
        </xdr:xfrm>
        <a:graphic>
          <a:graphicData uri="http://schemas.openxmlformats.org/drawingml/2006/chart">
            <c:chart xmlns:c="http://schemas.openxmlformats.org/drawingml/2006/chart" xmlns:r="http://schemas.openxmlformats.org/officeDocument/2006/relationships" r:id="rId44"/>
          </a:graphicData>
        </a:graphic>
      </xdr:graphicFrame>
    </xdr:grpSp>
    <xdr:clientData/>
  </xdr:twoCellAnchor>
  <xdr:twoCellAnchor>
    <xdr:from>
      <xdr:col>12</xdr:col>
      <xdr:colOff>0</xdr:colOff>
      <xdr:row>1747</xdr:row>
      <xdr:rowOff>0</xdr:rowOff>
    </xdr:from>
    <xdr:to>
      <xdr:col>22</xdr:col>
      <xdr:colOff>381000</xdr:colOff>
      <xdr:row>1771</xdr:row>
      <xdr:rowOff>188648</xdr:rowOff>
    </xdr:to>
    <xdr:grpSp>
      <xdr:nvGrpSpPr>
        <xdr:cNvPr id="16" name="Group 15"/>
        <xdr:cNvGrpSpPr/>
      </xdr:nvGrpSpPr>
      <xdr:grpSpPr>
        <a:xfrm>
          <a:off x="6004560" y="327096120"/>
          <a:ext cx="7741920" cy="4593008"/>
          <a:chOff x="5849471" y="341084647"/>
          <a:chExt cx="7575176" cy="4783060"/>
        </a:xfrm>
      </xdr:grpSpPr>
      <xdr:graphicFrame macro="">
        <xdr:nvGraphicFramePr>
          <xdr:cNvPr id="66" name="Chart 65"/>
          <xdr:cNvGraphicFramePr>
            <a:graphicFrameLocks/>
          </xdr:cNvGraphicFramePr>
        </xdr:nvGraphicFramePr>
        <xdr:xfrm>
          <a:off x="5849471" y="341084647"/>
          <a:ext cx="4068855" cy="4772476"/>
        </xdr:xfrm>
        <a:graphic>
          <a:graphicData uri="http://schemas.openxmlformats.org/drawingml/2006/chart">
            <c:chart xmlns:c="http://schemas.openxmlformats.org/drawingml/2006/chart" xmlns:r="http://schemas.openxmlformats.org/officeDocument/2006/relationships" r:id="rId45"/>
          </a:graphicData>
        </a:graphic>
      </xdr:graphicFrame>
      <xdr:graphicFrame macro="">
        <xdr:nvGraphicFramePr>
          <xdr:cNvPr id="67" name="Chart 66"/>
          <xdr:cNvGraphicFramePr>
            <a:graphicFrameLocks/>
          </xdr:cNvGraphicFramePr>
        </xdr:nvGraphicFramePr>
        <xdr:xfrm>
          <a:off x="11397627" y="341085971"/>
          <a:ext cx="2027020" cy="4772476"/>
        </xdr:xfrm>
        <a:graphic>
          <a:graphicData uri="http://schemas.openxmlformats.org/drawingml/2006/chart">
            <c:chart xmlns:c="http://schemas.openxmlformats.org/drawingml/2006/chart" xmlns:r="http://schemas.openxmlformats.org/officeDocument/2006/relationships" r:id="rId46"/>
          </a:graphicData>
        </a:graphic>
      </xdr:graphicFrame>
      <xdr:graphicFrame macro="">
        <xdr:nvGraphicFramePr>
          <xdr:cNvPr id="68" name="Chart 67"/>
          <xdr:cNvGraphicFramePr>
            <a:graphicFrameLocks/>
          </xdr:cNvGraphicFramePr>
        </xdr:nvGraphicFramePr>
        <xdr:xfrm>
          <a:off x="10006853" y="341095231"/>
          <a:ext cx="1337857" cy="4772476"/>
        </xdr:xfrm>
        <a:graphic>
          <a:graphicData uri="http://schemas.openxmlformats.org/drawingml/2006/chart">
            <c:chart xmlns:c="http://schemas.openxmlformats.org/drawingml/2006/chart" xmlns:r="http://schemas.openxmlformats.org/officeDocument/2006/relationships" r:id="rId47"/>
          </a:graphicData>
        </a:graphic>
      </xdr:graphicFrame>
    </xdr:grpSp>
    <xdr:clientData/>
  </xdr:twoCellAnchor>
  <xdr:twoCellAnchor>
    <xdr:from>
      <xdr:col>13</xdr:col>
      <xdr:colOff>0</xdr:colOff>
      <xdr:row>2103</xdr:row>
      <xdr:rowOff>0</xdr:rowOff>
    </xdr:from>
    <xdr:to>
      <xdr:col>26</xdr:col>
      <xdr:colOff>460374</xdr:colOff>
      <xdr:row>2143</xdr:row>
      <xdr:rowOff>27779</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1</xdr:colOff>
      <xdr:row>1299</xdr:row>
      <xdr:rowOff>0</xdr:rowOff>
    </xdr:from>
    <xdr:to>
      <xdr:col>26</xdr:col>
      <xdr:colOff>488156</xdr:colOff>
      <xdr:row>1326</xdr:row>
      <xdr:rowOff>178593</xdr:rowOff>
    </xdr:to>
    <xdr:grpSp>
      <xdr:nvGrpSpPr>
        <xdr:cNvPr id="5" name="Group 4"/>
        <xdr:cNvGrpSpPr/>
      </xdr:nvGrpSpPr>
      <xdr:grpSpPr>
        <a:xfrm>
          <a:off x="5387341" y="244487700"/>
          <a:ext cx="10935175" cy="5116353"/>
          <a:chOff x="5244354" y="254933824"/>
          <a:chExt cx="10707920" cy="5322093"/>
        </a:xfrm>
      </xdr:grpSpPr>
      <xdr:graphicFrame macro="">
        <xdr:nvGraphicFramePr>
          <xdr:cNvPr id="53" name="Chart 52"/>
          <xdr:cNvGraphicFramePr>
            <a:graphicFrameLocks/>
          </xdr:cNvGraphicFramePr>
        </xdr:nvGraphicFramePr>
        <xdr:xfrm>
          <a:off x="5244354" y="254933824"/>
          <a:ext cx="3478025" cy="5322093"/>
        </xdr:xfrm>
        <a:graphic>
          <a:graphicData uri="http://schemas.openxmlformats.org/drawingml/2006/chart">
            <c:chart xmlns:c="http://schemas.openxmlformats.org/drawingml/2006/chart" xmlns:r="http://schemas.openxmlformats.org/officeDocument/2006/relationships" r:id="rId49"/>
          </a:graphicData>
        </a:graphic>
      </xdr:graphicFrame>
      <xdr:graphicFrame macro="">
        <xdr:nvGraphicFramePr>
          <xdr:cNvPr id="76" name="Chart 75"/>
          <xdr:cNvGraphicFramePr>
            <a:graphicFrameLocks/>
          </xdr:cNvGraphicFramePr>
        </xdr:nvGraphicFramePr>
        <xdr:xfrm>
          <a:off x="8886967" y="254933824"/>
          <a:ext cx="3482227" cy="5322093"/>
        </xdr:xfrm>
        <a:graphic>
          <a:graphicData uri="http://schemas.openxmlformats.org/drawingml/2006/chart">
            <c:chart xmlns:c="http://schemas.openxmlformats.org/drawingml/2006/chart" xmlns:r="http://schemas.openxmlformats.org/officeDocument/2006/relationships" r:id="rId50"/>
          </a:graphicData>
        </a:graphic>
      </xdr:graphicFrame>
      <xdr:graphicFrame macro="">
        <xdr:nvGraphicFramePr>
          <xdr:cNvPr id="77" name="Chart 76"/>
          <xdr:cNvGraphicFramePr>
            <a:graphicFrameLocks/>
          </xdr:cNvGraphicFramePr>
        </xdr:nvGraphicFramePr>
        <xdr:xfrm>
          <a:off x="12438529" y="254933824"/>
          <a:ext cx="3513745" cy="5322093"/>
        </xdr:xfrm>
        <a:graphic>
          <a:graphicData uri="http://schemas.openxmlformats.org/drawingml/2006/chart">
            <c:chart xmlns:c="http://schemas.openxmlformats.org/drawingml/2006/chart" xmlns:r="http://schemas.openxmlformats.org/officeDocument/2006/relationships" r:id="rId51"/>
          </a:graphicData>
        </a:graphic>
      </xdr:graphicFrame>
    </xdr:grpSp>
    <xdr:clientData/>
  </xdr:twoCellAnchor>
  <xdr:twoCellAnchor>
    <xdr:from>
      <xdr:col>12</xdr:col>
      <xdr:colOff>0</xdr:colOff>
      <xdr:row>1797</xdr:row>
      <xdr:rowOff>0</xdr:rowOff>
    </xdr:from>
    <xdr:to>
      <xdr:col>27</xdr:col>
      <xdr:colOff>132972</xdr:colOff>
      <xdr:row>1821</xdr:row>
      <xdr:rowOff>189972</xdr:rowOff>
    </xdr:to>
    <xdr:grpSp>
      <xdr:nvGrpSpPr>
        <xdr:cNvPr id="18" name="Group 17"/>
        <xdr:cNvGrpSpPr/>
      </xdr:nvGrpSpPr>
      <xdr:grpSpPr>
        <a:xfrm>
          <a:off x="6004560" y="336293460"/>
          <a:ext cx="10579992" cy="4594332"/>
          <a:chOff x="5849471" y="350676882"/>
          <a:chExt cx="10352736" cy="4784384"/>
        </a:xfrm>
      </xdr:grpSpPr>
      <xdr:graphicFrame macro="">
        <xdr:nvGraphicFramePr>
          <xdr:cNvPr id="69" name="Chart 68"/>
          <xdr:cNvGraphicFramePr>
            <a:graphicFrameLocks/>
          </xdr:cNvGraphicFramePr>
        </xdr:nvGraphicFramePr>
        <xdr:xfrm>
          <a:off x="5849471" y="350676882"/>
          <a:ext cx="2527361" cy="4772476"/>
        </xdr:xfrm>
        <a:graphic>
          <a:graphicData uri="http://schemas.openxmlformats.org/drawingml/2006/chart">
            <c:chart xmlns:c="http://schemas.openxmlformats.org/drawingml/2006/chart" xmlns:r="http://schemas.openxmlformats.org/officeDocument/2006/relationships" r:id="rId52"/>
          </a:graphicData>
        </a:graphic>
      </xdr:graphicFrame>
      <xdr:graphicFrame macro="">
        <xdr:nvGraphicFramePr>
          <xdr:cNvPr id="70" name="Chart 69"/>
          <xdr:cNvGraphicFramePr>
            <a:graphicFrameLocks/>
          </xdr:cNvGraphicFramePr>
        </xdr:nvGraphicFramePr>
        <xdr:xfrm>
          <a:off x="8448535" y="350688790"/>
          <a:ext cx="2525494" cy="4772476"/>
        </xdr:xfrm>
        <a:graphic>
          <a:graphicData uri="http://schemas.openxmlformats.org/drawingml/2006/chart">
            <c:chart xmlns:c="http://schemas.openxmlformats.org/drawingml/2006/chart" xmlns:r="http://schemas.openxmlformats.org/officeDocument/2006/relationships" r:id="rId53"/>
          </a:graphicData>
        </a:graphic>
      </xdr:graphicFrame>
      <xdr:graphicFrame macro="">
        <xdr:nvGraphicFramePr>
          <xdr:cNvPr id="71" name="Chart 70"/>
          <xdr:cNvGraphicFramePr>
            <a:graphicFrameLocks/>
          </xdr:cNvGraphicFramePr>
        </xdr:nvGraphicFramePr>
        <xdr:xfrm>
          <a:off x="11045732" y="350688789"/>
          <a:ext cx="2533432" cy="4772476"/>
        </xdr:xfrm>
        <a:graphic>
          <a:graphicData uri="http://schemas.openxmlformats.org/drawingml/2006/chart">
            <c:chart xmlns:c="http://schemas.openxmlformats.org/drawingml/2006/chart" xmlns:r="http://schemas.openxmlformats.org/officeDocument/2006/relationships" r:id="rId54"/>
          </a:graphicData>
        </a:graphic>
      </xdr:graphicFrame>
      <xdr:graphicFrame macro="">
        <xdr:nvGraphicFramePr>
          <xdr:cNvPr id="78" name="Chart 77"/>
          <xdr:cNvGraphicFramePr>
            <a:graphicFrameLocks/>
          </xdr:cNvGraphicFramePr>
        </xdr:nvGraphicFramePr>
        <xdr:xfrm>
          <a:off x="13648765" y="350676882"/>
          <a:ext cx="2553442" cy="4772476"/>
        </xdr:xfrm>
        <a:graphic>
          <a:graphicData uri="http://schemas.openxmlformats.org/drawingml/2006/chart">
            <c:chart xmlns:c="http://schemas.openxmlformats.org/drawingml/2006/chart" xmlns:r="http://schemas.openxmlformats.org/officeDocument/2006/relationships" r:id="rId55"/>
          </a:graphicData>
        </a:graphic>
      </xdr:graphicFrame>
    </xdr:grpSp>
    <xdr:clientData/>
  </xdr:twoCellAnchor>
  <xdr:twoCellAnchor>
    <xdr:from>
      <xdr:col>11</xdr:col>
      <xdr:colOff>0</xdr:colOff>
      <xdr:row>3</xdr:row>
      <xdr:rowOff>0</xdr:rowOff>
    </xdr:from>
    <xdr:to>
      <xdr:col>21</xdr:col>
      <xdr:colOff>387123</xdr:colOff>
      <xdr:row>26</xdr:row>
      <xdr:rowOff>58510</xdr:rowOff>
    </xdr:to>
    <xdr:grpSp>
      <xdr:nvGrpSpPr>
        <xdr:cNvPr id="86" name="Group 85"/>
        <xdr:cNvGrpSpPr/>
      </xdr:nvGrpSpPr>
      <xdr:grpSpPr>
        <a:xfrm>
          <a:off x="5387340" y="647700"/>
          <a:ext cx="7748043" cy="4264750"/>
          <a:chOff x="4875779" y="590550"/>
          <a:chExt cx="7495155" cy="4440010"/>
        </a:xfrm>
      </xdr:grpSpPr>
      <xdr:graphicFrame macro="">
        <xdr:nvGraphicFramePr>
          <xdr:cNvPr id="87" name="Chart 86"/>
          <xdr:cNvGraphicFramePr>
            <a:graphicFrameLocks/>
          </xdr:cNvGraphicFramePr>
        </xdr:nvGraphicFramePr>
        <xdr:xfrm>
          <a:off x="4875779" y="590550"/>
          <a:ext cx="2496911" cy="4440010"/>
        </xdr:xfrm>
        <a:graphic>
          <a:graphicData uri="http://schemas.openxmlformats.org/drawingml/2006/chart">
            <c:chart xmlns:c="http://schemas.openxmlformats.org/drawingml/2006/chart" xmlns:r="http://schemas.openxmlformats.org/officeDocument/2006/relationships" r:id="rId56"/>
          </a:graphicData>
        </a:graphic>
      </xdr:graphicFrame>
      <xdr:graphicFrame macro="">
        <xdr:nvGraphicFramePr>
          <xdr:cNvPr id="88" name="Chart 87"/>
          <xdr:cNvGraphicFramePr>
            <a:graphicFrameLocks/>
          </xdr:cNvGraphicFramePr>
        </xdr:nvGraphicFramePr>
        <xdr:xfrm>
          <a:off x="7417594" y="600075"/>
          <a:ext cx="2486025" cy="4419600"/>
        </xdr:xfrm>
        <a:graphic>
          <a:graphicData uri="http://schemas.openxmlformats.org/drawingml/2006/chart">
            <c:chart xmlns:c="http://schemas.openxmlformats.org/drawingml/2006/chart" xmlns:r="http://schemas.openxmlformats.org/officeDocument/2006/relationships" r:id="rId57"/>
          </a:graphicData>
        </a:graphic>
      </xdr:graphicFrame>
      <xdr:graphicFrame macro="">
        <xdr:nvGraphicFramePr>
          <xdr:cNvPr id="89" name="Chart 88"/>
          <xdr:cNvGraphicFramePr>
            <a:graphicFrameLocks/>
          </xdr:cNvGraphicFramePr>
        </xdr:nvGraphicFramePr>
        <xdr:xfrm>
          <a:off x="9964851" y="600075"/>
          <a:ext cx="2406083" cy="4419600"/>
        </xdr:xfrm>
        <a:graphic>
          <a:graphicData uri="http://schemas.openxmlformats.org/drawingml/2006/chart">
            <c:chart xmlns:c="http://schemas.openxmlformats.org/drawingml/2006/chart" xmlns:r="http://schemas.openxmlformats.org/officeDocument/2006/relationships" r:id="rId58"/>
          </a:graphicData>
        </a:graphic>
      </xdr:graphicFrame>
    </xdr:grpSp>
    <xdr:clientData/>
  </xdr:twoCellAnchor>
  <xdr:twoCellAnchor>
    <xdr:from>
      <xdr:col>11</xdr:col>
      <xdr:colOff>123264</xdr:colOff>
      <xdr:row>2</xdr:row>
      <xdr:rowOff>179294</xdr:rowOff>
    </xdr:from>
    <xdr:to>
      <xdr:col>13</xdr:col>
      <xdr:colOff>246529</xdr:colOff>
      <xdr:row>4</xdr:row>
      <xdr:rowOff>78441</xdr:rowOff>
    </xdr:to>
    <xdr:sp macro="" textlink="">
      <xdr:nvSpPr>
        <xdr:cNvPr id="79" name="TextBox 78"/>
        <xdr:cNvSpPr txBox="1"/>
      </xdr:nvSpPr>
      <xdr:spPr>
        <a:xfrm>
          <a:off x="5367617" y="661147"/>
          <a:ext cx="1333500"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Occurrence (%)</a:t>
          </a:r>
        </a:p>
      </xdr:txBody>
    </xdr:sp>
    <xdr:clientData/>
  </xdr:twoCellAnchor>
  <xdr:twoCellAnchor>
    <xdr:from>
      <xdr:col>12</xdr:col>
      <xdr:colOff>11205</xdr:colOff>
      <xdr:row>1149</xdr:row>
      <xdr:rowOff>0</xdr:rowOff>
    </xdr:from>
    <xdr:to>
      <xdr:col>23</xdr:col>
      <xdr:colOff>112058</xdr:colOff>
      <xdr:row>1175</xdr:row>
      <xdr:rowOff>179295</xdr:rowOff>
    </xdr:to>
    <xdr:grpSp>
      <xdr:nvGrpSpPr>
        <xdr:cNvPr id="2" name="Group 1"/>
        <xdr:cNvGrpSpPr/>
      </xdr:nvGrpSpPr>
      <xdr:grpSpPr>
        <a:xfrm>
          <a:off x="6015765" y="216156540"/>
          <a:ext cx="8078993" cy="4934175"/>
          <a:chOff x="5860676" y="225417529"/>
          <a:chExt cx="7900147" cy="5132295"/>
        </a:xfrm>
      </xdr:grpSpPr>
      <xdr:graphicFrame macro="">
        <xdr:nvGraphicFramePr>
          <xdr:cNvPr id="40" name="Chart 39"/>
          <xdr:cNvGraphicFramePr>
            <a:graphicFrameLocks/>
          </xdr:cNvGraphicFramePr>
        </xdr:nvGraphicFramePr>
        <xdr:xfrm>
          <a:off x="5860676" y="225417529"/>
          <a:ext cx="2510117" cy="5121088"/>
        </xdr:xfrm>
        <a:graphic>
          <a:graphicData uri="http://schemas.openxmlformats.org/drawingml/2006/chart">
            <c:chart xmlns:c="http://schemas.openxmlformats.org/drawingml/2006/chart" xmlns:r="http://schemas.openxmlformats.org/officeDocument/2006/relationships" r:id="rId59"/>
          </a:graphicData>
        </a:graphic>
      </xdr:graphicFrame>
      <xdr:graphicFrame macro="">
        <xdr:nvGraphicFramePr>
          <xdr:cNvPr id="81" name="Chart 80"/>
          <xdr:cNvGraphicFramePr>
            <a:graphicFrameLocks/>
          </xdr:cNvGraphicFramePr>
        </xdr:nvGraphicFramePr>
        <xdr:xfrm>
          <a:off x="8468848" y="225427615"/>
          <a:ext cx="2613770" cy="5099797"/>
        </xdr:xfrm>
        <a:graphic>
          <a:graphicData uri="http://schemas.openxmlformats.org/drawingml/2006/chart">
            <c:chart xmlns:c="http://schemas.openxmlformats.org/drawingml/2006/chart" xmlns:r="http://schemas.openxmlformats.org/officeDocument/2006/relationships" r:id="rId60"/>
          </a:graphicData>
        </a:graphic>
      </xdr:graphicFrame>
      <xdr:graphicFrame macro="">
        <xdr:nvGraphicFramePr>
          <xdr:cNvPr id="82" name="Chart 81"/>
          <xdr:cNvGraphicFramePr>
            <a:graphicFrameLocks/>
          </xdr:cNvGraphicFramePr>
        </xdr:nvGraphicFramePr>
        <xdr:xfrm>
          <a:off x="11205882" y="225427616"/>
          <a:ext cx="2554941" cy="5122208"/>
        </xdr:xfrm>
        <a:graphic>
          <a:graphicData uri="http://schemas.openxmlformats.org/drawingml/2006/chart">
            <c:chart xmlns:c="http://schemas.openxmlformats.org/drawingml/2006/chart" xmlns:r="http://schemas.openxmlformats.org/officeDocument/2006/relationships" r:id="rId61"/>
          </a:graphicData>
        </a:graphic>
      </xdr:graphicFrame>
    </xdr:grpSp>
    <xdr:clientData/>
  </xdr:twoCellAnchor>
  <xdr:twoCellAnchor>
    <xdr:from>
      <xdr:col>12</xdr:col>
      <xdr:colOff>0</xdr:colOff>
      <xdr:row>1647</xdr:row>
      <xdr:rowOff>0</xdr:rowOff>
    </xdr:from>
    <xdr:to>
      <xdr:col>22</xdr:col>
      <xdr:colOff>553259</xdr:colOff>
      <xdr:row>1671</xdr:row>
      <xdr:rowOff>189972</xdr:rowOff>
    </xdr:to>
    <xdr:grpSp>
      <xdr:nvGrpSpPr>
        <xdr:cNvPr id="14" name="Group 13"/>
        <xdr:cNvGrpSpPr/>
      </xdr:nvGrpSpPr>
      <xdr:grpSpPr>
        <a:xfrm>
          <a:off x="6004560" y="308594760"/>
          <a:ext cx="7914179" cy="4594332"/>
          <a:chOff x="5849471" y="321799324"/>
          <a:chExt cx="7747435" cy="4784383"/>
        </a:xfrm>
      </xdr:grpSpPr>
      <xdr:graphicFrame macro="">
        <xdr:nvGraphicFramePr>
          <xdr:cNvPr id="48" name="Chart 47"/>
          <xdr:cNvGraphicFramePr>
            <a:graphicFrameLocks/>
          </xdr:cNvGraphicFramePr>
        </xdr:nvGraphicFramePr>
        <xdr:xfrm>
          <a:off x="5849471" y="321799324"/>
          <a:ext cx="2527361" cy="4772475"/>
        </xdr:xfrm>
        <a:graphic>
          <a:graphicData uri="http://schemas.openxmlformats.org/drawingml/2006/chart">
            <c:chart xmlns:c="http://schemas.openxmlformats.org/drawingml/2006/chart" xmlns:r="http://schemas.openxmlformats.org/officeDocument/2006/relationships" r:id="rId62"/>
          </a:graphicData>
        </a:graphic>
      </xdr:graphicFrame>
      <xdr:graphicFrame macro="">
        <xdr:nvGraphicFramePr>
          <xdr:cNvPr id="55" name="Chart 54"/>
          <xdr:cNvGraphicFramePr>
            <a:graphicFrameLocks/>
          </xdr:cNvGraphicFramePr>
        </xdr:nvGraphicFramePr>
        <xdr:xfrm>
          <a:off x="8448535" y="321811232"/>
          <a:ext cx="2525494" cy="4772475"/>
        </xdr:xfrm>
        <a:graphic>
          <a:graphicData uri="http://schemas.openxmlformats.org/drawingml/2006/chart">
            <c:chart xmlns:c="http://schemas.openxmlformats.org/drawingml/2006/chart" xmlns:r="http://schemas.openxmlformats.org/officeDocument/2006/relationships" r:id="rId63"/>
          </a:graphicData>
        </a:graphic>
      </xdr:graphicFrame>
      <xdr:graphicFrame macro="">
        <xdr:nvGraphicFramePr>
          <xdr:cNvPr id="84" name="Chart 83"/>
          <xdr:cNvGraphicFramePr>
            <a:graphicFrameLocks/>
          </xdr:cNvGraphicFramePr>
        </xdr:nvGraphicFramePr>
        <xdr:xfrm>
          <a:off x="11071412" y="321810530"/>
          <a:ext cx="2525494" cy="4772475"/>
        </xdr:xfrm>
        <a:graphic>
          <a:graphicData uri="http://schemas.openxmlformats.org/drawingml/2006/chart">
            <c:chart xmlns:c="http://schemas.openxmlformats.org/drawingml/2006/chart" xmlns:r="http://schemas.openxmlformats.org/officeDocument/2006/relationships" r:id="rId64"/>
          </a:graphicData>
        </a:graphic>
      </xdr:graphicFrame>
    </xdr:grpSp>
    <xdr:clientData/>
  </xdr:twoCellAnchor>
  <xdr:twoCellAnchor>
    <xdr:from>
      <xdr:col>23</xdr:col>
      <xdr:colOff>0</xdr:colOff>
      <xdr:row>57</xdr:row>
      <xdr:rowOff>0</xdr:rowOff>
    </xdr:from>
    <xdr:to>
      <xdr:col>33</xdr:col>
      <xdr:colOff>17930</xdr:colOff>
      <xdr:row>77</xdr:row>
      <xdr:rowOff>26894</xdr:rowOff>
    </xdr:to>
    <xdr:graphicFrame macro="">
      <xdr:nvGraphicFramePr>
        <xdr:cNvPr id="94"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23</xdr:col>
      <xdr:colOff>0</xdr:colOff>
      <xdr:row>107</xdr:row>
      <xdr:rowOff>0</xdr:rowOff>
    </xdr:from>
    <xdr:to>
      <xdr:col>33</xdr:col>
      <xdr:colOff>17930</xdr:colOff>
      <xdr:row>127</xdr:row>
      <xdr:rowOff>26894</xdr:rowOff>
    </xdr:to>
    <xdr:graphicFrame macro="">
      <xdr:nvGraphicFramePr>
        <xdr:cNvPr id="92"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27</xdr:col>
      <xdr:colOff>-1</xdr:colOff>
      <xdr:row>157</xdr:row>
      <xdr:rowOff>0</xdr:rowOff>
    </xdr:from>
    <xdr:to>
      <xdr:col>42</xdr:col>
      <xdr:colOff>54428</xdr:colOff>
      <xdr:row>176</xdr:row>
      <xdr:rowOff>108857</xdr:rowOff>
    </xdr:to>
    <xdr:graphicFrame macro="">
      <xdr:nvGraphicFramePr>
        <xdr:cNvPr id="130"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19</xdr:col>
      <xdr:colOff>1605644</xdr:colOff>
      <xdr:row>203</xdr:row>
      <xdr:rowOff>45357</xdr:rowOff>
    </xdr:from>
    <xdr:to>
      <xdr:col>29</xdr:col>
      <xdr:colOff>466967</xdr:colOff>
      <xdr:row>223</xdr:row>
      <xdr:rowOff>72251</xdr:rowOff>
    </xdr:to>
    <xdr:graphicFrame macro="">
      <xdr:nvGraphicFramePr>
        <xdr:cNvPr id="13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20</xdr:col>
      <xdr:colOff>530678</xdr:colOff>
      <xdr:row>256</xdr:row>
      <xdr:rowOff>13607</xdr:rowOff>
    </xdr:from>
    <xdr:to>
      <xdr:col>30</xdr:col>
      <xdr:colOff>548608</xdr:colOff>
      <xdr:row>276</xdr:row>
      <xdr:rowOff>40501</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20</xdr:col>
      <xdr:colOff>489857</xdr:colOff>
      <xdr:row>305</xdr:row>
      <xdr:rowOff>90714</xdr:rowOff>
    </xdr:from>
    <xdr:to>
      <xdr:col>30</xdr:col>
      <xdr:colOff>507787</xdr:colOff>
      <xdr:row>325</xdr:row>
      <xdr:rowOff>117608</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27</xdr:col>
      <xdr:colOff>0</xdr:colOff>
      <xdr:row>356</xdr:row>
      <xdr:rowOff>0</xdr:rowOff>
    </xdr:from>
    <xdr:to>
      <xdr:col>37</xdr:col>
      <xdr:colOff>17930</xdr:colOff>
      <xdr:row>376</xdr:row>
      <xdr:rowOff>26894</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27</xdr:col>
      <xdr:colOff>0</xdr:colOff>
      <xdr:row>405</xdr:row>
      <xdr:rowOff>79375</xdr:rowOff>
    </xdr:from>
    <xdr:to>
      <xdr:col>37</xdr:col>
      <xdr:colOff>17930</xdr:colOff>
      <xdr:row>425</xdr:row>
      <xdr:rowOff>106269</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27</xdr:col>
      <xdr:colOff>0</xdr:colOff>
      <xdr:row>456</xdr:row>
      <xdr:rowOff>0</xdr:rowOff>
    </xdr:from>
    <xdr:to>
      <xdr:col>37</xdr:col>
      <xdr:colOff>17930</xdr:colOff>
      <xdr:row>476</xdr:row>
      <xdr:rowOff>26894</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27</xdr:col>
      <xdr:colOff>0</xdr:colOff>
      <xdr:row>504</xdr:row>
      <xdr:rowOff>174625</xdr:rowOff>
    </xdr:from>
    <xdr:to>
      <xdr:col>37</xdr:col>
      <xdr:colOff>17930</xdr:colOff>
      <xdr:row>525</xdr:row>
      <xdr:rowOff>11019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25</xdr:col>
      <xdr:colOff>0</xdr:colOff>
      <xdr:row>556</xdr:row>
      <xdr:rowOff>0</xdr:rowOff>
    </xdr:from>
    <xdr:to>
      <xdr:col>35</xdr:col>
      <xdr:colOff>17930</xdr:colOff>
      <xdr:row>576</xdr:row>
      <xdr:rowOff>26894</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0</xdr:colOff>
      <xdr:row>604</xdr:row>
      <xdr:rowOff>174625</xdr:rowOff>
    </xdr:from>
    <xdr:to>
      <xdr:col>35</xdr:col>
      <xdr:colOff>17930</xdr:colOff>
      <xdr:row>625</xdr:row>
      <xdr:rowOff>11019</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25</xdr:col>
      <xdr:colOff>0</xdr:colOff>
      <xdr:row>656</xdr:row>
      <xdr:rowOff>0</xdr:rowOff>
    </xdr:from>
    <xdr:to>
      <xdr:col>35</xdr:col>
      <xdr:colOff>17930</xdr:colOff>
      <xdr:row>676</xdr:row>
      <xdr:rowOff>26894</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25</xdr:col>
      <xdr:colOff>0</xdr:colOff>
      <xdr:row>705</xdr:row>
      <xdr:rowOff>79375</xdr:rowOff>
    </xdr:from>
    <xdr:to>
      <xdr:col>35</xdr:col>
      <xdr:colOff>17930</xdr:colOff>
      <xdr:row>725</xdr:row>
      <xdr:rowOff>106269</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0</xdr:colOff>
      <xdr:row>756</xdr:row>
      <xdr:rowOff>0</xdr:rowOff>
    </xdr:from>
    <xdr:to>
      <xdr:col>35</xdr:col>
      <xdr:colOff>17930</xdr:colOff>
      <xdr:row>776</xdr:row>
      <xdr:rowOff>26894</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25</xdr:col>
      <xdr:colOff>0</xdr:colOff>
      <xdr:row>805</xdr:row>
      <xdr:rowOff>47625</xdr:rowOff>
    </xdr:from>
    <xdr:to>
      <xdr:col>35</xdr:col>
      <xdr:colOff>17930</xdr:colOff>
      <xdr:row>825</xdr:row>
      <xdr:rowOff>74519</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25</xdr:col>
      <xdr:colOff>0</xdr:colOff>
      <xdr:row>856</xdr:row>
      <xdr:rowOff>0</xdr:rowOff>
    </xdr:from>
    <xdr:to>
      <xdr:col>35</xdr:col>
      <xdr:colOff>17930</xdr:colOff>
      <xdr:row>876</xdr:row>
      <xdr:rowOff>26894</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0</xdr:colOff>
      <xdr:row>905</xdr:row>
      <xdr:rowOff>15875</xdr:rowOff>
    </xdr:from>
    <xdr:to>
      <xdr:col>35</xdr:col>
      <xdr:colOff>17930</xdr:colOff>
      <xdr:row>925</xdr:row>
      <xdr:rowOff>42769</xdr:rowOff>
    </xdr:to>
    <xdr:graphicFrame macro="">
      <xdr:nvGraphicFramePr>
        <xdr:cNvPr id="151" name="Chart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25</xdr:col>
      <xdr:colOff>0</xdr:colOff>
      <xdr:row>956</xdr:row>
      <xdr:rowOff>0</xdr:rowOff>
    </xdr:from>
    <xdr:to>
      <xdr:col>35</xdr:col>
      <xdr:colOff>17930</xdr:colOff>
      <xdr:row>976</xdr:row>
      <xdr:rowOff>26894</xdr:rowOff>
    </xdr:to>
    <xdr:graphicFrame macro="">
      <xdr:nvGraphicFramePr>
        <xdr:cNvPr id="152" name="Chart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25</xdr:col>
      <xdr:colOff>0</xdr:colOff>
      <xdr:row>1005</xdr:row>
      <xdr:rowOff>47625</xdr:rowOff>
    </xdr:from>
    <xdr:to>
      <xdr:col>35</xdr:col>
      <xdr:colOff>17930</xdr:colOff>
      <xdr:row>1025</xdr:row>
      <xdr:rowOff>74519</xdr:rowOff>
    </xdr:to>
    <xdr:graphicFrame macro="">
      <xdr:nvGraphicFramePr>
        <xdr:cNvPr id="153" name="Chart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0</xdr:colOff>
      <xdr:row>1056</xdr:row>
      <xdr:rowOff>0</xdr:rowOff>
    </xdr:from>
    <xdr:to>
      <xdr:col>35</xdr:col>
      <xdr:colOff>17930</xdr:colOff>
      <xdr:row>1076</xdr:row>
      <xdr:rowOff>26894</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25</xdr:col>
      <xdr:colOff>0</xdr:colOff>
      <xdr:row>1105</xdr:row>
      <xdr:rowOff>95250</xdr:rowOff>
    </xdr:from>
    <xdr:to>
      <xdr:col>35</xdr:col>
      <xdr:colOff>17930</xdr:colOff>
      <xdr:row>1125</xdr:row>
      <xdr:rowOff>122144</xdr:rowOff>
    </xdr:to>
    <xdr:graphicFrame macro="">
      <xdr:nvGraphicFramePr>
        <xdr:cNvPr id="155" name="Chart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25</xdr:col>
      <xdr:colOff>0</xdr:colOff>
      <xdr:row>1156</xdr:row>
      <xdr:rowOff>0</xdr:rowOff>
    </xdr:from>
    <xdr:to>
      <xdr:col>35</xdr:col>
      <xdr:colOff>17930</xdr:colOff>
      <xdr:row>1176</xdr:row>
      <xdr:rowOff>26894</xdr:rowOff>
    </xdr:to>
    <xdr:graphicFrame macro="">
      <xdr:nvGraphicFramePr>
        <xdr:cNvPr id="156" name="Chart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0</xdr:colOff>
      <xdr:row>1204</xdr:row>
      <xdr:rowOff>142875</xdr:rowOff>
    </xdr:from>
    <xdr:to>
      <xdr:col>35</xdr:col>
      <xdr:colOff>17930</xdr:colOff>
      <xdr:row>1224</xdr:row>
      <xdr:rowOff>169769</xdr:rowOff>
    </xdr:to>
    <xdr:graphicFrame macro="">
      <xdr:nvGraphicFramePr>
        <xdr:cNvPr id="157" name="Chart 1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22</xdr:col>
      <xdr:colOff>585108</xdr:colOff>
      <xdr:row>1256</xdr:row>
      <xdr:rowOff>13607</xdr:rowOff>
    </xdr:from>
    <xdr:to>
      <xdr:col>33</xdr:col>
      <xdr:colOff>4324</xdr:colOff>
      <xdr:row>1276</xdr:row>
      <xdr:rowOff>40501</xdr:rowOff>
    </xdr:to>
    <xdr:graphicFrame macro="">
      <xdr:nvGraphicFramePr>
        <xdr:cNvPr id="158"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27</xdr:col>
      <xdr:colOff>0</xdr:colOff>
      <xdr:row>1305</xdr:row>
      <xdr:rowOff>15875</xdr:rowOff>
    </xdr:from>
    <xdr:to>
      <xdr:col>37</xdr:col>
      <xdr:colOff>17930</xdr:colOff>
      <xdr:row>1325</xdr:row>
      <xdr:rowOff>42769</xdr:rowOff>
    </xdr:to>
    <xdr:graphicFrame macro="">
      <xdr:nvGraphicFramePr>
        <xdr:cNvPr id="159"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0</xdr:colOff>
      <xdr:row>1356</xdr:row>
      <xdr:rowOff>0</xdr:rowOff>
    </xdr:from>
    <xdr:to>
      <xdr:col>35</xdr:col>
      <xdr:colOff>17930</xdr:colOff>
      <xdr:row>1376</xdr:row>
      <xdr:rowOff>26894</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25</xdr:col>
      <xdr:colOff>0</xdr:colOff>
      <xdr:row>1406</xdr:row>
      <xdr:rowOff>0</xdr:rowOff>
    </xdr:from>
    <xdr:to>
      <xdr:col>35</xdr:col>
      <xdr:colOff>17930</xdr:colOff>
      <xdr:row>1426</xdr:row>
      <xdr:rowOff>26894</xdr:rowOff>
    </xdr:to>
    <xdr:graphicFrame macro="">
      <xdr:nvGraphicFramePr>
        <xdr:cNvPr id="161"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25</xdr:col>
      <xdr:colOff>0</xdr:colOff>
      <xdr:row>1456</xdr:row>
      <xdr:rowOff>0</xdr:rowOff>
    </xdr:from>
    <xdr:to>
      <xdr:col>35</xdr:col>
      <xdr:colOff>17930</xdr:colOff>
      <xdr:row>1476</xdr:row>
      <xdr:rowOff>26894</xdr:rowOff>
    </xdr:to>
    <xdr:graphicFrame macro="">
      <xdr:nvGraphicFramePr>
        <xdr:cNvPr id="162" name="Chart 1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0</xdr:colOff>
      <xdr:row>1506</xdr:row>
      <xdr:rowOff>0</xdr:rowOff>
    </xdr:from>
    <xdr:to>
      <xdr:col>35</xdr:col>
      <xdr:colOff>17930</xdr:colOff>
      <xdr:row>1526</xdr:row>
      <xdr:rowOff>26894</xdr:rowOff>
    </xdr:to>
    <xdr:graphicFrame macro="">
      <xdr:nvGraphicFramePr>
        <xdr:cNvPr id="163" name="Chart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25</xdr:col>
      <xdr:colOff>0</xdr:colOff>
      <xdr:row>1556</xdr:row>
      <xdr:rowOff>0</xdr:rowOff>
    </xdr:from>
    <xdr:to>
      <xdr:col>35</xdr:col>
      <xdr:colOff>17930</xdr:colOff>
      <xdr:row>1576</xdr:row>
      <xdr:rowOff>26894</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25</xdr:col>
      <xdr:colOff>0</xdr:colOff>
      <xdr:row>1606</xdr:row>
      <xdr:rowOff>0</xdr:rowOff>
    </xdr:from>
    <xdr:to>
      <xdr:col>35</xdr:col>
      <xdr:colOff>17930</xdr:colOff>
      <xdr:row>1626</xdr:row>
      <xdr:rowOff>26894</xdr:rowOff>
    </xdr:to>
    <xdr:graphicFrame macro="">
      <xdr:nvGraphicFramePr>
        <xdr:cNvPr id="165" name="Chart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24</xdr:col>
      <xdr:colOff>0</xdr:colOff>
      <xdr:row>1656</xdr:row>
      <xdr:rowOff>0</xdr:rowOff>
    </xdr:from>
    <xdr:to>
      <xdr:col>34</xdr:col>
      <xdr:colOff>17930</xdr:colOff>
      <xdr:row>1676</xdr:row>
      <xdr:rowOff>26894</xdr:rowOff>
    </xdr:to>
    <xdr:graphicFrame macro="">
      <xdr:nvGraphicFramePr>
        <xdr:cNvPr id="166" name="Chart 1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24</xdr:col>
      <xdr:colOff>0</xdr:colOff>
      <xdr:row>1705</xdr:row>
      <xdr:rowOff>95250</xdr:rowOff>
    </xdr:from>
    <xdr:to>
      <xdr:col>34</xdr:col>
      <xdr:colOff>17930</xdr:colOff>
      <xdr:row>1725</xdr:row>
      <xdr:rowOff>122144</xdr:rowOff>
    </xdr:to>
    <xdr:graphicFrame macro="">
      <xdr:nvGraphicFramePr>
        <xdr:cNvPr id="167" name="Chart 1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23</xdr:col>
      <xdr:colOff>95250</xdr:colOff>
      <xdr:row>1755</xdr:row>
      <xdr:rowOff>136071</xdr:rowOff>
    </xdr:from>
    <xdr:to>
      <xdr:col>33</xdr:col>
      <xdr:colOff>113180</xdr:colOff>
      <xdr:row>1775</xdr:row>
      <xdr:rowOff>162965</xdr:rowOff>
    </xdr:to>
    <xdr:graphicFrame macro="">
      <xdr:nvGraphicFramePr>
        <xdr:cNvPr id="170" name="Chart 1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30</xdr:col>
      <xdr:colOff>0</xdr:colOff>
      <xdr:row>1806</xdr:row>
      <xdr:rowOff>0</xdr:rowOff>
    </xdr:from>
    <xdr:to>
      <xdr:col>40</xdr:col>
      <xdr:colOff>17930</xdr:colOff>
      <xdr:row>1826</xdr:row>
      <xdr:rowOff>26894</xdr:rowOff>
    </xdr:to>
    <xdr:graphicFrame macro="">
      <xdr:nvGraphicFramePr>
        <xdr:cNvPr id="171" name="Chart 1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28</xdr:col>
      <xdr:colOff>0</xdr:colOff>
      <xdr:row>2111</xdr:row>
      <xdr:rowOff>0</xdr:rowOff>
    </xdr:from>
    <xdr:to>
      <xdr:col>43</xdr:col>
      <xdr:colOff>54429</xdr:colOff>
      <xdr:row>2134</xdr:row>
      <xdr:rowOff>54428</xdr:rowOff>
    </xdr:to>
    <xdr:graphicFrame macro="">
      <xdr:nvGraphicFramePr>
        <xdr:cNvPr id="176"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35</xdr:col>
      <xdr:colOff>76200</xdr:colOff>
      <xdr:row>107</xdr:row>
      <xdr:rowOff>5861</xdr:rowOff>
    </xdr:from>
    <xdr:to>
      <xdr:col>45</xdr:col>
      <xdr:colOff>94129</xdr:colOff>
      <xdr:row>127</xdr:row>
      <xdr:rowOff>32755</xdr:rowOff>
    </xdr:to>
    <xdr:graphicFrame macro="">
      <xdr:nvGraphicFramePr>
        <xdr:cNvPr id="128"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43</xdr:col>
      <xdr:colOff>0</xdr:colOff>
      <xdr:row>157</xdr:row>
      <xdr:rowOff>33617</xdr:rowOff>
    </xdr:from>
    <xdr:to>
      <xdr:col>58</xdr:col>
      <xdr:colOff>54430</xdr:colOff>
      <xdr:row>176</xdr:row>
      <xdr:rowOff>142474</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0</xdr:colOff>
      <xdr:row>203</xdr:row>
      <xdr:rowOff>0</xdr:rowOff>
    </xdr:from>
    <xdr:to>
      <xdr:col>41</xdr:col>
      <xdr:colOff>17930</xdr:colOff>
      <xdr:row>223</xdr:row>
      <xdr:rowOff>26894</xdr:rowOff>
    </xdr:to>
    <xdr:graphicFrame macro="">
      <xdr:nvGraphicFramePr>
        <xdr:cNvPr id="132"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23</xdr:col>
      <xdr:colOff>0</xdr:colOff>
      <xdr:row>7</xdr:row>
      <xdr:rowOff>0</xdr:rowOff>
    </xdr:from>
    <xdr:to>
      <xdr:col>33</xdr:col>
      <xdr:colOff>17930</xdr:colOff>
      <xdr:row>27</xdr:row>
      <xdr:rowOff>26894</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34</xdr:col>
      <xdr:colOff>0</xdr:colOff>
      <xdr:row>7</xdr:row>
      <xdr:rowOff>0</xdr:rowOff>
    </xdr:from>
    <xdr:to>
      <xdr:col>44</xdr:col>
      <xdr:colOff>17930</xdr:colOff>
      <xdr:row>27</xdr:row>
      <xdr:rowOff>26894</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33</xdr:col>
      <xdr:colOff>0</xdr:colOff>
      <xdr:row>256</xdr:row>
      <xdr:rowOff>0</xdr:rowOff>
    </xdr:from>
    <xdr:to>
      <xdr:col>43</xdr:col>
      <xdr:colOff>17930</xdr:colOff>
      <xdr:row>276</xdr:row>
      <xdr:rowOff>26894</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32</xdr:col>
      <xdr:colOff>0</xdr:colOff>
      <xdr:row>306</xdr:row>
      <xdr:rowOff>0</xdr:rowOff>
    </xdr:from>
    <xdr:to>
      <xdr:col>42</xdr:col>
      <xdr:colOff>17930</xdr:colOff>
      <xdr:row>326</xdr:row>
      <xdr:rowOff>26894</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37</xdr:col>
      <xdr:colOff>0</xdr:colOff>
      <xdr:row>1205</xdr:row>
      <xdr:rowOff>0</xdr:rowOff>
    </xdr:from>
    <xdr:to>
      <xdr:col>47</xdr:col>
      <xdr:colOff>17930</xdr:colOff>
      <xdr:row>1225</xdr:row>
      <xdr:rowOff>26894</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34</xdr:col>
      <xdr:colOff>0</xdr:colOff>
      <xdr:row>1255</xdr:row>
      <xdr:rowOff>180974</xdr:rowOff>
    </xdr:from>
    <xdr:to>
      <xdr:col>44</xdr:col>
      <xdr:colOff>14529</xdr:colOff>
      <xdr:row>1278</xdr:row>
      <xdr:rowOff>138111</xdr:rowOff>
    </xdr:to>
    <xdr:graphicFrame macro="">
      <xdr:nvGraphicFramePr>
        <xdr:cNvPr id="168" name="Chart 1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0</xdr:colOff>
      <xdr:row>1304</xdr:row>
      <xdr:rowOff>182879</xdr:rowOff>
    </xdr:from>
    <xdr:to>
      <xdr:col>48</xdr:col>
      <xdr:colOff>17930</xdr:colOff>
      <xdr:row>1326</xdr:row>
      <xdr:rowOff>134982</xdr:rowOff>
    </xdr:to>
    <xdr:graphicFrame macro="">
      <xdr:nvGraphicFramePr>
        <xdr:cNvPr id="169" name="Chart 1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36</xdr:col>
      <xdr:colOff>0</xdr:colOff>
      <xdr:row>1356</xdr:row>
      <xdr:rowOff>0</xdr:rowOff>
    </xdr:from>
    <xdr:to>
      <xdr:col>46</xdr:col>
      <xdr:colOff>17930</xdr:colOff>
      <xdr:row>1376</xdr:row>
      <xdr:rowOff>26894</xdr:rowOff>
    </xdr:to>
    <xdr:graphicFrame macro="">
      <xdr:nvGraphicFramePr>
        <xdr:cNvPr id="173" name="Chart 1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36</xdr:col>
      <xdr:colOff>0</xdr:colOff>
      <xdr:row>1406</xdr:row>
      <xdr:rowOff>0</xdr:rowOff>
    </xdr:from>
    <xdr:to>
      <xdr:col>46</xdr:col>
      <xdr:colOff>17930</xdr:colOff>
      <xdr:row>1426</xdr:row>
      <xdr:rowOff>26894</xdr:rowOff>
    </xdr:to>
    <xdr:graphicFrame macro="">
      <xdr:nvGraphicFramePr>
        <xdr:cNvPr id="174" name="Chart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36</xdr:col>
      <xdr:colOff>0</xdr:colOff>
      <xdr:row>1456</xdr:row>
      <xdr:rowOff>0</xdr:rowOff>
    </xdr:from>
    <xdr:to>
      <xdr:col>46</xdr:col>
      <xdr:colOff>17930</xdr:colOff>
      <xdr:row>1476</xdr:row>
      <xdr:rowOff>26894</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36</xdr:col>
      <xdr:colOff>0</xdr:colOff>
      <xdr:row>1506</xdr:row>
      <xdr:rowOff>0</xdr:rowOff>
    </xdr:from>
    <xdr:to>
      <xdr:col>46</xdr:col>
      <xdr:colOff>17930</xdr:colOff>
      <xdr:row>1526</xdr:row>
      <xdr:rowOff>26894</xdr:rowOff>
    </xdr:to>
    <xdr:graphicFrame macro="">
      <xdr:nvGraphicFramePr>
        <xdr:cNvPr id="177" name="Chart 1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36</xdr:col>
      <xdr:colOff>0</xdr:colOff>
      <xdr:row>1556</xdr:row>
      <xdr:rowOff>0</xdr:rowOff>
    </xdr:from>
    <xdr:to>
      <xdr:col>46</xdr:col>
      <xdr:colOff>17930</xdr:colOff>
      <xdr:row>1576</xdr:row>
      <xdr:rowOff>26894</xdr:rowOff>
    </xdr:to>
    <xdr:graphicFrame macro="">
      <xdr:nvGraphicFramePr>
        <xdr:cNvPr id="178"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36</xdr:col>
      <xdr:colOff>0</xdr:colOff>
      <xdr:row>1606</xdr:row>
      <xdr:rowOff>0</xdr:rowOff>
    </xdr:from>
    <xdr:to>
      <xdr:col>46</xdr:col>
      <xdr:colOff>17930</xdr:colOff>
      <xdr:row>1626</xdr:row>
      <xdr:rowOff>26894</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35</xdr:col>
      <xdr:colOff>0</xdr:colOff>
      <xdr:row>1656</xdr:row>
      <xdr:rowOff>0</xdr:rowOff>
    </xdr:from>
    <xdr:to>
      <xdr:col>45</xdr:col>
      <xdr:colOff>17930</xdr:colOff>
      <xdr:row>1676</xdr:row>
      <xdr:rowOff>26894</xdr:rowOff>
    </xdr:to>
    <xdr:graphicFrame macro="">
      <xdr:nvGraphicFramePr>
        <xdr:cNvPr id="180" name="Chart 1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35</xdr:col>
      <xdr:colOff>0</xdr:colOff>
      <xdr:row>1706</xdr:row>
      <xdr:rowOff>0</xdr:rowOff>
    </xdr:from>
    <xdr:to>
      <xdr:col>45</xdr:col>
      <xdr:colOff>17930</xdr:colOff>
      <xdr:row>1726</xdr:row>
      <xdr:rowOff>26894</xdr:rowOff>
    </xdr:to>
    <xdr:graphicFrame macro="">
      <xdr:nvGraphicFramePr>
        <xdr:cNvPr id="181" name="Chart 1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35</xdr:col>
      <xdr:colOff>0</xdr:colOff>
      <xdr:row>1756</xdr:row>
      <xdr:rowOff>0</xdr:rowOff>
    </xdr:from>
    <xdr:to>
      <xdr:col>45</xdr:col>
      <xdr:colOff>17930</xdr:colOff>
      <xdr:row>1776</xdr:row>
      <xdr:rowOff>26894</xdr:rowOff>
    </xdr:to>
    <xdr:graphicFrame macro="">
      <xdr:nvGraphicFramePr>
        <xdr:cNvPr id="182" name="Chart 1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42</xdr:col>
      <xdr:colOff>0</xdr:colOff>
      <xdr:row>1806</xdr:row>
      <xdr:rowOff>0</xdr:rowOff>
    </xdr:from>
    <xdr:to>
      <xdr:col>52</xdr:col>
      <xdr:colOff>17930</xdr:colOff>
      <xdr:row>1826</xdr:row>
      <xdr:rowOff>26894</xdr:rowOff>
    </xdr:to>
    <xdr:graphicFrame macro="">
      <xdr:nvGraphicFramePr>
        <xdr:cNvPr id="183" name="Chart 1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32</xdr:col>
      <xdr:colOff>0</xdr:colOff>
      <xdr:row>2062</xdr:row>
      <xdr:rowOff>0</xdr:rowOff>
    </xdr:from>
    <xdr:to>
      <xdr:col>42</xdr:col>
      <xdr:colOff>16230</xdr:colOff>
      <xdr:row>2082</xdr:row>
      <xdr:rowOff>26894</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45</xdr:col>
      <xdr:colOff>0</xdr:colOff>
      <xdr:row>2111</xdr:row>
      <xdr:rowOff>0</xdr:rowOff>
    </xdr:from>
    <xdr:to>
      <xdr:col>60</xdr:col>
      <xdr:colOff>54430</xdr:colOff>
      <xdr:row>2136</xdr:row>
      <xdr:rowOff>95250</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35</xdr:col>
      <xdr:colOff>2</xdr:colOff>
      <xdr:row>57</xdr:row>
      <xdr:rowOff>0</xdr:rowOff>
    </xdr:from>
    <xdr:to>
      <xdr:col>45</xdr:col>
      <xdr:colOff>61815</xdr:colOff>
      <xdr:row>77</xdr:row>
      <xdr:rowOff>26894</xdr:rowOff>
    </xdr:to>
    <xdr:grpSp>
      <xdr:nvGrpSpPr>
        <xdr:cNvPr id="45" name="Group 44"/>
        <xdr:cNvGrpSpPr/>
      </xdr:nvGrpSpPr>
      <xdr:grpSpPr>
        <a:xfrm>
          <a:off x="21389342" y="10858500"/>
          <a:ext cx="6234013" cy="3684494"/>
          <a:chOff x="20729864" y="11300114"/>
          <a:chExt cx="6036503" cy="3836894"/>
        </a:xfrm>
      </xdr:grpSpPr>
      <xdr:graphicFrame macro="">
        <xdr:nvGraphicFramePr>
          <xdr:cNvPr id="127" name="Chart 126"/>
          <xdr:cNvGraphicFramePr>
            <a:graphicFrameLocks/>
          </xdr:cNvGraphicFramePr>
        </xdr:nvGraphicFramePr>
        <xdr:xfrm>
          <a:off x="20729864" y="11300114"/>
          <a:ext cx="5992701" cy="3836894"/>
        </xdr:xfrm>
        <a:graphic>
          <a:graphicData uri="http://schemas.openxmlformats.org/drawingml/2006/chart">
            <c:chart xmlns:c="http://schemas.openxmlformats.org/drawingml/2006/chart" xmlns:r="http://schemas.openxmlformats.org/officeDocument/2006/relationships" r:id="rId124"/>
          </a:graphicData>
        </a:graphic>
      </xdr:graphicFrame>
      <xdr:grpSp>
        <xdr:nvGrpSpPr>
          <xdr:cNvPr id="205" name="Group 204"/>
          <xdr:cNvGrpSpPr/>
        </xdr:nvGrpSpPr>
        <xdr:grpSpPr>
          <a:xfrm>
            <a:off x="24795118" y="11481090"/>
            <a:ext cx="719119" cy="3082527"/>
            <a:chOff x="2675283" y="1"/>
            <a:chExt cx="720587" cy="2960312"/>
          </a:xfrm>
        </xdr:grpSpPr>
        <xdr:cxnSp macro="">
          <xdr:nvCxnSpPr>
            <xdr:cNvPr id="206" name="Straight Connector 205"/>
            <xdr:cNvCxnSpPr/>
          </xdr:nvCxnSpPr>
          <xdr:spPr>
            <a:xfrm flipH="1" flipV="1">
              <a:off x="3023154" y="191142"/>
              <a:ext cx="20521" cy="2769171"/>
            </a:xfrm>
            <a:prstGeom prst="line">
              <a:avLst/>
            </a:prstGeom>
            <a:ln w="25400" cap="flat" cmpd="sng" algn="ctr">
              <a:solidFill>
                <a:srgbClr val="00B05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sp macro="" textlink="">
          <xdr:nvSpPr>
            <xdr:cNvPr id="207" name="TextBox 3"/>
            <xdr:cNvSpPr txBox="1"/>
          </xdr:nvSpPr>
          <xdr:spPr>
            <a:xfrm>
              <a:off x="2675283" y="1"/>
              <a:ext cx="720587" cy="22302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a:solidFill>
                    <a:srgbClr val="00B050"/>
                  </a:solidFill>
                </a:rPr>
                <a:t>Ave=288</a:t>
              </a:r>
            </a:p>
          </xdr:txBody>
        </xdr:sp>
      </xdr:grpSp>
      <xdr:grpSp>
        <xdr:nvGrpSpPr>
          <xdr:cNvPr id="208" name="Group 207"/>
          <xdr:cNvGrpSpPr/>
        </xdr:nvGrpSpPr>
        <xdr:grpSpPr>
          <a:xfrm>
            <a:off x="25938107" y="11576339"/>
            <a:ext cx="828260" cy="2961036"/>
            <a:chOff x="1521025" y="123675"/>
            <a:chExt cx="828260" cy="2957456"/>
          </a:xfrm>
        </xdr:grpSpPr>
        <xdr:cxnSp macro="">
          <xdr:nvCxnSpPr>
            <xdr:cNvPr id="209" name="Straight Connector 208"/>
            <xdr:cNvCxnSpPr/>
          </xdr:nvCxnSpPr>
          <xdr:spPr>
            <a:xfrm flipV="1">
              <a:off x="2244587" y="207067"/>
              <a:ext cx="0" cy="2874064"/>
            </a:xfrm>
            <a:prstGeom prst="line">
              <a:avLst/>
            </a:prstGeom>
            <a:ln w="9525" cap="flat" cmpd="sng" algn="ctr">
              <a:solidFill>
                <a:srgbClr val="C0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sp macro="" textlink="">
          <xdr:nvSpPr>
            <xdr:cNvPr id="210" name="TextBox 1"/>
            <xdr:cNvSpPr txBox="1"/>
          </xdr:nvSpPr>
          <xdr:spPr>
            <a:xfrm>
              <a:off x="1521025" y="123675"/>
              <a:ext cx="828260" cy="22302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a:solidFill>
                    <a:schemeClr val="accent2">
                      <a:lumMod val="75000"/>
                    </a:schemeClr>
                  </a:solidFill>
                  <a:latin typeface="+mn-lt"/>
                  <a:ea typeface="+mn-ea"/>
                  <a:cs typeface="+mn-cs"/>
                </a:rPr>
                <a:t>Ave=6848</a:t>
              </a:r>
            </a:p>
          </xdr:txBody>
        </xdr:sp>
      </xdr:grpSp>
      <xdr:grpSp>
        <xdr:nvGrpSpPr>
          <xdr:cNvPr id="211" name="Group 210"/>
          <xdr:cNvGrpSpPr/>
        </xdr:nvGrpSpPr>
        <xdr:grpSpPr>
          <a:xfrm>
            <a:off x="24231600" y="11493917"/>
            <a:ext cx="818510" cy="3073272"/>
            <a:chOff x="47410" y="3315"/>
            <a:chExt cx="819978" cy="3069533"/>
          </a:xfrm>
        </xdr:grpSpPr>
        <xdr:cxnSp macro="">
          <xdr:nvCxnSpPr>
            <xdr:cNvPr id="212" name="Straight Connector 211"/>
            <xdr:cNvCxnSpPr/>
          </xdr:nvCxnSpPr>
          <xdr:spPr>
            <a:xfrm>
              <a:off x="381000" y="207065"/>
              <a:ext cx="0" cy="2865783"/>
            </a:xfrm>
            <a:prstGeom prst="line">
              <a:avLst/>
            </a:prstGeom>
            <a:ln w="25400" cap="flat" cmpd="sng" algn="ctr">
              <a:solidFill>
                <a:schemeClr val="tx2">
                  <a:lumMod val="75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sp macro="" textlink="">
          <xdr:nvSpPr>
            <xdr:cNvPr id="213" name="TextBox 1"/>
            <xdr:cNvSpPr txBox="1"/>
          </xdr:nvSpPr>
          <xdr:spPr>
            <a:xfrm>
              <a:off x="47410" y="3315"/>
              <a:ext cx="819978" cy="22302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a:solidFill>
                    <a:schemeClr val="tx2">
                      <a:lumMod val="75000"/>
                    </a:schemeClr>
                  </a:solidFill>
                  <a:latin typeface="+mn-lt"/>
                </a:rPr>
                <a:t>Ave=81</a:t>
              </a:r>
              <a:endParaRPr lang="en-US" sz="1100">
                <a:solidFill>
                  <a:schemeClr val="tx2">
                    <a:lumMod val="75000"/>
                  </a:schemeClr>
                </a:solidFill>
                <a:latin typeface="+mn-lt"/>
                <a:ea typeface="+mn-ea"/>
                <a:cs typeface="+mn-cs"/>
              </a:endParaRPr>
            </a:p>
          </xdr:txBody>
        </xdr:sp>
      </xdr:grpSp>
    </xdr:grpSp>
    <xdr:clientData/>
  </xdr:twoCellAnchor>
  <xdr:twoCellAnchor>
    <xdr:from>
      <xdr:col>32</xdr:col>
      <xdr:colOff>0</xdr:colOff>
      <xdr:row>1961</xdr:row>
      <xdr:rowOff>0</xdr:rowOff>
    </xdr:from>
    <xdr:to>
      <xdr:col>42</xdr:col>
      <xdr:colOff>16230</xdr:colOff>
      <xdr:row>1981</xdr:row>
      <xdr:rowOff>26894</xdr:rowOff>
    </xdr:to>
    <xdr:graphicFrame macro="">
      <xdr:nvGraphicFramePr>
        <xdr:cNvPr id="190" name="Chart 1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32</xdr:col>
      <xdr:colOff>0</xdr:colOff>
      <xdr:row>2011</xdr:row>
      <xdr:rowOff>0</xdr:rowOff>
    </xdr:from>
    <xdr:to>
      <xdr:col>42</xdr:col>
      <xdr:colOff>16230</xdr:colOff>
      <xdr:row>2031</xdr:row>
      <xdr:rowOff>26894</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45</xdr:col>
      <xdr:colOff>234461</xdr:colOff>
      <xdr:row>57</xdr:row>
      <xdr:rowOff>5862</xdr:rowOff>
    </xdr:from>
    <xdr:to>
      <xdr:col>55</xdr:col>
      <xdr:colOff>251165</xdr:colOff>
      <xdr:row>77</xdr:row>
      <xdr:rowOff>32756</xdr:rowOff>
    </xdr:to>
    <xdr:grpSp>
      <xdr:nvGrpSpPr>
        <xdr:cNvPr id="172" name="Group 171"/>
        <xdr:cNvGrpSpPr/>
      </xdr:nvGrpSpPr>
      <xdr:grpSpPr>
        <a:xfrm>
          <a:off x="27796001" y="10864362"/>
          <a:ext cx="6188904" cy="3684494"/>
          <a:chOff x="20729864" y="11300114"/>
          <a:chExt cx="5992701" cy="3836894"/>
        </a:xfrm>
      </xdr:grpSpPr>
      <xdr:graphicFrame macro="">
        <xdr:nvGraphicFramePr>
          <xdr:cNvPr id="184" name="Chart 183"/>
          <xdr:cNvGraphicFramePr>
            <a:graphicFrameLocks/>
          </xdr:cNvGraphicFramePr>
        </xdr:nvGraphicFramePr>
        <xdr:xfrm>
          <a:off x="20729864" y="11300114"/>
          <a:ext cx="5992701" cy="3836894"/>
        </xdr:xfrm>
        <a:graphic>
          <a:graphicData uri="http://schemas.openxmlformats.org/drawingml/2006/chart">
            <c:chart xmlns:c="http://schemas.openxmlformats.org/drawingml/2006/chart" xmlns:r="http://schemas.openxmlformats.org/officeDocument/2006/relationships" r:id="rId127"/>
          </a:graphicData>
        </a:graphic>
      </xdr:graphicFrame>
      <xdr:grpSp>
        <xdr:nvGrpSpPr>
          <xdr:cNvPr id="187" name="Group 186"/>
          <xdr:cNvGrpSpPr/>
        </xdr:nvGrpSpPr>
        <xdr:grpSpPr>
          <a:xfrm>
            <a:off x="24795119" y="11333656"/>
            <a:ext cx="778542" cy="3229963"/>
            <a:chOff x="2675283" y="-141588"/>
            <a:chExt cx="780131" cy="3101903"/>
          </a:xfrm>
        </xdr:grpSpPr>
        <xdr:cxnSp macro="">
          <xdr:nvCxnSpPr>
            <xdr:cNvPr id="196" name="Straight Connector 195"/>
            <xdr:cNvCxnSpPr>
              <a:endCxn id="197" idx="2"/>
            </xdr:cNvCxnSpPr>
          </xdr:nvCxnSpPr>
          <xdr:spPr>
            <a:xfrm flipV="1">
              <a:off x="3043675" y="81435"/>
              <a:ext cx="21674" cy="2878880"/>
            </a:xfrm>
            <a:prstGeom prst="line">
              <a:avLst/>
            </a:prstGeom>
            <a:ln w="25400" cap="flat" cmpd="sng" algn="ctr">
              <a:solidFill>
                <a:srgbClr val="00B05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sp macro="" textlink="">
          <xdr:nvSpPr>
            <xdr:cNvPr id="197" name="TextBox 3"/>
            <xdr:cNvSpPr txBox="1"/>
          </xdr:nvSpPr>
          <xdr:spPr>
            <a:xfrm>
              <a:off x="2675283" y="-141588"/>
              <a:ext cx="780131" cy="22302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400" b="1">
                  <a:solidFill>
                    <a:srgbClr val="00B050"/>
                  </a:solidFill>
                </a:rPr>
                <a:t>avg=288</a:t>
              </a:r>
            </a:p>
          </xdr:txBody>
        </xdr:sp>
      </xdr:grpSp>
      <xdr:grpSp>
        <xdr:nvGrpSpPr>
          <xdr:cNvPr id="189" name="Group 188"/>
          <xdr:cNvGrpSpPr/>
        </xdr:nvGrpSpPr>
        <xdr:grpSpPr>
          <a:xfrm>
            <a:off x="24197448" y="11334197"/>
            <a:ext cx="818510" cy="3232992"/>
            <a:chOff x="13197" y="-156211"/>
            <a:chExt cx="819978" cy="3229059"/>
          </a:xfrm>
        </xdr:grpSpPr>
        <xdr:cxnSp macro="">
          <xdr:nvCxnSpPr>
            <xdr:cNvPr id="191" name="Straight Connector 190"/>
            <xdr:cNvCxnSpPr/>
          </xdr:nvCxnSpPr>
          <xdr:spPr>
            <a:xfrm>
              <a:off x="381000" y="110392"/>
              <a:ext cx="0" cy="2962456"/>
            </a:xfrm>
            <a:prstGeom prst="line">
              <a:avLst/>
            </a:prstGeom>
            <a:ln w="25400" cap="flat" cmpd="sng" algn="ctr">
              <a:solidFill>
                <a:schemeClr val="tx2">
                  <a:lumMod val="75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sp macro="" textlink="">
          <xdr:nvSpPr>
            <xdr:cNvPr id="192" name="TextBox 1"/>
            <xdr:cNvSpPr txBox="1"/>
          </xdr:nvSpPr>
          <xdr:spPr>
            <a:xfrm>
              <a:off x="13197" y="-156211"/>
              <a:ext cx="819978" cy="22302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400" b="1">
                  <a:solidFill>
                    <a:schemeClr val="tx2">
                      <a:lumMod val="75000"/>
                    </a:schemeClr>
                  </a:solidFill>
                  <a:latin typeface="+mn-lt"/>
                </a:rPr>
                <a:t>avg=81</a:t>
              </a:r>
              <a:endParaRPr lang="en-US" sz="1400" b="1">
                <a:solidFill>
                  <a:schemeClr val="tx2">
                    <a:lumMod val="75000"/>
                  </a:schemeClr>
                </a:solidFill>
                <a:latin typeface="+mn-lt"/>
                <a:ea typeface="+mn-ea"/>
                <a:cs typeface="+mn-cs"/>
              </a:endParaRPr>
            </a:p>
          </xdr:txBody>
        </xdr:sp>
      </xdr:grpSp>
    </xdr:grpSp>
    <xdr:clientData/>
  </xdr:twoCellAnchor>
  <xdr:twoCellAnchor>
    <xdr:from>
      <xdr:col>13</xdr:col>
      <xdr:colOff>10885</xdr:colOff>
      <xdr:row>1859</xdr:row>
      <xdr:rowOff>87086</xdr:rowOff>
    </xdr:from>
    <xdr:to>
      <xdr:col>21</xdr:col>
      <xdr:colOff>83243</xdr:colOff>
      <xdr:row>1879</xdr:row>
      <xdr:rowOff>113979</xdr:rowOff>
    </xdr:to>
    <xdr:graphicFrame macro="">
      <xdr:nvGraphicFramePr>
        <xdr:cNvPr id="188"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13</xdr:col>
      <xdr:colOff>388620</xdr:colOff>
      <xdr:row>1901</xdr:row>
      <xdr:rowOff>0</xdr:rowOff>
    </xdr:from>
    <xdr:to>
      <xdr:col>21</xdr:col>
      <xdr:colOff>452270</xdr:colOff>
      <xdr:row>1921</xdr:row>
      <xdr:rowOff>4034</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0.00625</cdr:x>
      <cdr:y>0.00724</cdr:y>
    </cdr:from>
    <cdr:to>
      <cdr:x>0.17032</cdr:x>
      <cdr:y>0.04715</cdr:y>
    </cdr:to>
    <cdr:sp macro="" textlink="">
      <cdr:nvSpPr>
        <cdr:cNvPr id="3"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100.xml><?xml version="1.0" encoding="utf-8"?>
<c:userShapes xmlns:c="http://schemas.openxmlformats.org/drawingml/2006/chart">
  <cdr:relSizeAnchor xmlns:cdr="http://schemas.openxmlformats.org/drawingml/2006/chartDrawing">
    <cdr:from>
      <cdr:x>0</cdr:x>
      <cdr:y>0.26038</cdr:y>
    </cdr:from>
    <cdr:to>
      <cdr:x>0.03003</cdr:x>
      <cdr:y>0.6251</cdr:y>
    </cdr:to>
    <cdr:sp macro="" textlink="">
      <cdr:nvSpPr>
        <cdr:cNvPr id="2" name="TextBox 78"/>
        <cdr:cNvSpPr txBox="1"/>
      </cdr:nvSpPr>
      <cdr:spPr>
        <a:xfrm xmlns:a="http://schemas.openxmlformats.org/drawingml/2006/main" rot="16200000">
          <a:off x="-574966" y="1528231"/>
          <a:ext cx="1335258" cy="185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0.73155</cdr:x>
      <cdr:y>0.01037</cdr:y>
    </cdr:from>
    <cdr:to>
      <cdr:x>0.86537</cdr:x>
      <cdr:y>0.84513</cdr:y>
    </cdr:to>
    <cdr:grpSp>
      <cdr:nvGrpSpPr>
        <cdr:cNvPr id="3" name="Group 2"/>
        <cdr:cNvGrpSpPr/>
      </cdr:nvGrpSpPr>
      <cdr:grpSpPr>
        <a:xfrm xmlns:a="http://schemas.openxmlformats.org/drawingml/2006/main">
          <a:off x="4534786" y="38209"/>
          <a:ext cx="829528" cy="3075666"/>
          <a:chOff x="153354" y="-82715"/>
          <a:chExt cx="803543" cy="3202844"/>
        </a:xfrm>
      </cdr:grpSpPr>
      <cdr:cxnSp macro="">
        <cdr:nvCxnSpPr>
          <cdr:cNvPr id="10" name="Straight Connector 9"/>
          <cdr:cNvCxnSpPr/>
        </cdr:nvCxnSpPr>
        <cdr:spPr>
          <a:xfrm xmlns:a="http://schemas.openxmlformats.org/drawingml/2006/main" flipV="1">
            <a:off x="523574" y="213440"/>
            <a:ext cx="0" cy="2906689"/>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53354" y="-82715"/>
            <a:ext cx="803543" cy="2141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avg=240</a:t>
            </a:r>
          </a:p>
        </cdr:txBody>
      </cdr:sp>
    </cdr:grpSp>
  </cdr:relSizeAnchor>
  <cdr:relSizeAnchor xmlns:cdr="http://schemas.openxmlformats.org/drawingml/2006/chartDrawing">
    <cdr:from>
      <cdr:x>1.61547E-7</cdr:x>
      <cdr:y>0.22662</cdr:y>
    </cdr:from>
    <cdr:to>
      <cdr:x>0.03003</cdr:x>
      <cdr:y>0.59134</cdr:y>
    </cdr:to>
    <cdr:sp macro="" textlink="">
      <cdr:nvSpPr>
        <cdr:cNvPr id="2" name="TextBox 78"/>
        <cdr:cNvSpPr txBox="1"/>
      </cdr:nvSpPr>
      <cdr:spPr>
        <a:xfrm xmlns:a="http://schemas.openxmlformats.org/drawingml/2006/main" rot="16200000">
          <a:off x="-578959" y="1413944"/>
          <a:ext cx="1343809" cy="18589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0.36596</cdr:x>
      <cdr:y>0.06207</cdr:y>
    </cdr:from>
    <cdr:to>
      <cdr:x>0.50717</cdr:x>
      <cdr:y>0.84513</cdr:y>
    </cdr:to>
    <cdr:grpSp>
      <cdr:nvGrpSpPr>
        <cdr:cNvPr id="3" name="Group 2"/>
        <cdr:cNvGrpSpPr/>
      </cdr:nvGrpSpPr>
      <cdr:grpSpPr>
        <a:xfrm xmlns:a="http://schemas.openxmlformats.org/drawingml/2006/main">
          <a:off x="2265361" y="228708"/>
          <a:ext cx="874079" cy="2885168"/>
          <a:chOff x="35087" y="115662"/>
          <a:chExt cx="847889" cy="3004467"/>
        </a:xfrm>
      </cdr:grpSpPr>
      <cdr:cxnSp macro="">
        <cdr:nvCxnSpPr>
          <cdr:cNvPr id="10" name="Straight Connector 9"/>
          <cdr:cNvCxnSpPr/>
        </cdr:nvCxnSpPr>
        <cdr:spPr>
          <a:xfrm xmlns:a="http://schemas.openxmlformats.org/drawingml/2006/main" flipV="1">
            <a:off x="523574" y="369472"/>
            <a:ext cx="0" cy="2750657"/>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35087" y="115662"/>
            <a:ext cx="847889" cy="3649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avg=0.66</a:t>
            </a:r>
          </a:p>
        </cdr:txBody>
      </cdr:sp>
    </cdr:grpSp>
  </cdr:relSizeAnchor>
  <cdr:relSizeAnchor xmlns:cdr="http://schemas.openxmlformats.org/drawingml/2006/chartDrawing">
    <cdr:from>
      <cdr:x>1.61547E-7</cdr:x>
      <cdr:y>0.22662</cdr:y>
    </cdr:from>
    <cdr:to>
      <cdr:x>0.03003</cdr:x>
      <cdr:y>0.59134</cdr:y>
    </cdr:to>
    <cdr:sp macro="" textlink="">
      <cdr:nvSpPr>
        <cdr:cNvPr id="2" name="TextBox 78"/>
        <cdr:cNvSpPr txBox="1"/>
      </cdr:nvSpPr>
      <cdr:spPr>
        <a:xfrm xmlns:a="http://schemas.openxmlformats.org/drawingml/2006/main" rot="16200000">
          <a:off x="-578959" y="1413944"/>
          <a:ext cx="1343809" cy="18589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0.48179</cdr:x>
      <cdr:y>0.00425</cdr:y>
    </cdr:from>
    <cdr:to>
      <cdr:x>0.62165</cdr:x>
      <cdr:y>0.84873</cdr:y>
    </cdr:to>
    <cdr:grpSp>
      <cdr:nvGrpSpPr>
        <cdr:cNvPr id="5" name="Group 4"/>
        <cdr:cNvGrpSpPr/>
      </cdr:nvGrpSpPr>
      <cdr:grpSpPr>
        <a:xfrm xmlns:a="http://schemas.openxmlformats.org/drawingml/2006/main">
          <a:off x="2982324" y="15666"/>
          <a:ext cx="865776" cy="3111481"/>
          <a:chOff x="-133044" y="-124248"/>
          <a:chExt cx="839783" cy="3240159"/>
        </a:xfrm>
      </cdr:grpSpPr>
      <cdr:cxnSp macro="">
        <cdr:nvCxnSpPr>
          <cdr:cNvPr id="6" name="Straight Connector 5"/>
          <cdr:cNvCxnSpPr/>
        </cdr:nvCxnSpPr>
        <cdr:spPr>
          <a:xfrm xmlns:a="http://schemas.openxmlformats.org/drawingml/2006/main">
            <a:off x="241729" y="168895"/>
            <a:ext cx="0" cy="2947016"/>
          </a:xfrm>
          <a:prstGeom xmlns:a="http://schemas.openxmlformats.org/drawingml/2006/main" prst="line">
            <a:avLst/>
          </a:prstGeom>
          <a:ln xmlns:a="http://schemas.openxmlformats.org/drawingml/2006/main" w="25400"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7" name="TextBox 1"/>
          <cdr:cNvSpPr txBox="1"/>
        </cdr:nvSpPr>
        <cdr:spPr>
          <a:xfrm xmlns:a="http://schemas.openxmlformats.org/drawingml/2006/main">
            <a:off x="-133044" y="-124248"/>
            <a:ext cx="839783" cy="2217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tx2">
                    <a:lumMod val="75000"/>
                  </a:schemeClr>
                </a:solidFill>
              </a:rPr>
              <a:t>avg=0.83</a:t>
            </a:r>
          </a:p>
        </cdr:txBody>
      </cdr:sp>
    </cdr:grpSp>
  </cdr:relSizeAnchor>
</c:userShapes>
</file>

<file path=xl/drawings/drawing103.xml><?xml version="1.0" encoding="utf-8"?>
<xdr:wsDr xmlns:xdr="http://schemas.openxmlformats.org/drawingml/2006/spreadsheetDrawing" xmlns:a="http://schemas.openxmlformats.org/drawingml/2006/main">
  <xdr:twoCellAnchor>
    <xdr:from>
      <xdr:col>7</xdr:col>
      <xdr:colOff>428625</xdr:colOff>
      <xdr:row>0</xdr:row>
      <xdr:rowOff>38100</xdr:rowOff>
    </xdr:from>
    <xdr:to>
      <xdr:col>15</xdr:col>
      <xdr:colOff>123825</xdr:colOff>
      <xdr:row>14</xdr:row>
      <xdr:rowOff>114300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0</xdr:row>
      <xdr:rowOff>47625</xdr:rowOff>
    </xdr:from>
    <xdr:to>
      <xdr:col>7</xdr:col>
      <xdr:colOff>371475</xdr:colOff>
      <xdr:row>14</xdr:row>
      <xdr:rowOff>123825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0</xdr:row>
      <xdr:rowOff>38100</xdr:rowOff>
    </xdr:from>
    <xdr:to>
      <xdr:col>22</xdr:col>
      <xdr:colOff>504825</xdr:colOff>
      <xdr:row>14</xdr:row>
      <xdr:rowOff>114300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439092</xdr:colOff>
      <xdr:row>15</xdr:row>
      <xdr:rowOff>69501</xdr:rowOff>
    </xdr:from>
    <xdr:to>
      <xdr:col>15</xdr:col>
      <xdr:colOff>134292</xdr:colOff>
      <xdr:row>29</xdr:row>
      <xdr:rowOff>145701</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77142</xdr:colOff>
      <xdr:row>15</xdr:row>
      <xdr:rowOff>79026</xdr:rowOff>
    </xdr:from>
    <xdr:to>
      <xdr:col>7</xdr:col>
      <xdr:colOff>381942</xdr:colOff>
      <xdr:row>29</xdr:row>
      <xdr:rowOff>155226</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210492</xdr:colOff>
      <xdr:row>15</xdr:row>
      <xdr:rowOff>69501</xdr:rowOff>
    </xdr:from>
    <xdr:to>
      <xdr:col>22</xdr:col>
      <xdr:colOff>515292</xdr:colOff>
      <xdr:row>29</xdr:row>
      <xdr:rowOff>145701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94203</xdr:colOff>
      <xdr:row>30</xdr:row>
      <xdr:rowOff>52335</xdr:rowOff>
    </xdr:from>
    <xdr:to>
      <xdr:col>7</xdr:col>
      <xdr:colOff>399003</xdr:colOff>
      <xdr:row>44</xdr:row>
      <xdr:rowOff>128535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450083</xdr:colOff>
      <xdr:row>30</xdr:row>
      <xdr:rowOff>62802</xdr:rowOff>
    </xdr:from>
    <xdr:to>
      <xdr:col>15</xdr:col>
      <xdr:colOff>147794</xdr:colOff>
      <xdr:row>44</xdr:row>
      <xdr:rowOff>139002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230274</xdr:colOff>
      <xdr:row>30</xdr:row>
      <xdr:rowOff>83736</xdr:rowOff>
    </xdr:from>
    <xdr:to>
      <xdr:col>22</xdr:col>
      <xdr:colOff>535074</xdr:colOff>
      <xdr:row>44</xdr:row>
      <xdr:rowOff>159936</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115137</xdr:colOff>
      <xdr:row>45</xdr:row>
      <xdr:rowOff>52335</xdr:rowOff>
    </xdr:from>
    <xdr:to>
      <xdr:col>7</xdr:col>
      <xdr:colOff>419937</xdr:colOff>
      <xdr:row>59</xdr:row>
      <xdr:rowOff>128535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471016</xdr:colOff>
      <xdr:row>45</xdr:row>
      <xdr:rowOff>52335</xdr:rowOff>
    </xdr:from>
    <xdr:to>
      <xdr:col>15</xdr:col>
      <xdr:colOff>168727</xdr:colOff>
      <xdr:row>59</xdr:row>
      <xdr:rowOff>128535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272142</xdr:colOff>
      <xdr:row>45</xdr:row>
      <xdr:rowOff>62802</xdr:rowOff>
    </xdr:from>
    <xdr:to>
      <xdr:col>22</xdr:col>
      <xdr:colOff>576942</xdr:colOff>
      <xdr:row>59</xdr:row>
      <xdr:rowOff>139002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125605</xdr:colOff>
      <xdr:row>60</xdr:row>
      <xdr:rowOff>73269</xdr:rowOff>
    </xdr:from>
    <xdr:to>
      <xdr:col>7</xdr:col>
      <xdr:colOff>430405</xdr:colOff>
      <xdr:row>74</xdr:row>
      <xdr:rowOff>149469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282610</xdr:colOff>
      <xdr:row>60</xdr:row>
      <xdr:rowOff>94203</xdr:rowOff>
    </xdr:from>
    <xdr:to>
      <xdr:col>22</xdr:col>
      <xdr:colOff>587410</xdr:colOff>
      <xdr:row>74</xdr:row>
      <xdr:rowOff>170403</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481484</xdr:colOff>
      <xdr:row>60</xdr:row>
      <xdr:rowOff>73269</xdr:rowOff>
    </xdr:from>
    <xdr:to>
      <xdr:col>15</xdr:col>
      <xdr:colOff>179195</xdr:colOff>
      <xdr:row>74</xdr:row>
      <xdr:rowOff>149469</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146539</xdr:colOff>
      <xdr:row>75</xdr:row>
      <xdr:rowOff>73269</xdr:rowOff>
    </xdr:from>
    <xdr:to>
      <xdr:col>7</xdr:col>
      <xdr:colOff>451339</xdr:colOff>
      <xdr:row>89</xdr:row>
      <xdr:rowOff>149469</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502418</xdr:colOff>
      <xdr:row>75</xdr:row>
      <xdr:rowOff>94203</xdr:rowOff>
    </xdr:from>
    <xdr:to>
      <xdr:col>15</xdr:col>
      <xdr:colOff>200129</xdr:colOff>
      <xdr:row>89</xdr:row>
      <xdr:rowOff>170403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282610</xdr:colOff>
      <xdr:row>75</xdr:row>
      <xdr:rowOff>104670</xdr:rowOff>
    </xdr:from>
    <xdr:to>
      <xdr:col>22</xdr:col>
      <xdr:colOff>587410</xdr:colOff>
      <xdr:row>89</xdr:row>
      <xdr:rowOff>180870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146538</xdr:colOff>
      <xdr:row>90</xdr:row>
      <xdr:rowOff>73270</xdr:rowOff>
    </xdr:from>
    <xdr:to>
      <xdr:col>7</xdr:col>
      <xdr:colOff>451338</xdr:colOff>
      <xdr:row>104</xdr:row>
      <xdr:rowOff>149469</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502418</xdr:colOff>
      <xdr:row>90</xdr:row>
      <xdr:rowOff>83737</xdr:rowOff>
    </xdr:from>
    <xdr:to>
      <xdr:col>15</xdr:col>
      <xdr:colOff>200129</xdr:colOff>
      <xdr:row>104</xdr:row>
      <xdr:rowOff>159936</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303544</xdr:colOff>
      <xdr:row>90</xdr:row>
      <xdr:rowOff>94204</xdr:rowOff>
    </xdr:from>
    <xdr:to>
      <xdr:col>23</xdr:col>
      <xdr:colOff>1256</xdr:colOff>
      <xdr:row>104</xdr:row>
      <xdr:rowOff>170403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157005</xdr:colOff>
      <xdr:row>105</xdr:row>
      <xdr:rowOff>83737</xdr:rowOff>
    </xdr:from>
    <xdr:to>
      <xdr:col>7</xdr:col>
      <xdr:colOff>461805</xdr:colOff>
      <xdr:row>119</xdr:row>
      <xdr:rowOff>159936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544286</xdr:colOff>
      <xdr:row>105</xdr:row>
      <xdr:rowOff>104671</xdr:rowOff>
    </xdr:from>
    <xdr:to>
      <xdr:col>15</xdr:col>
      <xdr:colOff>241997</xdr:colOff>
      <xdr:row>119</xdr:row>
      <xdr:rowOff>180870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345413</xdr:colOff>
      <xdr:row>105</xdr:row>
      <xdr:rowOff>115138</xdr:rowOff>
    </xdr:from>
    <xdr:to>
      <xdr:col>23</xdr:col>
      <xdr:colOff>43125</xdr:colOff>
      <xdr:row>120</xdr:row>
      <xdr:rowOff>2931</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157005</xdr:colOff>
      <xdr:row>120</xdr:row>
      <xdr:rowOff>73270</xdr:rowOff>
    </xdr:from>
    <xdr:to>
      <xdr:col>7</xdr:col>
      <xdr:colOff>461805</xdr:colOff>
      <xdr:row>134</xdr:row>
      <xdr:rowOff>149469</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533819</xdr:colOff>
      <xdr:row>120</xdr:row>
      <xdr:rowOff>73270</xdr:rowOff>
    </xdr:from>
    <xdr:to>
      <xdr:col>15</xdr:col>
      <xdr:colOff>231530</xdr:colOff>
      <xdr:row>134</xdr:row>
      <xdr:rowOff>149469</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15</xdr:col>
      <xdr:colOff>334945</xdr:colOff>
      <xdr:row>120</xdr:row>
      <xdr:rowOff>83737</xdr:rowOff>
    </xdr:from>
    <xdr:to>
      <xdr:col>23</xdr:col>
      <xdr:colOff>32657</xdr:colOff>
      <xdr:row>134</xdr:row>
      <xdr:rowOff>159936</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554753</xdr:colOff>
      <xdr:row>135</xdr:row>
      <xdr:rowOff>62802</xdr:rowOff>
    </xdr:from>
    <xdr:to>
      <xdr:col>15</xdr:col>
      <xdr:colOff>252464</xdr:colOff>
      <xdr:row>149</xdr:row>
      <xdr:rowOff>139002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334945</xdr:colOff>
      <xdr:row>135</xdr:row>
      <xdr:rowOff>52336</xdr:rowOff>
    </xdr:from>
    <xdr:to>
      <xdr:col>23</xdr:col>
      <xdr:colOff>32657</xdr:colOff>
      <xdr:row>149</xdr:row>
      <xdr:rowOff>128536</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157005</xdr:colOff>
      <xdr:row>135</xdr:row>
      <xdr:rowOff>73270</xdr:rowOff>
    </xdr:from>
    <xdr:to>
      <xdr:col>7</xdr:col>
      <xdr:colOff>461805</xdr:colOff>
      <xdr:row>149</xdr:row>
      <xdr:rowOff>149470</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565221</xdr:colOff>
      <xdr:row>150</xdr:row>
      <xdr:rowOff>41867</xdr:rowOff>
    </xdr:from>
    <xdr:to>
      <xdr:col>15</xdr:col>
      <xdr:colOff>262932</xdr:colOff>
      <xdr:row>164</xdr:row>
      <xdr:rowOff>118067</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15</xdr:col>
      <xdr:colOff>345413</xdr:colOff>
      <xdr:row>150</xdr:row>
      <xdr:rowOff>31401</xdr:rowOff>
    </xdr:from>
    <xdr:to>
      <xdr:col>23</xdr:col>
      <xdr:colOff>43125</xdr:colOff>
      <xdr:row>164</xdr:row>
      <xdr:rowOff>107601</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167473</xdr:colOff>
      <xdr:row>150</xdr:row>
      <xdr:rowOff>52335</xdr:rowOff>
    </xdr:from>
    <xdr:to>
      <xdr:col>7</xdr:col>
      <xdr:colOff>472273</xdr:colOff>
      <xdr:row>164</xdr:row>
      <xdr:rowOff>128535</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565221</xdr:colOff>
      <xdr:row>165</xdr:row>
      <xdr:rowOff>52334</xdr:rowOff>
    </xdr:from>
    <xdr:to>
      <xdr:col>15</xdr:col>
      <xdr:colOff>262932</xdr:colOff>
      <xdr:row>179</xdr:row>
      <xdr:rowOff>128534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15</xdr:col>
      <xdr:colOff>345413</xdr:colOff>
      <xdr:row>165</xdr:row>
      <xdr:rowOff>41868</xdr:rowOff>
    </xdr:from>
    <xdr:to>
      <xdr:col>23</xdr:col>
      <xdr:colOff>43125</xdr:colOff>
      <xdr:row>179</xdr:row>
      <xdr:rowOff>118068</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167473</xdr:colOff>
      <xdr:row>165</xdr:row>
      <xdr:rowOff>62802</xdr:rowOff>
    </xdr:from>
    <xdr:to>
      <xdr:col>7</xdr:col>
      <xdr:colOff>472273</xdr:colOff>
      <xdr:row>179</xdr:row>
      <xdr:rowOff>139002</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390525</xdr:colOff>
      <xdr:row>3</xdr:row>
      <xdr:rowOff>71437</xdr:rowOff>
    </xdr:from>
    <xdr:to>
      <xdr:col>5</xdr:col>
      <xdr:colOff>381000</xdr:colOff>
      <xdr:row>18</xdr:row>
      <xdr:rowOff>100012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323850</xdr:colOff>
      <xdr:row>3</xdr:row>
      <xdr:rowOff>66675</xdr:rowOff>
    </xdr:from>
    <xdr:to>
      <xdr:col>11</xdr:col>
      <xdr:colOff>314325</xdr:colOff>
      <xdr:row>18</xdr:row>
      <xdr:rowOff>95250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352425</xdr:colOff>
      <xdr:row>3</xdr:row>
      <xdr:rowOff>47625</xdr:rowOff>
    </xdr:from>
    <xdr:to>
      <xdr:col>17</xdr:col>
      <xdr:colOff>342900</xdr:colOff>
      <xdr:row>18</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390525</xdr:colOff>
      <xdr:row>22</xdr:row>
      <xdr:rowOff>157162</xdr:rowOff>
    </xdr:from>
    <xdr:to>
      <xdr:col>5</xdr:col>
      <xdr:colOff>381000</xdr:colOff>
      <xdr:row>38</xdr:row>
      <xdr:rowOff>4762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333375</xdr:colOff>
      <xdr:row>42</xdr:row>
      <xdr:rowOff>66675</xdr:rowOff>
    </xdr:from>
    <xdr:to>
      <xdr:col>5</xdr:col>
      <xdr:colOff>323850</xdr:colOff>
      <xdr:row>57</xdr:row>
      <xdr:rowOff>95250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333375</xdr:colOff>
      <xdr:row>62</xdr:row>
      <xdr:rowOff>95250</xdr:rowOff>
    </xdr:from>
    <xdr:to>
      <xdr:col>5</xdr:col>
      <xdr:colOff>323850</xdr:colOff>
      <xdr:row>77</xdr:row>
      <xdr:rowOff>123825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304800</xdr:colOff>
      <xdr:row>62</xdr:row>
      <xdr:rowOff>114300</xdr:rowOff>
    </xdr:from>
    <xdr:to>
      <xdr:col>11</xdr:col>
      <xdr:colOff>295275</xdr:colOff>
      <xdr:row>77</xdr:row>
      <xdr:rowOff>142875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352425</xdr:colOff>
      <xdr:row>82</xdr:row>
      <xdr:rowOff>76200</xdr:rowOff>
    </xdr:from>
    <xdr:to>
      <xdr:col>5</xdr:col>
      <xdr:colOff>342900</xdr:colOff>
      <xdr:row>97</xdr:row>
      <xdr:rowOff>104775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17</xdr:col>
      <xdr:colOff>600075</xdr:colOff>
      <xdr:row>161</xdr:row>
      <xdr:rowOff>28575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162</xdr:row>
      <xdr:rowOff>0</xdr:rowOff>
    </xdr:from>
    <xdr:to>
      <xdr:col>17</xdr:col>
      <xdr:colOff>600075</xdr:colOff>
      <xdr:row>177</xdr:row>
      <xdr:rowOff>28575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0.70288</cdr:x>
      <cdr:y>0.79977</cdr:y>
    </cdr:from>
    <cdr:to>
      <cdr:x>0.97493</cdr:x>
      <cdr:y>0.97338</cdr:y>
    </cdr:to>
    <cdr:sp macro="" textlink="">
      <cdr:nvSpPr>
        <cdr:cNvPr id="2" name="TextBox 1"/>
        <cdr:cNvSpPr txBox="1"/>
      </cdr:nvSpPr>
      <cdr:spPr>
        <a:xfrm xmlns:a="http://schemas.openxmlformats.org/drawingml/2006/main">
          <a:off x="2403475" y="2193925"/>
          <a:ext cx="930276" cy="47625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Texas</a:t>
          </a:r>
        </a:p>
        <a:p xmlns:a="http://schemas.openxmlformats.org/drawingml/2006/main">
          <a:r>
            <a:rPr lang="en-US" sz="1100"/>
            <a:t>Instruments</a:t>
          </a:r>
          <a:endParaRPr lang="fa-IR" sz="1100"/>
        </a:p>
      </cdr:txBody>
    </cdr:sp>
  </cdr:relSizeAnchor>
</c:userShapes>
</file>

<file path=xl/drawings/drawing106.xml><?xml version="1.0" encoding="utf-8"?>
<c:userShapes xmlns:c="http://schemas.openxmlformats.org/drawingml/2006/chart">
  <cdr:relSizeAnchor xmlns:cdr="http://schemas.openxmlformats.org/drawingml/2006/chartDrawing">
    <cdr:from>
      <cdr:x>0.70288</cdr:x>
      <cdr:y>0.7963</cdr:y>
    </cdr:from>
    <cdr:to>
      <cdr:x>0.97493</cdr:x>
      <cdr:y>0.96991</cdr:y>
    </cdr:to>
    <cdr:sp macro="" textlink="">
      <cdr:nvSpPr>
        <cdr:cNvPr id="2" name="TextBox 1"/>
        <cdr:cNvSpPr txBox="1"/>
      </cdr:nvSpPr>
      <cdr:spPr>
        <a:xfrm xmlns:a="http://schemas.openxmlformats.org/drawingml/2006/main">
          <a:off x="2403475" y="2184400"/>
          <a:ext cx="930276" cy="47625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Texas</a:t>
          </a:r>
        </a:p>
        <a:p xmlns:a="http://schemas.openxmlformats.org/drawingml/2006/main">
          <a:r>
            <a:rPr lang="en-US" sz="1100"/>
            <a:t>Instruments</a:t>
          </a:r>
          <a:endParaRPr lang="fa-IR" sz="1100"/>
        </a:p>
      </cdr:txBody>
    </cdr:sp>
  </cdr:relSizeAnchor>
</c:userShapes>
</file>

<file path=xl/drawings/drawing107.xml><?xml version="1.0" encoding="utf-8"?>
<c:userShapes xmlns:c="http://schemas.openxmlformats.org/drawingml/2006/chart">
  <cdr:relSizeAnchor xmlns:cdr="http://schemas.openxmlformats.org/drawingml/2006/chartDrawing">
    <cdr:from>
      <cdr:x>0.71402</cdr:x>
      <cdr:y>0.78241</cdr:y>
    </cdr:from>
    <cdr:to>
      <cdr:x>0.98607</cdr:x>
      <cdr:y>0.95602</cdr:y>
    </cdr:to>
    <cdr:sp macro="" textlink="">
      <cdr:nvSpPr>
        <cdr:cNvPr id="2" name="TextBox 1"/>
        <cdr:cNvSpPr txBox="1"/>
      </cdr:nvSpPr>
      <cdr:spPr>
        <a:xfrm xmlns:a="http://schemas.openxmlformats.org/drawingml/2006/main">
          <a:off x="2441575" y="2146300"/>
          <a:ext cx="930276" cy="47625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Texas</a:t>
          </a:r>
        </a:p>
        <a:p xmlns:a="http://schemas.openxmlformats.org/drawingml/2006/main">
          <a:r>
            <a:rPr lang="en-US" sz="1100"/>
            <a:t>Instruments</a:t>
          </a:r>
          <a:endParaRPr lang="fa-IR" sz="1100"/>
        </a:p>
      </cdr:txBody>
    </cdr:sp>
  </cdr:relSizeAnchor>
</c:userShapes>
</file>

<file path=xl/drawings/drawing108.xml><?xml version="1.0" encoding="utf-8"?>
<c:userShapes xmlns:c="http://schemas.openxmlformats.org/drawingml/2006/chart">
  <cdr:relSizeAnchor xmlns:cdr="http://schemas.openxmlformats.org/drawingml/2006/chartDrawing">
    <cdr:from>
      <cdr:x>0.70566</cdr:x>
      <cdr:y>0.79282</cdr:y>
    </cdr:from>
    <cdr:to>
      <cdr:x>0.97772</cdr:x>
      <cdr:y>0.96644</cdr:y>
    </cdr:to>
    <cdr:sp macro="" textlink="">
      <cdr:nvSpPr>
        <cdr:cNvPr id="2" name="TextBox 1"/>
        <cdr:cNvSpPr txBox="1"/>
      </cdr:nvSpPr>
      <cdr:spPr>
        <a:xfrm xmlns:a="http://schemas.openxmlformats.org/drawingml/2006/main">
          <a:off x="2412999" y="2174875"/>
          <a:ext cx="930276" cy="47625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Texas</a:t>
          </a:r>
        </a:p>
        <a:p xmlns:a="http://schemas.openxmlformats.org/drawingml/2006/main">
          <a:r>
            <a:rPr lang="en-US" sz="1100"/>
            <a:t>Instruments</a:t>
          </a:r>
          <a:endParaRPr lang="fa-IR" sz="1100"/>
        </a:p>
      </cdr:txBody>
    </cdr:sp>
  </cdr:relSizeAnchor>
</c:userShapes>
</file>

<file path=xl/drawings/drawing109.xml><?xml version="1.0" encoding="utf-8"?>
<c:userShapes xmlns:c="http://schemas.openxmlformats.org/drawingml/2006/chart">
  <cdr:relSizeAnchor xmlns:cdr="http://schemas.openxmlformats.org/drawingml/2006/chartDrawing">
    <cdr:from>
      <cdr:x>0.70288</cdr:x>
      <cdr:y>0.80671</cdr:y>
    </cdr:from>
    <cdr:to>
      <cdr:x>0.99814</cdr:x>
      <cdr:y>0.98032</cdr:y>
    </cdr:to>
    <cdr:sp macro="" textlink="">
      <cdr:nvSpPr>
        <cdr:cNvPr id="2" name="TextBox 1"/>
        <cdr:cNvSpPr txBox="1"/>
      </cdr:nvSpPr>
      <cdr:spPr>
        <a:xfrm xmlns:a="http://schemas.openxmlformats.org/drawingml/2006/main">
          <a:off x="2403475" y="2212975"/>
          <a:ext cx="1009649" cy="47625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FreeScale</a:t>
          </a:r>
        </a:p>
        <a:p xmlns:a="http://schemas.openxmlformats.org/drawingml/2006/main">
          <a:r>
            <a:rPr lang="en-US" sz="1100"/>
            <a:t>Technologies</a:t>
          </a:r>
          <a:endParaRPr lang="fa-IR" sz="1100"/>
        </a:p>
      </cdr:txBody>
    </cdr:sp>
  </cdr:relSizeAnchor>
</c:userShapes>
</file>

<file path=xl/drawings/drawing11.xml><?xml version="1.0" encoding="utf-8"?>
<c:userShapes xmlns:c="http://schemas.openxmlformats.org/drawingml/2006/chart">
  <cdr:relSizeAnchor xmlns:cdr="http://schemas.openxmlformats.org/drawingml/2006/chartDrawing">
    <cdr:from>
      <cdr:x>0.00276</cdr:x>
      <cdr:y>0</cdr:y>
    </cdr:from>
    <cdr:to>
      <cdr:x>0.16683</cdr:x>
      <cdr:y>0.04021</cdr:y>
    </cdr:to>
    <cdr:sp macro="" textlink="">
      <cdr:nvSpPr>
        <cdr:cNvPr id="2" name="TextBox 78"/>
        <cdr:cNvSpPr txBox="1"/>
      </cdr:nvSpPr>
      <cdr:spPr>
        <a:xfrm xmlns:a="http://schemas.openxmlformats.org/drawingml/2006/main">
          <a:off x="22412" y="0"/>
          <a:ext cx="1334327" cy="2750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110.xml><?xml version="1.0" encoding="utf-8"?>
<c:userShapes xmlns:c="http://schemas.openxmlformats.org/drawingml/2006/chart">
  <cdr:relSizeAnchor xmlns:cdr="http://schemas.openxmlformats.org/drawingml/2006/chartDrawing">
    <cdr:from>
      <cdr:x>0.74745</cdr:x>
      <cdr:y>0.78241</cdr:y>
    </cdr:from>
    <cdr:to>
      <cdr:x>0.95357</cdr:x>
      <cdr:y>0.95602</cdr:y>
    </cdr:to>
    <cdr:sp macro="" textlink="">
      <cdr:nvSpPr>
        <cdr:cNvPr id="4" name="TextBox 1"/>
        <cdr:cNvSpPr txBox="1"/>
      </cdr:nvSpPr>
      <cdr:spPr>
        <a:xfrm xmlns:a="http://schemas.openxmlformats.org/drawingml/2006/main">
          <a:off x="2555875" y="2146300"/>
          <a:ext cx="704850" cy="47625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Silicon</a:t>
          </a:r>
        </a:p>
        <a:p xmlns:a="http://schemas.openxmlformats.org/drawingml/2006/main">
          <a:r>
            <a:rPr lang="en-US" sz="1100"/>
            <a:t>Labs</a:t>
          </a:r>
          <a:endParaRPr lang="fa-IR" sz="1100"/>
        </a:p>
      </cdr:txBody>
    </cdr:sp>
  </cdr:relSizeAnchor>
</c:userShapes>
</file>

<file path=xl/drawings/drawing111.xml><?xml version="1.0" encoding="utf-8"?>
<c:userShapes xmlns:c="http://schemas.openxmlformats.org/drawingml/2006/chart">
  <cdr:relSizeAnchor xmlns:cdr="http://schemas.openxmlformats.org/drawingml/2006/chartDrawing">
    <cdr:from>
      <cdr:x>0.74745</cdr:x>
      <cdr:y>0.78935</cdr:y>
    </cdr:from>
    <cdr:to>
      <cdr:x>0.95357</cdr:x>
      <cdr:y>0.96296</cdr:y>
    </cdr:to>
    <cdr:sp macro="" textlink="">
      <cdr:nvSpPr>
        <cdr:cNvPr id="3" name="TextBox 1"/>
        <cdr:cNvSpPr txBox="1"/>
      </cdr:nvSpPr>
      <cdr:spPr>
        <a:xfrm xmlns:a="http://schemas.openxmlformats.org/drawingml/2006/main">
          <a:off x="2555875" y="2165350"/>
          <a:ext cx="704850" cy="47625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Silicon</a:t>
          </a:r>
        </a:p>
        <a:p xmlns:a="http://schemas.openxmlformats.org/drawingml/2006/main">
          <a:r>
            <a:rPr lang="en-US" sz="1100"/>
            <a:t>Labs</a:t>
          </a:r>
          <a:endParaRPr lang="fa-IR" sz="1100"/>
        </a:p>
      </cdr:txBody>
    </cdr:sp>
  </cdr:relSizeAnchor>
</c:userShapes>
</file>

<file path=xl/drawings/drawing112.xml><?xml version="1.0" encoding="utf-8"?>
<c:userShapes xmlns:c="http://schemas.openxmlformats.org/drawingml/2006/chart">
  <cdr:relSizeAnchor xmlns:cdr="http://schemas.openxmlformats.org/drawingml/2006/chartDrawing">
    <cdr:from>
      <cdr:x>0.0195</cdr:x>
      <cdr:y>0.14583</cdr:y>
    </cdr:from>
    <cdr:to>
      <cdr:x>0.22563</cdr:x>
      <cdr:y>0.31944</cdr:y>
    </cdr:to>
    <cdr:sp macro="" textlink="">
      <cdr:nvSpPr>
        <cdr:cNvPr id="2" name="TextBox 1"/>
        <cdr:cNvSpPr txBox="1"/>
      </cdr:nvSpPr>
      <cdr:spPr>
        <a:xfrm xmlns:a="http://schemas.openxmlformats.org/drawingml/2006/main">
          <a:off x="66675" y="400050"/>
          <a:ext cx="704850" cy="47625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en-US" sz="1100"/>
            <a:t>Silicon</a:t>
          </a:r>
        </a:p>
        <a:p xmlns:a="http://schemas.openxmlformats.org/drawingml/2006/main">
          <a:r>
            <a:rPr lang="en-US" sz="1100"/>
            <a:t>Labs</a:t>
          </a:r>
          <a:endParaRPr lang="fa-IR" sz="1100"/>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447675</xdr:colOff>
      <xdr:row>1</xdr:row>
      <xdr:rowOff>90486</xdr:rowOff>
    </xdr:from>
    <xdr:to>
      <xdr:col>8</xdr:col>
      <xdr:colOff>209550</xdr:colOff>
      <xdr:row>21</xdr:row>
      <xdr:rowOff>133349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676275</xdr:colOff>
      <xdr:row>1</xdr:row>
      <xdr:rowOff>85725</xdr:rowOff>
    </xdr:from>
    <xdr:to>
      <xdr:col>16</xdr:col>
      <xdr:colOff>438150</xdr:colOff>
      <xdr:row>21</xdr:row>
      <xdr:rowOff>128588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0.31216</cdr:x>
      <cdr:y>0.71652</cdr:y>
    </cdr:from>
    <cdr:to>
      <cdr:x>0.92377</cdr:x>
      <cdr:y>0.94278</cdr:y>
    </cdr:to>
    <cdr:sp macro="" textlink="">
      <cdr:nvSpPr>
        <cdr:cNvPr id="2" name="TextBox 1"/>
        <cdr:cNvSpPr txBox="1"/>
      </cdr:nvSpPr>
      <cdr:spPr>
        <a:xfrm xmlns:a="http://schemas.openxmlformats.org/drawingml/2006/main">
          <a:off x="1638300" y="2624139"/>
          <a:ext cx="3209925" cy="82867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en-US" sz="1100"/>
            <a:t>For wearable</a:t>
          </a:r>
          <a:r>
            <a:rPr lang="en-US" sz="1100" baseline="0"/>
            <a:t> and SensHub there was not sufficient information.</a:t>
          </a:r>
          <a:endParaRPr lang="fa-IR" sz="1100"/>
        </a:p>
      </cdr:txBody>
    </cdr:sp>
  </cdr:relSizeAnchor>
</c:userShapes>
</file>

<file path=xl/drawings/drawing115.xml><?xml version="1.0" encoding="utf-8"?>
<c:userShapes xmlns:c="http://schemas.openxmlformats.org/drawingml/2006/chart">
  <cdr:relSizeAnchor xmlns:cdr="http://schemas.openxmlformats.org/drawingml/2006/chartDrawing">
    <cdr:from>
      <cdr:x>0.31216</cdr:x>
      <cdr:y>0.71652</cdr:y>
    </cdr:from>
    <cdr:to>
      <cdr:x>0.92377</cdr:x>
      <cdr:y>0.94278</cdr:y>
    </cdr:to>
    <cdr:sp macro="" textlink="">
      <cdr:nvSpPr>
        <cdr:cNvPr id="2" name="TextBox 1"/>
        <cdr:cNvSpPr txBox="1"/>
      </cdr:nvSpPr>
      <cdr:spPr>
        <a:xfrm xmlns:a="http://schemas.openxmlformats.org/drawingml/2006/main">
          <a:off x="1638300" y="2624139"/>
          <a:ext cx="3209925" cy="82867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en-US" sz="1100"/>
            <a:t>For wearable</a:t>
          </a:r>
          <a:r>
            <a:rPr lang="en-US" sz="1100" baseline="0"/>
            <a:t> and SensHub there was not sufficient information.</a:t>
          </a:r>
          <a:endParaRPr lang="fa-IR" sz="1100"/>
        </a:p>
      </cdr:txBody>
    </cdr:sp>
  </cdr:relSizeAnchor>
</c:userShapes>
</file>

<file path=xl/drawings/drawing12.xml><?xml version="1.0" encoding="utf-8"?>
<c:userShapes xmlns:c="http://schemas.openxmlformats.org/drawingml/2006/chart">
  <cdr:relSizeAnchor xmlns:cdr="http://schemas.openxmlformats.org/drawingml/2006/chartDrawing">
    <cdr:from>
      <cdr:x>0.00625</cdr:x>
      <cdr:y>0.00726</cdr:y>
    </cdr:from>
    <cdr:to>
      <cdr:x>0.17032</cdr:x>
      <cdr:y>0.04729</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13.xml><?xml version="1.0" encoding="utf-8"?>
<c:userShapes xmlns:c="http://schemas.openxmlformats.org/drawingml/2006/chart">
  <cdr:relSizeAnchor xmlns:cdr="http://schemas.openxmlformats.org/drawingml/2006/chartDrawing">
    <cdr:from>
      <cdr:x>0.00625</cdr:x>
      <cdr:y>0.00739</cdr:y>
    </cdr:from>
    <cdr:to>
      <cdr:x>0.17032</cdr:x>
      <cdr:y>0.04813</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14.xml><?xml version="1.0" encoding="utf-8"?>
<c:userShapes xmlns:c="http://schemas.openxmlformats.org/drawingml/2006/chart">
  <cdr:relSizeAnchor xmlns:cdr="http://schemas.openxmlformats.org/drawingml/2006/chartDrawing">
    <cdr:from>
      <cdr:x>0.00625</cdr:x>
      <cdr:y>0.0072</cdr:y>
    </cdr:from>
    <cdr:to>
      <cdr:x>0.17032</cdr:x>
      <cdr:y>0.04688</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15.xml><?xml version="1.0" encoding="utf-8"?>
<c:userShapes xmlns:c="http://schemas.openxmlformats.org/drawingml/2006/chart">
  <cdr:relSizeAnchor xmlns:cdr="http://schemas.openxmlformats.org/drawingml/2006/chartDrawing">
    <cdr:from>
      <cdr:x>0.00625</cdr:x>
      <cdr:y>0.00737</cdr:y>
    </cdr:from>
    <cdr:to>
      <cdr:x>0.17032</cdr:x>
      <cdr:y>0.04799</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16.xml><?xml version="1.0" encoding="utf-8"?>
<c:userShapes xmlns:c="http://schemas.openxmlformats.org/drawingml/2006/chart">
  <cdr:relSizeAnchor xmlns:cdr="http://schemas.openxmlformats.org/drawingml/2006/chartDrawing">
    <cdr:from>
      <cdr:x>0.00625</cdr:x>
      <cdr:y>0.00734</cdr:y>
    </cdr:from>
    <cdr:to>
      <cdr:x>0.17032</cdr:x>
      <cdr:y>0.04785</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17.xml><?xml version="1.0" encoding="utf-8"?>
<c:userShapes xmlns:c="http://schemas.openxmlformats.org/drawingml/2006/chart">
  <cdr:relSizeAnchor xmlns:cdr="http://schemas.openxmlformats.org/drawingml/2006/chartDrawing">
    <cdr:from>
      <cdr:x>0.00625</cdr:x>
      <cdr:y>0.00732</cdr:y>
    </cdr:from>
    <cdr:to>
      <cdr:x>0.17032</cdr:x>
      <cdr:y>0.04771</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18.xml><?xml version="1.0" encoding="utf-8"?>
<c:userShapes xmlns:c="http://schemas.openxmlformats.org/drawingml/2006/chart">
  <cdr:relSizeAnchor xmlns:cdr="http://schemas.openxmlformats.org/drawingml/2006/chartDrawing">
    <cdr:from>
      <cdr:x>0.00625</cdr:x>
      <cdr:y>0.00737</cdr:y>
    </cdr:from>
    <cdr:to>
      <cdr:x>0.17032</cdr:x>
      <cdr:y>0.04799</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19.xml><?xml version="1.0" encoding="utf-8"?>
<c:userShapes xmlns:c="http://schemas.openxmlformats.org/drawingml/2006/chart">
  <cdr:relSizeAnchor xmlns:cdr="http://schemas.openxmlformats.org/drawingml/2006/chartDrawing">
    <cdr:from>
      <cdr:x>0.00625</cdr:x>
      <cdr:y>0.00737</cdr:y>
    </cdr:from>
    <cdr:to>
      <cdr:x>0.17032</cdr:x>
      <cdr:y>0.04799</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2.xml><?xml version="1.0" encoding="utf-8"?>
<c:userShapes xmlns:c="http://schemas.openxmlformats.org/drawingml/2006/chart">
  <cdr:relSizeAnchor xmlns:cdr="http://schemas.openxmlformats.org/drawingml/2006/chartDrawing">
    <cdr:from>
      <cdr:x>0.06991</cdr:x>
      <cdr:y>0</cdr:y>
    </cdr:from>
    <cdr:to>
      <cdr:x>0.60547</cdr:x>
      <cdr:y>0.06256</cdr:y>
    </cdr:to>
    <cdr:sp macro="" textlink="">
      <cdr:nvSpPr>
        <cdr:cNvPr id="2" name="TextBox 78"/>
        <cdr:cNvSpPr txBox="1"/>
      </cdr:nvSpPr>
      <cdr:spPr>
        <a:xfrm xmlns:a="http://schemas.openxmlformats.org/drawingml/2006/main">
          <a:off x="174065" y="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20.xml><?xml version="1.0" encoding="utf-8"?>
<c:userShapes xmlns:c="http://schemas.openxmlformats.org/drawingml/2006/chart">
  <cdr:relSizeAnchor xmlns:cdr="http://schemas.openxmlformats.org/drawingml/2006/chartDrawing">
    <cdr:from>
      <cdr:x>0.00625</cdr:x>
      <cdr:y>0.00737</cdr:y>
    </cdr:from>
    <cdr:to>
      <cdr:x>0.17032</cdr:x>
      <cdr:y>0.04799</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21.xml><?xml version="1.0" encoding="utf-8"?>
<c:userShapes xmlns:c="http://schemas.openxmlformats.org/drawingml/2006/chart">
  <cdr:relSizeAnchor xmlns:cdr="http://schemas.openxmlformats.org/drawingml/2006/chartDrawing">
    <cdr:from>
      <cdr:x>0.00625</cdr:x>
      <cdr:y>0.00741</cdr:y>
    </cdr:from>
    <cdr:to>
      <cdr:x>0.17032</cdr:x>
      <cdr:y>0.04828</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22.xml><?xml version="1.0" encoding="utf-8"?>
<c:userShapes xmlns:c="http://schemas.openxmlformats.org/drawingml/2006/chart">
  <cdr:relSizeAnchor xmlns:cdr="http://schemas.openxmlformats.org/drawingml/2006/chartDrawing">
    <cdr:from>
      <cdr:x>0.02012</cdr:x>
      <cdr:y>0.00133</cdr:y>
    </cdr:from>
    <cdr:to>
      <cdr:x>0.59461</cdr:x>
      <cdr:y>0.06389</cdr:y>
    </cdr:to>
    <cdr:sp macro="" textlink="">
      <cdr:nvSpPr>
        <cdr:cNvPr id="2" name="TextBox 78"/>
        <cdr:cNvSpPr txBox="1"/>
      </cdr:nvSpPr>
      <cdr:spPr>
        <a:xfrm xmlns:a="http://schemas.openxmlformats.org/drawingml/2006/main">
          <a:off x="50800" y="5976"/>
          <a:ext cx="1450788"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23.xml><?xml version="1.0" encoding="utf-8"?>
<c:userShapes xmlns:c="http://schemas.openxmlformats.org/drawingml/2006/chart">
  <cdr:relSizeAnchor xmlns:cdr="http://schemas.openxmlformats.org/drawingml/2006/chartDrawing">
    <cdr:from>
      <cdr:x>0.01348</cdr:x>
      <cdr:y>0</cdr:y>
    </cdr:from>
    <cdr:to>
      <cdr:x>0.54181</cdr:x>
      <cdr:y>0.05711</cdr:y>
    </cdr:to>
    <cdr:sp macro="" textlink="">
      <cdr:nvSpPr>
        <cdr:cNvPr id="2" name="TextBox 78"/>
        <cdr:cNvSpPr txBox="1"/>
      </cdr:nvSpPr>
      <cdr:spPr>
        <a:xfrm xmlns:a="http://schemas.openxmlformats.org/drawingml/2006/main">
          <a:off x="33596" y="0"/>
          <a:ext cx="1316749" cy="2742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endParaRPr lang="en-US" sz="1100" b="1"/>
        </a:p>
      </cdr:txBody>
    </cdr:sp>
  </cdr:relSizeAnchor>
</c:userShapes>
</file>

<file path=xl/drawings/drawing24.xml><?xml version="1.0" encoding="utf-8"?>
<c:userShapes xmlns:c="http://schemas.openxmlformats.org/drawingml/2006/chart">
  <cdr:relSizeAnchor xmlns:cdr="http://schemas.openxmlformats.org/drawingml/2006/chartDrawing">
    <cdr:from>
      <cdr:x>0.04671</cdr:x>
      <cdr:y>0</cdr:y>
    </cdr:from>
    <cdr:to>
      <cdr:x>0.57504</cdr:x>
      <cdr:y>0.05711</cdr:y>
    </cdr:to>
    <cdr:sp macro="" textlink="">
      <cdr:nvSpPr>
        <cdr:cNvPr id="2" name="TextBox 78"/>
        <cdr:cNvSpPr txBox="1"/>
      </cdr:nvSpPr>
      <cdr:spPr>
        <a:xfrm xmlns:a="http://schemas.openxmlformats.org/drawingml/2006/main">
          <a:off x="116423" y="0"/>
          <a:ext cx="1316749" cy="2742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endParaRPr lang="en-US" sz="1100" b="1"/>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0.22488</cdr:x>
      <cdr:y>0.05239</cdr:y>
    </cdr:to>
    <cdr:sp macro="" textlink="">
      <cdr:nvSpPr>
        <cdr:cNvPr id="2" name="TextBox 78"/>
        <cdr:cNvSpPr txBox="1"/>
      </cdr:nvSpPr>
      <cdr:spPr>
        <a:xfrm xmlns:a="http://schemas.openxmlformats.org/drawingml/2006/main">
          <a:off x="0" y="0"/>
          <a:ext cx="1363335" cy="2744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p>
      </cdr:txBody>
    </cdr:sp>
  </cdr:relSizeAnchor>
</c:userShapes>
</file>

<file path=xl/drawings/drawing26.xml><?xml version="1.0" encoding="utf-8"?>
<c:userShapes xmlns:c="http://schemas.openxmlformats.org/drawingml/2006/chart">
  <cdr:relSizeAnchor xmlns:cdr="http://schemas.openxmlformats.org/drawingml/2006/chartDrawing">
    <cdr:from>
      <cdr:x>0.00617</cdr:x>
      <cdr:y>0.00928</cdr:y>
    </cdr:from>
    <cdr:to>
      <cdr:x>0.16811</cdr:x>
      <cdr:y>0.06043</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p>
      </cdr:txBody>
    </cdr:sp>
  </cdr:relSizeAnchor>
</c:userShapes>
</file>

<file path=xl/drawings/drawing27.xml><?xml version="1.0" encoding="utf-8"?>
<c:userShapes xmlns:c="http://schemas.openxmlformats.org/drawingml/2006/chart">
  <cdr:relSizeAnchor xmlns:cdr="http://schemas.openxmlformats.org/drawingml/2006/chartDrawing">
    <cdr:from>
      <cdr:x>0.00617</cdr:x>
      <cdr:y>0.00928</cdr:y>
    </cdr:from>
    <cdr:to>
      <cdr:x>0.16811</cdr:x>
      <cdr:y>0.06043</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p>
      </cdr:txBody>
    </cdr:sp>
  </cdr:relSizeAnchor>
</c:userShapes>
</file>

<file path=xl/drawings/drawing28.xml><?xml version="1.0" encoding="utf-8"?>
<c:userShapes xmlns:c="http://schemas.openxmlformats.org/drawingml/2006/chart">
  <cdr:relSizeAnchor xmlns:cdr="http://schemas.openxmlformats.org/drawingml/2006/chartDrawing">
    <cdr:from>
      <cdr:x>0.00968</cdr:x>
      <cdr:y>0.01044</cdr:y>
    </cdr:from>
    <cdr:to>
      <cdr:x>0.26388</cdr:x>
      <cdr:y>0.06802</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29.xml><?xml version="1.0" encoding="utf-8"?>
<c:userShapes xmlns:c="http://schemas.openxmlformats.org/drawingml/2006/chart">
  <cdr:relSizeAnchor xmlns:cdr="http://schemas.openxmlformats.org/drawingml/2006/chartDrawing">
    <cdr:from>
      <cdr:x>0.00617</cdr:x>
      <cdr:y>0.00928</cdr:y>
    </cdr:from>
    <cdr:to>
      <cdr:x>0.16811</cdr:x>
      <cdr:y>0.06043</cdr:y>
    </cdr:to>
    <cdr:sp macro="" textlink="">
      <cdr:nvSpPr>
        <cdr:cNvPr id="3"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endParaRPr lang="en-US" sz="1100" b="1"/>
        </a:p>
      </cdr:txBody>
    </cdr:sp>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0.28739</cdr:x>
      <cdr:y>0.04364</cdr:y>
    </cdr:to>
    <cdr:sp macro="" textlink="">
      <cdr:nvSpPr>
        <cdr:cNvPr id="2" name="TextBox 78"/>
        <cdr:cNvSpPr txBox="1"/>
      </cdr:nvSpPr>
      <cdr:spPr>
        <a:xfrm xmlns:a="http://schemas.openxmlformats.org/drawingml/2006/main">
          <a:off x="0" y="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endParaRPr lang="en-US" sz="1100" b="1"/>
        </a:p>
      </cdr:txBody>
    </cdr:sp>
  </cdr:relSizeAnchor>
</c:userShapes>
</file>

<file path=xl/drawings/drawing30.xml><?xml version="1.0" encoding="utf-8"?>
<c:userShapes xmlns:c="http://schemas.openxmlformats.org/drawingml/2006/chart">
  <cdr:relSizeAnchor xmlns:cdr="http://schemas.openxmlformats.org/drawingml/2006/chartDrawing">
    <cdr:from>
      <cdr:x>0.02013</cdr:x>
      <cdr:y>0.01055</cdr:y>
    </cdr:from>
    <cdr:to>
      <cdr:x>0.54846</cdr:x>
      <cdr:y>0.06872</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31.xml><?xml version="1.0" encoding="utf-8"?>
<c:userShapes xmlns:c="http://schemas.openxmlformats.org/drawingml/2006/chart">
  <cdr:relSizeAnchor xmlns:cdr="http://schemas.openxmlformats.org/drawingml/2006/chartDrawing">
    <cdr:from>
      <cdr:x>0.00683</cdr:x>
      <cdr:y>0</cdr:y>
    </cdr:from>
    <cdr:to>
      <cdr:x>0.53516</cdr:x>
      <cdr:y>0.05615</cdr:y>
    </cdr:to>
    <cdr:sp macro="" textlink="">
      <cdr:nvSpPr>
        <cdr:cNvPr id="2" name="TextBox 78"/>
        <cdr:cNvSpPr txBox="1"/>
      </cdr:nvSpPr>
      <cdr:spPr>
        <a:xfrm xmlns:a="http://schemas.openxmlformats.org/drawingml/2006/main">
          <a:off x="17032" y="0"/>
          <a:ext cx="1316749" cy="2741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p>
      </cdr:txBody>
    </cdr:sp>
  </cdr:relSizeAnchor>
</c:userShapes>
</file>

<file path=xl/drawings/drawing32.xml><?xml version="1.0" encoding="utf-8"?>
<c:userShapes xmlns:c="http://schemas.openxmlformats.org/drawingml/2006/chart">
  <cdr:relSizeAnchor xmlns:cdr="http://schemas.openxmlformats.org/drawingml/2006/chartDrawing">
    <cdr:from>
      <cdr:x>0.01658</cdr:x>
      <cdr:y>0.01043</cdr:y>
    </cdr:from>
    <cdr:to>
      <cdr:x>0.45184</cdr:x>
      <cdr:y>0.06797</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33.xml><?xml version="1.0" encoding="utf-8"?>
<c:userShapes xmlns:c="http://schemas.openxmlformats.org/drawingml/2006/chart">
  <cdr:relSizeAnchor xmlns:cdr="http://schemas.openxmlformats.org/drawingml/2006/chartDrawing">
    <cdr:from>
      <cdr:x>0.00537</cdr:x>
      <cdr:y>0.00646</cdr:y>
    </cdr:from>
    <cdr:to>
      <cdr:x>0.25205</cdr:x>
      <cdr:y>0.04209</cdr:y>
    </cdr:to>
    <cdr:sp macro="" textlink="">
      <cdr:nvSpPr>
        <cdr:cNvPr id="4" name="TextBox 78"/>
        <cdr:cNvSpPr txBox="1"/>
      </cdr:nvSpPr>
      <cdr:spPr>
        <a:xfrm xmlns:a="http://schemas.openxmlformats.org/drawingml/2006/main">
          <a:off x="50853" y="49767"/>
          <a:ext cx="2336000" cy="2744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Number of </a:t>
          </a:r>
          <a:r>
            <a:rPr lang="en-US" sz="1100" b="1">
              <a:latin typeface="Times New Roman" panose="02020603050405020304" pitchFamily="18" charset="0"/>
              <a:cs typeface="Times New Roman" panose="02020603050405020304" pitchFamily="18" charset="0"/>
            </a:rPr>
            <a:t>Devices</a:t>
          </a:r>
          <a:r>
            <a:rPr lang="en-US" sz="1100" b="1"/>
            <a:t> Use the Interface</a:t>
          </a:r>
        </a:p>
      </cdr:txBody>
    </cdr:sp>
  </cdr:relSizeAnchor>
</c:userShapes>
</file>

<file path=xl/drawings/drawing34.xml><?xml version="1.0" encoding="utf-8"?>
<c:userShapes xmlns:c="http://schemas.openxmlformats.org/drawingml/2006/chart">
  <cdr:relSizeAnchor xmlns:cdr="http://schemas.openxmlformats.org/drawingml/2006/chartDrawing">
    <cdr:from>
      <cdr:x>0.01462</cdr:x>
      <cdr:y>0.00935</cdr:y>
    </cdr:from>
    <cdr:to>
      <cdr:x>0.3985</cdr:x>
      <cdr:y>0.06092</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endParaRPr lang="en-US" sz="1100" b="1"/>
        </a:p>
      </cdr:txBody>
    </cdr:sp>
  </cdr:relSizeAnchor>
</c:userShapes>
</file>

<file path=xl/drawings/drawing35.xml><?xml version="1.0" encoding="utf-8"?>
<c:userShapes xmlns:c="http://schemas.openxmlformats.org/drawingml/2006/chart">
  <cdr:relSizeAnchor xmlns:cdr="http://schemas.openxmlformats.org/drawingml/2006/chartDrawing">
    <cdr:from>
      <cdr:x>0.02013</cdr:x>
      <cdr:y>0.01043</cdr:y>
    </cdr:from>
    <cdr:to>
      <cdr:x>0.54846</cdr:x>
      <cdr:y>0.06797</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36.xml><?xml version="1.0" encoding="utf-8"?>
<c:userShapes xmlns:c="http://schemas.openxmlformats.org/drawingml/2006/chart">
  <cdr:relSizeAnchor xmlns:cdr="http://schemas.openxmlformats.org/drawingml/2006/chartDrawing">
    <cdr:from>
      <cdr:x>0.00622</cdr:x>
      <cdr:y>0.00951</cdr:y>
    </cdr:from>
    <cdr:to>
      <cdr:x>0.55804</cdr:x>
      <cdr:y>0.04158</cdr:y>
    </cdr:to>
    <cdr:sp macro="" textlink="">
      <cdr:nvSpPr>
        <cdr:cNvPr id="2" name="TextBox 78"/>
        <cdr:cNvSpPr txBox="1"/>
      </cdr:nvSpPr>
      <cdr:spPr>
        <a:xfrm xmlns:a="http://schemas.openxmlformats.org/drawingml/2006/main">
          <a:off x="15613" y="48703"/>
          <a:ext cx="1385123" cy="1642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endParaRPr lang="en-US" sz="1100" b="1"/>
        </a:p>
      </cdr:txBody>
    </cdr:sp>
  </cdr:relSizeAnchor>
</c:userShapes>
</file>

<file path=xl/drawings/drawing37.xml><?xml version="1.0" encoding="utf-8"?>
<c:userShapes xmlns:c="http://schemas.openxmlformats.org/drawingml/2006/chart">
  <cdr:relSizeAnchor xmlns:cdr="http://schemas.openxmlformats.org/drawingml/2006/chartDrawing">
    <cdr:from>
      <cdr:x>0.02013</cdr:x>
      <cdr:y>0.01043</cdr:y>
    </cdr:from>
    <cdr:to>
      <cdr:x>0.54846</cdr:x>
      <cdr:y>0.06797</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39.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0.2486</cdr:x>
      <cdr:y>0.0416</cdr:y>
    </cdr:to>
    <cdr:sp macro="" textlink="">
      <cdr:nvSpPr>
        <cdr:cNvPr id="2" name="TextBox 78"/>
        <cdr:cNvSpPr txBox="1"/>
      </cdr:nvSpPr>
      <cdr:spPr>
        <a:xfrm xmlns:a="http://schemas.openxmlformats.org/drawingml/2006/main">
          <a:off x="0" y="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endParaRPr lang="en-US" sz="1100" b="1"/>
        </a:p>
      </cdr:txBody>
    </cdr:sp>
  </cdr:relSizeAnchor>
</c:userShapes>
</file>

<file path=xl/drawings/drawing40.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en-US" sz="1400" b="1">
            <a:latin typeface="+mn-lt"/>
          </a:endParaRPr>
        </a:p>
      </cdr:txBody>
    </cdr:sp>
  </cdr:relSizeAnchor>
  <cdr:relSizeAnchor xmlns:cdr="http://schemas.openxmlformats.org/drawingml/2006/chartDrawing">
    <cdr:from>
      <cdr:x>0.00545</cdr:x>
      <cdr:y>0</cdr:y>
    </cdr:from>
    <cdr:to>
      <cdr:x>0.05137</cdr:x>
      <cdr:y>0.65951</cdr:y>
    </cdr:to>
    <cdr:sp macro="" textlink="">
      <cdr:nvSpPr>
        <cdr:cNvPr id="3" name="TextBox 78"/>
        <cdr:cNvSpPr txBox="1"/>
      </cdr:nvSpPr>
      <cdr:spPr>
        <a:xfrm xmlns:a="http://schemas.openxmlformats.org/drawingml/2006/main" rot="16200000">
          <a:off x="-1206089" y="1255307"/>
          <a:ext cx="2925536" cy="4149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 devices able to embed each sensor</a:t>
          </a:r>
          <a:endParaRPr lang="en-US" sz="1400" b="1">
            <a:latin typeface="+mn-l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cdr:x>
      <cdr:y>0.30521</cdr:y>
    </cdr:from>
    <cdr:to>
      <cdr:x>0.03003</cdr:x>
      <cdr:y>0.66993</cdr:y>
    </cdr:to>
    <cdr:sp macro="" textlink="">
      <cdr:nvSpPr>
        <cdr:cNvPr id="3"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46.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48.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0.00152</cdr:y>
    </cdr:from>
    <cdr:to>
      <cdr:x>0.26082</cdr:x>
      <cdr:y>0.0431</cdr:y>
    </cdr:to>
    <cdr:sp macro="" textlink="">
      <cdr:nvSpPr>
        <cdr:cNvPr id="3" name="TextBox 78"/>
        <cdr:cNvSpPr txBox="1"/>
      </cdr:nvSpPr>
      <cdr:spPr>
        <a:xfrm xmlns:a="http://schemas.openxmlformats.org/drawingml/2006/main">
          <a:off x="0" y="10242"/>
          <a:ext cx="1314294"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endParaRPr lang="en-US" sz="1100" b="1"/>
        </a:p>
      </cdr:txBody>
    </cdr:sp>
  </cdr:relSizeAnchor>
</c:userShapes>
</file>

<file path=xl/drawings/drawing50.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54.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55.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56.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58.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59.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0.0029</cdr:y>
    </cdr:from>
    <cdr:to>
      <cdr:x>0.16407</cdr:x>
      <cdr:y>0.04341</cdr:y>
    </cdr:to>
    <cdr:sp macro="" textlink="">
      <cdr:nvSpPr>
        <cdr:cNvPr id="2" name="TextBox 78"/>
        <cdr:cNvSpPr txBox="1"/>
      </cdr:nvSpPr>
      <cdr:spPr>
        <a:xfrm xmlns:a="http://schemas.openxmlformats.org/drawingml/2006/main">
          <a:off x="0" y="20074"/>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latin typeface="Times New Roman" panose="02020603050405020304" pitchFamily="18" charset="0"/>
              <a:cs typeface="Times New Roman" panose="02020603050405020304" pitchFamily="18" charset="0"/>
            </a:rPr>
            <a:t>Occurrence (%)</a:t>
          </a:r>
          <a:endParaRPr lang="en-US" sz="1100" b="1"/>
        </a:p>
      </cdr:txBody>
    </cdr:sp>
  </cdr:relSizeAnchor>
</c:userShapes>
</file>

<file path=xl/drawings/drawing60.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0.79032</cdr:x>
      <cdr:y>0.02879</cdr:y>
    </cdr:from>
    <cdr:to>
      <cdr:x>0.92407</cdr:x>
      <cdr:y>0.84088</cdr:y>
    </cdr:to>
    <cdr:grpSp>
      <cdr:nvGrpSpPr>
        <cdr:cNvPr id="4" name="Group 3"/>
        <cdr:cNvGrpSpPr/>
      </cdr:nvGrpSpPr>
      <cdr:grpSpPr>
        <a:xfrm xmlns:a="http://schemas.openxmlformats.org/drawingml/2006/main">
          <a:off x="4902811" y="104012"/>
          <a:ext cx="829728" cy="2933899"/>
          <a:chOff x="482541" y="0"/>
          <a:chExt cx="803208" cy="3115911"/>
        </a:xfrm>
      </cdr:grpSpPr>
      <cdr:cxnSp macro="">
        <cdr:nvCxnSpPr>
          <cdr:cNvPr id="8" name="Straight Connector 7"/>
          <cdr:cNvCxnSpPr/>
        </cdr:nvCxnSpPr>
        <cdr:spPr>
          <a:xfrm xmlns:a="http://schemas.openxmlformats.org/drawingml/2006/main" flipV="1">
            <a:off x="830342" y="186290"/>
            <a:ext cx="6235" cy="2929621"/>
          </a:xfrm>
          <a:prstGeom xmlns:a="http://schemas.openxmlformats.org/drawingml/2006/main" prst="line">
            <a:avLst/>
          </a:prstGeom>
          <a:ln xmlns:a="http://schemas.openxmlformats.org/drawingml/2006/main" w="9525"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482541" y="0"/>
            <a:ext cx="803208"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accent2">
                    <a:lumMod val="75000"/>
                  </a:schemeClr>
                </a:solidFill>
              </a:rPr>
              <a:t>Ave=6500</a:t>
            </a:r>
          </a:p>
        </cdr:txBody>
      </cdr:sp>
    </cdr:grpSp>
  </cdr:relSizeAnchor>
</c:userShapes>
</file>

<file path=xl/drawings/drawing61.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62.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63.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64.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66.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67.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68.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7.xml><?xml version="1.0" encoding="utf-8"?>
<c:userShapes xmlns:c="http://schemas.openxmlformats.org/drawingml/2006/chart">
  <cdr:relSizeAnchor xmlns:cdr="http://schemas.openxmlformats.org/drawingml/2006/chartDrawing">
    <cdr:from>
      <cdr:x>0.00625</cdr:x>
      <cdr:y>0.00738</cdr:y>
    </cdr:from>
    <cdr:to>
      <cdr:x>0.17032</cdr:x>
      <cdr:y>0.04806</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70.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71.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72.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74.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en-US" sz="1400" b="1">
            <a:latin typeface="+mn-lt"/>
          </a:endParaRPr>
        </a:p>
      </cdr:txBody>
    </cdr:sp>
  </cdr:relSizeAnchor>
  <cdr:relSizeAnchor xmlns:cdr="http://schemas.openxmlformats.org/drawingml/2006/chartDrawing">
    <cdr:from>
      <cdr:x>0.00545</cdr:x>
      <cdr:y>0</cdr:y>
    </cdr:from>
    <cdr:to>
      <cdr:x>0.05137</cdr:x>
      <cdr:y>0.72393</cdr:y>
    </cdr:to>
    <cdr:sp macro="" textlink="">
      <cdr:nvSpPr>
        <cdr:cNvPr id="3" name="TextBox 78"/>
        <cdr:cNvSpPr txBox="1"/>
      </cdr:nvSpPr>
      <cdr:spPr>
        <a:xfrm xmlns:a="http://schemas.openxmlformats.org/drawingml/2006/main" rot="16200000">
          <a:off x="-1348954" y="1398195"/>
          <a:ext cx="3211286" cy="4148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 devices able to embed each interface</a:t>
          </a:r>
          <a:endParaRPr lang="en-US" sz="1400" b="1">
            <a:latin typeface="+mn-lt"/>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cdr:x>
      <cdr:y>0.22836</cdr:y>
    </cdr:from>
    <cdr:to>
      <cdr:x>0.03003</cdr:x>
      <cdr:y>0.59308</cdr:y>
    </cdr:to>
    <cdr:sp macro="" textlink="">
      <cdr:nvSpPr>
        <cdr:cNvPr id="2" name="TextBox 78"/>
        <cdr:cNvSpPr txBox="1"/>
      </cdr:nvSpPr>
      <cdr:spPr>
        <a:xfrm xmlns:a="http://schemas.openxmlformats.org/drawingml/2006/main" rot="16200000">
          <a:off x="-574948" y="1410982"/>
          <a:ext cx="1335258" cy="1853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0.82434</cdr:x>
      <cdr:y>0.06404</cdr:y>
    </cdr:from>
    <cdr:to>
      <cdr:x>0.82434</cdr:x>
      <cdr:y>0.8419</cdr:y>
    </cdr:to>
    <cdr:cxnSp macro="">
      <cdr:nvCxnSpPr>
        <cdr:cNvPr id="10" name="Straight Connector 9"/>
        <cdr:cNvCxnSpPr/>
      </cdr:nvCxnSpPr>
      <cdr:spPr>
        <a:xfrm xmlns:a="http://schemas.openxmlformats.org/drawingml/2006/main" flipV="1">
          <a:off x="5088275" y="234462"/>
          <a:ext cx="0" cy="2847774"/>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0.76112</cdr:x>
      <cdr:y>0.00475</cdr:y>
    </cdr:from>
    <cdr:to>
      <cdr:x>0.91353</cdr:x>
      <cdr:y>0.06288</cdr:y>
    </cdr:to>
    <cdr:sp macro="" textlink="">
      <cdr:nvSpPr>
        <cdr:cNvPr id="11" name="TextBox 3"/>
        <cdr:cNvSpPr txBox="1"/>
      </cdr:nvSpPr>
      <cdr:spPr>
        <a:xfrm xmlns:a="http://schemas.openxmlformats.org/drawingml/2006/main">
          <a:off x="4698047" y="17398"/>
          <a:ext cx="940753" cy="2128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avg=5,477</a:t>
          </a:r>
        </a:p>
      </cdr:txBody>
    </cdr:sp>
  </cdr:relSizeAnchor>
  <cdr:relSizeAnchor xmlns:cdr="http://schemas.openxmlformats.org/drawingml/2006/chartDrawing">
    <cdr:from>
      <cdr:x>0.42768</cdr:x>
      <cdr:y>0.06253</cdr:y>
    </cdr:from>
    <cdr:to>
      <cdr:x>0.43059</cdr:x>
      <cdr:y>0.84532</cdr:y>
    </cdr:to>
    <cdr:cxnSp macro="">
      <cdr:nvCxnSpPr>
        <cdr:cNvPr id="8" name="Straight Connector 7"/>
        <cdr:cNvCxnSpPr>
          <a:endCxn xmlns:a="http://schemas.openxmlformats.org/drawingml/2006/main" id="9" idx="2"/>
        </cdr:cNvCxnSpPr>
      </cdr:nvCxnSpPr>
      <cdr:spPr>
        <a:xfrm xmlns:a="http://schemas.openxmlformats.org/drawingml/2006/main" flipV="1">
          <a:off x="2639874" y="228930"/>
          <a:ext cx="17967" cy="2865827"/>
        </a:xfrm>
        <a:prstGeom xmlns:a="http://schemas.openxmlformats.org/drawingml/2006/main" prst="line">
          <a:avLst/>
        </a:prstGeom>
        <a:ln xmlns:a="http://schemas.openxmlformats.org/drawingml/2006/main" w="25400"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0.36453</cdr:x>
      <cdr:y>0.00441</cdr:y>
    </cdr:from>
    <cdr:to>
      <cdr:x>0.49665</cdr:x>
      <cdr:y>0.06253</cdr:y>
    </cdr:to>
    <cdr:sp macro="" textlink="">
      <cdr:nvSpPr>
        <cdr:cNvPr id="9" name="TextBox 1"/>
        <cdr:cNvSpPr txBox="1"/>
      </cdr:nvSpPr>
      <cdr:spPr>
        <a:xfrm xmlns:a="http://schemas.openxmlformats.org/drawingml/2006/main">
          <a:off x="2250097" y="16150"/>
          <a:ext cx="815488" cy="2127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C00000"/>
              </a:solidFill>
            </a:rPr>
            <a:t>avg=168</a:t>
          </a:r>
        </a:p>
      </cdr:txBody>
    </cdr:sp>
  </cdr:relSizeAnchor>
</c:userShapes>
</file>

<file path=xl/drawings/drawing76.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en-US" sz="1400" b="1">
            <a:latin typeface="+mn-lt"/>
          </a:endParaRPr>
        </a:p>
      </cdr:txBody>
    </cdr:sp>
  </cdr:relSizeAnchor>
  <cdr:relSizeAnchor xmlns:cdr="http://schemas.openxmlformats.org/drawingml/2006/chartDrawing">
    <cdr:from>
      <cdr:x>0</cdr:x>
      <cdr:y>0</cdr:y>
    </cdr:from>
    <cdr:to>
      <cdr:x>0.04592</cdr:x>
      <cdr:y>0.65951</cdr:y>
    </cdr:to>
    <cdr:sp macro="" textlink="">
      <cdr:nvSpPr>
        <cdr:cNvPr id="3" name="TextBox 78"/>
        <cdr:cNvSpPr txBox="1"/>
      </cdr:nvSpPr>
      <cdr:spPr>
        <a:xfrm xmlns:a="http://schemas.openxmlformats.org/drawingml/2006/main" rot="16200000">
          <a:off x="-1138748" y="1138748"/>
          <a:ext cx="2705137" cy="4276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b="1">
              <a:latin typeface="+mn-lt"/>
              <a:cs typeface="Times New Roman" panose="02020603050405020304" pitchFamily="18" charset="0"/>
            </a:rPr>
            <a:t># devices able embedding </a:t>
          </a:r>
        </a:p>
        <a:p xmlns:a="http://schemas.openxmlformats.org/drawingml/2006/main">
          <a:pPr algn="ctr"/>
          <a:r>
            <a:rPr lang="en-US" sz="1400" b="1">
              <a:latin typeface="+mn-lt"/>
              <a:cs typeface="Times New Roman" panose="02020603050405020304" pitchFamily="18" charset="0"/>
            </a:rPr>
            <a:t>each sensor</a:t>
          </a:r>
          <a:endParaRPr lang="en-US" sz="1400" b="1">
            <a:latin typeface="+mn-lt"/>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0.26528</cdr:y>
    </cdr:from>
    <cdr:to>
      <cdr:x>0.03003</cdr:x>
      <cdr:y>0.63</cdr:y>
    </cdr:to>
    <cdr:sp macro="" textlink="">
      <cdr:nvSpPr>
        <cdr:cNvPr id="2" name="TextBox 78"/>
        <cdr:cNvSpPr txBox="1"/>
      </cdr:nvSpPr>
      <cdr:spPr>
        <a:xfrm xmlns:a="http://schemas.openxmlformats.org/drawingml/2006/main" rot="16200000">
          <a:off x="-584750" y="1570697"/>
          <a:ext cx="1355510" cy="1860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0.41868</cdr:x>
      <cdr:y>0.00468</cdr:y>
    </cdr:from>
    <cdr:to>
      <cdr:x>0.55058</cdr:x>
      <cdr:y>0.83965</cdr:y>
    </cdr:to>
    <cdr:grpSp>
      <cdr:nvGrpSpPr>
        <cdr:cNvPr id="3" name="Group 2"/>
        <cdr:cNvGrpSpPr/>
      </cdr:nvGrpSpPr>
      <cdr:grpSpPr>
        <a:xfrm xmlns:a="http://schemas.openxmlformats.org/drawingml/2006/main">
          <a:off x="2587516" y="17502"/>
          <a:ext cx="815168" cy="3120692"/>
          <a:chOff x="132921" y="-83559"/>
          <a:chExt cx="792133" cy="3203688"/>
        </a:xfrm>
      </cdr:grpSpPr>
      <cdr:cxnSp macro="">
        <cdr:nvCxnSpPr>
          <cdr:cNvPr id="10" name="Straight Connector 9"/>
          <cdr:cNvCxnSpPr/>
        </cdr:nvCxnSpPr>
        <cdr:spPr>
          <a:xfrm xmlns:a="http://schemas.openxmlformats.org/drawingml/2006/main" flipV="1">
            <a:off x="523574" y="190508"/>
            <a:ext cx="6234" cy="2929621"/>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32921" y="-83559"/>
            <a:ext cx="792133"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avg=9.2</a:t>
            </a:r>
          </a:p>
        </cdr:txBody>
      </cdr:sp>
    </cdr:grpSp>
  </cdr:relSizeAnchor>
  <cdr:relSizeAnchor xmlns:cdr="http://schemas.openxmlformats.org/drawingml/2006/chartDrawing">
    <cdr:from>
      <cdr:x>0.30728</cdr:x>
      <cdr:y>0.076</cdr:y>
    </cdr:from>
    <cdr:to>
      <cdr:x>0.3076</cdr:x>
      <cdr:y>0.83629</cdr:y>
    </cdr:to>
    <cdr:cxnSp macro="">
      <cdr:nvCxnSpPr>
        <cdr:cNvPr id="6" name="Straight Connector 5"/>
        <cdr:cNvCxnSpPr/>
      </cdr:nvCxnSpPr>
      <cdr:spPr>
        <a:xfrm xmlns:a="http://schemas.openxmlformats.org/drawingml/2006/main">
          <a:off x="1860922" y="286432"/>
          <a:ext cx="1925" cy="2865428"/>
        </a:xfrm>
        <a:prstGeom xmlns:a="http://schemas.openxmlformats.org/drawingml/2006/main" prst="line">
          <a:avLst/>
        </a:prstGeom>
        <a:ln xmlns:a="http://schemas.openxmlformats.org/drawingml/2006/main" w="25400"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0.2452</cdr:x>
      <cdr:y>0.00352</cdr:y>
    </cdr:from>
    <cdr:to>
      <cdr:x>0.38669</cdr:x>
      <cdr:y>0.05636</cdr:y>
    </cdr:to>
    <cdr:sp macro="" textlink="">
      <cdr:nvSpPr>
        <cdr:cNvPr id="7" name="TextBox 1"/>
        <cdr:cNvSpPr txBox="1"/>
      </cdr:nvSpPr>
      <cdr:spPr>
        <a:xfrm xmlns:a="http://schemas.openxmlformats.org/drawingml/2006/main">
          <a:off x="1512035" y="13052"/>
          <a:ext cx="872484" cy="1957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tx2">
                  <a:lumMod val="75000"/>
                </a:schemeClr>
              </a:solidFill>
            </a:rPr>
            <a:t>avg=6.2</a:t>
          </a:r>
        </a:p>
      </cdr:txBody>
    </cdr:sp>
  </cdr:relSizeAnchor>
</c:userShapes>
</file>

<file path=xl/drawings/drawing78.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userShapes>
</file>

<file path=xl/drawings/drawing79.xml><?xml version="1.0" encoding="utf-8"?>
<c:userShapes xmlns:c="http://schemas.openxmlformats.org/drawingml/2006/chart">
  <cdr:relSizeAnchor xmlns:cdr="http://schemas.openxmlformats.org/drawingml/2006/chartDrawing">
    <cdr:from>
      <cdr:x>0</cdr:x>
      <cdr:y>0.26518</cdr:y>
    </cdr:from>
    <cdr:to>
      <cdr:x>0.01445</cdr:x>
      <cdr:y>0.6299</cdr:y>
    </cdr:to>
    <cdr:sp macro="" textlink="">
      <cdr:nvSpPr>
        <cdr:cNvPr id="2" name="TextBox 78"/>
        <cdr:cNvSpPr txBox="1"/>
      </cdr:nvSpPr>
      <cdr:spPr>
        <a:xfrm xmlns:a="http://schemas.openxmlformats.org/drawingml/2006/main" rot="16200000">
          <a:off x="-614002" y="1572051"/>
          <a:ext cx="1317652" cy="896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0.14758</cdr:x>
      <cdr:y>0.00849</cdr:y>
    </cdr:from>
    <cdr:to>
      <cdr:x>0.28412</cdr:x>
      <cdr:y>0.84188</cdr:y>
    </cdr:to>
    <cdr:grpSp>
      <cdr:nvGrpSpPr>
        <cdr:cNvPr id="13" name="Group 12"/>
        <cdr:cNvGrpSpPr/>
      </cdr:nvGrpSpPr>
      <cdr:grpSpPr>
        <a:xfrm xmlns:a="http://schemas.openxmlformats.org/drawingml/2006/main">
          <a:off x="915524" y="30672"/>
          <a:ext cx="847036" cy="3010853"/>
          <a:chOff x="1810412" y="55208"/>
          <a:chExt cx="816678" cy="3074728"/>
        </a:xfrm>
      </cdr:grpSpPr>
      <cdr:cxnSp macro="">
        <cdr:nvCxnSpPr>
          <cdr:cNvPr id="11" name="Straight Connector 10"/>
          <cdr:cNvCxnSpPr/>
        </cdr:nvCxnSpPr>
        <cdr:spPr>
          <a:xfrm xmlns:a="http://schemas.openxmlformats.org/drawingml/2006/main" flipH="1" flipV="1">
            <a:off x="2435088" y="307429"/>
            <a:ext cx="1" cy="2822507"/>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2" name="TextBox 3"/>
          <cdr:cNvSpPr txBox="1"/>
        </cdr:nvSpPr>
        <cdr:spPr>
          <a:xfrm xmlns:a="http://schemas.openxmlformats.org/drawingml/2006/main">
            <a:off x="1810412" y="55208"/>
            <a:ext cx="816678" cy="2230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avg=4.4</a:t>
            </a:r>
          </a:p>
        </cdr:txBody>
      </cdr:sp>
    </cdr:grpSp>
  </cdr:relSizeAnchor>
  <cdr:relSizeAnchor xmlns:cdr="http://schemas.openxmlformats.org/drawingml/2006/chartDrawing">
    <cdr:from>
      <cdr:x>0.67911</cdr:x>
      <cdr:y>0.00795</cdr:y>
    </cdr:from>
    <cdr:to>
      <cdr:x>0.81758</cdr:x>
      <cdr:y>0.84404</cdr:y>
    </cdr:to>
    <cdr:grpSp>
      <cdr:nvGrpSpPr>
        <cdr:cNvPr id="28" name="Group 27"/>
        <cdr:cNvGrpSpPr/>
      </cdr:nvGrpSpPr>
      <cdr:grpSpPr>
        <a:xfrm xmlns:a="http://schemas.openxmlformats.org/drawingml/2006/main">
          <a:off x="4212911" y="28722"/>
          <a:ext cx="859009" cy="3020606"/>
          <a:chOff x="3391141" y="47069"/>
          <a:chExt cx="828260" cy="3207996"/>
        </a:xfrm>
      </cdr:grpSpPr>
      <cdr:cxnSp macro="">
        <cdr:nvCxnSpPr>
          <cdr:cNvPr id="9" name="Straight Connector 8"/>
          <cdr:cNvCxnSpPr/>
        </cdr:nvCxnSpPr>
        <cdr:spPr>
          <a:xfrm xmlns:a="http://schemas.openxmlformats.org/drawingml/2006/main" flipV="1">
            <a:off x="3743740" y="329875"/>
            <a:ext cx="0" cy="2925190"/>
          </a:xfrm>
          <a:prstGeom xmlns:a="http://schemas.openxmlformats.org/drawingml/2006/main" prst="line">
            <a:avLst/>
          </a:prstGeom>
          <a:ln xmlns:a="http://schemas.openxmlformats.org/drawingml/2006/main" w="25400"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0" name="TextBox 1"/>
          <cdr:cNvSpPr txBox="1"/>
        </cdr:nvSpPr>
        <cdr:spPr>
          <a:xfrm xmlns:a="http://schemas.openxmlformats.org/drawingml/2006/main">
            <a:off x="3391141" y="47069"/>
            <a:ext cx="828260" cy="2230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C00000"/>
                </a:solidFill>
              </a:rPr>
              <a:t>avg=285</a:t>
            </a:r>
          </a:p>
        </cdr:txBody>
      </cdr:sp>
    </cdr:grpSp>
  </cdr:relSizeAnchor>
  <cdr:relSizeAnchor xmlns:cdr="http://schemas.openxmlformats.org/drawingml/2006/chartDrawing">
    <cdr:from>
      <cdr:x>0.24791</cdr:x>
      <cdr:y>0.00651</cdr:y>
    </cdr:from>
    <cdr:to>
      <cdr:x>0.385</cdr:x>
      <cdr:y>0.83757</cdr:y>
    </cdr:to>
    <cdr:grpSp>
      <cdr:nvGrpSpPr>
        <cdr:cNvPr id="27" name="Group 26"/>
        <cdr:cNvGrpSpPr/>
      </cdr:nvGrpSpPr>
      <cdr:grpSpPr>
        <a:xfrm xmlns:a="http://schemas.openxmlformats.org/drawingml/2006/main">
          <a:off x="1537929" y="23519"/>
          <a:ext cx="850448" cy="3002435"/>
          <a:chOff x="1764457" y="66404"/>
          <a:chExt cx="819978" cy="3188661"/>
        </a:xfrm>
      </cdr:grpSpPr>
      <cdr:cxnSp macro="">
        <cdr:nvCxnSpPr>
          <cdr:cNvPr id="7" name="Straight Connector 6"/>
          <cdr:cNvCxnSpPr/>
        </cdr:nvCxnSpPr>
        <cdr:spPr>
          <a:xfrm xmlns:a="http://schemas.openxmlformats.org/drawingml/2006/main">
            <a:off x="1871869" y="342440"/>
            <a:ext cx="0" cy="2912625"/>
          </a:xfrm>
          <a:prstGeom xmlns:a="http://schemas.openxmlformats.org/drawingml/2006/main" prst="line">
            <a:avLst/>
          </a:prstGeom>
          <a:ln xmlns:a="http://schemas.openxmlformats.org/drawingml/2006/main" w="25400"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8" name="TextBox 1"/>
          <cdr:cNvSpPr txBox="1"/>
        </cdr:nvSpPr>
        <cdr:spPr>
          <a:xfrm xmlns:a="http://schemas.openxmlformats.org/drawingml/2006/main">
            <a:off x="1764457" y="66404"/>
            <a:ext cx="819978"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tx2">
                    <a:lumMod val="75000"/>
                  </a:schemeClr>
                </a:solidFill>
              </a:rPr>
              <a:t>avg=5</a:t>
            </a:r>
            <a:endParaRPr lang="en-US" sz="1400" b="1">
              <a:solidFill>
                <a:schemeClr val="tx2">
                  <a:lumMod val="75000"/>
                </a:schemeClr>
              </a:solidFill>
              <a:latin typeface="+mn-lt"/>
              <a:ea typeface="+mn-ea"/>
              <a:cs typeface="+mn-cs"/>
            </a:endParaRPr>
          </a:p>
        </cdr:txBody>
      </cdr:sp>
    </cdr:grpSp>
  </cdr:relSizeAnchor>
</c:userShapes>
</file>

<file path=xl/drawings/drawing8.xml><?xml version="1.0" encoding="utf-8"?>
<c:userShapes xmlns:c="http://schemas.openxmlformats.org/drawingml/2006/chart">
  <cdr:relSizeAnchor xmlns:cdr="http://schemas.openxmlformats.org/drawingml/2006/chartDrawing">
    <cdr:from>
      <cdr:x>0.00625</cdr:x>
      <cdr:y>0.00737</cdr:y>
    </cdr:from>
    <cdr:to>
      <cdr:x>0.17032</cdr:x>
      <cdr:y>0.04799</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80.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0.66023</cdr:x>
      <cdr:y>0.07947</cdr:y>
    </cdr:from>
    <cdr:to>
      <cdr:x>0.66126</cdr:x>
      <cdr:y>0.84302</cdr:y>
    </cdr:to>
    <cdr:cxnSp macro="">
      <cdr:nvCxnSpPr>
        <cdr:cNvPr id="10" name="Straight Connector 9"/>
        <cdr:cNvCxnSpPr/>
      </cdr:nvCxnSpPr>
      <cdr:spPr>
        <a:xfrm xmlns:a="http://schemas.openxmlformats.org/drawingml/2006/main" flipV="1">
          <a:off x="3981552" y="304922"/>
          <a:ext cx="6260" cy="2929650"/>
        </a:xfrm>
        <a:prstGeom xmlns:a="http://schemas.openxmlformats.org/drawingml/2006/main" prst="line">
          <a:avLst/>
        </a:prstGeom>
        <a:ln xmlns:a="http://schemas.openxmlformats.org/drawingml/2006/main" w="9525"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0.57435</cdr:x>
      <cdr:y>0.03294</cdr:y>
    </cdr:from>
    <cdr:to>
      <cdr:x>0.72461</cdr:x>
      <cdr:y>0.09106</cdr:y>
    </cdr:to>
    <cdr:sp macro="" textlink="">
      <cdr:nvSpPr>
        <cdr:cNvPr id="11" name="TextBox 3"/>
        <cdr:cNvSpPr txBox="1"/>
      </cdr:nvSpPr>
      <cdr:spPr>
        <a:xfrm xmlns:a="http://schemas.openxmlformats.org/drawingml/2006/main">
          <a:off x="3478326" y="124134"/>
          <a:ext cx="909977" cy="2190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00B050"/>
              </a:solidFill>
            </a:rPr>
            <a:t>Ave=11.67</a:t>
          </a:r>
        </a:p>
      </cdr:txBody>
    </cdr:sp>
  </cdr:relSizeAnchor>
  <cdr:relSizeAnchor xmlns:cdr="http://schemas.openxmlformats.org/drawingml/2006/chartDrawing">
    <cdr:from>
      <cdr:x>0.1461</cdr:x>
      <cdr:y>0.04355</cdr:y>
    </cdr:from>
    <cdr:to>
      <cdr:x>0.26653</cdr:x>
      <cdr:y>0.8508</cdr:y>
    </cdr:to>
    <cdr:grpSp>
      <cdr:nvGrpSpPr>
        <cdr:cNvPr id="5" name="Group 4"/>
        <cdr:cNvGrpSpPr/>
      </cdr:nvGrpSpPr>
      <cdr:grpSpPr>
        <a:xfrm xmlns:a="http://schemas.openxmlformats.org/drawingml/2006/main">
          <a:off x="906343" y="157336"/>
          <a:ext cx="747096" cy="2916415"/>
          <a:chOff x="-128021" y="18585"/>
          <a:chExt cx="723161" cy="3097326"/>
        </a:xfrm>
      </cdr:grpSpPr>
      <cdr:cxnSp macro="">
        <cdr:nvCxnSpPr>
          <cdr:cNvPr id="6" name="Straight Connector 5"/>
          <cdr:cNvCxnSpPr/>
        </cdr:nvCxnSpPr>
        <cdr:spPr>
          <a:xfrm xmlns:a="http://schemas.openxmlformats.org/drawingml/2006/main">
            <a:off x="239820" y="198726"/>
            <a:ext cx="1909" cy="2917185"/>
          </a:xfrm>
          <a:prstGeom xmlns:a="http://schemas.openxmlformats.org/drawingml/2006/main" prst="line">
            <a:avLst/>
          </a:prstGeom>
          <a:ln xmlns:a="http://schemas.openxmlformats.org/drawingml/2006/main" w="9525"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7" name="TextBox 1"/>
          <cdr:cNvSpPr txBox="1"/>
        </cdr:nvSpPr>
        <cdr:spPr>
          <a:xfrm xmlns:a="http://schemas.openxmlformats.org/drawingml/2006/main">
            <a:off x="-128021" y="18585"/>
            <a:ext cx="723161"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tx2">
                    <a:lumMod val="75000"/>
                  </a:schemeClr>
                </a:solidFill>
              </a:rPr>
              <a:t>Ave=3.94</a:t>
            </a:r>
          </a:p>
        </cdr:txBody>
      </cdr:sp>
    </cdr:grpSp>
  </cdr:relSizeAnchor>
</c:userShapes>
</file>

<file path=xl/drawings/drawing81.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0.60305</cdr:x>
      <cdr:y>0.08117</cdr:y>
    </cdr:from>
    <cdr:to>
      <cdr:x>0.60409</cdr:x>
      <cdr:y>0.84471</cdr:y>
    </cdr:to>
    <cdr:cxnSp macro="">
      <cdr:nvCxnSpPr>
        <cdr:cNvPr id="10" name="Straight Connector 9"/>
        <cdr:cNvCxnSpPr/>
      </cdr:nvCxnSpPr>
      <cdr:spPr>
        <a:xfrm xmlns:a="http://schemas.openxmlformats.org/drawingml/2006/main" flipV="1">
          <a:off x="3634010" y="311442"/>
          <a:ext cx="6256" cy="2929614"/>
        </a:xfrm>
        <a:prstGeom xmlns:a="http://schemas.openxmlformats.org/drawingml/2006/main" prst="line">
          <a:avLst/>
        </a:prstGeom>
        <a:ln xmlns:a="http://schemas.openxmlformats.org/drawingml/2006/main" w="9525"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0.53134</cdr:x>
      <cdr:y>0.03478</cdr:y>
    </cdr:from>
    <cdr:to>
      <cdr:x>0.6736</cdr:x>
      <cdr:y>0.0929</cdr:y>
    </cdr:to>
    <cdr:sp macro="" textlink="">
      <cdr:nvSpPr>
        <cdr:cNvPr id="11" name="TextBox 3"/>
        <cdr:cNvSpPr txBox="1"/>
      </cdr:nvSpPr>
      <cdr:spPr>
        <a:xfrm xmlns:a="http://schemas.openxmlformats.org/drawingml/2006/main">
          <a:off x="3201866" y="133440"/>
          <a:ext cx="857250" cy="2230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00B050"/>
              </a:solidFill>
            </a:rPr>
            <a:t>Ave=10.99</a:t>
          </a:r>
        </a:p>
      </cdr:txBody>
    </cdr:sp>
  </cdr:relSizeAnchor>
  <cdr:relSizeAnchor xmlns:cdr="http://schemas.openxmlformats.org/drawingml/2006/chartDrawing">
    <cdr:from>
      <cdr:x>0.7698</cdr:x>
      <cdr:y>0.08522</cdr:y>
    </cdr:from>
    <cdr:to>
      <cdr:x>0.77011</cdr:x>
      <cdr:y>0.84552</cdr:y>
    </cdr:to>
    <cdr:cxnSp macro="">
      <cdr:nvCxnSpPr>
        <cdr:cNvPr id="6" name="Straight Connector 5"/>
        <cdr:cNvCxnSpPr/>
      </cdr:nvCxnSpPr>
      <cdr:spPr>
        <a:xfrm xmlns:a="http://schemas.openxmlformats.org/drawingml/2006/main">
          <a:off x="4638799" y="326971"/>
          <a:ext cx="1916" cy="2917191"/>
        </a:xfrm>
        <a:prstGeom xmlns:a="http://schemas.openxmlformats.org/drawingml/2006/main" prst="line">
          <a:avLst/>
        </a:prstGeom>
        <a:ln xmlns:a="http://schemas.openxmlformats.org/drawingml/2006/main" w="9525"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0.67393</cdr:x>
      <cdr:y>0.04209</cdr:y>
    </cdr:from>
    <cdr:to>
      <cdr:x>0.80978</cdr:x>
      <cdr:y>0.10021</cdr:y>
    </cdr:to>
    <cdr:sp macro="" textlink="">
      <cdr:nvSpPr>
        <cdr:cNvPr id="7" name="TextBox 1"/>
        <cdr:cNvSpPr txBox="1"/>
      </cdr:nvSpPr>
      <cdr:spPr>
        <a:xfrm xmlns:a="http://schemas.openxmlformats.org/drawingml/2006/main">
          <a:off x="4061088" y="161484"/>
          <a:ext cx="818643"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tx2">
                  <a:lumMod val="75000"/>
                </a:schemeClr>
              </a:solidFill>
            </a:rPr>
            <a:t>Ave=13.75</a:t>
          </a:r>
        </a:p>
      </cdr:txBody>
    </cdr:sp>
  </cdr:relSizeAnchor>
</c:userShapes>
</file>

<file path=xl/drawings/drawing82.xml><?xml version="1.0" encoding="utf-8"?>
<c:userShapes xmlns:c="http://schemas.openxmlformats.org/drawingml/2006/chart">
  <cdr:relSizeAnchor xmlns:cdr="http://schemas.openxmlformats.org/drawingml/2006/chartDrawing">
    <cdr:from>
      <cdr:x>1.61052E-7</cdr:x>
      <cdr:y>0.17983</cdr:y>
    </cdr:from>
    <cdr:to>
      <cdr:x>0.03003</cdr:x>
      <cdr:y>0.54455</cdr:y>
    </cdr:to>
    <cdr:sp macro="" textlink="">
      <cdr:nvSpPr>
        <cdr:cNvPr id="2" name="TextBox 78"/>
        <cdr:cNvSpPr txBox="1"/>
      </cdr:nvSpPr>
      <cdr:spPr>
        <a:xfrm xmlns:a="http://schemas.openxmlformats.org/drawingml/2006/main" rot="16200000">
          <a:off x="-571725" y="1227442"/>
          <a:ext cx="1329913" cy="1864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0.63226</cdr:x>
      <cdr:y>0.00567</cdr:y>
    </cdr:from>
    <cdr:to>
      <cdr:x>0.78542</cdr:x>
      <cdr:y>0.69353</cdr:y>
    </cdr:to>
    <cdr:grpSp>
      <cdr:nvGrpSpPr>
        <cdr:cNvPr id="13" name="Group 12"/>
        <cdr:cNvGrpSpPr/>
      </cdr:nvGrpSpPr>
      <cdr:grpSpPr>
        <a:xfrm xmlns:a="http://schemas.openxmlformats.org/drawingml/2006/main">
          <a:off x="3925816" y="20669"/>
          <a:ext cx="950984" cy="2508220"/>
          <a:chOff x="474325" y="-100226"/>
          <a:chExt cx="919689" cy="2639264"/>
        </a:xfrm>
      </cdr:grpSpPr>
      <cdr:cxnSp macro="">
        <cdr:nvCxnSpPr>
          <cdr:cNvPr id="17" name="Straight Connector 16"/>
          <cdr:cNvCxnSpPr/>
        </cdr:nvCxnSpPr>
        <cdr:spPr>
          <a:xfrm xmlns:a="http://schemas.openxmlformats.org/drawingml/2006/main" flipH="1" flipV="1">
            <a:off x="822898" y="148636"/>
            <a:ext cx="13679" cy="2390402"/>
          </a:xfrm>
          <a:prstGeom xmlns:a="http://schemas.openxmlformats.org/drawingml/2006/main" prst="line">
            <a:avLst/>
          </a:prstGeom>
          <a:ln xmlns:a="http://schemas.openxmlformats.org/drawingml/2006/main" w="25400"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8" name="TextBox 1"/>
          <cdr:cNvSpPr txBox="1"/>
        </cdr:nvSpPr>
        <cdr:spPr>
          <a:xfrm xmlns:a="http://schemas.openxmlformats.org/drawingml/2006/main">
            <a:off x="474325" y="-100226"/>
            <a:ext cx="919689"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C00000"/>
                </a:solidFill>
              </a:rPr>
              <a:t>avg=9,921</a:t>
            </a:r>
          </a:p>
        </cdr:txBody>
      </cdr:sp>
    </cdr:grpSp>
  </cdr:relSizeAnchor>
  <cdr:relSizeAnchor xmlns:cdr="http://schemas.openxmlformats.org/drawingml/2006/chartDrawing">
    <cdr:from>
      <cdr:x>0.64914</cdr:x>
      <cdr:y>0.81062</cdr:y>
    </cdr:from>
    <cdr:to>
      <cdr:x>0.68776</cdr:x>
      <cdr:y>1</cdr:y>
    </cdr:to>
    <cdr:sp macro="" textlink="">
      <cdr:nvSpPr>
        <cdr:cNvPr id="4" name="TextBox 3"/>
        <cdr:cNvSpPr txBox="1"/>
      </cdr:nvSpPr>
      <cdr:spPr>
        <a:xfrm xmlns:a="http://schemas.openxmlformats.org/drawingml/2006/main" rot="5400000">
          <a:off x="3805237" y="3181209"/>
          <a:ext cx="690563" cy="2398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SG" sz="1400" b="1">
              <a:solidFill>
                <a:schemeClr val="bg1">
                  <a:lumMod val="50000"/>
                </a:schemeClr>
              </a:solidFill>
            </a:rPr>
            <a:t>1 year</a:t>
          </a:r>
        </a:p>
      </cdr:txBody>
    </cdr:sp>
  </cdr:relSizeAnchor>
  <cdr:relSizeAnchor xmlns:cdr="http://schemas.openxmlformats.org/drawingml/2006/chartDrawing">
    <cdr:from>
      <cdr:x>0.33186</cdr:x>
      <cdr:y>0.78972</cdr:y>
    </cdr:from>
    <cdr:to>
      <cdr:x>0.37048</cdr:x>
      <cdr:y>0.9791</cdr:y>
    </cdr:to>
    <cdr:sp macro="" textlink="">
      <cdr:nvSpPr>
        <cdr:cNvPr id="8" name="TextBox 1"/>
        <cdr:cNvSpPr txBox="1"/>
      </cdr:nvSpPr>
      <cdr:spPr>
        <a:xfrm xmlns:a="http://schemas.openxmlformats.org/drawingml/2006/main" rot="5400000">
          <a:off x="1835196" y="3105011"/>
          <a:ext cx="690563" cy="2398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SG" sz="1400" b="1">
              <a:solidFill>
                <a:schemeClr val="bg1">
                  <a:lumMod val="50000"/>
                </a:schemeClr>
              </a:solidFill>
            </a:rPr>
            <a:t>1 month</a:t>
          </a:r>
        </a:p>
      </cdr:txBody>
    </cdr:sp>
  </cdr:relSizeAnchor>
</c:userShapes>
</file>

<file path=xl/drawings/drawing83.xml><?xml version="1.0" encoding="utf-8"?>
<c:userShapes xmlns:c="http://schemas.openxmlformats.org/drawingml/2006/chart">
  <cdr:relSizeAnchor xmlns:cdr="http://schemas.openxmlformats.org/drawingml/2006/chartDrawing">
    <cdr:from>
      <cdr:x>0</cdr:x>
      <cdr:y>0.18295</cdr:y>
    </cdr:from>
    <cdr:to>
      <cdr:x>0.03003</cdr:x>
      <cdr:y>0.54767</cdr:y>
    </cdr:to>
    <cdr:sp macro="" textlink="">
      <cdr:nvSpPr>
        <cdr:cNvPr id="2" name="TextBox 78"/>
        <cdr:cNvSpPr txBox="1"/>
      </cdr:nvSpPr>
      <cdr:spPr>
        <a:xfrm xmlns:a="http://schemas.openxmlformats.org/drawingml/2006/main" rot="16200000">
          <a:off x="-659800" y="1415215"/>
          <a:ext cx="1505960" cy="18636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0.40426</cdr:x>
      <cdr:y>0.00596</cdr:y>
    </cdr:from>
    <cdr:to>
      <cdr:x>0.55562</cdr:x>
      <cdr:y>0.75202</cdr:y>
    </cdr:to>
    <cdr:grpSp>
      <cdr:nvGrpSpPr>
        <cdr:cNvPr id="3" name="Group 2"/>
        <cdr:cNvGrpSpPr/>
      </cdr:nvGrpSpPr>
      <cdr:grpSpPr>
        <a:xfrm xmlns:a="http://schemas.openxmlformats.org/drawingml/2006/main">
          <a:off x="2508720" y="24592"/>
          <a:ext cx="939329" cy="3080558"/>
          <a:chOff x="149486" y="-75029"/>
          <a:chExt cx="908397" cy="2862536"/>
        </a:xfrm>
      </cdr:grpSpPr>
      <cdr:cxnSp macro="">
        <cdr:nvCxnSpPr>
          <cdr:cNvPr id="10" name="Straight Connector 9"/>
          <cdr:cNvCxnSpPr/>
        </cdr:nvCxnSpPr>
        <cdr:spPr>
          <a:xfrm xmlns:a="http://schemas.openxmlformats.org/drawingml/2006/main" flipV="1">
            <a:off x="529808" y="132243"/>
            <a:ext cx="0" cy="2655264"/>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49486" y="-75029"/>
            <a:ext cx="908397"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avg=1,900</a:t>
            </a:r>
          </a:p>
        </cdr:txBody>
      </cdr:sp>
    </cdr:grpSp>
  </cdr:relSizeAnchor>
  <cdr:relSizeAnchor xmlns:cdr="http://schemas.openxmlformats.org/drawingml/2006/chartDrawing">
    <cdr:from>
      <cdr:x>0.65118</cdr:x>
      <cdr:y>0.00567</cdr:y>
    </cdr:from>
    <cdr:to>
      <cdr:x>0.81655</cdr:x>
      <cdr:y>0.75317</cdr:y>
    </cdr:to>
    <cdr:grpSp>
      <cdr:nvGrpSpPr>
        <cdr:cNvPr id="4" name="Group 3"/>
        <cdr:cNvGrpSpPr/>
      </cdr:nvGrpSpPr>
      <cdr:grpSpPr>
        <a:xfrm xmlns:a="http://schemas.openxmlformats.org/drawingml/2006/main">
          <a:off x="4041109" y="23400"/>
          <a:ext cx="1026191" cy="3086513"/>
          <a:chOff x="463250" y="-46860"/>
          <a:chExt cx="992455" cy="2868104"/>
        </a:xfrm>
      </cdr:grpSpPr>
      <cdr:cxnSp macro="">
        <cdr:nvCxnSpPr>
          <cdr:cNvPr id="8" name="Straight Connector 7"/>
          <cdr:cNvCxnSpPr/>
        </cdr:nvCxnSpPr>
        <cdr:spPr>
          <a:xfrm xmlns:a="http://schemas.openxmlformats.org/drawingml/2006/main" flipV="1">
            <a:off x="836577" y="174798"/>
            <a:ext cx="0" cy="2646446"/>
          </a:xfrm>
          <a:prstGeom xmlns:a="http://schemas.openxmlformats.org/drawingml/2006/main" prst="line">
            <a:avLst/>
          </a:prstGeom>
          <a:ln xmlns:a="http://schemas.openxmlformats.org/drawingml/2006/main" w="25400"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463250" y="-46860"/>
            <a:ext cx="992455"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C00000"/>
                </a:solidFill>
              </a:rPr>
              <a:t>avg=15,432</a:t>
            </a:r>
          </a:p>
        </cdr:txBody>
      </cdr:sp>
    </cdr:grpSp>
  </cdr:relSizeAnchor>
  <cdr:relSizeAnchor xmlns:cdr="http://schemas.openxmlformats.org/drawingml/2006/chartDrawing">
    <cdr:from>
      <cdr:x>0.92026</cdr:x>
      <cdr:y>0</cdr:y>
    </cdr:from>
    <cdr:to>
      <cdr:x>0.92026</cdr:x>
      <cdr:y>0</cdr:y>
    </cdr:to>
    <cdr:grpSp>
      <cdr:nvGrpSpPr>
        <cdr:cNvPr id="5" name="Group 4"/>
        <cdr:cNvGrpSpPr/>
      </cdr:nvGrpSpPr>
      <cdr:grpSpPr>
        <a:xfrm xmlns:a="http://schemas.openxmlformats.org/drawingml/2006/main">
          <a:off x="5710940" y="0"/>
          <a:ext cx="0" cy="0"/>
          <a:chOff x="5710940" y="0"/>
          <a:chExt cx="0" cy="0"/>
        </a:xfrm>
      </cdr:grpSpPr>
    </cdr:grpSp>
  </cdr:relSizeAnchor>
  <cdr:relSizeAnchor xmlns:cdr="http://schemas.openxmlformats.org/drawingml/2006/chartDrawing">
    <cdr:from>
      <cdr:x>0.65392</cdr:x>
      <cdr:y>0.83968</cdr:y>
    </cdr:from>
    <cdr:to>
      <cdr:x>0.69259</cdr:x>
      <cdr:y>1</cdr:y>
    </cdr:to>
    <cdr:sp macro="" textlink="">
      <cdr:nvSpPr>
        <cdr:cNvPr id="16" name="TextBox 3"/>
        <cdr:cNvSpPr txBox="1"/>
      </cdr:nvSpPr>
      <cdr:spPr>
        <a:xfrm xmlns:a="http://schemas.openxmlformats.org/drawingml/2006/main" rot="5400000">
          <a:off x="3847073" y="3678091"/>
          <a:ext cx="661983" cy="2400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400" b="1">
              <a:solidFill>
                <a:schemeClr val="bg1">
                  <a:lumMod val="50000"/>
                </a:schemeClr>
              </a:solidFill>
            </a:rPr>
            <a:t>1 year</a:t>
          </a:r>
        </a:p>
      </cdr:txBody>
    </cdr:sp>
  </cdr:relSizeAnchor>
  <cdr:relSizeAnchor xmlns:cdr="http://schemas.openxmlformats.org/drawingml/2006/chartDrawing">
    <cdr:from>
      <cdr:x>0.33204</cdr:x>
      <cdr:y>0.80277</cdr:y>
    </cdr:from>
    <cdr:to>
      <cdr:x>0.37072</cdr:x>
      <cdr:y>1</cdr:y>
    </cdr:to>
    <cdr:sp macro="" textlink="">
      <cdr:nvSpPr>
        <cdr:cNvPr id="17" name="TextBox 3"/>
        <cdr:cNvSpPr txBox="1"/>
      </cdr:nvSpPr>
      <cdr:spPr>
        <a:xfrm xmlns:a="http://schemas.openxmlformats.org/drawingml/2006/main" rot="5400000">
          <a:off x="1773388" y="3601892"/>
          <a:ext cx="814384" cy="2400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400" b="1">
              <a:solidFill>
                <a:schemeClr val="bg1">
                  <a:lumMod val="50000"/>
                </a:schemeClr>
              </a:solidFill>
            </a:rPr>
            <a:t>1 month</a:t>
          </a:r>
        </a:p>
      </cdr:txBody>
    </cdr:sp>
  </cdr:relSizeAnchor>
</c:userShapes>
</file>

<file path=xl/drawings/drawing84.xml><?xml version="1.0" encoding="utf-8"?>
<c:userShapes xmlns:c="http://schemas.openxmlformats.org/drawingml/2006/chart">
  <cdr:relSizeAnchor xmlns:cdr="http://schemas.openxmlformats.org/drawingml/2006/chartDrawing">
    <cdr:from>
      <cdr:x>0</cdr:x>
      <cdr:y>0.18327</cdr:y>
    </cdr:from>
    <cdr:to>
      <cdr:x>0.03003</cdr:x>
      <cdr:y>0.54799</cdr:y>
    </cdr:to>
    <cdr:sp macro="" textlink="">
      <cdr:nvSpPr>
        <cdr:cNvPr id="2" name="TextBox 78"/>
        <cdr:cNvSpPr txBox="1"/>
      </cdr:nvSpPr>
      <cdr:spPr>
        <a:xfrm xmlns:a="http://schemas.openxmlformats.org/drawingml/2006/main" rot="16200000">
          <a:off x="-617432" y="1331576"/>
          <a:ext cx="1421158" cy="1862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0.23386</cdr:x>
      <cdr:y>0.00399</cdr:y>
    </cdr:from>
    <cdr:to>
      <cdr:x>0.35963</cdr:x>
      <cdr:y>0.79136</cdr:y>
    </cdr:to>
    <cdr:grpSp>
      <cdr:nvGrpSpPr>
        <cdr:cNvPr id="3" name="Group 2"/>
        <cdr:cNvGrpSpPr/>
      </cdr:nvGrpSpPr>
      <cdr:grpSpPr>
        <a:xfrm xmlns:a="http://schemas.openxmlformats.org/drawingml/2006/main">
          <a:off x="1450788" y="15545"/>
          <a:ext cx="780235" cy="3068038"/>
          <a:chOff x="304810" y="-107206"/>
          <a:chExt cx="755221" cy="3021018"/>
        </a:xfrm>
      </cdr:grpSpPr>
      <cdr:cxnSp macro="">
        <cdr:nvCxnSpPr>
          <cdr:cNvPr id="10" name="Straight Connector 9"/>
          <cdr:cNvCxnSpPr/>
        </cdr:nvCxnSpPr>
        <cdr:spPr>
          <a:xfrm xmlns:a="http://schemas.openxmlformats.org/drawingml/2006/main" flipV="1">
            <a:off x="523574" y="155001"/>
            <a:ext cx="0" cy="2758811"/>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304810" y="-107206"/>
            <a:ext cx="755221"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avg=5.5</a:t>
            </a:r>
          </a:p>
        </cdr:txBody>
      </cdr:sp>
    </cdr:grpSp>
  </cdr:relSizeAnchor>
  <cdr:relSizeAnchor xmlns:cdr="http://schemas.openxmlformats.org/drawingml/2006/chartDrawing">
    <cdr:from>
      <cdr:x>0.48887</cdr:x>
      <cdr:y>0.00416</cdr:y>
    </cdr:from>
    <cdr:to>
      <cdr:x>0.60848</cdr:x>
      <cdr:y>0.78994</cdr:y>
    </cdr:to>
    <cdr:grpSp>
      <cdr:nvGrpSpPr>
        <cdr:cNvPr id="4" name="Group 3"/>
        <cdr:cNvGrpSpPr/>
      </cdr:nvGrpSpPr>
      <cdr:grpSpPr>
        <a:xfrm xmlns:a="http://schemas.openxmlformats.org/drawingml/2006/main">
          <a:off x="3032750" y="16219"/>
          <a:ext cx="742015" cy="3061837"/>
          <a:chOff x="491195" y="-97947"/>
          <a:chExt cx="718317" cy="3213858"/>
        </a:xfrm>
      </cdr:grpSpPr>
      <cdr:cxnSp macro="">
        <cdr:nvCxnSpPr>
          <cdr:cNvPr id="8" name="Straight Connector 7"/>
          <cdr:cNvCxnSpPr/>
        </cdr:nvCxnSpPr>
        <cdr:spPr>
          <a:xfrm xmlns:a="http://schemas.openxmlformats.org/drawingml/2006/main" flipV="1">
            <a:off x="830342" y="186290"/>
            <a:ext cx="6235" cy="2929621"/>
          </a:xfrm>
          <a:prstGeom xmlns:a="http://schemas.openxmlformats.org/drawingml/2006/main" prst="line">
            <a:avLst/>
          </a:prstGeom>
          <a:ln xmlns:a="http://schemas.openxmlformats.org/drawingml/2006/main" w="25400"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491195" y="-97947"/>
            <a:ext cx="718317"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C00000"/>
                </a:solidFill>
              </a:rPr>
              <a:t>avg=62</a:t>
            </a:r>
          </a:p>
        </cdr:txBody>
      </cdr:sp>
    </cdr:grpSp>
  </cdr:relSizeAnchor>
  <cdr:relSizeAnchor xmlns:cdr="http://schemas.openxmlformats.org/drawingml/2006/chartDrawing">
    <cdr:from>
      <cdr:x>0.13092</cdr:x>
      <cdr:y>0.00118</cdr:y>
    </cdr:from>
    <cdr:to>
      <cdr:x>0.25717</cdr:x>
      <cdr:y>0.79703</cdr:y>
    </cdr:to>
    <cdr:grpSp>
      <cdr:nvGrpSpPr>
        <cdr:cNvPr id="5" name="Group 4"/>
        <cdr:cNvGrpSpPr/>
      </cdr:nvGrpSpPr>
      <cdr:grpSpPr>
        <a:xfrm xmlns:a="http://schemas.openxmlformats.org/drawingml/2006/main">
          <a:off x="812170" y="4606"/>
          <a:ext cx="783211" cy="3101080"/>
          <a:chOff x="33741" y="-135340"/>
          <a:chExt cx="758062" cy="3053576"/>
        </a:xfrm>
      </cdr:grpSpPr>
      <cdr:cxnSp macro="">
        <cdr:nvCxnSpPr>
          <cdr:cNvPr id="6" name="Straight Connector 5"/>
          <cdr:cNvCxnSpPr/>
        </cdr:nvCxnSpPr>
        <cdr:spPr>
          <a:xfrm xmlns:a="http://schemas.openxmlformats.org/drawingml/2006/main" flipH="1">
            <a:off x="245394" y="102586"/>
            <a:ext cx="1" cy="2815650"/>
          </a:xfrm>
          <a:prstGeom xmlns:a="http://schemas.openxmlformats.org/drawingml/2006/main" prst="line">
            <a:avLst/>
          </a:prstGeom>
          <a:ln xmlns:a="http://schemas.openxmlformats.org/drawingml/2006/main" w="25400"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7" name="TextBox 1"/>
          <cdr:cNvSpPr txBox="1"/>
        </cdr:nvSpPr>
        <cdr:spPr>
          <a:xfrm xmlns:a="http://schemas.openxmlformats.org/drawingml/2006/main">
            <a:off x="33741" y="-135340"/>
            <a:ext cx="758062"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tx2">
                    <a:lumMod val="75000"/>
                  </a:schemeClr>
                </a:solidFill>
              </a:rPr>
              <a:t>avg=2.4</a:t>
            </a:r>
          </a:p>
        </cdr:txBody>
      </cdr:sp>
    </cdr:grpSp>
  </cdr:relSizeAnchor>
</c:userShapes>
</file>

<file path=xl/drawings/drawing85.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0.8294</cdr:x>
      <cdr:y>0.07031</cdr:y>
    </cdr:from>
    <cdr:to>
      <cdr:x>0.98834</cdr:x>
      <cdr:y>0.83501</cdr:y>
    </cdr:to>
    <cdr:grpSp>
      <cdr:nvGrpSpPr>
        <cdr:cNvPr id="4" name="Group 3"/>
        <cdr:cNvGrpSpPr/>
      </cdr:nvGrpSpPr>
      <cdr:grpSpPr>
        <a:xfrm xmlns:a="http://schemas.openxmlformats.org/drawingml/2006/main">
          <a:off x="5161180" y="262118"/>
          <a:ext cx="989049" cy="2850830"/>
          <a:chOff x="-74159" y="181841"/>
          <a:chExt cx="954403" cy="2934070"/>
        </a:xfrm>
      </cdr:grpSpPr>
      <cdr:cxnSp macro="">
        <cdr:nvCxnSpPr>
          <cdr:cNvPr id="8" name="Straight Connector 7"/>
          <cdr:cNvCxnSpPr/>
        </cdr:nvCxnSpPr>
        <cdr:spPr>
          <a:xfrm xmlns:a="http://schemas.openxmlformats.org/drawingml/2006/main" flipV="1">
            <a:off x="830342" y="186290"/>
            <a:ext cx="6235" cy="2929621"/>
          </a:xfrm>
          <a:prstGeom xmlns:a="http://schemas.openxmlformats.org/drawingml/2006/main" prst="line">
            <a:avLst/>
          </a:prstGeom>
          <a:ln xmlns:a="http://schemas.openxmlformats.org/drawingml/2006/main" w="9525"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74159" y="181841"/>
            <a:ext cx="954403"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accent2">
                    <a:lumMod val="75000"/>
                  </a:schemeClr>
                </a:solidFill>
              </a:rPr>
              <a:t>Ave=234000</a:t>
            </a:r>
          </a:p>
        </cdr:txBody>
      </cdr:sp>
    </cdr:grpSp>
  </cdr:relSizeAnchor>
  <cdr:relSizeAnchor xmlns:cdr="http://schemas.openxmlformats.org/drawingml/2006/chartDrawing">
    <cdr:from>
      <cdr:x>0</cdr:x>
      <cdr:y>0.30521</cdr:y>
    </cdr:from>
    <cdr:to>
      <cdr:x>0.03003</cdr:x>
      <cdr:y>0.66993</cdr:y>
    </cdr:to>
    <cdr:sp macro="" textlink="">
      <cdr:nvSpPr>
        <cdr:cNvPr id="3"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0.22108</cdr:x>
      <cdr:y>0.03519</cdr:y>
    </cdr:from>
    <cdr:to>
      <cdr:x>0.33234</cdr:x>
      <cdr:y>0.84513</cdr:y>
    </cdr:to>
    <cdr:grpSp>
      <cdr:nvGrpSpPr>
        <cdr:cNvPr id="5" name="Group 2"/>
        <cdr:cNvGrpSpPr/>
      </cdr:nvGrpSpPr>
      <cdr:grpSpPr>
        <a:xfrm xmlns:a="http://schemas.openxmlformats.org/drawingml/2006/main">
          <a:off x="1375734" y="131190"/>
          <a:ext cx="692347" cy="3019486"/>
          <a:chOff x="228051" y="12506"/>
          <a:chExt cx="668082" cy="3107623"/>
        </a:xfrm>
      </cdr:grpSpPr>
      <cdr:cxnSp macro="">
        <cdr:nvCxnSpPr>
          <cdr:cNvPr id="10" name="Straight Connector 9"/>
          <cdr:cNvCxnSpPr/>
        </cdr:nvCxnSpPr>
        <cdr:spPr>
          <a:xfrm xmlns:a="http://schemas.openxmlformats.org/drawingml/2006/main" flipV="1">
            <a:off x="523574" y="190508"/>
            <a:ext cx="6234" cy="2929621"/>
          </a:xfrm>
          <a:prstGeom xmlns:a="http://schemas.openxmlformats.org/drawingml/2006/main" prst="line">
            <a:avLst/>
          </a:prstGeom>
          <a:ln xmlns:a="http://schemas.openxmlformats.org/drawingml/2006/main" w="9525"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228051" y="12506"/>
            <a:ext cx="668082"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00B050"/>
                </a:solidFill>
              </a:rPr>
              <a:t>Ave=5.5</a:t>
            </a:r>
          </a:p>
        </cdr:txBody>
      </cdr:sp>
    </cdr:grpSp>
  </cdr:relSizeAnchor>
  <cdr:relSizeAnchor xmlns:cdr="http://schemas.openxmlformats.org/drawingml/2006/chartDrawing">
    <cdr:from>
      <cdr:x>0.49995</cdr:x>
      <cdr:y>0.02969</cdr:y>
    </cdr:from>
    <cdr:to>
      <cdr:x>0.60832</cdr:x>
      <cdr:y>0.84178</cdr:y>
    </cdr:to>
    <cdr:grpSp>
      <cdr:nvGrpSpPr>
        <cdr:cNvPr id="6" name="Group 3"/>
        <cdr:cNvGrpSpPr/>
      </cdr:nvGrpSpPr>
      <cdr:grpSpPr>
        <a:xfrm xmlns:a="http://schemas.openxmlformats.org/drawingml/2006/main">
          <a:off x="3111082" y="110685"/>
          <a:ext cx="674364" cy="3027502"/>
          <a:chOff x="557728" y="0"/>
          <a:chExt cx="650811" cy="3115911"/>
        </a:xfrm>
      </cdr:grpSpPr>
      <cdr:cxnSp macro="">
        <cdr:nvCxnSpPr>
          <cdr:cNvPr id="7" name="Straight Connector 7"/>
          <cdr:cNvCxnSpPr/>
        </cdr:nvCxnSpPr>
        <cdr:spPr>
          <a:xfrm xmlns:a="http://schemas.openxmlformats.org/drawingml/2006/main" flipV="1">
            <a:off x="830342" y="186290"/>
            <a:ext cx="6235" cy="2929621"/>
          </a:xfrm>
          <a:prstGeom xmlns:a="http://schemas.openxmlformats.org/drawingml/2006/main" prst="line">
            <a:avLst/>
          </a:prstGeom>
          <a:ln xmlns:a="http://schemas.openxmlformats.org/drawingml/2006/main" w="9525"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2" name="TextBox 1"/>
          <cdr:cNvSpPr txBox="1"/>
        </cdr:nvSpPr>
        <cdr:spPr>
          <a:xfrm xmlns:a="http://schemas.openxmlformats.org/drawingml/2006/main">
            <a:off x="557728" y="0"/>
            <a:ext cx="650811"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accent2">
                    <a:lumMod val="75000"/>
                  </a:schemeClr>
                </a:solidFill>
              </a:rPr>
              <a:t>Ave=62</a:t>
            </a:r>
          </a:p>
        </cdr:txBody>
      </cdr:sp>
    </cdr:grpSp>
  </cdr:relSizeAnchor>
  <cdr:relSizeAnchor xmlns:cdr="http://schemas.openxmlformats.org/drawingml/2006/chartDrawing">
    <cdr:from>
      <cdr:x>0.11663</cdr:x>
      <cdr:y>0.00519</cdr:y>
    </cdr:from>
    <cdr:to>
      <cdr:x>0.22686</cdr:x>
      <cdr:y>0.84855</cdr:y>
    </cdr:to>
    <cdr:grpSp>
      <cdr:nvGrpSpPr>
        <cdr:cNvPr id="13" name="Group 4"/>
        <cdr:cNvGrpSpPr/>
      </cdr:nvGrpSpPr>
      <cdr:grpSpPr>
        <a:xfrm xmlns:a="http://schemas.openxmlformats.org/drawingml/2006/main">
          <a:off x="725764" y="19349"/>
          <a:ext cx="685937" cy="3144077"/>
          <a:chOff x="-52059" y="-119960"/>
          <a:chExt cx="661863" cy="3235871"/>
        </a:xfrm>
      </cdr:grpSpPr>
      <cdr:cxnSp macro="">
        <cdr:nvCxnSpPr>
          <cdr:cNvPr id="14" name="Straight Connector 5"/>
          <cdr:cNvCxnSpPr/>
        </cdr:nvCxnSpPr>
        <cdr:spPr>
          <a:xfrm xmlns:a="http://schemas.openxmlformats.org/drawingml/2006/main" flipH="1">
            <a:off x="241728" y="102586"/>
            <a:ext cx="3666" cy="3013325"/>
          </a:xfrm>
          <a:prstGeom xmlns:a="http://schemas.openxmlformats.org/drawingml/2006/main" prst="line">
            <a:avLst/>
          </a:prstGeom>
          <a:ln xmlns:a="http://schemas.openxmlformats.org/drawingml/2006/main" w="9525"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5" name="TextBox 1"/>
          <cdr:cNvSpPr txBox="1"/>
        </cdr:nvSpPr>
        <cdr:spPr>
          <a:xfrm xmlns:a="http://schemas.openxmlformats.org/drawingml/2006/main">
            <a:off x="-52059" y="-119960"/>
            <a:ext cx="661863"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tx2">
                    <a:lumMod val="75000"/>
                  </a:schemeClr>
                </a:solidFill>
              </a:rPr>
              <a:t>Ave=2.4</a:t>
            </a:r>
          </a:p>
        </cdr:txBody>
      </cdr:sp>
    </cdr:grpSp>
  </cdr:relSizeAnchor>
</c:userShapes>
</file>

<file path=xl/drawings/drawing86.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0.87563</cdr:x>
      <cdr:y>0.03842</cdr:y>
    </cdr:from>
    <cdr:to>
      <cdr:x>0.99701</cdr:x>
      <cdr:y>0.84836</cdr:y>
    </cdr:to>
    <cdr:grpSp>
      <cdr:nvGrpSpPr>
        <cdr:cNvPr id="3" name="Group 2"/>
        <cdr:cNvGrpSpPr/>
      </cdr:nvGrpSpPr>
      <cdr:grpSpPr>
        <a:xfrm xmlns:a="http://schemas.openxmlformats.org/drawingml/2006/main">
          <a:off x="5448859" y="143231"/>
          <a:ext cx="755322" cy="3019486"/>
          <a:chOff x="147745" y="12506"/>
          <a:chExt cx="728909" cy="3107623"/>
        </a:xfrm>
      </cdr:grpSpPr>
      <cdr:cxnSp macro="">
        <cdr:nvCxnSpPr>
          <cdr:cNvPr id="10" name="Straight Connector 9"/>
          <cdr:cNvCxnSpPr/>
        </cdr:nvCxnSpPr>
        <cdr:spPr>
          <a:xfrm xmlns:a="http://schemas.openxmlformats.org/drawingml/2006/main" flipV="1">
            <a:off x="523574" y="190508"/>
            <a:ext cx="6234" cy="2929621"/>
          </a:xfrm>
          <a:prstGeom xmlns:a="http://schemas.openxmlformats.org/drawingml/2006/main" prst="line">
            <a:avLst/>
          </a:prstGeom>
          <a:ln xmlns:a="http://schemas.openxmlformats.org/drawingml/2006/main" w="9525"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47745" y="12506"/>
            <a:ext cx="728909"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00B050"/>
                </a:solidFill>
              </a:rPr>
              <a:t>Ave=27.8</a:t>
            </a:r>
          </a:p>
        </cdr:txBody>
      </cdr:sp>
    </cdr:grpSp>
  </cdr:relSizeAnchor>
  <cdr:relSizeAnchor xmlns:cdr="http://schemas.openxmlformats.org/drawingml/2006/chartDrawing">
    <cdr:from>
      <cdr:x>0.24708</cdr:x>
      <cdr:y>0.04678</cdr:y>
    </cdr:from>
    <cdr:to>
      <cdr:x>0.36557</cdr:x>
      <cdr:y>0.85403</cdr:y>
    </cdr:to>
    <cdr:grpSp>
      <cdr:nvGrpSpPr>
        <cdr:cNvPr id="5" name="Group 4"/>
        <cdr:cNvGrpSpPr/>
      </cdr:nvGrpSpPr>
      <cdr:grpSpPr>
        <a:xfrm xmlns:a="http://schemas.openxmlformats.org/drawingml/2006/main">
          <a:off x="1537526" y="174398"/>
          <a:ext cx="737338" cy="3009457"/>
          <a:chOff x="-69164" y="18585"/>
          <a:chExt cx="711554" cy="3097326"/>
        </a:xfrm>
      </cdr:grpSpPr>
      <cdr:cxnSp macro="">
        <cdr:nvCxnSpPr>
          <cdr:cNvPr id="6" name="Straight Connector 5"/>
          <cdr:cNvCxnSpPr/>
        </cdr:nvCxnSpPr>
        <cdr:spPr>
          <a:xfrm xmlns:a="http://schemas.openxmlformats.org/drawingml/2006/main">
            <a:off x="239820" y="198726"/>
            <a:ext cx="1909" cy="2917185"/>
          </a:xfrm>
          <a:prstGeom xmlns:a="http://schemas.openxmlformats.org/drawingml/2006/main" prst="line">
            <a:avLst/>
          </a:prstGeom>
          <a:ln xmlns:a="http://schemas.openxmlformats.org/drawingml/2006/main" w="9525"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7" name="TextBox 1"/>
          <cdr:cNvSpPr txBox="1"/>
        </cdr:nvSpPr>
        <cdr:spPr>
          <a:xfrm xmlns:a="http://schemas.openxmlformats.org/drawingml/2006/main">
            <a:off x="-69164" y="18585"/>
            <a:ext cx="711554"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tx2">
                    <a:lumMod val="75000"/>
                  </a:schemeClr>
                </a:solidFill>
              </a:rPr>
              <a:t>Ave=6.6</a:t>
            </a:r>
          </a:p>
        </cdr:txBody>
      </cdr:sp>
    </cdr:grpSp>
  </cdr:relSizeAnchor>
</c:userShapes>
</file>

<file path=xl/drawings/drawing87.xml><?xml version="1.0" encoding="utf-8"?>
<c:userShapes xmlns:c="http://schemas.openxmlformats.org/drawingml/2006/chart">
  <cdr:relSizeAnchor xmlns:cdr="http://schemas.openxmlformats.org/drawingml/2006/chartDrawing">
    <cdr:from>
      <cdr:x>1.61052E-7</cdr:x>
      <cdr:y>0.22162</cdr:y>
    </cdr:from>
    <cdr:to>
      <cdr:x>0.03003</cdr:x>
      <cdr:y>0.58634</cdr:y>
    </cdr:to>
    <cdr:sp macro="" textlink="">
      <cdr:nvSpPr>
        <cdr:cNvPr id="2" name="TextBox 78"/>
        <cdr:cNvSpPr txBox="1"/>
      </cdr:nvSpPr>
      <cdr:spPr>
        <a:xfrm xmlns:a="http://schemas.openxmlformats.org/drawingml/2006/main" rot="16200000">
          <a:off x="-571725" y="1379842"/>
          <a:ext cx="1329913" cy="1864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0.39335</cdr:x>
      <cdr:y>0.00353</cdr:y>
    </cdr:from>
    <cdr:to>
      <cdr:x>0.53384</cdr:x>
      <cdr:y>0.84481</cdr:y>
    </cdr:to>
    <cdr:grpSp>
      <cdr:nvGrpSpPr>
        <cdr:cNvPr id="3" name="Group 2"/>
        <cdr:cNvGrpSpPr/>
      </cdr:nvGrpSpPr>
      <cdr:grpSpPr>
        <a:xfrm xmlns:a="http://schemas.openxmlformats.org/drawingml/2006/main">
          <a:off x="2442362" y="12886"/>
          <a:ext cx="872338" cy="3067624"/>
          <a:chOff x="164475" y="-107766"/>
          <a:chExt cx="843748" cy="3227895"/>
        </a:xfrm>
      </cdr:grpSpPr>
      <cdr:cxnSp macro="">
        <cdr:nvCxnSpPr>
          <cdr:cNvPr id="10" name="Straight Connector 9"/>
          <cdr:cNvCxnSpPr/>
        </cdr:nvCxnSpPr>
        <cdr:spPr>
          <a:xfrm xmlns:a="http://schemas.openxmlformats.org/drawingml/2006/main" flipV="1">
            <a:off x="523574" y="190508"/>
            <a:ext cx="6234" cy="2929621"/>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64475" y="-107766"/>
            <a:ext cx="843748"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avg=-101</a:t>
            </a:r>
          </a:p>
        </cdr:txBody>
      </cdr:sp>
    </cdr:grpSp>
  </cdr:relSizeAnchor>
  <cdr:relSizeAnchor xmlns:cdr="http://schemas.openxmlformats.org/drawingml/2006/chartDrawing">
    <cdr:from>
      <cdr:x>0.27996</cdr:x>
      <cdr:y>0.00419</cdr:y>
    </cdr:from>
    <cdr:to>
      <cdr:x>0.40688</cdr:x>
      <cdr:y>0.84371</cdr:y>
    </cdr:to>
    <cdr:grpSp>
      <cdr:nvGrpSpPr>
        <cdr:cNvPr id="4" name="Group 3"/>
        <cdr:cNvGrpSpPr/>
      </cdr:nvGrpSpPr>
      <cdr:grpSpPr>
        <a:xfrm xmlns:a="http://schemas.openxmlformats.org/drawingml/2006/main">
          <a:off x="1738312" y="15287"/>
          <a:ext cx="788085" cy="3061212"/>
          <a:chOff x="498841" y="-105237"/>
          <a:chExt cx="762130" cy="3221148"/>
        </a:xfrm>
      </cdr:grpSpPr>
      <cdr:cxnSp macro="">
        <cdr:nvCxnSpPr>
          <cdr:cNvPr id="8" name="Straight Connector 7"/>
          <cdr:cNvCxnSpPr/>
        </cdr:nvCxnSpPr>
        <cdr:spPr>
          <a:xfrm xmlns:a="http://schemas.openxmlformats.org/drawingml/2006/main" flipV="1">
            <a:off x="830342" y="186290"/>
            <a:ext cx="6235" cy="2929621"/>
          </a:xfrm>
          <a:prstGeom xmlns:a="http://schemas.openxmlformats.org/drawingml/2006/main" prst="line">
            <a:avLst/>
          </a:prstGeom>
          <a:ln xmlns:a="http://schemas.openxmlformats.org/drawingml/2006/main" w="25400"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498841" y="-105237"/>
            <a:ext cx="762130"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C00000"/>
                </a:solidFill>
              </a:rPr>
              <a:t>avg=-97</a:t>
            </a:r>
          </a:p>
        </cdr:txBody>
      </cdr:sp>
    </cdr:grpSp>
  </cdr:relSizeAnchor>
  <cdr:relSizeAnchor xmlns:cdr="http://schemas.openxmlformats.org/drawingml/2006/chartDrawing">
    <cdr:from>
      <cdr:x>0.40038</cdr:x>
      <cdr:y>0.91948</cdr:y>
    </cdr:from>
    <cdr:to>
      <cdr:x>0.54764</cdr:x>
      <cdr:y>1</cdr:y>
    </cdr:to>
    <cdr:sp macro="" textlink="">
      <cdr:nvSpPr>
        <cdr:cNvPr id="6" name="TextBox 5"/>
        <cdr:cNvSpPr txBox="1"/>
      </cdr:nvSpPr>
      <cdr:spPr>
        <a:xfrm xmlns:a="http://schemas.openxmlformats.org/drawingml/2006/main">
          <a:off x="2486025" y="3352800"/>
          <a:ext cx="914400" cy="2935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effectLst/>
              <a:latin typeface="+mn-lt"/>
              <a:ea typeface="+mn-ea"/>
              <a:cs typeface="+mn-cs"/>
            </a:rPr>
            <a:t>RF receiver sensitivity</a:t>
          </a:r>
          <a:r>
            <a:rPr lang="en-SG" sz="1400" b="1" i="0" baseline="0">
              <a:effectLst/>
              <a:latin typeface="+mn-lt"/>
              <a:ea typeface="+mn-ea"/>
              <a:cs typeface="+mn-cs"/>
            </a:rPr>
            <a:t> (dBm)</a:t>
          </a:r>
          <a:endParaRPr lang="en-SG" sz="1400" b="1">
            <a:effectLst/>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0.32456</cdr:x>
      <cdr:y>0.03197</cdr:y>
    </cdr:from>
    <cdr:to>
      <cdr:x>0.44793</cdr:x>
      <cdr:y>0.8419</cdr:y>
    </cdr:to>
    <cdr:grpSp>
      <cdr:nvGrpSpPr>
        <cdr:cNvPr id="3" name="Group 2"/>
        <cdr:cNvGrpSpPr/>
      </cdr:nvGrpSpPr>
      <cdr:grpSpPr>
        <a:xfrm xmlns:a="http://schemas.openxmlformats.org/drawingml/2006/main">
          <a:off x="2019668" y="119185"/>
          <a:ext cx="767705" cy="3019449"/>
          <a:chOff x="308711" y="12506"/>
          <a:chExt cx="740880" cy="3107623"/>
        </a:xfrm>
      </cdr:grpSpPr>
      <cdr:cxnSp macro="">
        <cdr:nvCxnSpPr>
          <cdr:cNvPr id="10" name="Straight Connector 9"/>
          <cdr:cNvCxnSpPr/>
        </cdr:nvCxnSpPr>
        <cdr:spPr>
          <a:xfrm xmlns:a="http://schemas.openxmlformats.org/drawingml/2006/main" flipV="1">
            <a:off x="523574" y="190508"/>
            <a:ext cx="6234" cy="2929621"/>
          </a:xfrm>
          <a:prstGeom xmlns:a="http://schemas.openxmlformats.org/drawingml/2006/main" prst="line">
            <a:avLst/>
          </a:prstGeom>
          <a:ln xmlns:a="http://schemas.openxmlformats.org/drawingml/2006/main" w="9525"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308711" y="12506"/>
            <a:ext cx="740880"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00B050"/>
                </a:solidFill>
              </a:rPr>
              <a:t>Ave=12.4</a:t>
            </a:r>
          </a:p>
        </cdr:txBody>
      </cdr:sp>
    </cdr:grpSp>
  </cdr:relSizeAnchor>
  <cdr:relSizeAnchor xmlns:cdr="http://schemas.openxmlformats.org/drawingml/2006/chartDrawing">
    <cdr:from>
      <cdr:x>0.2101</cdr:x>
      <cdr:y>0.02194</cdr:y>
    </cdr:from>
    <cdr:to>
      <cdr:x>0.315</cdr:x>
      <cdr:y>0.83403</cdr:y>
    </cdr:to>
    <cdr:grpSp>
      <cdr:nvGrpSpPr>
        <cdr:cNvPr id="4" name="Group 3"/>
        <cdr:cNvGrpSpPr/>
      </cdr:nvGrpSpPr>
      <cdr:grpSpPr>
        <a:xfrm xmlns:a="http://schemas.openxmlformats.org/drawingml/2006/main">
          <a:off x="1307408" y="81793"/>
          <a:ext cx="652770" cy="3027502"/>
          <a:chOff x="298128" y="0"/>
          <a:chExt cx="629979" cy="3115911"/>
        </a:xfrm>
      </cdr:grpSpPr>
      <cdr:cxnSp macro="">
        <cdr:nvCxnSpPr>
          <cdr:cNvPr id="8" name="Straight Connector 7"/>
          <cdr:cNvCxnSpPr/>
        </cdr:nvCxnSpPr>
        <cdr:spPr>
          <a:xfrm xmlns:a="http://schemas.openxmlformats.org/drawingml/2006/main" flipV="1">
            <a:off x="830342" y="186290"/>
            <a:ext cx="6235" cy="2929621"/>
          </a:xfrm>
          <a:prstGeom xmlns:a="http://schemas.openxmlformats.org/drawingml/2006/main" prst="line">
            <a:avLst/>
          </a:prstGeom>
          <a:ln xmlns:a="http://schemas.openxmlformats.org/drawingml/2006/main" w="9525"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298128" y="0"/>
            <a:ext cx="629979"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accent2">
                    <a:lumMod val="75000"/>
                  </a:schemeClr>
                </a:solidFill>
              </a:rPr>
              <a:t>Ave=12</a:t>
            </a:r>
          </a:p>
        </cdr:txBody>
      </cdr:sp>
    </cdr:grpSp>
  </cdr:relSizeAnchor>
  <cdr:relSizeAnchor xmlns:cdr="http://schemas.openxmlformats.org/drawingml/2006/chartDrawing">
    <cdr:from>
      <cdr:x>0.43204</cdr:x>
      <cdr:y>0.02905</cdr:y>
    </cdr:from>
    <cdr:to>
      <cdr:x>0.5433</cdr:x>
      <cdr:y>0.83629</cdr:y>
    </cdr:to>
    <cdr:grpSp>
      <cdr:nvGrpSpPr>
        <cdr:cNvPr id="5" name="Group 4"/>
        <cdr:cNvGrpSpPr/>
      </cdr:nvGrpSpPr>
      <cdr:grpSpPr>
        <a:xfrm xmlns:a="http://schemas.openxmlformats.org/drawingml/2006/main">
          <a:off x="2688493" y="108299"/>
          <a:ext cx="692347" cy="3009421"/>
          <a:chOff x="-87133" y="18585"/>
          <a:chExt cx="668167" cy="3097326"/>
        </a:xfrm>
      </cdr:grpSpPr>
      <cdr:cxnSp macro="">
        <cdr:nvCxnSpPr>
          <cdr:cNvPr id="6" name="Straight Connector 5"/>
          <cdr:cNvCxnSpPr/>
        </cdr:nvCxnSpPr>
        <cdr:spPr>
          <a:xfrm xmlns:a="http://schemas.openxmlformats.org/drawingml/2006/main">
            <a:off x="239820" y="198726"/>
            <a:ext cx="1909" cy="2917185"/>
          </a:xfrm>
          <a:prstGeom xmlns:a="http://schemas.openxmlformats.org/drawingml/2006/main" prst="line">
            <a:avLst/>
          </a:prstGeom>
          <a:ln xmlns:a="http://schemas.openxmlformats.org/drawingml/2006/main" w="9525"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7" name="TextBox 1"/>
          <cdr:cNvSpPr txBox="1"/>
        </cdr:nvSpPr>
        <cdr:spPr>
          <a:xfrm xmlns:a="http://schemas.openxmlformats.org/drawingml/2006/main">
            <a:off x="-87133" y="18585"/>
            <a:ext cx="668167"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tx2">
                    <a:lumMod val="75000"/>
                  </a:schemeClr>
                </a:solidFill>
              </a:rPr>
              <a:t>Ave=15</a:t>
            </a:r>
          </a:p>
        </cdr:txBody>
      </cdr:sp>
    </cdr:grpSp>
  </cdr:relSizeAnchor>
</c:userShapes>
</file>

<file path=xl/drawings/drawing89.xml><?xml version="1.0" encoding="utf-8"?>
<c:userShapes xmlns:c="http://schemas.openxmlformats.org/drawingml/2006/chart">
  <cdr:relSizeAnchor xmlns:cdr="http://schemas.openxmlformats.org/drawingml/2006/chartDrawing">
    <cdr:from>
      <cdr:x>0</cdr:x>
      <cdr:y>0.22366</cdr:y>
    </cdr:from>
    <cdr:to>
      <cdr:x>0.03003</cdr:x>
      <cdr:y>0.58838</cdr:y>
    </cdr:to>
    <cdr:sp macro="" textlink="">
      <cdr:nvSpPr>
        <cdr:cNvPr id="2" name="TextBox 78"/>
        <cdr:cNvSpPr txBox="1"/>
      </cdr:nvSpPr>
      <cdr:spPr>
        <a:xfrm xmlns:a="http://schemas.openxmlformats.org/drawingml/2006/main" rot="16200000">
          <a:off x="-588775" y="1424698"/>
          <a:ext cx="1363142" cy="18559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0.38945</cdr:x>
      <cdr:y>0.00973</cdr:y>
    </cdr:from>
    <cdr:to>
      <cdr:x>0.51678</cdr:x>
      <cdr:y>0.84449</cdr:y>
    </cdr:to>
    <cdr:grpSp>
      <cdr:nvGrpSpPr>
        <cdr:cNvPr id="3" name="Group 2"/>
        <cdr:cNvGrpSpPr/>
      </cdr:nvGrpSpPr>
      <cdr:grpSpPr>
        <a:xfrm xmlns:a="http://schemas.openxmlformats.org/drawingml/2006/main">
          <a:off x="2406900" y="36366"/>
          <a:ext cx="786875" cy="3119918"/>
          <a:chOff x="141304" y="-82725"/>
          <a:chExt cx="764618" cy="3202854"/>
        </a:xfrm>
      </cdr:grpSpPr>
      <cdr:cxnSp macro="">
        <cdr:nvCxnSpPr>
          <cdr:cNvPr id="10" name="Straight Connector 9"/>
          <cdr:cNvCxnSpPr/>
        </cdr:nvCxnSpPr>
        <cdr:spPr>
          <a:xfrm xmlns:a="http://schemas.openxmlformats.org/drawingml/2006/main" flipV="1">
            <a:off x="523574" y="190508"/>
            <a:ext cx="6234" cy="2929621"/>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41304" y="-82725"/>
            <a:ext cx="764618"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avg=8.7</a:t>
            </a:r>
          </a:p>
        </cdr:txBody>
      </cdr:sp>
    </cdr:grpSp>
  </cdr:relSizeAnchor>
  <cdr:relSizeAnchor xmlns:cdr="http://schemas.openxmlformats.org/drawingml/2006/chartDrawing">
    <cdr:from>
      <cdr:x>0.61534</cdr:x>
      <cdr:y>0.00937</cdr:y>
    </cdr:from>
    <cdr:to>
      <cdr:x>0.73442</cdr:x>
      <cdr:y>0.84565</cdr:y>
    </cdr:to>
    <cdr:grpSp>
      <cdr:nvGrpSpPr>
        <cdr:cNvPr id="4" name="Group 3"/>
        <cdr:cNvGrpSpPr/>
      </cdr:nvGrpSpPr>
      <cdr:grpSpPr>
        <a:xfrm xmlns:a="http://schemas.openxmlformats.org/drawingml/2006/main">
          <a:off x="3802906" y="35030"/>
          <a:ext cx="735964" cy="3125589"/>
          <a:chOff x="569376" y="-92767"/>
          <a:chExt cx="715077" cy="3208678"/>
        </a:xfrm>
      </cdr:grpSpPr>
      <cdr:cxnSp macro="">
        <cdr:nvCxnSpPr>
          <cdr:cNvPr id="8" name="Straight Connector 7"/>
          <cdr:cNvCxnSpPr/>
        </cdr:nvCxnSpPr>
        <cdr:spPr>
          <a:xfrm xmlns:a="http://schemas.openxmlformats.org/drawingml/2006/main" flipV="1">
            <a:off x="830342" y="186290"/>
            <a:ext cx="6235" cy="2929621"/>
          </a:xfrm>
          <a:prstGeom xmlns:a="http://schemas.openxmlformats.org/drawingml/2006/main" prst="line">
            <a:avLst/>
          </a:prstGeom>
          <a:ln xmlns:a="http://schemas.openxmlformats.org/drawingml/2006/main" w="25400"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569376" y="-92767"/>
            <a:ext cx="715077"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accent2">
                    <a:lumMod val="75000"/>
                  </a:schemeClr>
                </a:solidFill>
              </a:rPr>
              <a:t>avg=12</a:t>
            </a:r>
          </a:p>
        </cdr:txBody>
      </cdr:sp>
    </cdr:grpSp>
  </cdr:relSizeAnchor>
</c:userShapes>
</file>

<file path=xl/drawings/drawing9.xml><?xml version="1.0" encoding="utf-8"?>
<c:userShapes xmlns:c="http://schemas.openxmlformats.org/drawingml/2006/chart">
  <cdr:relSizeAnchor xmlns:cdr="http://schemas.openxmlformats.org/drawingml/2006/chartDrawing">
    <cdr:from>
      <cdr:x>0.00625</cdr:x>
      <cdr:y>0.00728</cdr:y>
    </cdr:from>
    <cdr:to>
      <cdr:x>0.17032</cdr:x>
      <cdr:y>0.04743</cdr:y>
    </cdr:to>
    <cdr:sp macro="" textlink="">
      <cdr:nvSpPr>
        <cdr:cNvPr id="2" name="TextBox 78"/>
        <cdr:cNvSpPr txBox="1"/>
      </cdr:nvSpPr>
      <cdr:spPr>
        <a:xfrm xmlns:a="http://schemas.openxmlformats.org/drawingml/2006/main">
          <a:off x="50800" y="50800"/>
          <a:ext cx="1333500" cy="2801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Occurrence (%)</a:t>
          </a:r>
        </a:p>
      </cdr:txBody>
    </cdr:sp>
  </cdr:relSizeAnchor>
</c:userShapes>
</file>

<file path=xl/drawings/drawing90.xml><?xml version="1.0" encoding="utf-8"?>
<c:userShapes xmlns:c="http://schemas.openxmlformats.org/drawingml/2006/chart">
  <cdr:relSizeAnchor xmlns:cdr="http://schemas.openxmlformats.org/drawingml/2006/chartDrawing">
    <cdr:from>
      <cdr:x>1.61052E-7</cdr:x>
      <cdr:y>0.19027</cdr:y>
    </cdr:from>
    <cdr:to>
      <cdr:x>0.03003</cdr:x>
      <cdr:y>0.55499</cdr:y>
    </cdr:to>
    <cdr:sp macro="" textlink="">
      <cdr:nvSpPr>
        <cdr:cNvPr id="2" name="TextBox 78"/>
        <cdr:cNvSpPr txBox="1"/>
      </cdr:nvSpPr>
      <cdr:spPr>
        <a:xfrm xmlns:a="http://schemas.openxmlformats.org/drawingml/2006/main" rot="16200000">
          <a:off x="-571725" y="1265542"/>
          <a:ext cx="1329913" cy="1864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0.84831</cdr:x>
      <cdr:y>0.00225</cdr:y>
    </cdr:from>
    <cdr:to>
      <cdr:x>1</cdr:x>
      <cdr:y>0.79279</cdr:y>
    </cdr:to>
    <cdr:grpSp>
      <cdr:nvGrpSpPr>
        <cdr:cNvPr id="3" name="Group 2"/>
        <cdr:cNvGrpSpPr/>
      </cdr:nvGrpSpPr>
      <cdr:grpSpPr>
        <a:xfrm xmlns:a="http://schemas.openxmlformats.org/drawingml/2006/main">
          <a:off x="5267325" y="8221"/>
          <a:ext cx="941855" cy="2882617"/>
          <a:chOff x="1359088" y="-105601"/>
          <a:chExt cx="910820" cy="3033124"/>
        </a:xfrm>
      </cdr:grpSpPr>
      <cdr:cxnSp macro="">
        <cdr:nvCxnSpPr>
          <cdr:cNvPr id="10" name="Straight Connector 9"/>
          <cdr:cNvCxnSpPr/>
        </cdr:nvCxnSpPr>
        <cdr:spPr>
          <a:xfrm xmlns:a="http://schemas.openxmlformats.org/drawingml/2006/main" flipV="1">
            <a:off x="1414801" y="173190"/>
            <a:ext cx="0" cy="2754333"/>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359088" y="-105601"/>
            <a:ext cx="910820"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400" b="1">
                <a:solidFill>
                  <a:srgbClr val="00B050"/>
                </a:solidFill>
              </a:rPr>
              <a:t>avg=2,405</a:t>
            </a:r>
          </a:p>
        </cdr:txBody>
      </cdr:sp>
    </cdr:grpSp>
  </cdr:relSizeAnchor>
  <cdr:relSizeAnchor xmlns:cdr="http://schemas.openxmlformats.org/drawingml/2006/chartDrawing">
    <cdr:from>
      <cdr:x>0.67442</cdr:x>
      <cdr:y>0.00423</cdr:y>
    </cdr:from>
    <cdr:to>
      <cdr:x>0.82684</cdr:x>
      <cdr:y>0.7941</cdr:y>
    </cdr:to>
    <cdr:grpSp>
      <cdr:nvGrpSpPr>
        <cdr:cNvPr id="4" name="Group 3"/>
        <cdr:cNvGrpSpPr/>
      </cdr:nvGrpSpPr>
      <cdr:grpSpPr>
        <a:xfrm xmlns:a="http://schemas.openxmlformats.org/drawingml/2006/main">
          <a:off x="4187605" y="15435"/>
          <a:ext cx="946369" cy="2880165"/>
          <a:chOff x="469820" y="-103802"/>
          <a:chExt cx="915161" cy="3030594"/>
        </a:xfrm>
      </cdr:grpSpPr>
      <cdr:cxnSp macro="">
        <cdr:nvCxnSpPr>
          <cdr:cNvPr id="8" name="Straight Connector 7"/>
          <cdr:cNvCxnSpPr/>
        </cdr:nvCxnSpPr>
        <cdr:spPr>
          <a:xfrm xmlns:a="http://schemas.openxmlformats.org/drawingml/2006/main" flipV="1">
            <a:off x="836577" y="186290"/>
            <a:ext cx="0" cy="2740502"/>
          </a:xfrm>
          <a:prstGeom xmlns:a="http://schemas.openxmlformats.org/drawingml/2006/main" prst="line">
            <a:avLst/>
          </a:prstGeom>
          <a:ln xmlns:a="http://schemas.openxmlformats.org/drawingml/2006/main" w="25400"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469820" y="-103802"/>
            <a:ext cx="915161"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C00000"/>
                </a:solidFill>
              </a:rPr>
              <a:t>avg=2,181</a:t>
            </a:r>
          </a:p>
        </cdr:txBody>
      </cdr:sp>
    </cdr:grpSp>
  </cdr:relSizeAnchor>
</c:userShapes>
</file>

<file path=xl/drawings/drawing91.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0.18423</cdr:x>
      <cdr:y>0.00659</cdr:y>
    </cdr:from>
    <cdr:to>
      <cdr:x>0.32417</cdr:x>
      <cdr:y>0.84062</cdr:y>
    </cdr:to>
    <cdr:grpSp>
      <cdr:nvGrpSpPr>
        <cdr:cNvPr id="3" name="Group 2"/>
        <cdr:cNvGrpSpPr/>
      </cdr:nvGrpSpPr>
      <cdr:grpSpPr>
        <a:xfrm xmlns:a="http://schemas.openxmlformats.org/drawingml/2006/main">
          <a:off x="1137140" y="24132"/>
          <a:ext cx="863820" cy="3053417"/>
          <a:chOff x="-64407" y="-79934"/>
          <a:chExt cx="840288" cy="3200063"/>
        </a:xfrm>
      </cdr:grpSpPr>
      <cdr:cxnSp macro="">
        <cdr:nvCxnSpPr>
          <cdr:cNvPr id="10" name="Straight Connector 9"/>
          <cdr:cNvCxnSpPr/>
        </cdr:nvCxnSpPr>
        <cdr:spPr>
          <a:xfrm xmlns:a="http://schemas.openxmlformats.org/drawingml/2006/main" flipV="1">
            <a:off x="523574" y="190508"/>
            <a:ext cx="6234" cy="2929621"/>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64407" y="-79934"/>
            <a:ext cx="840288"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avg=67.6</a:t>
            </a:r>
          </a:p>
        </cdr:txBody>
      </cdr:sp>
    </cdr:grpSp>
  </cdr:relSizeAnchor>
  <cdr:relSizeAnchor xmlns:cdr="http://schemas.openxmlformats.org/drawingml/2006/chartDrawing">
    <cdr:from>
      <cdr:x>0.31831</cdr:x>
      <cdr:y>0.00816</cdr:y>
    </cdr:from>
    <cdr:to>
      <cdr:x>0.44822</cdr:x>
      <cdr:y>0.84629</cdr:y>
    </cdr:to>
    <cdr:grpSp>
      <cdr:nvGrpSpPr>
        <cdr:cNvPr id="4" name="Group 3"/>
        <cdr:cNvGrpSpPr/>
      </cdr:nvGrpSpPr>
      <cdr:grpSpPr>
        <a:xfrm xmlns:a="http://schemas.openxmlformats.org/drawingml/2006/main">
          <a:off x="1964760" y="29882"/>
          <a:ext cx="801885" cy="3068425"/>
          <a:chOff x="393591" y="-99925"/>
          <a:chExt cx="780155" cy="3215836"/>
        </a:xfrm>
      </cdr:grpSpPr>
      <cdr:cxnSp macro="">
        <cdr:nvCxnSpPr>
          <cdr:cNvPr id="8" name="Straight Connector 7"/>
          <cdr:cNvCxnSpPr/>
        </cdr:nvCxnSpPr>
        <cdr:spPr>
          <a:xfrm xmlns:a="http://schemas.openxmlformats.org/drawingml/2006/main" flipV="1">
            <a:off x="830342" y="186290"/>
            <a:ext cx="6235" cy="2929621"/>
          </a:xfrm>
          <a:prstGeom xmlns:a="http://schemas.openxmlformats.org/drawingml/2006/main" prst="line">
            <a:avLst/>
          </a:prstGeom>
          <a:ln xmlns:a="http://schemas.openxmlformats.org/drawingml/2006/main" w="25400"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393591" y="-99925"/>
            <a:ext cx="780155"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C00000"/>
                </a:solidFill>
              </a:rPr>
              <a:t>avg=100</a:t>
            </a:r>
          </a:p>
        </cdr:txBody>
      </cdr:sp>
    </cdr:grpSp>
  </cdr:relSizeAnchor>
  <cdr:relSizeAnchor xmlns:cdr="http://schemas.openxmlformats.org/drawingml/2006/chartDrawing">
    <cdr:from>
      <cdr:x>0.38879</cdr:x>
      <cdr:y>0.08402</cdr:y>
    </cdr:from>
    <cdr:to>
      <cdr:x>0.52039</cdr:x>
      <cdr:y>0.85306</cdr:y>
    </cdr:to>
    <cdr:grpSp>
      <cdr:nvGrpSpPr>
        <cdr:cNvPr id="5" name="Group 4"/>
        <cdr:cNvGrpSpPr/>
      </cdr:nvGrpSpPr>
      <cdr:grpSpPr>
        <a:xfrm xmlns:a="http://schemas.openxmlformats.org/drawingml/2006/main">
          <a:off x="2399798" y="307619"/>
          <a:ext cx="812324" cy="2815474"/>
          <a:chOff x="122698" y="165203"/>
          <a:chExt cx="790275" cy="2950708"/>
        </a:xfrm>
      </cdr:grpSpPr>
      <cdr:cxnSp macro="">
        <cdr:nvCxnSpPr>
          <cdr:cNvPr id="6" name="Straight Connector 5"/>
          <cdr:cNvCxnSpPr/>
        </cdr:nvCxnSpPr>
        <cdr:spPr>
          <a:xfrm xmlns:a="http://schemas.openxmlformats.org/drawingml/2006/main">
            <a:off x="241728" y="420257"/>
            <a:ext cx="0" cy="2695654"/>
          </a:xfrm>
          <a:prstGeom xmlns:a="http://schemas.openxmlformats.org/drawingml/2006/main" prst="line">
            <a:avLst/>
          </a:prstGeom>
          <a:ln xmlns:a="http://schemas.openxmlformats.org/drawingml/2006/main" w="25400"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7" name="TextBox 1"/>
          <cdr:cNvSpPr txBox="1"/>
        </cdr:nvSpPr>
        <cdr:spPr>
          <a:xfrm xmlns:a="http://schemas.openxmlformats.org/drawingml/2006/main">
            <a:off x="122698" y="165203"/>
            <a:ext cx="790275"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tx2">
                    <a:lumMod val="75000"/>
                  </a:schemeClr>
                </a:solidFill>
              </a:rPr>
              <a:t>avg=135</a:t>
            </a:r>
          </a:p>
        </cdr:txBody>
      </cdr:sp>
    </cdr:grpSp>
  </cdr:relSizeAnchor>
</c:userShapes>
</file>

<file path=xl/drawings/drawing92.xml><?xml version="1.0" encoding="utf-8"?>
<c:userShapes xmlns:c="http://schemas.openxmlformats.org/drawingml/2006/chart">
  <cdr:relSizeAnchor xmlns:cdr="http://schemas.openxmlformats.org/drawingml/2006/chartDrawing">
    <cdr:from>
      <cdr:x>1.61052E-7</cdr:x>
      <cdr:y>0.19027</cdr:y>
    </cdr:from>
    <cdr:to>
      <cdr:x>0.03003</cdr:x>
      <cdr:y>0.55499</cdr:y>
    </cdr:to>
    <cdr:sp macro="" textlink="">
      <cdr:nvSpPr>
        <cdr:cNvPr id="2" name="TextBox 78"/>
        <cdr:cNvSpPr txBox="1"/>
      </cdr:nvSpPr>
      <cdr:spPr>
        <a:xfrm xmlns:a="http://schemas.openxmlformats.org/drawingml/2006/main" rot="16200000">
          <a:off x="-571725" y="1265542"/>
          <a:ext cx="1329913" cy="1864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0.26063</cdr:x>
      <cdr:y>0.07391</cdr:y>
    </cdr:from>
    <cdr:to>
      <cdr:x>0.40623</cdr:x>
      <cdr:y>0.80993</cdr:y>
    </cdr:to>
    <cdr:grpSp>
      <cdr:nvGrpSpPr>
        <cdr:cNvPr id="3" name="Group 2"/>
        <cdr:cNvGrpSpPr/>
      </cdr:nvGrpSpPr>
      <cdr:grpSpPr>
        <a:xfrm xmlns:a="http://schemas.openxmlformats.org/drawingml/2006/main">
          <a:off x="1618299" y="269492"/>
          <a:ext cx="904040" cy="2683832"/>
          <a:chOff x="443045" y="296086"/>
          <a:chExt cx="874387" cy="2824043"/>
        </a:xfrm>
      </cdr:grpSpPr>
      <cdr:cxnSp macro="">
        <cdr:nvCxnSpPr>
          <cdr:cNvPr id="10" name="Straight Connector 9"/>
          <cdr:cNvCxnSpPr/>
        </cdr:nvCxnSpPr>
        <cdr:spPr>
          <a:xfrm xmlns:a="http://schemas.openxmlformats.org/drawingml/2006/main" flipV="1">
            <a:off x="523574" y="520366"/>
            <a:ext cx="0" cy="2599763"/>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443045" y="296086"/>
            <a:ext cx="874387" cy="2322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avg=1.96</a:t>
            </a:r>
          </a:p>
        </cdr:txBody>
      </cdr:sp>
    </cdr:grpSp>
  </cdr:relSizeAnchor>
  <cdr:relSizeAnchor xmlns:cdr="http://schemas.openxmlformats.org/drawingml/2006/chartDrawing">
    <cdr:from>
      <cdr:x>0.48338</cdr:x>
      <cdr:y>0.00644</cdr:y>
    </cdr:from>
    <cdr:to>
      <cdr:x>0.60747</cdr:x>
      <cdr:y>0.84596</cdr:y>
    </cdr:to>
    <cdr:grpSp>
      <cdr:nvGrpSpPr>
        <cdr:cNvPr id="4" name="Group 3"/>
        <cdr:cNvGrpSpPr/>
      </cdr:nvGrpSpPr>
      <cdr:grpSpPr>
        <a:xfrm xmlns:a="http://schemas.openxmlformats.org/drawingml/2006/main">
          <a:off x="3001375" y="23491"/>
          <a:ext cx="770525" cy="3061212"/>
          <a:chOff x="565920" y="-105237"/>
          <a:chExt cx="745181" cy="3221148"/>
        </a:xfrm>
      </cdr:grpSpPr>
      <cdr:cxnSp macro="">
        <cdr:nvCxnSpPr>
          <cdr:cNvPr id="8" name="Straight Connector 7"/>
          <cdr:cNvCxnSpPr/>
        </cdr:nvCxnSpPr>
        <cdr:spPr>
          <a:xfrm xmlns:a="http://schemas.openxmlformats.org/drawingml/2006/main" flipV="1">
            <a:off x="830342" y="186290"/>
            <a:ext cx="6235" cy="2929621"/>
          </a:xfrm>
          <a:prstGeom xmlns:a="http://schemas.openxmlformats.org/drawingml/2006/main" prst="line">
            <a:avLst/>
          </a:prstGeom>
          <a:ln xmlns:a="http://schemas.openxmlformats.org/drawingml/2006/main" w="25400"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565920" y="-105237"/>
            <a:ext cx="745181"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C00000"/>
                </a:solidFill>
              </a:rPr>
              <a:t>avg=3.7</a:t>
            </a:r>
          </a:p>
        </cdr:txBody>
      </cdr:sp>
    </cdr:grpSp>
  </cdr:relSizeAnchor>
  <cdr:relSizeAnchor xmlns:cdr="http://schemas.openxmlformats.org/drawingml/2006/chartDrawing">
    <cdr:from>
      <cdr:x>0.25112</cdr:x>
      <cdr:y>0.0092</cdr:y>
    </cdr:from>
    <cdr:to>
      <cdr:x>0.39341</cdr:x>
      <cdr:y>0.82339</cdr:y>
    </cdr:to>
    <cdr:grpSp>
      <cdr:nvGrpSpPr>
        <cdr:cNvPr id="5" name="Group 4"/>
        <cdr:cNvGrpSpPr/>
      </cdr:nvGrpSpPr>
      <cdr:grpSpPr>
        <a:xfrm xmlns:a="http://schemas.openxmlformats.org/drawingml/2006/main">
          <a:off x="1559264" y="33540"/>
          <a:ext cx="883460" cy="2968865"/>
          <a:chOff x="143046" y="-8118"/>
          <a:chExt cx="854468" cy="3124029"/>
        </a:xfrm>
      </cdr:grpSpPr>
      <cdr:cxnSp macro="">
        <cdr:nvCxnSpPr>
          <cdr:cNvPr id="6" name="Straight Connector 5"/>
          <cdr:cNvCxnSpPr/>
        </cdr:nvCxnSpPr>
        <cdr:spPr>
          <a:xfrm xmlns:a="http://schemas.openxmlformats.org/drawingml/2006/main">
            <a:off x="241730" y="247251"/>
            <a:ext cx="0" cy="2868660"/>
          </a:xfrm>
          <a:prstGeom xmlns:a="http://schemas.openxmlformats.org/drawingml/2006/main" prst="line">
            <a:avLst/>
          </a:prstGeom>
          <a:ln xmlns:a="http://schemas.openxmlformats.org/drawingml/2006/main" w="25400"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7" name="TextBox 1"/>
          <cdr:cNvSpPr txBox="1"/>
        </cdr:nvSpPr>
        <cdr:spPr>
          <a:xfrm xmlns:a="http://schemas.openxmlformats.org/drawingml/2006/main">
            <a:off x="143046" y="-8118"/>
            <a:ext cx="854468" cy="2503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tx2">
                    <a:lumMod val="75000"/>
                  </a:schemeClr>
                </a:solidFill>
              </a:rPr>
              <a:t>avg=1.95</a:t>
            </a:r>
          </a:p>
        </cdr:txBody>
      </cdr:sp>
    </cdr:grpSp>
  </cdr:relSizeAnchor>
</c:userShapes>
</file>

<file path=xl/drawings/drawing93.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0.35401</cdr:x>
      <cdr:y>0.07389</cdr:y>
    </cdr:from>
    <cdr:to>
      <cdr:x>0.47683</cdr:x>
      <cdr:y>0.84545</cdr:y>
    </cdr:to>
    <cdr:grpSp>
      <cdr:nvGrpSpPr>
        <cdr:cNvPr id="3" name="Group 2"/>
        <cdr:cNvGrpSpPr/>
      </cdr:nvGrpSpPr>
      <cdr:grpSpPr>
        <a:xfrm xmlns:a="http://schemas.openxmlformats.org/drawingml/2006/main">
          <a:off x="2191368" y="272247"/>
          <a:ext cx="760272" cy="2842808"/>
          <a:chOff x="-137338" y="159711"/>
          <a:chExt cx="737493" cy="2960418"/>
        </a:xfrm>
      </cdr:grpSpPr>
      <cdr:cxnSp macro="">
        <cdr:nvCxnSpPr>
          <cdr:cNvPr id="10" name="Straight Connector 9"/>
          <cdr:cNvCxnSpPr/>
        </cdr:nvCxnSpPr>
        <cdr:spPr>
          <a:xfrm xmlns:a="http://schemas.openxmlformats.org/drawingml/2006/main" flipV="1">
            <a:off x="523574" y="190508"/>
            <a:ext cx="6234" cy="2929621"/>
          </a:xfrm>
          <a:prstGeom xmlns:a="http://schemas.openxmlformats.org/drawingml/2006/main" prst="line">
            <a:avLst/>
          </a:prstGeom>
          <a:ln xmlns:a="http://schemas.openxmlformats.org/drawingml/2006/main" w="9525"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37338" y="159711"/>
            <a:ext cx="737493"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00B050"/>
                </a:solidFill>
              </a:rPr>
              <a:t>Ave=3.52</a:t>
            </a:r>
          </a:p>
        </cdr:txBody>
      </cdr:sp>
    </cdr:grpSp>
  </cdr:relSizeAnchor>
  <cdr:relSizeAnchor xmlns:cdr="http://schemas.openxmlformats.org/drawingml/2006/chartDrawing">
    <cdr:from>
      <cdr:x>0.66207</cdr:x>
      <cdr:y>0.03678</cdr:y>
    </cdr:from>
    <cdr:to>
      <cdr:x>0.77304</cdr:x>
      <cdr:y>0.84887</cdr:y>
    </cdr:to>
    <cdr:grpSp>
      <cdr:nvGrpSpPr>
        <cdr:cNvPr id="4" name="Group 3"/>
        <cdr:cNvGrpSpPr/>
      </cdr:nvGrpSpPr>
      <cdr:grpSpPr>
        <a:xfrm xmlns:a="http://schemas.openxmlformats.org/drawingml/2006/main">
          <a:off x="4098299" y="135516"/>
          <a:ext cx="686919" cy="2992140"/>
          <a:chOff x="636549" y="0"/>
          <a:chExt cx="666461" cy="3115911"/>
        </a:xfrm>
      </cdr:grpSpPr>
      <cdr:cxnSp macro="">
        <cdr:nvCxnSpPr>
          <cdr:cNvPr id="8" name="Straight Connector 7"/>
          <cdr:cNvCxnSpPr/>
        </cdr:nvCxnSpPr>
        <cdr:spPr>
          <a:xfrm xmlns:a="http://schemas.openxmlformats.org/drawingml/2006/main" flipV="1">
            <a:off x="830342" y="186290"/>
            <a:ext cx="6235" cy="2929621"/>
          </a:xfrm>
          <a:prstGeom xmlns:a="http://schemas.openxmlformats.org/drawingml/2006/main" prst="line">
            <a:avLst/>
          </a:prstGeom>
          <a:ln xmlns:a="http://schemas.openxmlformats.org/drawingml/2006/main" w="9525"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636549" y="0"/>
            <a:ext cx="666461"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accent2">
                    <a:lumMod val="75000"/>
                  </a:schemeClr>
                </a:solidFill>
              </a:rPr>
              <a:t>Ave=7.6</a:t>
            </a:r>
          </a:p>
        </cdr:txBody>
      </cdr:sp>
    </cdr:grpSp>
  </cdr:relSizeAnchor>
  <cdr:relSizeAnchor xmlns:cdr="http://schemas.openxmlformats.org/drawingml/2006/chartDrawing">
    <cdr:from>
      <cdr:x>0.46936</cdr:x>
      <cdr:y>0.06644</cdr:y>
    </cdr:from>
    <cdr:to>
      <cdr:x>0.60254</cdr:x>
      <cdr:y>0.85112</cdr:y>
    </cdr:to>
    <cdr:grpSp>
      <cdr:nvGrpSpPr>
        <cdr:cNvPr id="5" name="Group 4"/>
        <cdr:cNvGrpSpPr/>
      </cdr:nvGrpSpPr>
      <cdr:grpSpPr>
        <a:xfrm xmlns:a="http://schemas.openxmlformats.org/drawingml/2006/main">
          <a:off x="2905399" y="244798"/>
          <a:ext cx="824402" cy="2891149"/>
          <a:chOff x="208234" y="105176"/>
          <a:chExt cx="799702" cy="3010735"/>
        </a:xfrm>
      </cdr:grpSpPr>
      <cdr:cxnSp macro="">
        <cdr:nvCxnSpPr>
          <cdr:cNvPr id="6" name="Straight Connector 5"/>
          <cdr:cNvCxnSpPr/>
        </cdr:nvCxnSpPr>
        <cdr:spPr>
          <a:xfrm xmlns:a="http://schemas.openxmlformats.org/drawingml/2006/main">
            <a:off x="239820" y="198726"/>
            <a:ext cx="1909" cy="2917185"/>
          </a:xfrm>
          <a:prstGeom xmlns:a="http://schemas.openxmlformats.org/drawingml/2006/main" prst="line">
            <a:avLst/>
          </a:prstGeom>
          <a:ln xmlns:a="http://schemas.openxmlformats.org/drawingml/2006/main" w="9525"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7" name="TextBox 1"/>
          <cdr:cNvSpPr txBox="1"/>
        </cdr:nvSpPr>
        <cdr:spPr>
          <a:xfrm xmlns:a="http://schemas.openxmlformats.org/drawingml/2006/main">
            <a:off x="208234" y="105176"/>
            <a:ext cx="799702"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tx2">
                    <a:lumMod val="75000"/>
                  </a:schemeClr>
                </a:solidFill>
              </a:rPr>
              <a:t>Ave=3.67</a:t>
            </a:r>
          </a:p>
        </cdr:txBody>
      </cdr:sp>
    </cdr:grpSp>
  </cdr:relSizeAnchor>
</c:userShapes>
</file>

<file path=xl/drawings/drawing94.xml><?xml version="1.0" encoding="utf-8"?>
<c:userShapes xmlns:c="http://schemas.openxmlformats.org/drawingml/2006/chart">
  <cdr:relSizeAnchor xmlns:cdr="http://schemas.openxmlformats.org/drawingml/2006/chartDrawing">
    <cdr:from>
      <cdr:x>0.72172</cdr:x>
      <cdr:y>0.01037</cdr:y>
    </cdr:from>
    <cdr:to>
      <cdr:x>0.85554</cdr:x>
      <cdr:y>0.84513</cdr:y>
    </cdr:to>
    <cdr:grpSp>
      <cdr:nvGrpSpPr>
        <cdr:cNvPr id="3" name="Group 2"/>
        <cdr:cNvGrpSpPr/>
      </cdr:nvGrpSpPr>
      <cdr:grpSpPr>
        <a:xfrm xmlns:a="http://schemas.openxmlformats.org/drawingml/2006/main">
          <a:off x="4467540" y="38217"/>
          <a:ext cx="828359" cy="3075659"/>
          <a:chOff x="153354" y="-82715"/>
          <a:chExt cx="803543" cy="3202844"/>
        </a:xfrm>
      </cdr:grpSpPr>
      <cdr:cxnSp macro="">
        <cdr:nvCxnSpPr>
          <cdr:cNvPr id="10" name="Straight Connector 9"/>
          <cdr:cNvCxnSpPr/>
        </cdr:nvCxnSpPr>
        <cdr:spPr>
          <a:xfrm xmlns:a="http://schemas.openxmlformats.org/drawingml/2006/main" flipV="1">
            <a:off x="523574" y="1670821"/>
            <a:ext cx="0" cy="1449308"/>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53354" y="-82715"/>
            <a:ext cx="803543" cy="2141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avg=177</a:t>
            </a:r>
          </a:p>
        </cdr:txBody>
      </cdr:sp>
    </cdr:grpSp>
  </cdr:relSizeAnchor>
  <cdr:relSizeAnchor xmlns:cdr="http://schemas.openxmlformats.org/drawingml/2006/chartDrawing">
    <cdr:from>
      <cdr:x>1.61547E-7</cdr:x>
      <cdr:y>0.22662</cdr:y>
    </cdr:from>
    <cdr:to>
      <cdr:x>0.03003</cdr:x>
      <cdr:y>0.59134</cdr:y>
    </cdr:to>
    <cdr:sp macro="" textlink="">
      <cdr:nvSpPr>
        <cdr:cNvPr id="2" name="TextBox 78"/>
        <cdr:cNvSpPr txBox="1"/>
      </cdr:nvSpPr>
      <cdr:spPr>
        <a:xfrm xmlns:a="http://schemas.openxmlformats.org/drawingml/2006/main" rot="16200000">
          <a:off x="-578959" y="1413944"/>
          <a:ext cx="1343809" cy="18589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0.32172</cdr:x>
      <cdr:y>0.00638</cdr:y>
    </cdr:from>
    <cdr:to>
      <cdr:x>0.43707</cdr:x>
      <cdr:y>0.83726</cdr:y>
    </cdr:to>
    <cdr:grpSp>
      <cdr:nvGrpSpPr>
        <cdr:cNvPr id="4" name="Group 3"/>
        <cdr:cNvGrpSpPr/>
      </cdr:nvGrpSpPr>
      <cdr:grpSpPr>
        <a:xfrm xmlns:a="http://schemas.openxmlformats.org/drawingml/2006/main">
          <a:off x="1991489" y="23498"/>
          <a:ext cx="714032" cy="3061381"/>
          <a:chOff x="744852" y="-72113"/>
          <a:chExt cx="692694" cy="3188024"/>
        </a:xfrm>
      </cdr:grpSpPr>
      <cdr:cxnSp macro="">
        <cdr:nvCxnSpPr>
          <cdr:cNvPr id="8" name="Straight Connector 7"/>
          <cdr:cNvCxnSpPr/>
        </cdr:nvCxnSpPr>
        <cdr:spPr>
          <a:xfrm xmlns:a="http://schemas.openxmlformats.org/drawingml/2006/main" flipV="1">
            <a:off x="830342" y="186290"/>
            <a:ext cx="6235" cy="2929621"/>
          </a:xfrm>
          <a:prstGeom xmlns:a="http://schemas.openxmlformats.org/drawingml/2006/main" prst="line">
            <a:avLst/>
          </a:prstGeom>
          <a:ln xmlns:a="http://schemas.openxmlformats.org/drawingml/2006/main" w="25400" cap="flat" cmpd="sng" algn="ctr">
            <a:solidFill>
              <a:srgbClr val="C00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9" name="TextBox 1"/>
          <cdr:cNvSpPr txBox="1"/>
        </cdr:nvSpPr>
        <cdr:spPr>
          <a:xfrm xmlns:a="http://schemas.openxmlformats.org/drawingml/2006/main">
            <a:off x="744852" y="-72113"/>
            <a:ext cx="692694"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C00000"/>
                </a:solidFill>
              </a:rPr>
              <a:t>avg=1</a:t>
            </a:r>
          </a:p>
        </cdr:txBody>
      </cdr:sp>
    </cdr:grpSp>
  </cdr:relSizeAnchor>
  <cdr:relSizeAnchor xmlns:cdr="http://schemas.openxmlformats.org/drawingml/2006/chartDrawing">
    <cdr:from>
      <cdr:x>0.47317</cdr:x>
      <cdr:y>0.00632</cdr:y>
    </cdr:from>
    <cdr:to>
      <cdr:x>0.5958</cdr:x>
      <cdr:y>0.8508</cdr:y>
    </cdr:to>
    <cdr:grpSp>
      <cdr:nvGrpSpPr>
        <cdr:cNvPr id="5" name="Group 4"/>
        <cdr:cNvGrpSpPr/>
      </cdr:nvGrpSpPr>
      <cdr:grpSpPr>
        <a:xfrm xmlns:a="http://schemas.openxmlformats.org/drawingml/2006/main">
          <a:off x="2928997" y="23300"/>
          <a:ext cx="759083" cy="3111467"/>
          <a:chOff x="-133044" y="-124248"/>
          <a:chExt cx="736305" cy="3240159"/>
        </a:xfrm>
      </cdr:grpSpPr>
      <cdr:cxnSp macro="">
        <cdr:nvCxnSpPr>
          <cdr:cNvPr id="6" name="Straight Connector 5"/>
          <cdr:cNvCxnSpPr/>
        </cdr:nvCxnSpPr>
        <cdr:spPr>
          <a:xfrm xmlns:a="http://schemas.openxmlformats.org/drawingml/2006/main">
            <a:off x="241729" y="168895"/>
            <a:ext cx="0" cy="2947016"/>
          </a:xfrm>
          <a:prstGeom xmlns:a="http://schemas.openxmlformats.org/drawingml/2006/main" prst="line">
            <a:avLst/>
          </a:prstGeom>
          <a:ln xmlns:a="http://schemas.openxmlformats.org/drawingml/2006/main" w="25400" cap="flat" cmpd="sng" algn="ctr">
            <a:solidFill>
              <a:schemeClr val="tx2">
                <a:lumMod val="75000"/>
              </a:schemeClr>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7" name="TextBox 1"/>
          <cdr:cNvSpPr txBox="1"/>
        </cdr:nvSpPr>
        <cdr:spPr>
          <a:xfrm xmlns:a="http://schemas.openxmlformats.org/drawingml/2006/main">
            <a:off x="-133044" y="-124248"/>
            <a:ext cx="736305" cy="2296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tx2">
                    <a:lumMod val="75000"/>
                  </a:schemeClr>
                </a:solidFill>
              </a:rPr>
              <a:t>avg=9.6</a:t>
            </a:r>
          </a:p>
        </cdr:txBody>
      </cdr:sp>
    </cdr:grpSp>
  </cdr:relSizeAnchor>
  <cdr:relSizeAnchor xmlns:cdr="http://schemas.openxmlformats.org/drawingml/2006/chartDrawing">
    <cdr:from>
      <cdr:x>0.78296</cdr:x>
      <cdr:y>0.06756</cdr:y>
    </cdr:from>
    <cdr:to>
      <cdr:x>0.78296</cdr:x>
      <cdr:y>0.12822</cdr:y>
    </cdr:to>
    <cdr:cxnSp macro="">
      <cdr:nvCxnSpPr>
        <cdr:cNvPr id="14" name="Straight Connector 13"/>
        <cdr:cNvCxnSpPr/>
      </cdr:nvCxnSpPr>
      <cdr:spPr>
        <a:xfrm xmlns:a="http://schemas.openxmlformats.org/drawingml/2006/main" flipV="1">
          <a:off x="4846654" y="248920"/>
          <a:ext cx="0" cy="223520"/>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95.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0.3239</cdr:x>
      <cdr:y>0.03294</cdr:y>
    </cdr:from>
    <cdr:to>
      <cdr:x>0.4482</cdr:x>
      <cdr:y>0.84288</cdr:y>
    </cdr:to>
    <cdr:grpSp>
      <cdr:nvGrpSpPr>
        <cdr:cNvPr id="3" name="Group 2"/>
        <cdr:cNvGrpSpPr/>
      </cdr:nvGrpSpPr>
      <cdr:grpSpPr>
        <a:xfrm xmlns:a="http://schemas.openxmlformats.org/drawingml/2006/main">
          <a:off x="1998737" y="120595"/>
          <a:ext cx="767036" cy="2965229"/>
          <a:chOff x="140213" y="12506"/>
          <a:chExt cx="742381" cy="3107623"/>
        </a:xfrm>
      </cdr:grpSpPr>
      <cdr:cxnSp macro="">
        <cdr:nvCxnSpPr>
          <cdr:cNvPr id="10" name="Straight Connector 9"/>
          <cdr:cNvCxnSpPr/>
        </cdr:nvCxnSpPr>
        <cdr:spPr>
          <a:xfrm xmlns:a="http://schemas.openxmlformats.org/drawingml/2006/main" flipV="1">
            <a:off x="524071" y="190508"/>
            <a:ext cx="6202" cy="2929621"/>
          </a:xfrm>
          <a:prstGeom xmlns:a="http://schemas.openxmlformats.org/drawingml/2006/main" prst="line">
            <a:avLst/>
          </a:prstGeom>
          <a:ln xmlns:a="http://schemas.openxmlformats.org/drawingml/2006/main" w="9525"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40213" y="12506"/>
            <a:ext cx="742381"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00B050"/>
                </a:solidFill>
              </a:rPr>
              <a:t>Ave=344</a:t>
            </a:r>
          </a:p>
        </cdr:txBody>
      </cdr:sp>
    </cdr:grpSp>
  </cdr:relSizeAnchor>
  <cdr:relSizeAnchor xmlns:cdr="http://schemas.openxmlformats.org/drawingml/2006/chartDrawing">
    <cdr:from>
      <cdr:x>0.65365</cdr:x>
      <cdr:y>0.05805</cdr:y>
    </cdr:from>
    <cdr:to>
      <cdr:x>0.80595</cdr:x>
      <cdr:y>0.8216</cdr:y>
    </cdr:to>
    <cdr:grpSp>
      <cdr:nvGrpSpPr>
        <cdr:cNvPr id="16" name="Group 15"/>
        <cdr:cNvGrpSpPr/>
      </cdr:nvGrpSpPr>
      <cdr:grpSpPr>
        <a:xfrm xmlns:a="http://schemas.openxmlformats.org/drawingml/2006/main">
          <a:off x="4033573" y="212524"/>
          <a:ext cx="939820" cy="2795393"/>
          <a:chOff x="-297749" y="190508"/>
          <a:chExt cx="909601" cy="2929621"/>
        </a:xfrm>
      </cdr:grpSpPr>
      <cdr:cxnSp macro="">
        <cdr:nvCxnSpPr>
          <cdr:cNvPr id="17" name="Straight Connector 16"/>
          <cdr:cNvCxnSpPr/>
        </cdr:nvCxnSpPr>
        <cdr:spPr>
          <a:xfrm xmlns:a="http://schemas.openxmlformats.org/drawingml/2006/main" flipV="1">
            <a:off x="524071" y="190508"/>
            <a:ext cx="6202" cy="2929621"/>
          </a:xfrm>
          <a:prstGeom xmlns:a="http://schemas.openxmlformats.org/drawingml/2006/main" prst="line">
            <a:avLst/>
          </a:prstGeom>
          <a:ln xmlns:a="http://schemas.openxmlformats.org/drawingml/2006/main" w="9525" cap="flat" cmpd="sng" algn="ctr">
            <a:solidFill>
              <a:schemeClr val="tx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8" name="TextBox 3"/>
          <cdr:cNvSpPr txBox="1"/>
        </cdr:nvSpPr>
        <cdr:spPr>
          <a:xfrm xmlns:a="http://schemas.openxmlformats.org/drawingml/2006/main">
            <a:off x="-297749" y="230217"/>
            <a:ext cx="909601" cy="309039"/>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tx2"/>
                </a:solidFill>
              </a:rPr>
              <a:t>Ave=18000</a:t>
            </a:r>
          </a:p>
        </cdr:txBody>
      </cdr:sp>
    </cdr:grpSp>
  </cdr:relSizeAnchor>
</c:userShapes>
</file>

<file path=xl/drawings/drawing96.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en-US" sz="1400" b="1">
            <a:latin typeface="+mn-lt"/>
          </a:endParaRPr>
        </a:p>
      </cdr:txBody>
    </cdr:sp>
  </cdr:relSizeAnchor>
  <cdr:relSizeAnchor xmlns:cdr="http://schemas.openxmlformats.org/drawingml/2006/chartDrawing">
    <cdr:from>
      <cdr:x>0</cdr:x>
      <cdr:y>0.05296</cdr:y>
    </cdr:from>
    <cdr:to>
      <cdr:x>0.04592</cdr:x>
      <cdr:y>0.67949</cdr:y>
    </cdr:to>
    <cdr:sp macro="" textlink="">
      <cdr:nvSpPr>
        <cdr:cNvPr id="3" name="TextBox 78"/>
        <cdr:cNvSpPr txBox="1"/>
      </cdr:nvSpPr>
      <cdr:spPr>
        <a:xfrm xmlns:a="http://schemas.openxmlformats.org/drawingml/2006/main" rot="16200000">
          <a:off x="-1109498" y="1333336"/>
          <a:ext cx="2647950" cy="42895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b="1">
              <a:latin typeface="+mn-lt"/>
              <a:cs typeface="Times New Roman" panose="02020603050405020304" pitchFamily="18" charset="0"/>
            </a:rPr>
            <a:t># devices able to embed each wireline</a:t>
          </a:r>
          <a:r>
            <a:rPr lang="en-US" sz="1400" b="1" baseline="0">
              <a:latin typeface="+mn-lt"/>
              <a:cs typeface="Times New Roman" panose="02020603050405020304" pitchFamily="18" charset="0"/>
            </a:rPr>
            <a:t> </a:t>
          </a:r>
          <a:r>
            <a:rPr lang="en-US" sz="1400" b="1">
              <a:latin typeface="+mn-lt"/>
              <a:cs typeface="Times New Roman" panose="02020603050405020304" pitchFamily="18" charset="0"/>
            </a:rPr>
            <a:t>communication standard</a:t>
          </a:r>
          <a:endParaRPr lang="en-US" sz="1400" b="1">
            <a:latin typeface="+mn-lt"/>
          </a:endParaRPr>
        </a:p>
      </cdr:txBody>
    </cdr:sp>
  </cdr:relSizeAnchor>
  <cdr:relSizeAnchor xmlns:cdr="http://schemas.openxmlformats.org/drawingml/2006/chartDrawing">
    <cdr:from>
      <cdr:x>0.35546</cdr:x>
      <cdr:y>0.94033</cdr:y>
    </cdr:from>
    <cdr:to>
      <cdr:x>0.66594</cdr:x>
      <cdr:y>1</cdr:y>
    </cdr:to>
    <cdr:sp macro="" textlink="">
      <cdr:nvSpPr>
        <cdr:cNvPr id="4" name="TextBox 78"/>
        <cdr:cNvSpPr txBox="1"/>
      </cdr:nvSpPr>
      <cdr:spPr>
        <a:xfrm xmlns:a="http://schemas.openxmlformats.org/drawingml/2006/main">
          <a:off x="3320454" y="4352925"/>
          <a:ext cx="2900298" cy="2762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b="1">
              <a:latin typeface="+mn-lt"/>
              <a:cs typeface="Times New Roman" panose="02020603050405020304" pitchFamily="18" charset="0"/>
            </a:rPr>
            <a:t>wireline</a:t>
          </a:r>
          <a:r>
            <a:rPr lang="en-US" sz="1400" b="1" baseline="0">
              <a:latin typeface="+mn-lt"/>
              <a:cs typeface="Times New Roman" panose="02020603050405020304" pitchFamily="18" charset="0"/>
            </a:rPr>
            <a:t> communication </a:t>
          </a:r>
          <a:r>
            <a:rPr lang="en-US" sz="1400" b="1">
              <a:latin typeface="+mn-lt"/>
              <a:cs typeface="Times New Roman" panose="02020603050405020304" pitchFamily="18" charset="0"/>
            </a:rPr>
            <a:t>standard</a:t>
          </a:r>
          <a:endParaRPr lang="en-US" sz="1400" b="1">
            <a:latin typeface="+mn-lt"/>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0.26038</cdr:y>
    </cdr:from>
    <cdr:to>
      <cdr:x>0.03003</cdr:x>
      <cdr:y>0.6251</cdr:y>
    </cdr:to>
    <cdr:sp macro="" textlink="">
      <cdr:nvSpPr>
        <cdr:cNvPr id="2" name="TextBox 78"/>
        <cdr:cNvSpPr txBox="1"/>
      </cdr:nvSpPr>
      <cdr:spPr>
        <a:xfrm xmlns:a="http://schemas.openxmlformats.org/drawingml/2006/main" rot="16200000">
          <a:off x="-574966" y="1528231"/>
          <a:ext cx="1335258" cy="185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cdr:x>
      <cdr:y>0.24317</cdr:y>
    </cdr:from>
    <cdr:to>
      <cdr:x>0.03003</cdr:x>
      <cdr:y>0.60789</cdr:y>
    </cdr:to>
    <cdr:sp macro="" textlink="">
      <cdr:nvSpPr>
        <cdr:cNvPr id="2" name="TextBox 78"/>
        <cdr:cNvSpPr txBox="1"/>
      </cdr:nvSpPr>
      <cdr:spPr>
        <a:xfrm xmlns:a="http://schemas.openxmlformats.org/drawingml/2006/main" rot="16200000">
          <a:off x="-578985" y="1474929"/>
          <a:ext cx="1343809" cy="1858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endParaRPr lang="en-US" sz="1400" b="1">
            <a:latin typeface="+mn-lt"/>
          </a:endParaRPr>
        </a:p>
      </cdr:txBody>
    </cdr:sp>
  </cdr:relSizeAnchor>
  <cdr:relSizeAnchor xmlns:cdr="http://schemas.openxmlformats.org/drawingml/2006/chartDrawing">
    <cdr:from>
      <cdr:x>0.6196</cdr:x>
      <cdr:y>0.00675</cdr:y>
    </cdr:from>
    <cdr:to>
      <cdr:x>0.7439</cdr:x>
      <cdr:y>0.84564</cdr:y>
    </cdr:to>
    <cdr:grpSp>
      <cdr:nvGrpSpPr>
        <cdr:cNvPr id="3" name="Group 2"/>
        <cdr:cNvGrpSpPr/>
      </cdr:nvGrpSpPr>
      <cdr:grpSpPr>
        <a:xfrm xmlns:a="http://schemas.openxmlformats.org/drawingml/2006/main">
          <a:off x="3834351" y="24856"/>
          <a:ext cx="769222" cy="3090901"/>
          <a:chOff x="140213" y="-98585"/>
          <a:chExt cx="742381" cy="3218715"/>
        </a:xfrm>
      </cdr:grpSpPr>
      <cdr:cxnSp macro="">
        <cdr:nvCxnSpPr>
          <cdr:cNvPr id="10" name="Straight Connector 9"/>
          <cdr:cNvCxnSpPr>
            <a:endCxn xmlns:a="http://schemas.openxmlformats.org/drawingml/2006/main" id="11" idx="2"/>
          </cdr:cNvCxnSpPr>
        </cdr:nvCxnSpPr>
        <cdr:spPr>
          <a:xfrm xmlns:a="http://schemas.openxmlformats.org/drawingml/2006/main" flipH="1" flipV="1">
            <a:off x="511403" y="124439"/>
            <a:ext cx="12667" cy="2995691"/>
          </a:xfrm>
          <a:prstGeom xmlns:a="http://schemas.openxmlformats.org/drawingml/2006/main" prst="line">
            <a:avLst/>
          </a:prstGeom>
          <a:ln xmlns:a="http://schemas.openxmlformats.org/drawingml/2006/main" w="25400"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40213" y="-98585"/>
            <a:ext cx="742381"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B050"/>
                </a:solidFill>
              </a:rPr>
              <a:t>avg=5.8</a:t>
            </a:r>
          </a:p>
        </cdr:txBody>
      </cdr:sp>
    </cdr:grpSp>
  </cdr:relSizeAnchor>
</c:userShapes>
</file>

<file path=xl/drawings/drawing99.xml><?xml version="1.0" encoding="utf-8"?>
<c:userShapes xmlns:c="http://schemas.openxmlformats.org/drawingml/2006/chart">
  <cdr:relSizeAnchor xmlns:cdr="http://schemas.openxmlformats.org/drawingml/2006/chartDrawing">
    <cdr:from>
      <cdr:x>0</cdr:x>
      <cdr:y>0.30521</cdr:y>
    </cdr:from>
    <cdr:to>
      <cdr:x>0.03003</cdr:x>
      <cdr:y>0.66993</cdr:y>
    </cdr:to>
    <cdr:sp macro="" textlink="">
      <cdr:nvSpPr>
        <cdr:cNvPr id="2" name="TextBox 78"/>
        <cdr:cNvSpPr txBox="1"/>
      </cdr:nvSpPr>
      <cdr:spPr>
        <a:xfrm xmlns:a="http://schemas.openxmlformats.org/drawingml/2006/main" rot="16200000">
          <a:off x="-565669" y="1668327"/>
          <a:ext cx="1317649" cy="186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latin typeface="+mn-lt"/>
              <a:cs typeface="Times New Roman" panose="02020603050405020304" pitchFamily="18" charset="0"/>
            </a:rPr>
            <a:t>occurrence</a:t>
          </a:r>
          <a:r>
            <a:rPr lang="en-US" sz="1400" b="1">
              <a:latin typeface="+mn-lt"/>
            </a:rPr>
            <a:t> (%)</a:t>
          </a:r>
        </a:p>
      </cdr:txBody>
    </cdr:sp>
  </cdr:relSizeAnchor>
  <cdr:relSizeAnchor xmlns:cdr="http://schemas.openxmlformats.org/drawingml/2006/chartDrawing">
    <cdr:from>
      <cdr:x>0.67909</cdr:x>
      <cdr:y>0.03018</cdr:y>
    </cdr:from>
    <cdr:to>
      <cdr:x>0.80339</cdr:x>
      <cdr:y>0.84012</cdr:y>
    </cdr:to>
    <cdr:grpSp>
      <cdr:nvGrpSpPr>
        <cdr:cNvPr id="3" name="Group 2"/>
        <cdr:cNvGrpSpPr/>
      </cdr:nvGrpSpPr>
      <cdr:grpSpPr>
        <a:xfrm xmlns:a="http://schemas.openxmlformats.org/drawingml/2006/main">
          <a:off x="4224679" y="112512"/>
          <a:ext cx="773281" cy="3019486"/>
          <a:chOff x="140213" y="12506"/>
          <a:chExt cx="742381" cy="3107623"/>
        </a:xfrm>
      </cdr:grpSpPr>
      <cdr:cxnSp macro="">
        <cdr:nvCxnSpPr>
          <cdr:cNvPr id="10" name="Straight Connector 9"/>
          <cdr:cNvCxnSpPr/>
        </cdr:nvCxnSpPr>
        <cdr:spPr>
          <a:xfrm xmlns:a="http://schemas.openxmlformats.org/drawingml/2006/main" flipV="1">
            <a:off x="524071" y="190508"/>
            <a:ext cx="6202" cy="2929621"/>
          </a:xfrm>
          <a:prstGeom xmlns:a="http://schemas.openxmlformats.org/drawingml/2006/main" prst="line">
            <a:avLst/>
          </a:prstGeom>
          <a:ln xmlns:a="http://schemas.openxmlformats.org/drawingml/2006/main" w="9525" cap="flat" cmpd="sng" algn="ctr">
            <a:solidFill>
              <a:srgbClr val="00B05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1" name="TextBox 3"/>
          <cdr:cNvSpPr txBox="1"/>
        </cdr:nvSpPr>
        <cdr:spPr>
          <a:xfrm xmlns:a="http://schemas.openxmlformats.org/drawingml/2006/main">
            <a:off x="140213" y="12506"/>
            <a:ext cx="742381" cy="22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00B050"/>
                </a:solidFill>
              </a:rPr>
              <a:t>Ave=84.1</a:t>
            </a:r>
          </a:p>
        </cdr:txBody>
      </cdr:sp>
    </cdr:grp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gainspan.com/gs2011m-evb" TargetMode="External"/><Relationship Id="rId117" Type="http://schemas.openxmlformats.org/officeDocument/2006/relationships/hyperlink" Target="http://www.moog-crossbow.com/" TargetMode="External"/><Relationship Id="rId21" Type="http://schemas.openxmlformats.org/officeDocument/2006/relationships/hyperlink" Target="http://openmicros.org/index.php/articles/81-xrf-projects/296-raspberry-pi-wireless-inventors-kit" TargetMode="External"/><Relationship Id="rId42" Type="http://schemas.openxmlformats.org/officeDocument/2006/relationships/hyperlink" Target="http://www.eetimes.com/document.asp?doc_id=1172577" TargetMode="External"/><Relationship Id="rId47" Type="http://schemas.openxmlformats.org/officeDocument/2006/relationships/hyperlink" Target="http://www.samsung.com/global/microsite/gear/gear2_features.html" TargetMode="External"/><Relationship Id="rId63" Type="http://schemas.openxmlformats.org/officeDocument/2006/relationships/hyperlink" Target="http://www.shimmersensing.com/images/uploads/docs/Shimmer3_Spec_1.4.pdf" TargetMode="External"/><Relationship Id="rId68" Type="http://schemas.openxmlformats.org/officeDocument/2006/relationships/hyperlink" Target="http://www.shimmersensing.com/images/uploads/docs/Bridge_Amplifier_Spec_Sheet_Revision_1.4.pdf" TargetMode="External"/><Relationship Id="rId84" Type="http://schemas.openxmlformats.org/officeDocument/2006/relationships/hyperlink" Target="http://search10.crownpeak.com/cpt_redirect/1265?account=5065ac09118c&amp;qid=337" TargetMode="External"/><Relationship Id="rId89" Type="http://schemas.openxmlformats.org/officeDocument/2006/relationships/hyperlink" Target="http://www.moog-crossbow.com/search/index.jsp?q=MICA%202&amp;x=0&amp;y=0&amp;cpsite=crossbowlive-moogaccess-com&amp;page=10" TargetMode="External"/><Relationship Id="rId112" Type="http://schemas.openxmlformats.org/officeDocument/2006/relationships/hyperlink" Target="http://shop.8devices.com/web-of-things/weio" TargetMode="External"/><Relationship Id="rId133" Type="http://schemas.openxmlformats.org/officeDocument/2006/relationships/hyperlink" Target="https://www.artik.io/" TargetMode="External"/><Relationship Id="rId138" Type="http://schemas.openxmlformats.org/officeDocument/2006/relationships/hyperlink" Target="http://download.intel.com/newsroom/kits/ces/2015/pdfs/Intel_CURIE_Module_Factsheet.pdf" TargetMode="External"/><Relationship Id="rId154" Type="http://schemas.openxmlformats.org/officeDocument/2006/relationships/hyperlink" Target="https://www.google.com/url?sa=t&amp;rct=j&amp;q=&amp;esrc=s&amp;source=web&amp;cd=1&amp;cad=rja&amp;uact=8&amp;ved=0ahUKEwjOz43WsOvKAhXBPRQKHRmECugQFggcMAA&amp;url=https%3A%2F%2Fwww.eol.ucar.edu%2Fisf%2Ffacilities%2Fisa%2Finternal%2FCrossBow%2FDataSheets%2Fmica2.pdf&amp;usg=AFQjCNGWMVtwwem7x7of" TargetMode="External"/><Relationship Id="rId159" Type="http://schemas.openxmlformats.org/officeDocument/2006/relationships/hyperlink" Target="http://damien.douxchamps.net/research/imu/" TargetMode="External"/><Relationship Id="rId175" Type="http://schemas.openxmlformats.org/officeDocument/2006/relationships/hyperlink" Target="http://www.advanticsys.com/shop/mtmcm5000msp-p-14.html" TargetMode="External"/><Relationship Id="rId170" Type="http://schemas.openxmlformats.org/officeDocument/2006/relationships/hyperlink" Target="http://www.raspberry-pi-geek.com/Archive/2014/04/Wirelessly-connecting-Arduino-and-Raspberry-Pi" TargetMode="External"/><Relationship Id="rId16" Type="http://schemas.openxmlformats.org/officeDocument/2006/relationships/hyperlink" Target="https://www.libelium.com/products/waspmote-mote-runner-6lowpan/" TargetMode="External"/><Relationship Id="rId107" Type="http://schemas.openxmlformats.org/officeDocument/2006/relationships/hyperlink" Target="https://www.hackster.io/kburns/getting-started-tinyshield-gyro" TargetMode="External"/><Relationship Id="rId11" Type="http://schemas.openxmlformats.org/officeDocument/2006/relationships/hyperlink" Target="http://zolertia.sourceforge.net/wiki/images/e/e8/Z1_RevC_Datasheet.pdf" TargetMode="External"/><Relationship Id="rId32" Type="http://schemas.openxmlformats.org/officeDocument/2006/relationships/hyperlink" Target="http://www.ti.com/tool/ez430-rf2500t" TargetMode="External"/><Relationship Id="rId37" Type="http://schemas.openxmlformats.org/officeDocument/2006/relationships/hyperlink" Target="http://www.digi.com/products/wireless-wired-embedded-solutions/zigbee-rf-modules/point-multipoint-rfmodules/xbee-series1-module" TargetMode="External"/><Relationship Id="rId53" Type="http://schemas.openxmlformats.org/officeDocument/2006/relationships/hyperlink" Target="https://revolar.com/preorder/" TargetMode="External"/><Relationship Id="rId58" Type="http://schemas.openxmlformats.org/officeDocument/2006/relationships/hyperlink" Target="http://usa.ioncamera.com/snapcam/" TargetMode="External"/><Relationship Id="rId74" Type="http://schemas.openxmlformats.org/officeDocument/2006/relationships/hyperlink" Target="http://www.shimmersensing.com/images/uploads/docs/ECG_User_Guide_Rev1.8.pdf" TargetMode="External"/><Relationship Id="rId79" Type="http://schemas.openxmlformats.org/officeDocument/2006/relationships/hyperlink" Target="http://search10.crownpeak.com/cpt_redirect/1281?account=5065ac09118c&amp;qid=337" TargetMode="External"/><Relationship Id="rId102" Type="http://schemas.openxmlformats.org/officeDocument/2006/relationships/hyperlink" Target="https://tinycircuits.hackster.io/kburns/getting-started-tinyshield-9-axis-imu" TargetMode="External"/><Relationship Id="rId123" Type="http://schemas.openxmlformats.org/officeDocument/2006/relationships/hyperlink" Target="http://www2.withings.com/eu/en/products/activite-pop/" TargetMode="External"/><Relationship Id="rId128" Type="http://schemas.openxmlformats.org/officeDocument/2006/relationships/hyperlink" Target="http://www2.withings.com/eu/en/products/blood-pressure-monitor/" TargetMode="External"/><Relationship Id="rId144" Type="http://schemas.openxmlformats.org/officeDocument/2006/relationships/hyperlink" Target="http://www.cnet.com/products/ion-snapcam/" TargetMode="External"/><Relationship Id="rId149" Type="http://schemas.openxmlformats.org/officeDocument/2006/relationships/hyperlink" Target="http://www2.withings.com/eu/en/store/details/activite" TargetMode="External"/><Relationship Id="rId5" Type="http://schemas.openxmlformats.org/officeDocument/2006/relationships/hyperlink" Target="http://www.libelium.com/products/waspmote/hardware/" TargetMode="External"/><Relationship Id="rId90" Type="http://schemas.openxmlformats.org/officeDocument/2006/relationships/hyperlink" Target="http://www.memsic.com/wireless-sensor-networks/MDA300" TargetMode="External"/><Relationship Id="rId95" Type="http://schemas.openxmlformats.org/officeDocument/2006/relationships/hyperlink" Target="https://github.com/panStamp/panstamp/wiki/panStamp%20NRG.-Technical%20details" TargetMode="External"/><Relationship Id="rId160" Type="http://schemas.openxmlformats.org/officeDocument/2006/relationships/hyperlink" Target="http://www.moog-crossbow.com/Literature/Data_Sheets/Moog_AG_VG440_Data_Sheet_Nov14_S.pdf" TargetMode="External"/><Relationship Id="rId165" Type="http://schemas.openxmlformats.org/officeDocument/2006/relationships/hyperlink" Target="http://panstamp.com/store/index.php?id_product=48&amp;controller=product" TargetMode="External"/><Relationship Id="rId181" Type="http://schemas.openxmlformats.org/officeDocument/2006/relationships/hyperlink" Target="http://www.btnode.ethz.ch/pub/uploads/Documentation/btnode_rev3.24_productbrief.pdf" TargetMode="External"/><Relationship Id="rId186" Type="http://schemas.openxmlformats.org/officeDocument/2006/relationships/comments" Target="../comments1.xml"/><Relationship Id="rId22" Type="http://schemas.openxmlformats.org/officeDocument/2006/relationships/hyperlink" Target="http://www.espruino.com/" TargetMode="External"/><Relationship Id="rId27" Type="http://schemas.openxmlformats.org/officeDocument/2006/relationships/hyperlink" Target="https://s3.amazonaws.com/site_support/uploads/document_upload/GS2K_BM_EVB_PB_000102.pdf" TargetMode="External"/><Relationship Id="rId43" Type="http://schemas.openxmlformats.org/officeDocument/2006/relationships/hyperlink" Target="http://www.btnode.ethz.ch/" TargetMode="External"/><Relationship Id="rId48" Type="http://schemas.openxmlformats.org/officeDocument/2006/relationships/hyperlink" Target="http://www.engadget.com/products/samsung/gear/2/specs/" TargetMode="External"/><Relationship Id="rId64" Type="http://schemas.openxmlformats.org/officeDocument/2006/relationships/hyperlink" Target="http://www.shimmersensing.com/menu/products/shimmer3-wireless-gsr-sensor" TargetMode="External"/><Relationship Id="rId69" Type="http://schemas.openxmlformats.org/officeDocument/2006/relationships/hyperlink" Target="http://www.shimmersensing.com/images/uploads/docs/Shimmer3_Bridge_Amplifier_User_Guide_rev1.4.pdf" TargetMode="External"/><Relationship Id="rId113" Type="http://schemas.openxmlformats.org/officeDocument/2006/relationships/hyperlink" Target="http://www.em.avnet.com/en-us/design/drc/Documents/Designed%20By%20Avnet/AEM-FRS-Wi-Go-0613-v3.pdf" TargetMode="External"/><Relationship Id="rId118" Type="http://schemas.openxmlformats.org/officeDocument/2006/relationships/hyperlink" Target="http://zolertia.sourceforge.net/wiki/index.php/Z1_Sensors" TargetMode="External"/><Relationship Id="rId134" Type="http://schemas.openxmlformats.org/officeDocument/2006/relationships/hyperlink" Target="http://www.embeddedworks.net/wlan493.html" TargetMode="External"/><Relationship Id="rId139" Type="http://schemas.openxmlformats.org/officeDocument/2006/relationships/hyperlink" Target="http://www.techradar.com/news/portable-devices/samsung-s-tizen-smartwatch-to-drop-galaxy-branding-galaxy-gear-2-also-leaked-1227419" TargetMode="External"/><Relationship Id="rId80" Type="http://schemas.openxmlformats.org/officeDocument/2006/relationships/hyperlink" Target="http://www.moog-crossbow.com/asset-tracking/products-services/ilc2000/" TargetMode="External"/><Relationship Id="rId85" Type="http://schemas.openxmlformats.org/officeDocument/2006/relationships/hyperlink" Target="https://www.google.com/url?sa=t&amp;rct=j&amp;q=&amp;esrc=s&amp;source=web&amp;cd=4&amp;cad=rja&amp;uact=8&amp;ved=0CDMQFjAD&amp;url=http%3A%2F%2Fwww.nr2.ufpr.br%2F~adc%2Fdocumentos%2Firis_datasheet.pdf&amp;ei=DG9hVdKgIcWwUde1gIgN&amp;usg=AFQjCNE8x79v65ylwK2J-cA6MXOavAzRpQ&amp;sig2=CWsZPlfKafEYXtjPP7-X" TargetMode="External"/><Relationship Id="rId150" Type="http://schemas.openxmlformats.org/officeDocument/2006/relationships/hyperlink" Target="http://www.cnet.com/products/withings-activite-pop/" TargetMode="External"/><Relationship Id="rId155" Type="http://schemas.openxmlformats.org/officeDocument/2006/relationships/hyperlink" Target="https://www.google.com/url?sa=t&amp;rct=j&amp;q=&amp;esrc=s&amp;source=web&amp;cd=1&amp;cad=rja&amp;uact=8&amp;ved=0ahUKEwj8qpHnsOvKAhUEWRQKHdMVD-IQFggcMAA&amp;url=http%3A%2F%2Fwww.memsic.com%2Fuserfiles%2Ffiles%2FDatasheets%2FWSN%2Fmicaz_datasheet-t.pdf&amp;usg=AFQjCNHAjwjD-pZDMZxZt7vPk19kPWhP" TargetMode="External"/><Relationship Id="rId171" Type="http://schemas.openxmlformats.org/officeDocument/2006/relationships/hyperlink" Target="https://www.wirelessthings.net/ciseco-new-site" TargetMode="External"/><Relationship Id="rId176" Type="http://schemas.openxmlformats.org/officeDocument/2006/relationships/hyperlink" Target="http://www.ee.washington.edu/research/nsl/Imote/" TargetMode="External"/><Relationship Id="rId12" Type="http://schemas.openxmlformats.org/officeDocument/2006/relationships/hyperlink" Target="http://www.advanticsys.com/shop/asxm1000-p-24.html" TargetMode="External"/><Relationship Id="rId17" Type="http://schemas.openxmlformats.org/officeDocument/2006/relationships/hyperlink" Target="https://www.libelium.com/downloads/documentation/mote_runner_technical_guide.pdf" TargetMode="External"/><Relationship Id="rId33" Type="http://schemas.openxmlformats.org/officeDocument/2006/relationships/hyperlink" Target="https://www.google.com/url?sa=t&amp;rct=j&amp;q=&amp;esrc=s&amp;source=web&amp;cd=2&amp;ved=0CCgQFjAB&amp;url=http%3A%2F%2Fwsn.cse.wustl.edu%2Fimages%2Fe%2Fe3%2FImote2_Datasheet.pdf&amp;ei=ETOYVbjuB4zwoATDzLqYCA&amp;usg=AFQjCNHG-a8aYhp_SV4K1PiMFaM81ZkEmg&amp;sig2=v6Z1ur6Dv7kGa8-DOAteSg&amp;bvm=bv.9" TargetMode="External"/><Relationship Id="rId38" Type="http://schemas.openxmlformats.org/officeDocument/2006/relationships/hyperlink" Target="http://www.digi.com/pdf/ds_xbeemultipointmodules.pdf" TargetMode="External"/><Relationship Id="rId59" Type="http://schemas.openxmlformats.org/officeDocument/2006/relationships/hyperlink" Target="http://www.shimmersensing.com/shop/shimmer3" TargetMode="External"/><Relationship Id="rId103" Type="http://schemas.openxmlformats.org/officeDocument/2006/relationships/hyperlink" Target="https://tiny-circuits.com/tiny-shield-accelerometer.html" TargetMode="External"/><Relationship Id="rId108" Type="http://schemas.openxmlformats.org/officeDocument/2006/relationships/hyperlink" Target="https://tiny-circuits.com/tiny-shield-ambient-light-sensor.html" TargetMode="External"/><Relationship Id="rId124" Type="http://schemas.openxmlformats.org/officeDocument/2006/relationships/hyperlink" Target="http://www2.withings.com/eu/en/products/activite-pop/coral-pink" TargetMode="External"/><Relationship Id="rId129" Type="http://schemas.openxmlformats.org/officeDocument/2006/relationships/hyperlink" Target="http://www2.withings.com/eu/en/store/details/70027901" TargetMode="External"/><Relationship Id="rId54" Type="http://schemas.openxmlformats.org/officeDocument/2006/relationships/hyperlink" Target="http://www.revolar.com/team/" TargetMode="External"/><Relationship Id="rId70" Type="http://schemas.openxmlformats.org/officeDocument/2006/relationships/hyperlink" Target="http://www.shimmersensing.com/shop/shimmer3-emg-unit" TargetMode="External"/><Relationship Id="rId75" Type="http://schemas.openxmlformats.org/officeDocument/2006/relationships/hyperlink" Target="http://www.shimmersensing.com/shop/proto3-mini-expansion-board" TargetMode="External"/><Relationship Id="rId91" Type="http://schemas.openxmlformats.org/officeDocument/2006/relationships/hyperlink" Target="http://www.memsic.com/wireless-sensor-networks/MDA100" TargetMode="External"/><Relationship Id="rId96" Type="http://schemas.openxmlformats.org/officeDocument/2006/relationships/hyperlink" Target="http://panstamp.com/store/index.php?id_product=47&amp;controller=product" TargetMode="External"/><Relationship Id="rId140" Type="http://schemas.openxmlformats.org/officeDocument/2006/relationships/hyperlink" Target="http://www.cnet.com/products/fitbit-one/" TargetMode="External"/><Relationship Id="rId145" Type="http://schemas.openxmlformats.org/officeDocument/2006/relationships/hyperlink" Target="http://thenextweb.com/gadgets/2015/01/07/ion-launches-easy-use-snapcam-wearable-camera/" TargetMode="External"/><Relationship Id="rId161" Type="http://schemas.openxmlformats.org/officeDocument/2006/relationships/hyperlink" Target="http://www.moog-crossbow.com/products/inertial-products/products-vg700mb/" TargetMode="External"/><Relationship Id="rId166" Type="http://schemas.openxmlformats.org/officeDocument/2006/relationships/hyperlink" Target="https://tiny-circuits.com/tinyduino_overview" TargetMode="External"/><Relationship Id="rId182" Type="http://schemas.openxmlformats.org/officeDocument/2006/relationships/hyperlink" Target="http://www.btnode.ethz.ch/Main/Purchase" TargetMode="External"/><Relationship Id="rId1" Type="http://schemas.openxmlformats.org/officeDocument/2006/relationships/hyperlink" Target="http://wirelesssensornetworks.weebly.com/1/post/2013/08/tmote-sky.html" TargetMode="External"/><Relationship Id="rId6" Type="http://schemas.openxmlformats.org/officeDocument/2006/relationships/hyperlink" Target="https://www.cooking-hacks.com/documentation/tutorials/waspmote/" TargetMode="External"/><Relationship Id="rId23" Type="http://schemas.openxmlformats.org/officeDocument/2006/relationships/hyperlink" Target="http://www.espruino.com/Modules" TargetMode="External"/><Relationship Id="rId28" Type="http://schemas.openxmlformats.org/officeDocument/2006/relationships/hyperlink" Target="hhttp://www.gainspan.com/products/gs1500m" TargetMode="External"/><Relationship Id="rId49" Type="http://schemas.openxmlformats.org/officeDocument/2006/relationships/hyperlink" Target="http://pdadb.net/index.php?m=specs&amp;id=6123&amp;view=1&amp;c=samsung_sm-r380_gear_2" TargetMode="External"/><Relationship Id="rId114" Type="http://schemas.openxmlformats.org/officeDocument/2006/relationships/hyperlink" Target="http://avnetexpress.avnet.com/store/em/EMController?term=wi-go&amp;x=0&amp;y=0&amp;action=products&amp;langId=-1&amp;storeId=500201&amp;catalogId=500201&amp;hbxSType=&amp;N=0&amp;filterButton=true" TargetMode="External"/><Relationship Id="rId119" Type="http://schemas.openxmlformats.org/officeDocument/2006/relationships/hyperlink" Target="http://www.libelium.com/development/waspmote/documentation/waspmote-quick-start-guide/?action=download" TargetMode="External"/><Relationship Id="rId44" Type="http://schemas.openxmlformats.org/officeDocument/2006/relationships/hyperlink" Target="http://beagleboard.org/BLACK" TargetMode="External"/><Relationship Id="rId60" Type="http://schemas.openxmlformats.org/officeDocument/2006/relationships/hyperlink" Target="http://www.shimmersensing.com/images/uploads/docs/External_Expansion_Board_User_Guide_rev1.5.pdf" TargetMode="External"/><Relationship Id="rId65" Type="http://schemas.openxmlformats.org/officeDocument/2006/relationships/hyperlink" Target="http://www.shimmersensing.com/images/uploads/docs/GSR%2B_Expansion_Board_User_Guide_rev1.6.pdf" TargetMode="External"/><Relationship Id="rId81" Type="http://schemas.openxmlformats.org/officeDocument/2006/relationships/hyperlink" Target="http://www.moog-crossbow.com/products/inertial-products/products-anav200/" TargetMode="External"/><Relationship Id="rId86" Type="http://schemas.openxmlformats.org/officeDocument/2006/relationships/hyperlink" Target="http://www.memsic.com/wireless-sensor-networks/MTS310" TargetMode="External"/><Relationship Id="rId130" Type="http://schemas.openxmlformats.org/officeDocument/2006/relationships/hyperlink" Target="https://www.artik.io/hardware/artik-10" TargetMode="External"/><Relationship Id="rId135" Type="http://schemas.openxmlformats.org/officeDocument/2006/relationships/hyperlink" Target="http://www.marvell.com/microcontrollers/wi-fi-microcontroller-platform/" TargetMode="External"/><Relationship Id="rId151" Type="http://schemas.openxmlformats.org/officeDocument/2006/relationships/hyperlink" Target="http://www.cnet.com/products/withings-activite/" TargetMode="External"/><Relationship Id="rId156" Type="http://schemas.openxmlformats.org/officeDocument/2006/relationships/hyperlink" Target="http://www.moog-crossbow.com/Literature/Data_Sheets/ANAV200_Data_Sheet.pdf" TargetMode="External"/><Relationship Id="rId177" Type="http://schemas.openxmlformats.org/officeDocument/2006/relationships/hyperlink" Target="http://www.memsic.com/wireless-sensor-networks/LPR2400" TargetMode="External"/><Relationship Id="rId4" Type="http://schemas.openxmlformats.org/officeDocument/2006/relationships/hyperlink" Target="http://tinyos.stanford.edu/tinyos-wiki/index.php/Imote2" TargetMode="External"/><Relationship Id="rId9" Type="http://schemas.openxmlformats.org/officeDocument/2006/relationships/hyperlink" Target="http://cache.freescale.com/files/sensors/doc/data_sheet/XSFLK_DS.pdf?fpsp=1&amp;WT_TYPE=Data%20Sheets&amp;WT_VENDOR=FREESCALE&amp;WT_FILE_FORMAT=pdf&amp;WT_ASSET=Documentation&amp;fileExt=.pdf" TargetMode="External"/><Relationship Id="rId172" Type="http://schemas.openxmlformats.org/officeDocument/2006/relationships/hyperlink" Target="http://www.espruino.com/Battery" TargetMode="External"/><Relationship Id="rId180" Type="http://schemas.openxmlformats.org/officeDocument/2006/relationships/hyperlink" Target="http://www.btnode.ethz.ch/Documentation/BTnodeRev3HardwareReference" TargetMode="External"/><Relationship Id="rId13" Type="http://schemas.openxmlformats.org/officeDocument/2006/relationships/hyperlink" Target="http://www.advanticsys.com/wiki/index.php?title=XM1000" TargetMode="External"/><Relationship Id="rId18" Type="http://schemas.openxmlformats.org/officeDocument/2006/relationships/hyperlink" Target="https://www.cooking-hacks.com/waspmote-mote-runner-6lowpan-868-mhz-lab-kit-5232" TargetMode="External"/><Relationship Id="rId39" Type="http://schemas.openxmlformats.org/officeDocument/2006/relationships/hyperlink" Target="http://www.digi.com/products/wireless-sensors-and-cameras/digi-connect-tank" TargetMode="External"/><Relationship Id="rId109" Type="http://schemas.openxmlformats.org/officeDocument/2006/relationships/hyperlink" Target="https://tiny-circuits.com/learn/tinyshield-ambient" TargetMode="External"/><Relationship Id="rId34" Type="http://schemas.openxmlformats.org/officeDocument/2006/relationships/hyperlink" Target="https://www.google.com/url?sa=t&amp;rct=j&amp;q=&amp;esrc=s&amp;source=web&amp;cd=9&amp;ved=0CEQQFjAI&amp;url=http%3A%2F%2Fwww.xbow.jp%2FImote2.Builder_kit.pdf&amp;ei=ETOYVbjuB4zwoATDzLqYCA&amp;usg=AFQjCNFkg97CB2hiodmE65p8BMSN_IZ9Gg&amp;sig2=7viH0CNoiXQSYOKI2Bu6XQ&amp;bvm=bv.96952980,d.bGQ&amp;cad=rja" TargetMode="External"/><Relationship Id="rId50" Type="http://schemas.openxmlformats.org/officeDocument/2006/relationships/hyperlink" Target="http://org.downloadcenter.samsung.com/downloadfile/ContentsFile.aspx?CDSite=UNI_UK&amp;CttFileID=5678395&amp;CDCttType=UM&amp;ModelType=N&amp;ModelName=SM-R381&amp;VPath=UM/201407/20140708090405237/SM-R381_UM_EU_Eng_Rev.1.2_140530.pdf" TargetMode="External"/><Relationship Id="rId55" Type="http://schemas.openxmlformats.org/officeDocument/2006/relationships/hyperlink" Target="http://store.apple.com/us/product/HF5D2VC/A/wahoo-tickr-x-heart-rate-monitor" TargetMode="External"/><Relationship Id="rId76" Type="http://schemas.openxmlformats.org/officeDocument/2006/relationships/hyperlink" Target="http://www.shimmersensing.com/images/uploads/docs/PROTO3_Mini_Expansion_board_rev_1.2.pdf" TargetMode="External"/><Relationship Id="rId97" Type="http://schemas.openxmlformats.org/officeDocument/2006/relationships/hyperlink" Target="http://www.panstamp.com/product/battery-board/" TargetMode="External"/><Relationship Id="rId104" Type="http://schemas.openxmlformats.org/officeDocument/2006/relationships/hyperlink" Target="https://tiny-circuits.com/learn/tinyshield-accel" TargetMode="External"/><Relationship Id="rId120" Type="http://schemas.openxmlformats.org/officeDocument/2006/relationships/hyperlink" Target="http://www.freescale.com/products/arm-processors/kinetis-cortex-m/l-series/kinetis-kl03-48-mhz-small-form-factor-high-integration-ultra-low-power-microcontrollers-mcus:KL03" TargetMode="External"/><Relationship Id="rId125" Type="http://schemas.openxmlformats.org/officeDocument/2006/relationships/hyperlink" Target="http://www2.withings.com/eu/en/products/activite/" TargetMode="External"/><Relationship Id="rId141" Type="http://schemas.openxmlformats.org/officeDocument/2006/relationships/hyperlink" Target="http://www.engadget.com/products/fitbit/one/specs/" TargetMode="External"/><Relationship Id="rId146" Type="http://schemas.openxmlformats.org/officeDocument/2006/relationships/hyperlink" Target="http://news.mit.edu/2015/wearable-thumbnail-sensor-controls-digital-devices-0417" TargetMode="External"/><Relationship Id="rId167" Type="http://schemas.openxmlformats.org/officeDocument/2006/relationships/hyperlink" Target="https://tinycircuits.hackster.io/kburns/getting-started-tinyshield-compass" TargetMode="External"/><Relationship Id="rId7" Type="http://schemas.openxmlformats.org/officeDocument/2006/relationships/hyperlink" Target="http://www.libelium.com/development/waspmote/documentation/waspmote-datasheet/?action=download" TargetMode="External"/><Relationship Id="rId71" Type="http://schemas.openxmlformats.org/officeDocument/2006/relationships/hyperlink" Target="http://www.shimmersensing.com/images/uploads/docs/ExG_Revision_1.3.pdf" TargetMode="External"/><Relationship Id="rId92" Type="http://schemas.openxmlformats.org/officeDocument/2006/relationships/hyperlink" Target="http://www.panstamp.com/product/panstamp-avr/" TargetMode="External"/><Relationship Id="rId162" Type="http://schemas.openxmlformats.org/officeDocument/2006/relationships/hyperlink" Target="http://www.memsic.com/wireless-sensor-networks/MTS400" TargetMode="External"/><Relationship Id="rId183" Type="http://schemas.openxmlformats.org/officeDocument/2006/relationships/hyperlink" Target="https://www.adafruit.com/product/3178" TargetMode="External"/><Relationship Id="rId2" Type="http://schemas.openxmlformats.org/officeDocument/2006/relationships/hyperlink" Target="http://www.ti.com/tool/EZ430-RF2480" TargetMode="External"/><Relationship Id="rId29" Type="http://schemas.openxmlformats.org/officeDocument/2006/relationships/hyperlink" Target="https://s3.amazonaws.com/site_support/uploads/document_upload/GS1500M-PB.pdf" TargetMode="External"/><Relationship Id="rId24" Type="http://schemas.openxmlformats.org/officeDocument/2006/relationships/hyperlink" Target="https://tessel.io/" TargetMode="External"/><Relationship Id="rId40" Type="http://schemas.openxmlformats.org/officeDocument/2006/relationships/hyperlink" Target="http://www.digi.com/products/videosensors/watchportsensors" TargetMode="External"/><Relationship Id="rId45" Type="http://schemas.openxmlformats.org/officeDocument/2006/relationships/hyperlink" Target="https://www.google.com/url?sa=t&amp;rct=j&amp;q=&amp;esrc=s&amp;source=web&amp;cd=1&amp;cad=rja&amp;uact=8&amp;ved=0CB0QFjAA&amp;url=http%3A%2F%2Fwww.adafruit.com%2Fdatasheets%2FBBB_SRM.pdf&amp;ei=JSqdVa2XNYO2UdnDgpgL&amp;usg=AFQjCNH8H-p38wWd-r5rM__7RP-9IXhfmA&amp;sig2=6Im7__i8OfqOiV2SUR0FoA&amp;bvm=bv.969" TargetMode="External"/><Relationship Id="rId66" Type="http://schemas.openxmlformats.org/officeDocument/2006/relationships/hyperlink" Target="https://www.youtube.com/watch?v=TzjfkE48yew&amp;feature=youtu.be" TargetMode="External"/><Relationship Id="rId87" Type="http://schemas.openxmlformats.org/officeDocument/2006/relationships/hyperlink" Target="http://www.memsic.com/wireless-sensor-networks/MTS300" TargetMode="External"/><Relationship Id="rId110" Type="http://schemas.openxmlformats.org/officeDocument/2006/relationships/hyperlink" Target="http://we-io.net/hardware/" TargetMode="External"/><Relationship Id="rId115" Type="http://schemas.openxmlformats.org/officeDocument/2006/relationships/hyperlink" Target="https://lx-group.com.au/wireless-data-acquisition-avnet-wi-go/" TargetMode="External"/><Relationship Id="rId131" Type="http://schemas.openxmlformats.org/officeDocument/2006/relationships/hyperlink" Target="https://www.artik.io/hardware/artik-5" TargetMode="External"/><Relationship Id="rId136" Type="http://schemas.openxmlformats.org/officeDocument/2006/relationships/hyperlink" Target="http://www.memsic.com/userfiles/files/Datasheets/WSN/mts400_420_datasheet-t.pdf" TargetMode="External"/><Relationship Id="rId157" Type="http://schemas.openxmlformats.org/officeDocument/2006/relationships/hyperlink" Target="http://www.sensorsmag.com/wireless-applications/news/crossbow-introduces-iris-wireless-product-line-2487" TargetMode="External"/><Relationship Id="rId178" Type="http://schemas.openxmlformats.org/officeDocument/2006/relationships/hyperlink" Target="http://www.digi.com/customersuccesses/xbee-enabled-sensors-monitor-harsh-environments" TargetMode="External"/><Relationship Id="rId61" Type="http://schemas.openxmlformats.org/officeDocument/2006/relationships/hyperlink" Target="http://www.shimmersensing.com/images/uploads/docs/ShimmerCapture_User_Manual_Rev0.3a.pdf" TargetMode="External"/><Relationship Id="rId82" Type="http://schemas.openxmlformats.org/officeDocument/2006/relationships/hyperlink" Target="http://www.moog-crossbow.com/products/inertial-products/products-nav440/" TargetMode="External"/><Relationship Id="rId152" Type="http://schemas.openxmlformats.org/officeDocument/2006/relationships/hyperlink" Target="https://www.google.com/url?sa=t&amp;rct=j&amp;q=&amp;esrc=s&amp;source=web&amp;cd=4&amp;sqi=2&amp;ved=0ahUKEwiO-5ifpevKAhVI8RQKHTX3C_sQFggwMAM&amp;url=http%3A%2F%2Fwww.cnet.com%2Fproducts%2Fwithings-pulse-o2%2F&amp;usg=AFQjCNGLupxYyYg9xmbzLkALkrASq9tH9A&amp;sig2=TutPoOrWhtCqPrrdFlWaLw&amp;bvm=bv.11" TargetMode="External"/><Relationship Id="rId173" Type="http://schemas.openxmlformats.org/officeDocument/2006/relationships/hyperlink" Target="http://www.seeedstudio.com/depot/Tessel-m-153.html" TargetMode="External"/><Relationship Id="rId19" Type="http://schemas.openxmlformats.org/officeDocument/2006/relationships/hyperlink" Target="http://www.sunspotdev.org/products/index.html" TargetMode="External"/><Relationship Id="rId14" Type="http://schemas.openxmlformats.org/officeDocument/2006/relationships/hyperlink" Target="http://www.wimoto.com/" TargetMode="External"/><Relationship Id="rId30" Type="http://schemas.openxmlformats.org/officeDocument/2006/relationships/hyperlink" Target="https://www.google.com/url?sa=t&amp;rct=j&amp;q=&amp;esrc=s&amp;source=web&amp;cd=2&amp;ved=0CCUQFjAB&amp;url=http%3A%2F%2Fwww.ti.com%2Flit%2Fug%2Fswru151a%2Fswru151a.pdf&amp;ei=HC2YVfa6O6WhyAOh9YbABA&amp;usg=AFQjCNGfZE_FgFeP_S4hJ74TdcFymUEqSw&amp;sig2=6VhxHgAvXuMG-48uHhE3Hw&amp;bvm=bv.96952980,d.b" TargetMode="External"/><Relationship Id="rId35" Type="http://schemas.openxmlformats.org/officeDocument/2006/relationships/hyperlink" Target="https://www.google.com/url?sa=t&amp;rct=j&amp;q=&amp;esrc=s&amp;source=web&amp;cd=1&amp;ved=0CCAQFjAA&amp;url=http%3A%2F%2Fwww.inf.ed.ac.uk%2Fteaching%2Fcourses%2Fslip%2Fprospekz-QSG.pdf&amp;ei=UeGbVZrcLcv-UrmgsJAL&amp;usg=AFQjCNGb7ij_b9mzgZ4eVM5Ov9g2kfhzUA&amp;sig2=La5i8KkvPqHqSaefQjliig&amp;bvm=b" TargetMode="External"/><Relationship Id="rId56" Type="http://schemas.openxmlformats.org/officeDocument/2006/relationships/hyperlink" Target="http://store.apple.com/us/product/HF5D2VC/A/wahoo-tickr-x-heart-rate-monitor" TargetMode="External"/><Relationship Id="rId77" Type="http://schemas.openxmlformats.org/officeDocument/2006/relationships/hyperlink" Target="http://www.shimmersensing.com/shop/proto3-deluxe-expansion-board" TargetMode="External"/><Relationship Id="rId100" Type="http://schemas.openxmlformats.org/officeDocument/2006/relationships/hyperlink" Target="http://old.panstamp.com/products/battery-board-tmp36" TargetMode="External"/><Relationship Id="rId105" Type="http://schemas.openxmlformats.org/officeDocument/2006/relationships/hyperlink" Target="https://tiny-circuits.com/tiny-shield-compass.html" TargetMode="External"/><Relationship Id="rId126" Type="http://schemas.openxmlformats.org/officeDocument/2006/relationships/hyperlink" Target="http://www2.withings.com/eu/en/products/pulse/" TargetMode="External"/><Relationship Id="rId147" Type="http://schemas.openxmlformats.org/officeDocument/2006/relationships/hyperlink" Target="http://postscapes.com/thumbnail-size-wearable-trackpad-nailo" TargetMode="External"/><Relationship Id="rId168" Type="http://schemas.openxmlformats.org/officeDocument/2006/relationships/hyperlink" Target="http://ams.com/eng/Products/Light-Sensors/Ambient-Light-Sensor-ALS/TSL25723" TargetMode="External"/><Relationship Id="rId8" Type="http://schemas.openxmlformats.org/officeDocument/2006/relationships/hyperlink" Target="http://www.freescale.com/webapp/sps/site/prod_summary.jsp?code=FRDM-K64F" TargetMode="External"/><Relationship Id="rId51" Type="http://schemas.openxmlformats.org/officeDocument/2006/relationships/hyperlink" Target="http://www.target.com/p/fitbit-one-wireless-activity-and-sleep-tracker-black-fb103bk/-/A-14247768" TargetMode="External"/><Relationship Id="rId72" Type="http://schemas.openxmlformats.org/officeDocument/2006/relationships/hyperlink" Target="http://www.shimmersensing.com/images/uploads/docs/EMG_User_Guide_Rev1.7.pdf" TargetMode="External"/><Relationship Id="rId93" Type="http://schemas.openxmlformats.org/officeDocument/2006/relationships/hyperlink" Target="https://github.com/panStamp/panstamp/wiki/panStamp%20AVR.-Technical%20details" TargetMode="External"/><Relationship Id="rId98" Type="http://schemas.openxmlformats.org/officeDocument/2006/relationships/hyperlink" Target="https://github.com/panStamp/panstamp/wiki/minibat-board" TargetMode="External"/><Relationship Id="rId121" Type="http://schemas.openxmlformats.org/officeDocument/2006/relationships/hyperlink" Target="http://www2.withings.com/eu/en/store/details/activite-pop" TargetMode="External"/><Relationship Id="rId142" Type="http://schemas.openxmlformats.org/officeDocument/2006/relationships/hyperlink" Target="http://www.dcrainmaker.com/2014/01/wahoo-fitness-tickr.html" TargetMode="External"/><Relationship Id="rId163" Type="http://schemas.openxmlformats.org/officeDocument/2006/relationships/hyperlink" Target="http://www.memsic.com/userfiles/files/Datasheets/WSN/mts_mda_datasheet.pdf" TargetMode="External"/><Relationship Id="rId184" Type="http://schemas.openxmlformats.org/officeDocument/2006/relationships/printerSettings" Target="../printerSettings/printerSettings1.bin"/><Relationship Id="rId3" Type="http://schemas.openxmlformats.org/officeDocument/2006/relationships/hyperlink" Target="http://www.libelium.com/products/waspmote/" TargetMode="External"/><Relationship Id="rId25" Type="http://schemas.openxmlformats.org/officeDocument/2006/relationships/hyperlink" Target="https://tessel.io/modules" TargetMode="External"/><Relationship Id="rId46" Type="http://schemas.openxmlformats.org/officeDocument/2006/relationships/hyperlink" Target="https://software.intel.com/en-us/blogs/2014/09/08/announcing-intel-iot-developer-kit" TargetMode="External"/><Relationship Id="rId67" Type="http://schemas.openxmlformats.org/officeDocument/2006/relationships/hyperlink" Target="http://www.shimmersensing.com/shop/bridge-amplifier" TargetMode="External"/><Relationship Id="rId116" Type="http://schemas.openxmlformats.org/officeDocument/2006/relationships/hyperlink" Target="https://www.youtube.com/watch?v=k4h5QTViw4w&amp;list=PLg07aWMHKqmZpRaBkgek6U9eumeLkoR2j" TargetMode="External"/><Relationship Id="rId137" Type="http://schemas.openxmlformats.org/officeDocument/2006/relationships/hyperlink" Target="http://www.intel.com/content/www/us/en/wearables/wearable-soc.html" TargetMode="External"/><Relationship Id="rId158" Type="http://schemas.openxmlformats.org/officeDocument/2006/relationships/hyperlink" Target="http://www.moog-crossbow.com/Literature/Data_Sheets/NAV440_Data_Sheet.pdf" TargetMode="External"/><Relationship Id="rId20" Type="http://schemas.openxmlformats.org/officeDocument/2006/relationships/hyperlink" Target="http://shop.ciseco.co.uk/raswik/" TargetMode="External"/><Relationship Id="rId41" Type="http://schemas.openxmlformats.org/officeDocument/2006/relationships/hyperlink" Target="https://www.google.com/url?sa=t&amp;rct=j&amp;q=&amp;esrc=s&amp;source=web&amp;cd=2&amp;cad=rja&amp;uact=8&amp;ved=0ahUKEwiJ34TE_PnRAhWDQJoKHV5fBd4QFggeMAE&amp;url=http%3A%2F%2Fnms.csail.mit.edu%2Fcricket%2Fv2man.pdf&amp;usg=AFQjCNHp6qQVErTSY0WLNU6a5uMxisjTXw&amp;sig2=x85YP2sR8beMr02hrJBqMA&amp;bvm=bv." TargetMode="External"/><Relationship Id="rId62" Type="http://schemas.openxmlformats.org/officeDocument/2006/relationships/hyperlink" Target="http://www.shimmersensing.com/images/uploads/docs/Shimmer_PROTO3_Series_User_Guide_Rev1.3.pdf" TargetMode="External"/><Relationship Id="rId83" Type="http://schemas.openxmlformats.org/officeDocument/2006/relationships/hyperlink" Target="http://www.moog-crossbow.com/products/inertial-products/products-vg440/" TargetMode="External"/><Relationship Id="rId88" Type="http://schemas.openxmlformats.org/officeDocument/2006/relationships/hyperlink" Target="http://www.memsic.com/wireless-sensor-networks/MTS420" TargetMode="External"/><Relationship Id="rId111" Type="http://schemas.openxmlformats.org/officeDocument/2006/relationships/hyperlink" Target="http://www.we-io.net/downloads/doc/WeIOdataSheet.pdf" TargetMode="External"/><Relationship Id="rId132" Type="http://schemas.openxmlformats.org/officeDocument/2006/relationships/hyperlink" Target="https://www.artik.io/hardware/artik-1" TargetMode="External"/><Relationship Id="rId153" Type="http://schemas.openxmlformats.org/officeDocument/2006/relationships/hyperlink" Target="http://www.techradar.com/reviews/wearables/withings-pulse-ox-1280917/review" TargetMode="External"/><Relationship Id="rId174" Type="http://schemas.openxmlformats.org/officeDocument/2006/relationships/hyperlink" Target="http://www.memsic.com/userfiles/files/Datasheets/WSN/telosb_datasheet.pdf" TargetMode="External"/><Relationship Id="rId179" Type="http://schemas.openxmlformats.org/officeDocument/2006/relationships/hyperlink" Target="http://nms.csail.mit.edu/cricket/" TargetMode="External"/><Relationship Id="rId15" Type="http://schemas.openxmlformats.org/officeDocument/2006/relationships/hyperlink" Target="http://postscapes.com/bluetooth-sensor-motes-wimoto" TargetMode="External"/><Relationship Id="rId36" Type="http://schemas.openxmlformats.org/officeDocument/2006/relationships/hyperlink" Target="http://www.memsic.com/userfiles/files/Datasheets/WSN/6020-0705-01_A_LOTUS.pdf" TargetMode="External"/><Relationship Id="rId57" Type="http://schemas.openxmlformats.org/officeDocument/2006/relationships/hyperlink" Target="http://www.revolar.com/preorder/" TargetMode="External"/><Relationship Id="rId106" Type="http://schemas.openxmlformats.org/officeDocument/2006/relationships/hyperlink" Target="https://tiny-circuits.com/tinyshield-gyro.html" TargetMode="External"/><Relationship Id="rId127" Type="http://schemas.openxmlformats.org/officeDocument/2006/relationships/hyperlink" Target="http://www2.withings.com/eu/en/store/details/pulse-O2" TargetMode="External"/><Relationship Id="rId10" Type="http://schemas.openxmlformats.org/officeDocument/2006/relationships/hyperlink" Target="http://zolertia.sourceforge.net/wiki/index.php/Z1" TargetMode="External"/><Relationship Id="rId31" Type="http://schemas.openxmlformats.org/officeDocument/2006/relationships/hyperlink" Target="https://www.google.com/url?sa=t&amp;rct=j&amp;q=&amp;esrc=s&amp;source=web&amp;cd=4&amp;ved=0CDQQFjAD&amp;url=http%3A%2F%2Fwww.tij.co.jp%2Fjp%2Flit%2Fug%2Fslau227f%2Fslau227f.pdf&amp;ei=xDGYVYfmO8SvogSFmbCoDg&amp;usg=AFQjCNFuI41Oj0xVkQTNO4H-HVZuW4ocfw&amp;sig2=AP9tWxU16E7w8ULABC3S4Q&amp;bvm=bv.9695" TargetMode="External"/><Relationship Id="rId52" Type="http://schemas.openxmlformats.org/officeDocument/2006/relationships/hyperlink" Target="https://revolar.com/technology/" TargetMode="External"/><Relationship Id="rId73" Type="http://schemas.openxmlformats.org/officeDocument/2006/relationships/hyperlink" Target="http://www.shimmersensing.com/shop/shimmer3-ecg-unit" TargetMode="External"/><Relationship Id="rId78" Type="http://schemas.openxmlformats.org/officeDocument/2006/relationships/hyperlink" Target="http://www.shimmersensing.com/images/uploads/docs/PROTO3_Deluxe_-_2014_-_1.2.pdf" TargetMode="External"/><Relationship Id="rId94" Type="http://schemas.openxmlformats.org/officeDocument/2006/relationships/hyperlink" Target="http://www.panstamp.com/product/197/" TargetMode="External"/><Relationship Id="rId99" Type="http://schemas.openxmlformats.org/officeDocument/2006/relationships/hyperlink" Target="http://panstamp.com/store/index.php?id_product=56&amp;controller=product" TargetMode="External"/><Relationship Id="rId101" Type="http://schemas.openxmlformats.org/officeDocument/2006/relationships/hyperlink" Target="https://tiny-circuits.com/tiny-shield-9axis.html" TargetMode="External"/><Relationship Id="rId122" Type="http://schemas.openxmlformats.org/officeDocument/2006/relationships/hyperlink" Target="https://www.google.com/url?sa=t&amp;rct=j&amp;q=&amp;esrc=s&amp;source=web&amp;cd=2&amp;cad=rja&amp;uact=8&amp;ved=0CCIQFjABahUKEwi_kb7vrY_IAhWk83IKHWrVA3Y&amp;url=https%3A%2F%2Fwithings.zendesk.com%2Fhc%2Fen-us%2Farticle_attachments%2F201248588%2FActivite_-_Activite_Pop_User_Guide_EN_-_low" TargetMode="External"/><Relationship Id="rId143" Type="http://schemas.openxmlformats.org/officeDocument/2006/relationships/hyperlink" Target="http://www.wahoofitness.com/devices/wahoo-tickr-x-heart-rate-strap.html" TargetMode="External"/><Relationship Id="rId148" Type="http://schemas.openxmlformats.org/officeDocument/2006/relationships/hyperlink" Target="http://www.wired.com/2015/04/nailo-thumbnail-trackpad/" TargetMode="External"/><Relationship Id="rId164" Type="http://schemas.openxmlformats.org/officeDocument/2006/relationships/hyperlink" Target="http://www.memsic.com/userfiles/files/Datasheets/WSN/6020-0052-04_a_mda300-t.pdf" TargetMode="External"/><Relationship Id="rId169" Type="http://schemas.openxmlformats.org/officeDocument/2006/relationships/hyperlink" Target="https://www.indiegogo.com/projects/wimotos-tiny-wireless-helpers-for-your-life--47" TargetMode="External"/><Relationship Id="rId185"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6" Type="http://schemas.openxmlformats.org/officeDocument/2006/relationships/hyperlink" Target="http://www.quicklogic.com/assets/pdf/solution-platform-briefs/ArcticLink-3-S2-SPB.pdf" TargetMode="External"/><Relationship Id="rId21" Type="http://schemas.openxmlformats.org/officeDocument/2006/relationships/hyperlink" Target="http://cache.freescale.com/files/32bit/doc/ref_manual/KL04P48M48SF1RM.pdf?fsrch=1&amp;sr=5&amp;pageNum=1" TargetMode="External"/><Relationship Id="rId42" Type="http://schemas.openxmlformats.org/officeDocument/2006/relationships/hyperlink" Target="http://www.ti.com/product/FDC1004?keyMatch=fdc1004&amp;tisearch=Search-EN" TargetMode="External"/><Relationship Id="rId47" Type="http://schemas.openxmlformats.org/officeDocument/2006/relationships/hyperlink" Target="http://www.silabs.com/products/sensors/humidity-sensors/Pages/si7013-20-21.aspx" TargetMode="External"/><Relationship Id="rId63" Type="http://schemas.openxmlformats.org/officeDocument/2006/relationships/hyperlink" Target="http://www.silabs.com/Support%20Documents/TechnicalDocs/EFM32TG110.pdf" TargetMode="External"/><Relationship Id="rId68" Type="http://schemas.openxmlformats.org/officeDocument/2006/relationships/hyperlink" Target="https://www.silabs.com/products/wireless/proprietary/ezr32-wonder-gecko-wireless-mcu/Pages/EZR32WG230F256R67G.aspx" TargetMode="External"/><Relationship Id="rId84" Type="http://schemas.openxmlformats.org/officeDocument/2006/relationships/hyperlink" Target="http://www.findchips.com/search/88mc200-a1-nxu2i000" TargetMode="External"/><Relationship Id="rId89" Type="http://schemas.openxmlformats.org/officeDocument/2006/relationships/hyperlink" Target="https://developer.qualcomm.com/download/qca4010/qca4010-product-brief.pdf" TargetMode="External"/><Relationship Id="rId7" Type="http://schemas.openxmlformats.org/officeDocument/2006/relationships/hyperlink" Target="http://www.ti.com/product/cc2630" TargetMode="External"/><Relationship Id="rId71" Type="http://schemas.openxmlformats.org/officeDocument/2006/relationships/hyperlink" Target="http://www.marvell.com/microcontrollers/assets/88MC200_Microcontroller_datasheet_Rev_B.pdf" TargetMode="External"/><Relationship Id="rId92" Type="http://schemas.openxmlformats.org/officeDocument/2006/relationships/hyperlink" Target="http://www.anandtech.com/show/8400/arms-cortex-m-even-smaller-and-lower-power-cpu-cores" TargetMode="External"/><Relationship Id="rId2" Type="http://schemas.openxmlformats.org/officeDocument/2006/relationships/hyperlink" Target="http://www.ti.com/lit/pdf/tidu862" TargetMode="External"/><Relationship Id="rId16" Type="http://schemas.openxmlformats.org/officeDocument/2006/relationships/hyperlink" Target="http://www.freescale.com/products/arm-processors/kinetis-cortex-m/l-series/kinetis-kl02-48-mhz-small-form-factor-high-integration-ultra-low-power-microcontrollers-mcus:KL02" TargetMode="External"/><Relationship Id="rId29" Type="http://schemas.openxmlformats.org/officeDocument/2006/relationships/hyperlink" Target="http://www.quicklogic.com/platforms/sensor-processing/eos/" TargetMode="External"/><Relationship Id="rId107" Type="http://schemas.openxmlformats.org/officeDocument/2006/relationships/vmlDrawing" Target="../drawings/vmlDrawing2.vml"/><Relationship Id="rId11" Type="http://schemas.openxmlformats.org/officeDocument/2006/relationships/hyperlink" Target="http://www.ti.com/lit/gpn/cc2630" TargetMode="External"/><Relationship Id="rId24" Type="http://schemas.openxmlformats.org/officeDocument/2006/relationships/hyperlink" Target="http://www.freescale.com/products/arm-processors/kinetis-cortex-m/l-series/kinetis-kl0-48-mhz-entry-level-small-form-factor-ultra-low-power-mcus:KL0?&amp;cof=0&amp;am=0&amp;tab=Buy_Parametric_Tab&amp;fromSearch=false" TargetMode="External"/><Relationship Id="rId32" Type="http://schemas.openxmlformats.org/officeDocument/2006/relationships/hyperlink" Target="http://www.silabs.com/products/mcu/8-bit/efm8-sleepy-bee/pages/EFM8SB20F64G-QFP32.aspx" TargetMode="External"/><Relationship Id="rId37" Type="http://schemas.openxmlformats.org/officeDocument/2006/relationships/hyperlink" Target="http://www.silabs.com/products/mcu/32-bit/efm32-wonder-gecko/pages/efm32-wonder-gecko.aspx" TargetMode="External"/><Relationship Id="rId40" Type="http://schemas.openxmlformats.org/officeDocument/2006/relationships/hyperlink" Target="http://www.ti.com/general/docs/lit/getliterature.tsp?genericPartNumber=tmp112&amp;fileType=pdf" TargetMode="External"/><Relationship Id="rId45" Type="http://schemas.openxmlformats.org/officeDocument/2006/relationships/hyperlink" Target="https://cdn.sparkfun.com/datasheets/IoT/LSM9DS1.pdf" TargetMode="External"/><Relationship Id="rId53" Type="http://schemas.openxmlformats.org/officeDocument/2006/relationships/hyperlink" Target="http://www.silabs.com/Support%20Documents/TechnicalDocs/Si1145-46-47.pdf" TargetMode="External"/><Relationship Id="rId58" Type="http://schemas.openxmlformats.org/officeDocument/2006/relationships/hyperlink" Target="http://www.digikey.com/product-search/en?wt.z_cid=ref_hearst_0211_buynow&amp;site=us&amp;mpart=SI7053-A20-IM" TargetMode="External"/><Relationship Id="rId66" Type="http://schemas.openxmlformats.org/officeDocument/2006/relationships/hyperlink" Target="http://www.mouser.com/ProductDetail/Silicon-Laboratories/EFM32WG232F256-QFP64T/?qs=%2fha2pyFaduhcGtQmH4eEu%2faIOmBL9OT%2fZtVtAfKqPViPyvVDgTw6Vy2vnBaGwxhv" TargetMode="External"/><Relationship Id="rId74" Type="http://schemas.openxmlformats.org/officeDocument/2006/relationships/hyperlink" Target="http://www.marvell.com/microcontrollers/88MB300/assets/Marvell_88MB300_02-PB.pdf" TargetMode="External"/><Relationship Id="rId79" Type="http://schemas.openxmlformats.org/officeDocument/2006/relationships/hyperlink" Target="http://www.arm.com/products/processors/cortex-m/cortex-m3.php" TargetMode="External"/><Relationship Id="rId87" Type="http://schemas.openxmlformats.org/officeDocument/2006/relationships/hyperlink" Target="http://www.datasheet-pdf.info/entry/QCA4002" TargetMode="External"/><Relationship Id="rId102" Type="http://schemas.openxmlformats.org/officeDocument/2006/relationships/hyperlink" Target="http://www.ti.com/lit/ds/symlink/opt3001.pdf" TargetMode="External"/><Relationship Id="rId5" Type="http://schemas.openxmlformats.org/officeDocument/2006/relationships/hyperlink" Target="http://www.ti.com/lit/gpn/cc2640" TargetMode="External"/><Relationship Id="rId61" Type="http://schemas.openxmlformats.org/officeDocument/2006/relationships/hyperlink" Target="http://www.silabs.com/Support%20Documents/TechnicalDocs/EFM8SB2_DataSheet.pdf" TargetMode="External"/><Relationship Id="rId82" Type="http://schemas.openxmlformats.org/officeDocument/2006/relationships/hyperlink" Target="http://www.ti.com/product/CC2630/technicaldocuments" TargetMode="External"/><Relationship Id="rId90" Type="http://schemas.openxmlformats.org/officeDocument/2006/relationships/hyperlink" Target="https://developer.qualcomm.com/hardware/qca4010-12" TargetMode="External"/><Relationship Id="rId95" Type="http://schemas.openxmlformats.org/officeDocument/2006/relationships/hyperlink" Target="http://infocenter.arm.com/help/index.jsp?topic=/com.arm.doc.dui0430a/index.html" TargetMode="External"/><Relationship Id="rId19" Type="http://schemas.openxmlformats.org/officeDocument/2006/relationships/hyperlink" Target="http://www.freescale.com/products/arm-processors/kinetis-cortex-m/l-series/kinetis-kl02-48-mhz-small-form-factor-high-integration-ultra-low-power-microcontrollers-mcus:KL02?&amp;cof=0&amp;am=0&amp;tab=Buy_Parametric_Tab&amp;fromSearch=false" TargetMode="External"/><Relationship Id="rId14" Type="http://schemas.openxmlformats.org/officeDocument/2006/relationships/hyperlink" Target="http://www.nxp.com/assets/documents/data/en/data-sheets/KL03P24M48SF0.pdf" TargetMode="External"/><Relationship Id="rId22" Type="http://schemas.openxmlformats.org/officeDocument/2006/relationships/hyperlink" Target="http://www.freescale.com/products/arm-processors/kinetis-cortex-m/l-series/kinetis-kl0-48-mhz-entry-level-small-form-factor-ultra-low-power-mcus:KL0?&amp;cof=0&amp;am=0&amp;tab=Buy_Parametric_Tab&amp;fromSearch=false" TargetMode="External"/><Relationship Id="rId27" Type="http://schemas.openxmlformats.org/officeDocument/2006/relationships/hyperlink" Target="https://www.google.com/url?sa=t&amp;rct=j&amp;q=&amp;esrc=s&amp;source=web&amp;cd=5&amp;cad=rja&amp;uact=8&amp;ved=0CDYQtwIwBGoVChMIp9O1jviNyAIVBxByCh1YEA57&amp;url=http%3A%2F%2Fwww.youtube.com%2Fwatch%3Fv%3DRqCUCjJGIVQ&amp;usg=AFQjCNG6Ec4rFgoUGS_-4sdfb932DD-m_A&amp;sig2=gwyhlJkV6NvaOin-lvMivQ" TargetMode="External"/><Relationship Id="rId30" Type="http://schemas.openxmlformats.org/officeDocument/2006/relationships/hyperlink" Target="http://www.quicklogic.com/assets/pdf/solution-platform-briefs/EOS-SPPB.pdf" TargetMode="External"/><Relationship Id="rId35" Type="http://schemas.openxmlformats.org/officeDocument/2006/relationships/hyperlink" Target="http://www.silabs.com/products/mcu/32-bit/efm32-happy-gecko/pages/efm32-happy-gecko.aspx" TargetMode="External"/><Relationship Id="rId43" Type="http://schemas.openxmlformats.org/officeDocument/2006/relationships/hyperlink" Target="http://www.ti.com/general/docs/lit/getliterature.tsp?genericPartNumber=fdc1004&amp;fileType=pdf" TargetMode="External"/><Relationship Id="rId48" Type="http://schemas.openxmlformats.org/officeDocument/2006/relationships/hyperlink" Target="http://www.silabs.com/products/sensors/humidity-sensors/Pages/si7013-20-21.aspx" TargetMode="External"/><Relationship Id="rId56" Type="http://schemas.openxmlformats.org/officeDocument/2006/relationships/hyperlink" Target="http://www.silabs.com/Support%20Documents/TechnicalDocs/Si7013-A20.pdf" TargetMode="External"/><Relationship Id="rId64" Type="http://schemas.openxmlformats.org/officeDocument/2006/relationships/hyperlink" Target="http://www.mouser.com/ProductDetail/Silicon-Laboratories/EFM32TG110F32-QFN24T/?qs=%2fha2pyFaduj16FfAJHR6eUgGkeRkBizdHbOmjocMVJ0sROnSeWhI%2f4zvg4vJV%252bNq" TargetMode="External"/><Relationship Id="rId69" Type="http://schemas.openxmlformats.org/officeDocument/2006/relationships/hyperlink" Target="http://uk.farnell.com/silicon-labs/ezr32wg230f256r67g-b0/mcu-32bit-48mhz-cortex-m4-qfn/dp/2475217" TargetMode="External"/><Relationship Id="rId77" Type="http://schemas.openxmlformats.org/officeDocument/2006/relationships/hyperlink" Target="http://www.arm.com/products/processors/cortex-m/cortex-m0plus.php" TargetMode="External"/><Relationship Id="rId100" Type="http://schemas.openxmlformats.org/officeDocument/2006/relationships/hyperlink" Target="http://www.ti.com/general/docs/lit/getliterature.tsp?genericPartNumber=tmp007&amp;fileType=pdf" TargetMode="External"/><Relationship Id="rId105" Type="http://schemas.openxmlformats.org/officeDocument/2006/relationships/hyperlink" Target="https://www.silabs.com/Support%20Documents/TechnicalDocs/Si1145-46-47-M01Rev1.0.pdf" TargetMode="External"/><Relationship Id="rId8" Type="http://schemas.openxmlformats.org/officeDocument/2006/relationships/hyperlink" Target="http://www.ti.com/product/CC2650?keyMatch=cc2650&amp;tisearch=Search-EN-Everything" TargetMode="External"/><Relationship Id="rId51" Type="http://schemas.openxmlformats.org/officeDocument/2006/relationships/hyperlink" Target="http://www.silabs.com/products/sensors/infraredsensors/Pages/Si114x.aspx" TargetMode="External"/><Relationship Id="rId72" Type="http://schemas.openxmlformats.org/officeDocument/2006/relationships/hyperlink" Target="http://www.marvell.com/microcontrollers/88MW300/302/" TargetMode="External"/><Relationship Id="rId80" Type="http://schemas.openxmlformats.org/officeDocument/2006/relationships/hyperlink" Target="http://www.arm.com/products/processors/cortex-m/cortex-m4-processor.php" TargetMode="External"/><Relationship Id="rId85" Type="http://schemas.openxmlformats.org/officeDocument/2006/relationships/hyperlink" Target="https://octopart.com/search?q=88MB300" TargetMode="External"/><Relationship Id="rId93" Type="http://schemas.openxmlformats.org/officeDocument/2006/relationships/hyperlink" Target="https://www.community.arm.com/cfs-file/__key/telligent-evolution-components-attachments/01-2685-00-00-00-00-52-96/Cortex_2D00_M-for-Beginners-_2D00_-2016-_2800_final-v3_2900_.pdf" TargetMode="External"/><Relationship Id="rId98" Type="http://schemas.openxmlformats.org/officeDocument/2006/relationships/hyperlink" Target="http://infocenter.arm.com/help/topic/com.arm.doc.ddi0489b/DDI0489B_cortex_m7_trm.pdf" TargetMode="External"/><Relationship Id="rId3" Type="http://schemas.openxmlformats.org/officeDocument/2006/relationships/hyperlink" Target="http://www.ti.com/tool/tidc-cc2650stk-sensortag" TargetMode="External"/><Relationship Id="rId12" Type="http://schemas.openxmlformats.org/officeDocument/2006/relationships/hyperlink" Target="http://www.freescale.com/products/arm-processors/kinetis-cortex-m/l-series/kinetis-kl03-48-mhz-small-form-factor-high-integration-ultra-low-power-microcontrollers-mcus:KL03" TargetMode="External"/><Relationship Id="rId17" Type="http://schemas.openxmlformats.org/officeDocument/2006/relationships/hyperlink" Target="http://cache.freescale.com/files/microcontrollers/doc/fact_sheet/KINETISKL02CSPFS.pdf?fpsp=1&amp;WT_TYPE=Fact%20Sheets&amp;WT_VENDOR=FREESCALE&amp;WT_FILE_FORMAT=pdf&amp;WT_ASSET=Documentation&amp;fileExt=.pdf" TargetMode="External"/><Relationship Id="rId25" Type="http://schemas.openxmlformats.org/officeDocument/2006/relationships/hyperlink" Target="http://www.quicklogic.com/platforms/sensor-processing/al3s2/" TargetMode="External"/><Relationship Id="rId33" Type="http://schemas.openxmlformats.org/officeDocument/2006/relationships/hyperlink" Target="http://www.silabs.com/products/mcu/Pages/capacitive-touch-user-interface.aspx" TargetMode="External"/><Relationship Id="rId38" Type="http://schemas.openxmlformats.org/officeDocument/2006/relationships/hyperlink" Target="http://www.ti.com/product/hdc1000?keyMatch=HDC1000&amp;tisearch=Search-EN" TargetMode="External"/><Relationship Id="rId46" Type="http://schemas.openxmlformats.org/officeDocument/2006/relationships/hyperlink" Target="http://www.silabs.com/products/sensors/infraredsensors/Pages/default.aspx" TargetMode="External"/><Relationship Id="rId59" Type="http://schemas.openxmlformats.org/officeDocument/2006/relationships/hyperlink" Target="http://www.silabs.com/Support%20Documents/TechnicalDocs/Si7050-3-4-5-A20.pdf" TargetMode="External"/><Relationship Id="rId67" Type="http://schemas.openxmlformats.org/officeDocument/2006/relationships/hyperlink" Target="https://www.silabs.com/Support%20Documents/TechnicalDocs/EZR32WG230_DataSheet.pdf" TargetMode="External"/><Relationship Id="rId103" Type="http://schemas.openxmlformats.org/officeDocument/2006/relationships/hyperlink" Target="http://www.ti.com/product/CC3200" TargetMode="External"/><Relationship Id="rId108" Type="http://schemas.openxmlformats.org/officeDocument/2006/relationships/comments" Target="../comments2.xml"/><Relationship Id="rId20" Type="http://schemas.openxmlformats.org/officeDocument/2006/relationships/hyperlink" Target="http://cache.freescale.com/files/32bit/doc/data_sheet/KL04P48M48SF1.pdf?fsrch=1&amp;sr=4&amp;pageNum=1" TargetMode="External"/><Relationship Id="rId41" Type="http://schemas.openxmlformats.org/officeDocument/2006/relationships/hyperlink" Target="http://www.ti.com/product/tmp112?keyMatch=tmp112&amp;tisearch=Search-EN" TargetMode="External"/><Relationship Id="rId54" Type="http://schemas.openxmlformats.org/officeDocument/2006/relationships/hyperlink" Target="http://uk.rs-online.com/web/p/temperature-humidity-sensors/8652274/" TargetMode="External"/><Relationship Id="rId62" Type="http://schemas.openxmlformats.org/officeDocument/2006/relationships/hyperlink" Target="http://www.silabs.com/Support%20Documents/TechnicalDocs/EFM32HG110.pdf" TargetMode="External"/><Relationship Id="rId70" Type="http://schemas.openxmlformats.org/officeDocument/2006/relationships/hyperlink" Target="http://www.marvell.com/microcontrollers/88MC200/" TargetMode="External"/><Relationship Id="rId75" Type="http://schemas.openxmlformats.org/officeDocument/2006/relationships/hyperlink" Target="http://www.arm.com/products/processors/cortex-m/index.php" TargetMode="External"/><Relationship Id="rId83" Type="http://schemas.openxmlformats.org/officeDocument/2006/relationships/hyperlink" Target="http://www.marvell.com/microcontrollers/assets/MV-S109936-01C.pdf" TargetMode="External"/><Relationship Id="rId88" Type="http://schemas.openxmlformats.org/officeDocument/2006/relationships/hyperlink" Target="https://www.qualcomm.com/media/documents/files/qca400x-product-brief.pdf" TargetMode="External"/><Relationship Id="rId91" Type="http://schemas.openxmlformats.org/officeDocument/2006/relationships/hyperlink" Target="https://developer.arm.com/products/processors/cortex-m/cortex-m0" TargetMode="External"/><Relationship Id="rId96" Type="http://schemas.openxmlformats.org/officeDocument/2006/relationships/hyperlink" Target="http://infocenter.arm.com/help/index.jsp?topic=/com.arm.doc.dui0430a/index.html" TargetMode="External"/><Relationship Id="rId1" Type="http://schemas.openxmlformats.org/officeDocument/2006/relationships/hyperlink" Target="http://www.ti.com/tool/cc2650STK" TargetMode="External"/><Relationship Id="rId6" Type="http://schemas.openxmlformats.org/officeDocument/2006/relationships/hyperlink" Target="http://www.ti.com/product/cc2620" TargetMode="External"/><Relationship Id="rId15" Type="http://schemas.openxmlformats.org/officeDocument/2006/relationships/hyperlink" Target="http://www.freescale.com/products/arm-processors/kinetis-cortex-m/l-series/kinetis-kl03-48-mhz-small-form-factor-high-integration-ultra-low-power-microcontrollers-mcus:KL03?&amp;cof=0&amp;am=0&amp;tab=Buy_Parametric_Tab&amp;fromSearch=false" TargetMode="External"/><Relationship Id="rId23" Type="http://schemas.openxmlformats.org/officeDocument/2006/relationships/hyperlink" Target="http://cache.freescale.com/files/32bit/doc/data_sheet/KL05P48M48SF1.pdf?fsrch=1&amp;sr=5&amp;pageNum=1" TargetMode="External"/><Relationship Id="rId28" Type="http://schemas.openxmlformats.org/officeDocument/2006/relationships/hyperlink" Target="http://ir.quicklogic.com/releasedetail.cfm?releaseid=905676" TargetMode="External"/><Relationship Id="rId36" Type="http://schemas.openxmlformats.org/officeDocument/2006/relationships/hyperlink" Target="http://www.silabs.com/products/mcu/32-bit/efm32-tiny-gecko/pages/efm32-tiny-gecko.aspx" TargetMode="External"/><Relationship Id="rId49" Type="http://schemas.openxmlformats.org/officeDocument/2006/relationships/hyperlink" Target="http://www.silabs.com/products/sensors/humidity-sensors/Pages/default.aspx" TargetMode="External"/><Relationship Id="rId57" Type="http://schemas.openxmlformats.org/officeDocument/2006/relationships/hyperlink" Target="http://uk.rs-online.com/web/p/temperature-humidity-sensors/8652299/" TargetMode="External"/><Relationship Id="rId106" Type="http://schemas.openxmlformats.org/officeDocument/2006/relationships/printerSettings" Target="../printerSettings/printerSettings2.bin"/><Relationship Id="rId10" Type="http://schemas.openxmlformats.org/officeDocument/2006/relationships/hyperlink" Target="http://www.ti.com/lit/gpn/cc2620" TargetMode="External"/><Relationship Id="rId31" Type="http://schemas.openxmlformats.org/officeDocument/2006/relationships/hyperlink" Target="http://www.quicklogic.com/assets/Uploads/EOS-S3-Sensor-Processing-SoC-Platform-Presentation.pdf" TargetMode="External"/><Relationship Id="rId44" Type="http://schemas.openxmlformats.org/officeDocument/2006/relationships/hyperlink" Target="https://www.sparkfun.com/products/13629" TargetMode="External"/><Relationship Id="rId52" Type="http://schemas.openxmlformats.org/officeDocument/2006/relationships/hyperlink" Target="http://www.silabs.com/Support%20Documents/TechnicalDocs/Si114x.pdf" TargetMode="External"/><Relationship Id="rId60" Type="http://schemas.openxmlformats.org/officeDocument/2006/relationships/hyperlink" Target="https://www.silabs.com/products/sensors/temperature-sensors/Pages/si705x-temperature-sensors.aspx" TargetMode="External"/><Relationship Id="rId65" Type="http://schemas.openxmlformats.org/officeDocument/2006/relationships/hyperlink" Target="http://www.silabs.com/Support%20Documents/TechnicalDocs/EFM32WG232.pdf" TargetMode="External"/><Relationship Id="rId73" Type="http://schemas.openxmlformats.org/officeDocument/2006/relationships/hyperlink" Target="http://www.marvell.com/microcontrollers/assets/Marvell_88MC200_SoC-01_product_brief.pdf" TargetMode="External"/><Relationship Id="rId78" Type="http://schemas.openxmlformats.org/officeDocument/2006/relationships/hyperlink" Target="http://www.arm.com/products/processors/cortex-m/cortex-m1.php" TargetMode="External"/><Relationship Id="rId81" Type="http://schemas.openxmlformats.org/officeDocument/2006/relationships/hyperlink" Target="http://www.arm.com/products/processors/cortex-m/cortex-m7-processor.php" TargetMode="External"/><Relationship Id="rId86" Type="http://schemas.openxmlformats.org/officeDocument/2006/relationships/hyperlink" Target="https://developer.qualcomm.com/hardware/qca4002-4" TargetMode="External"/><Relationship Id="rId94" Type="http://schemas.openxmlformats.org/officeDocument/2006/relationships/hyperlink" Target="http://www.keil.com/dd/docs/datashts/arm/cortex_m0p/r0p0/dui0662a_cortex_m0p_r0p0_dgug.pdf" TargetMode="External"/><Relationship Id="rId99" Type="http://schemas.openxmlformats.org/officeDocument/2006/relationships/hyperlink" Target="http://www.ti.com/product/TMP007" TargetMode="External"/><Relationship Id="rId101" Type="http://schemas.openxmlformats.org/officeDocument/2006/relationships/hyperlink" Target="http://www.ti.com/product/OPT3001" TargetMode="External"/><Relationship Id="rId4" Type="http://schemas.openxmlformats.org/officeDocument/2006/relationships/hyperlink" Target="http://www.ti.com/product/CC2640?keyMatch=CC2640&amp;tisearch=Search-EN-Everything" TargetMode="External"/><Relationship Id="rId9" Type="http://schemas.openxmlformats.org/officeDocument/2006/relationships/hyperlink" Target="http://www.ti.com/lit/gpn/cc2650" TargetMode="External"/><Relationship Id="rId13" Type="http://schemas.openxmlformats.org/officeDocument/2006/relationships/hyperlink" Target="http://cache.freescale.com/files/microcontrollers/doc/selector_guide/KINETISLMCUSELGD.pdf?fpsp=1&amp;WT_TYPE=Selector%20Guides&amp;WT_VENDOR=FREESCALE&amp;WT_FILE_FORMAT=pdf&amp;WT_ASSET=Documentation&amp;fileExt=.pdf" TargetMode="External"/><Relationship Id="rId18" Type="http://schemas.openxmlformats.org/officeDocument/2006/relationships/hyperlink" Target="http://cache.freescale.com/files/32bit/doc/data_sheet/KL02P20M48SF0.pdf?fpsp=1&amp;WT_TYPE=Data%20Sheets&amp;WT_VENDOR=FREESCALE&amp;WT_FILE_FORMAT=pdf&amp;WT_ASSET=Documentation&amp;fileExt=.pdf" TargetMode="External"/><Relationship Id="rId39" Type="http://schemas.openxmlformats.org/officeDocument/2006/relationships/hyperlink" Target="http://www.ti.com/lit/ds/symlink/hdc1000.pdf" TargetMode="External"/><Relationship Id="rId34" Type="http://schemas.openxmlformats.org/officeDocument/2006/relationships/hyperlink" Target="http://www.silabs.com/products/mcu/Pages/capacitive-touch-user-interface.aspx" TargetMode="External"/><Relationship Id="rId50" Type="http://schemas.openxmlformats.org/officeDocument/2006/relationships/hyperlink" Target="http://www.silabs.com/products/sensors/infraredsensors/Pages/default.aspx" TargetMode="External"/><Relationship Id="rId55" Type="http://schemas.openxmlformats.org/officeDocument/2006/relationships/hyperlink" Target="http://www.silabs.com/Support%20Documents/TechnicalDocs/Si7006-A20.pdf" TargetMode="External"/><Relationship Id="rId76" Type="http://schemas.openxmlformats.org/officeDocument/2006/relationships/hyperlink" Target="http://www.arm.com/products/processors/cortex-m/cortex-m0.php" TargetMode="External"/><Relationship Id="rId97" Type="http://schemas.openxmlformats.org/officeDocument/2006/relationships/hyperlink" Target="http://infocenter.arm.com/help/topic/com.arm.doc.100166_0001_00_en/arm_cortexm4_processor_trm_100166_0001_00_en.pdf" TargetMode="External"/><Relationship Id="rId104" Type="http://schemas.openxmlformats.org/officeDocument/2006/relationships/hyperlink" Target="http://www.ti.com/lit/gpn/cc3200"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M90"/>
  <sheetViews>
    <sheetView zoomScale="60" zoomScaleNormal="60" workbookViewId="0">
      <pane xSplit="2" ySplit="2" topLeftCell="AH64" activePane="bottomRight" state="frozen"/>
      <selection pane="topRight" activeCell="C1" sqref="C1"/>
      <selection pane="bottomLeft" activeCell="A3" sqref="A3"/>
      <selection pane="bottomRight" activeCell="BJ80" sqref="BJ80:BJ87"/>
    </sheetView>
  </sheetViews>
  <sheetFormatPr defaultColWidth="9" defaultRowHeight="17.399999999999999"/>
  <cols>
    <col min="1" max="1" width="15.44140625" style="1" customWidth="1"/>
    <col min="2" max="2" width="14.44140625" style="287" bestFit="1" customWidth="1"/>
    <col min="3" max="3" width="19.33203125" style="14" bestFit="1" customWidth="1"/>
    <col min="4" max="4" width="21.44140625" style="106" bestFit="1" customWidth="1"/>
    <col min="5" max="9" width="4.88671875" style="69" bestFit="1" customWidth="1"/>
    <col min="10" max="11" width="7.6640625" style="312" customWidth="1"/>
    <col min="12" max="12" width="6.88671875" style="312" customWidth="1"/>
    <col min="13" max="13" width="60.88671875" style="69" customWidth="1"/>
    <col min="14" max="14" width="28.5546875" style="69" customWidth="1"/>
    <col min="15" max="15" width="5" style="69" bestFit="1" customWidth="1"/>
    <col min="16" max="16" width="29" style="69" customWidth="1"/>
    <col min="17" max="17" width="12.88671875" style="69" customWidth="1"/>
    <col min="18" max="18" width="7.33203125" style="69" customWidth="1"/>
    <col min="19" max="19" width="6.44140625" style="69" customWidth="1"/>
    <col min="20" max="21" width="9.33203125" style="69" customWidth="1"/>
    <col min="22" max="22" width="7.5546875" style="69" customWidth="1"/>
    <col min="23" max="23" width="8.6640625" style="106" bestFit="1" customWidth="1"/>
    <col min="24" max="24" width="9.88671875" style="106" bestFit="1" customWidth="1"/>
    <col min="25" max="25" width="10.109375" style="106" customWidth="1"/>
    <col min="26" max="26" width="10.44140625" style="106" customWidth="1"/>
    <col min="27" max="27" width="12" style="392" bestFit="1" customWidth="1"/>
    <col min="28" max="28" width="9" style="69" customWidth="1"/>
    <col min="29" max="30" width="9.88671875" style="176" bestFit="1" customWidth="1"/>
    <col min="31" max="31" width="10.44140625" style="14" bestFit="1" customWidth="1"/>
    <col min="32" max="32" width="13.44140625" style="14" bestFit="1" customWidth="1"/>
    <col min="33" max="33" width="11.5546875" style="14" bestFit="1" customWidth="1"/>
    <col min="34" max="34" width="11.5546875" style="14" customWidth="1"/>
    <col min="35" max="35" width="10.88671875" style="14" bestFit="1" customWidth="1"/>
    <col min="36" max="36" width="12" style="14" bestFit="1" customWidth="1"/>
    <col min="37" max="37" width="10.44140625" style="14" bestFit="1" customWidth="1"/>
    <col min="38" max="38" width="10" style="14" customWidth="1"/>
    <col min="39" max="39" width="11.44140625" style="14" customWidth="1"/>
    <col min="40" max="40" width="12.33203125" style="441" customWidth="1"/>
    <col min="41" max="42" width="11.6640625" style="14" customWidth="1"/>
    <col min="43" max="43" width="13" style="240" customWidth="1"/>
    <col min="44" max="44" width="15.44140625" style="439" customWidth="1"/>
    <col min="45" max="45" width="18.33203125" style="439" bestFit="1" customWidth="1"/>
    <col min="46" max="46" width="11.6640625" style="79" customWidth="1"/>
    <col min="47" max="47" width="5.109375" style="14" customWidth="1"/>
    <col min="48" max="48" width="11.109375" style="14" bestFit="1" customWidth="1"/>
    <col min="49" max="49" width="9" style="14" customWidth="1"/>
    <col min="50" max="50" width="10.44140625" style="14" bestFit="1" customWidth="1"/>
    <col min="51" max="51" width="11.44140625" style="14" customWidth="1"/>
    <col min="52" max="52" width="9" style="14" bestFit="1" customWidth="1"/>
    <col min="53" max="53" width="10.5546875" style="14" bestFit="1" customWidth="1"/>
    <col min="54" max="54" width="9.6640625" style="312" customWidth="1"/>
    <col min="55" max="55" width="13" style="69" bestFit="1" customWidth="1"/>
    <col min="56" max="56" width="13.6640625" style="69" bestFit="1" customWidth="1"/>
    <col min="57" max="57" width="14.109375" style="288" bestFit="1" customWidth="1"/>
    <col min="58" max="58" width="11.6640625" style="69" customWidth="1"/>
    <col min="59" max="59" width="9.5546875" style="69" customWidth="1"/>
    <col min="60" max="60" width="12.44140625" style="79" customWidth="1"/>
    <col min="61" max="61" width="10.6640625" style="14" customWidth="1"/>
    <col min="62" max="62" width="9" style="14" customWidth="1"/>
    <col min="63" max="63" width="12.88671875" style="14" customWidth="1"/>
    <col min="64" max="64" width="11.88671875" style="14" customWidth="1"/>
    <col min="65" max="65" width="9" style="69" customWidth="1"/>
    <col min="66" max="66" width="9.33203125" style="9" customWidth="1"/>
    <col min="67" max="67" width="10.88671875" style="9" customWidth="1"/>
    <col min="68" max="68" width="12.5546875" style="130" customWidth="1"/>
    <col min="69" max="69" width="29.109375" style="14" customWidth="1"/>
    <col min="70" max="70" width="104.5546875" style="74" customWidth="1"/>
    <col min="71" max="71" width="6.44140625" style="14" customWidth="1"/>
    <col min="72" max="72" width="6" style="176" customWidth="1"/>
    <col min="73" max="73" width="5.6640625" style="176" customWidth="1"/>
    <col min="74" max="74" width="5.6640625" style="14" customWidth="1"/>
    <col min="75" max="75" width="6.5546875" style="14" customWidth="1"/>
    <col min="76" max="76" width="6.44140625" style="14" customWidth="1"/>
    <col min="77" max="77" width="6" style="176" customWidth="1"/>
    <col min="78" max="78" width="5.6640625" style="176" customWidth="1"/>
    <col min="79" max="79" width="5.6640625" style="14" customWidth="1"/>
    <col min="80" max="80" width="4.6640625" style="14" customWidth="1"/>
    <col min="81" max="82" width="6.6640625" style="14" customWidth="1"/>
    <col min="83" max="89" width="6.6640625" style="176" customWidth="1"/>
    <col min="90" max="91" width="6" style="176" customWidth="1"/>
    <col min="92" max="100" width="6.6640625" style="14" customWidth="1"/>
    <col min="101" max="101" width="5.109375" style="14" customWidth="1"/>
    <col min="102" max="102" width="6" style="176" customWidth="1"/>
    <col min="103" max="111" width="6.6640625" style="14" customWidth="1"/>
    <col min="112" max="112" width="12.88671875" style="14" customWidth="1"/>
    <col min="113" max="113" width="6" style="176" customWidth="1"/>
    <col min="114" max="114" width="9.44140625" style="14" customWidth="1"/>
    <col min="115" max="116" width="5.6640625" style="176" customWidth="1"/>
    <col min="117" max="117" width="6.5546875" style="14" customWidth="1"/>
    <col min="118" max="118" width="7.5546875" style="14" customWidth="1"/>
    <col min="119" max="119" width="6.44140625" style="14" customWidth="1"/>
    <col min="120" max="120" width="5.6640625" style="14" customWidth="1"/>
    <col min="121" max="121" width="5.6640625" style="176" customWidth="1"/>
    <col min="122" max="123" width="7" style="14" customWidth="1"/>
    <col min="124" max="124" width="6.44140625" style="14" customWidth="1"/>
    <col min="125" max="128" width="5.6640625" style="14" customWidth="1"/>
    <col min="129" max="129" width="6.44140625" style="14" customWidth="1"/>
    <col min="130" max="132" width="5.6640625" style="14" customWidth="1"/>
    <col min="133" max="133" width="4.33203125" style="14" customWidth="1"/>
    <col min="134" max="134" width="6.44140625" style="14" customWidth="1"/>
    <col min="135" max="137" width="5.6640625" style="14" customWidth="1"/>
    <col min="138" max="138" width="4.33203125" style="14" customWidth="1"/>
    <col min="139" max="139" width="6.44140625" style="14" customWidth="1"/>
    <col min="140" max="142" width="5.6640625" style="14" customWidth="1"/>
    <col min="143" max="143" width="4.33203125" style="14" customWidth="1"/>
    <col min="144" max="144" width="6.44140625" style="14" customWidth="1"/>
    <col min="145" max="147" width="5.6640625" style="14" customWidth="1"/>
    <col min="148" max="148" width="4.33203125" style="14" customWidth="1"/>
    <col min="149" max="149" width="6.44140625" style="14" customWidth="1"/>
    <col min="150" max="152" width="5.6640625" style="14" customWidth="1"/>
    <col min="153" max="153" width="4.33203125" style="14" customWidth="1"/>
    <col min="154" max="154" width="6.44140625" style="14" customWidth="1"/>
    <col min="155" max="157" width="5.6640625" style="14" customWidth="1"/>
    <col min="158" max="158" width="4.33203125" style="14" customWidth="1"/>
    <col min="159" max="159" width="6.44140625" style="14" customWidth="1"/>
    <col min="160" max="162" width="5.6640625" style="14" customWidth="1"/>
    <col min="163" max="163" width="4.33203125" style="14" customWidth="1"/>
    <col min="164" max="164" width="6.44140625" style="14" customWidth="1"/>
    <col min="165" max="166" width="5.6640625" style="14" customWidth="1"/>
    <col min="167" max="167" width="6" style="14" customWidth="1"/>
    <col min="168" max="168" width="4.33203125" style="14" customWidth="1"/>
    <col min="169" max="169" width="6.44140625" style="14" customWidth="1"/>
    <col min="170" max="172" width="5.6640625" style="14" customWidth="1"/>
    <col min="173" max="173" width="4.33203125" style="14" customWidth="1"/>
    <col min="174" max="174" width="6.44140625" style="14" customWidth="1"/>
    <col min="175" max="176" width="5.6640625" style="14" customWidth="1"/>
    <col min="177" max="177" width="5" style="14" customWidth="1"/>
    <col min="178" max="178" width="4.33203125" style="14" customWidth="1"/>
    <col min="179" max="179" width="6.44140625" style="14" customWidth="1"/>
    <col min="180" max="182" width="5.6640625" style="14" customWidth="1"/>
    <col min="183" max="183" width="3.88671875" style="14" customWidth="1"/>
    <col min="184" max="184" width="6" style="14" customWidth="1"/>
    <col min="185" max="186" width="5.109375" style="14" customWidth="1"/>
    <col min="187" max="187" width="5" style="14" customWidth="1"/>
    <col min="188" max="188" width="3.88671875" style="14" customWidth="1"/>
    <col min="189" max="191" width="9" style="14" customWidth="1"/>
    <col min="192" max="192" width="7.88671875" style="14" bestFit="1" customWidth="1"/>
    <col min="193" max="193" width="7.88671875" style="14" customWidth="1"/>
    <col min="194" max="194" width="8.109375" style="14" bestFit="1" customWidth="1"/>
    <col min="195" max="195" width="9.109375" style="14" customWidth="1"/>
    <col min="196" max="196" width="9.109375" style="14" bestFit="1" customWidth="1"/>
    <col min="197" max="197" width="9.6640625" style="14" bestFit="1" customWidth="1"/>
    <col min="198" max="198" width="5.6640625" style="14" bestFit="1" customWidth="1"/>
    <col min="199" max="199" width="5.44140625" style="14" bestFit="1" customWidth="1"/>
    <col min="200" max="200" width="5.44140625" style="14" customWidth="1"/>
    <col min="201" max="201" width="6.6640625" style="14" bestFit="1" customWidth="1"/>
    <col min="202" max="202" width="8.33203125" style="14" customWidth="1"/>
    <col min="203" max="203" width="8.5546875" style="14" bestFit="1" customWidth="1"/>
    <col min="204" max="204" width="7.6640625" style="14" bestFit="1" customWidth="1"/>
    <col min="205" max="205" width="9.6640625" style="14" bestFit="1" customWidth="1"/>
    <col min="206" max="206" width="11.44140625" style="14" bestFit="1" customWidth="1"/>
    <col min="207" max="207" width="6.6640625" style="14" bestFit="1" customWidth="1"/>
    <col min="208" max="208" width="9.33203125" style="14" bestFit="1" customWidth="1"/>
    <col min="209" max="209" width="8.33203125" style="14" bestFit="1" customWidth="1"/>
    <col min="210" max="211" width="11.44140625" style="14" bestFit="1" customWidth="1"/>
    <col min="212" max="213" width="9.33203125" style="14" bestFit="1" customWidth="1"/>
    <col min="214" max="214" width="10.5546875" style="14" bestFit="1" customWidth="1"/>
    <col min="215" max="215" width="11.5546875" style="14" bestFit="1" customWidth="1"/>
    <col min="216" max="217" width="11.5546875" style="14" customWidth="1"/>
    <col min="218" max="218" width="7.44140625" style="14" bestFit="1" customWidth="1"/>
    <col min="219" max="219" width="7.33203125" style="14" bestFit="1" customWidth="1"/>
    <col min="220" max="220" width="7.44140625" style="14" bestFit="1" customWidth="1"/>
    <col min="221" max="221" width="6.6640625" style="14" bestFit="1" customWidth="1"/>
    <col min="222" max="16384" width="9" style="14"/>
  </cols>
  <sheetData>
    <row r="1" spans="1:247" s="2" customFormat="1" ht="15">
      <c r="A1" s="405"/>
      <c r="B1" s="406"/>
      <c r="C1" s="706" t="s">
        <v>91</v>
      </c>
      <c r="D1" s="706"/>
      <c r="E1" s="706"/>
      <c r="F1" s="706"/>
      <c r="G1" s="706"/>
      <c r="H1" s="706"/>
      <c r="I1" s="706"/>
      <c r="J1" s="706"/>
      <c r="K1" s="706"/>
      <c r="L1" s="707"/>
      <c r="M1" s="682" t="s">
        <v>67</v>
      </c>
      <c r="N1" s="683"/>
      <c r="O1" s="683"/>
      <c r="P1" s="683"/>
      <c r="Q1" s="683"/>
      <c r="R1" s="683"/>
      <c r="S1" s="683"/>
      <c r="T1" s="683"/>
      <c r="U1" s="684"/>
      <c r="V1" s="705" t="s">
        <v>66</v>
      </c>
      <c r="W1" s="680"/>
      <c r="X1" s="680"/>
      <c r="Y1" s="680"/>
      <c r="Z1" s="680"/>
      <c r="AA1" s="680"/>
      <c r="AB1" s="680"/>
      <c r="AC1" s="704" t="s">
        <v>68</v>
      </c>
      <c r="AD1" s="704"/>
      <c r="AE1" s="704"/>
      <c r="AF1" s="704"/>
      <c r="AG1" s="704"/>
      <c r="AH1" s="704"/>
      <c r="AI1" s="704"/>
      <c r="AJ1" s="704"/>
      <c r="AK1" s="704"/>
      <c r="AL1" s="704"/>
      <c r="AM1" s="704"/>
      <c r="AN1" s="440" t="s">
        <v>516</v>
      </c>
      <c r="AO1" s="231"/>
      <c r="AP1" s="231"/>
      <c r="AQ1" s="239">
        <v>0.01</v>
      </c>
      <c r="AR1" s="436"/>
      <c r="AS1" s="436"/>
      <c r="AT1" s="711" t="s">
        <v>71</v>
      </c>
      <c r="AU1" s="712"/>
      <c r="AV1" s="712"/>
      <c r="AW1" s="712"/>
      <c r="AX1" s="712"/>
      <c r="AY1" s="712"/>
      <c r="AZ1" s="712"/>
      <c r="BA1" s="712"/>
      <c r="BB1" s="712"/>
      <c r="BC1" s="712"/>
      <c r="BD1" s="713"/>
      <c r="BE1" s="704" t="s">
        <v>72</v>
      </c>
      <c r="BF1" s="704"/>
      <c r="BG1" s="679" t="s">
        <v>73</v>
      </c>
      <c r="BH1" s="680"/>
      <c r="BI1" s="680"/>
      <c r="BJ1" s="680"/>
      <c r="BK1" s="680"/>
      <c r="BL1" s="680"/>
      <c r="BM1" s="681"/>
      <c r="BN1" s="674" t="s">
        <v>255</v>
      </c>
      <c r="BO1" s="674"/>
      <c r="BP1" s="675"/>
      <c r="BQ1" s="76"/>
      <c r="BR1" s="26"/>
      <c r="BS1" s="679" t="s">
        <v>410</v>
      </c>
      <c r="BT1" s="680"/>
      <c r="BU1" s="680"/>
      <c r="BV1" s="680"/>
      <c r="BW1" s="681"/>
      <c r="BX1" s="721" t="s">
        <v>411</v>
      </c>
      <c r="BY1" s="704"/>
      <c r="BZ1" s="704"/>
      <c r="CA1" s="704"/>
      <c r="CB1" s="722"/>
      <c r="CC1" s="725" t="s">
        <v>434</v>
      </c>
      <c r="CD1" s="726"/>
      <c r="CE1" s="726"/>
      <c r="CF1" s="726"/>
      <c r="CG1" s="726"/>
      <c r="CH1" s="726"/>
      <c r="CI1" s="726"/>
      <c r="CJ1" s="726"/>
      <c r="CK1" s="726"/>
      <c r="CL1" s="726"/>
      <c r="CM1" s="726"/>
      <c r="CN1" s="682" t="s">
        <v>162</v>
      </c>
      <c r="CO1" s="683"/>
      <c r="CP1" s="683"/>
      <c r="CQ1" s="683"/>
      <c r="CR1" s="683"/>
      <c r="CS1" s="683"/>
      <c r="CT1" s="683"/>
      <c r="CU1" s="683"/>
      <c r="CV1" s="683"/>
      <c r="CW1" s="683"/>
      <c r="CX1" s="684"/>
      <c r="CY1" s="679" t="s">
        <v>455</v>
      </c>
      <c r="CZ1" s="680"/>
      <c r="DA1" s="680"/>
      <c r="DB1" s="680"/>
      <c r="DC1" s="680"/>
      <c r="DD1" s="680"/>
      <c r="DE1" s="680"/>
      <c r="DF1" s="680"/>
      <c r="DG1" s="680"/>
      <c r="DH1" s="680"/>
      <c r="DI1" s="681"/>
      <c r="DJ1" s="682" t="s">
        <v>419</v>
      </c>
      <c r="DK1" s="683"/>
      <c r="DL1" s="683"/>
      <c r="DM1" s="683"/>
      <c r="DN1" s="684"/>
      <c r="DO1" s="679" t="s">
        <v>420</v>
      </c>
      <c r="DP1" s="680"/>
      <c r="DQ1" s="680"/>
      <c r="DR1" s="680"/>
      <c r="DS1" s="681"/>
      <c r="DT1" s="682" t="s">
        <v>470</v>
      </c>
      <c r="DU1" s="683"/>
      <c r="DV1" s="683"/>
      <c r="DW1" s="683"/>
      <c r="DX1" s="684"/>
      <c r="DY1" s="679" t="s">
        <v>317</v>
      </c>
      <c r="DZ1" s="680"/>
      <c r="EA1" s="680"/>
      <c r="EB1" s="680"/>
      <c r="EC1" s="681"/>
      <c r="ED1" s="682" t="s">
        <v>422</v>
      </c>
      <c r="EE1" s="683"/>
      <c r="EF1" s="683"/>
      <c r="EG1" s="683"/>
      <c r="EH1" s="684"/>
      <c r="EI1" s="679" t="s">
        <v>421</v>
      </c>
      <c r="EJ1" s="680"/>
      <c r="EK1" s="680"/>
      <c r="EL1" s="680"/>
      <c r="EM1" s="681"/>
      <c r="EN1" s="682" t="s">
        <v>482</v>
      </c>
      <c r="EO1" s="683"/>
      <c r="EP1" s="683"/>
      <c r="EQ1" s="683"/>
      <c r="ER1" s="684"/>
      <c r="ES1" s="679" t="s">
        <v>423</v>
      </c>
      <c r="ET1" s="680"/>
      <c r="EU1" s="680"/>
      <c r="EV1" s="680"/>
      <c r="EW1" s="681"/>
      <c r="EX1" s="682" t="s">
        <v>424</v>
      </c>
      <c r="EY1" s="683"/>
      <c r="EZ1" s="683"/>
      <c r="FA1" s="683"/>
      <c r="FB1" s="684"/>
      <c r="FC1" s="679" t="s">
        <v>425</v>
      </c>
      <c r="FD1" s="680"/>
      <c r="FE1" s="680"/>
      <c r="FF1" s="680"/>
      <c r="FG1" s="681"/>
      <c r="FH1" s="682" t="s">
        <v>426</v>
      </c>
      <c r="FI1" s="683"/>
      <c r="FJ1" s="683"/>
      <c r="FK1" s="683"/>
      <c r="FL1" s="684"/>
      <c r="FM1" s="679" t="s">
        <v>427</v>
      </c>
      <c r="FN1" s="680"/>
      <c r="FO1" s="680"/>
      <c r="FP1" s="680"/>
      <c r="FQ1" s="681"/>
      <c r="FR1" s="682" t="s">
        <v>428</v>
      </c>
      <c r="FS1" s="683"/>
      <c r="FT1" s="683"/>
      <c r="FU1" s="683"/>
      <c r="FV1" s="684"/>
      <c r="FW1" s="679" t="s">
        <v>429</v>
      </c>
      <c r="FX1" s="680"/>
      <c r="FY1" s="680"/>
      <c r="FZ1" s="680"/>
      <c r="GA1" s="681"/>
      <c r="GB1" s="676" t="s">
        <v>585</v>
      </c>
      <c r="GC1" s="677"/>
      <c r="GD1" s="677"/>
      <c r="GE1" s="677"/>
      <c r="GF1" s="678"/>
      <c r="GG1" s="723" t="s">
        <v>12</v>
      </c>
      <c r="GH1" s="723"/>
      <c r="GI1" s="724"/>
      <c r="GJ1" s="717" t="s">
        <v>843</v>
      </c>
      <c r="GK1" s="718"/>
      <c r="GL1" s="719"/>
      <c r="GM1" s="719"/>
      <c r="GN1" s="719"/>
      <c r="GO1" s="719"/>
      <c r="GP1" s="719"/>
      <c r="GQ1" s="719"/>
      <c r="GR1" s="719"/>
      <c r="GS1" s="719"/>
      <c r="GT1" s="719"/>
      <c r="GU1" s="719"/>
      <c r="GV1" s="719"/>
      <c r="GW1" s="719"/>
      <c r="GX1" s="719"/>
      <c r="GY1" s="719"/>
      <c r="GZ1" s="719"/>
      <c r="HA1" s="719"/>
      <c r="HB1" s="719"/>
      <c r="HC1" s="719"/>
      <c r="HD1" s="719"/>
      <c r="HE1" s="719"/>
      <c r="HF1" s="719"/>
      <c r="HG1" s="719"/>
      <c r="HH1" s="719"/>
      <c r="HI1" s="719"/>
      <c r="HJ1" s="719"/>
      <c r="HK1" s="719"/>
      <c r="HL1" s="719"/>
      <c r="HM1" s="720"/>
    </row>
    <row r="2" spans="1:247" s="34" customFormat="1" ht="84" thickBot="1">
      <c r="A2" s="570" t="s">
        <v>59</v>
      </c>
      <c r="B2" s="571" t="s">
        <v>56</v>
      </c>
      <c r="C2" s="403" t="s">
        <v>24</v>
      </c>
      <c r="D2" s="403" t="s">
        <v>25</v>
      </c>
      <c r="E2" s="404" t="s">
        <v>60</v>
      </c>
      <c r="F2" s="404" t="s">
        <v>61</v>
      </c>
      <c r="G2" s="404" t="s">
        <v>62</v>
      </c>
      <c r="H2" s="404" t="s">
        <v>63</v>
      </c>
      <c r="I2" s="404" t="s">
        <v>64</v>
      </c>
      <c r="J2" s="365" t="s">
        <v>32</v>
      </c>
      <c r="K2" s="578" t="s">
        <v>762</v>
      </c>
      <c r="L2" s="579" t="s">
        <v>763</v>
      </c>
      <c r="M2" s="400" t="s">
        <v>44</v>
      </c>
      <c r="N2" s="401" t="s">
        <v>45</v>
      </c>
      <c r="O2" s="489" t="s">
        <v>547</v>
      </c>
      <c r="P2" s="401" t="s">
        <v>128</v>
      </c>
      <c r="Q2" s="401" t="s">
        <v>43</v>
      </c>
      <c r="R2" s="401" t="s">
        <v>42</v>
      </c>
      <c r="S2" s="401" t="s">
        <v>118</v>
      </c>
      <c r="T2" s="401" t="s">
        <v>117</v>
      </c>
      <c r="U2" s="402" t="s">
        <v>119</v>
      </c>
      <c r="V2" s="399" t="s">
        <v>28</v>
      </c>
      <c r="W2" s="366" t="s">
        <v>26</v>
      </c>
      <c r="X2" s="366" t="s">
        <v>27</v>
      </c>
      <c r="Y2" s="366" t="s">
        <v>74</v>
      </c>
      <c r="Z2" s="366" t="s">
        <v>75</v>
      </c>
      <c r="AA2" s="580" t="s">
        <v>748</v>
      </c>
      <c r="AB2" s="366" t="s">
        <v>12</v>
      </c>
      <c r="AC2" s="367" t="s">
        <v>518</v>
      </c>
      <c r="AD2" s="367" t="s">
        <v>519</v>
      </c>
      <c r="AE2" s="368" t="s">
        <v>981</v>
      </c>
      <c r="AF2" s="369" t="s">
        <v>595</v>
      </c>
      <c r="AG2" s="369" t="s">
        <v>596</v>
      </c>
      <c r="AH2" s="369" t="s">
        <v>29</v>
      </c>
      <c r="AI2" s="369" t="s">
        <v>30</v>
      </c>
      <c r="AJ2" s="369" t="s">
        <v>31</v>
      </c>
      <c r="AK2" s="369" t="s">
        <v>83</v>
      </c>
      <c r="AL2" s="369" t="s">
        <v>39</v>
      </c>
      <c r="AM2" s="369" t="s">
        <v>40</v>
      </c>
      <c r="AN2" s="581" t="s">
        <v>37</v>
      </c>
      <c r="AO2" s="401" t="s">
        <v>753</v>
      </c>
      <c r="AP2" s="401" t="s">
        <v>754</v>
      </c>
      <c r="AQ2" s="371" t="s">
        <v>528</v>
      </c>
      <c r="AR2" s="443" t="s">
        <v>517</v>
      </c>
      <c r="AS2" s="442" t="s">
        <v>527</v>
      </c>
      <c r="AT2" s="373" t="s">
        <v>38</v>
      </c>
      <c r="AU2" s="374" t="s">
        <v>33</v>
      </c>
      <c r="AV2" s="375" t="s">
        <v>78</v>
      </c>
      <c r="AW2" s="375" t="s">
        <v>34</v>
      </c>
      <c r="AX2" s="375" t="s">
        <v>35</v>
      </c>
      <c r="AY2" s="375" t="s">
        <v>36</v>
      </c>
      <c r="AZ2" s="375" t="s">
        <v>41</v>
      </c>
      <c r="BA2" s="582" t="s">
        <v>569</v>
      </c>
      <c r="BB2" s="583" t="s">
        <v>632</v>
      </c>
      <c r="BC2" s="584" t="s">
        <v>631</v>
      </c>
      <c r="BD2" s="584" t="s">
        <v>557</v>
      </c>
      <c r="BE2" s="400" t="s">
        <v>46</v>
      </c>
      <c r="BF2" s="408" t="s">
        <v>47</v>
      </c>
      <c r="BG2" s="410" t="s">
        <v>514</v>
      </c>
      <c r="BH2" s="404" t="s">
        <v>48</v>
      </c>
      <c r="BI2" s="404" t="s">
        <v>49</v>
      </c>
      <c r="BJ2" s="404" t="s">
        <v>51</v>
      </c>
      <c r="BK2" s="403" t="s">
        <v>52</v>
      </c>
      <c r="BL2" s="404" t="s">
        <v>53</v>
      </c>
      <c r="BM2" s="411" t="s">
        <v>54</v>
      </c>
      <c r="BN2" s="585" t="s">
        <v>257</v>
      </c>
      <c r="BO2" s="586" t="s">
        <v>957</v>
      </c>
      <c r="BP2" s="587" t="s">
        <v>256</v>
      </c>
      <c r="BQ2" s="29" t="s">
        <v>55</v>
      </c>
      <c r="BR2" s="33" t="s">
        <v>982</v>
      </c>
      <c r="BS2" s="32" t="s">
        <v>407</v>
      </c>
      <c r="BT2" s="180" t="s">
        <v>408</v>
      </c>
      <c r="BU2" s="180" t="s">
        <v>409</v>
      </c>
      <c r="BV2" s="27" t="s">
        <v>412</v>
      </c>
      <c r="BW2" s="179" t="s">
        <v>413</v>
      </c>
      <c r="BX2" s="29" t="s">
        <v>407</v>
      </c>
      <c r="BY2" s="181" t="s">
        <v>408</v>
      </c>
      <c r="BZ2" s="181" t="s">
        <v>409</v>
      </c>
      <c r="CA2" s="30" t="s">
        <v>414</v>
      </c>
      <c r="CB2" s="31" t="s">
        <v>415</v>
      </c>
      <c r="CC2" s="32" t="s">
        <v>435</v>
      </c>
      <c r="CD2" s="32" t="s">
        <v>436</v>
      </c>
      <c r="CE2" s="180" t="s">
        <v>439</v>
      </c>
      <c r="CF2" s="180" t="s">
        <v>440</v>
      </c>
      <c r="CG2" s="180" t="s">
        <v>441</v>
      </c>
      <c r="CH2" s="180" t="s">
        <v>442</v>
      </c>
      <c r="CI2" s="180" t="s">
        <v>443</v>
      </c>
      <c r="CJ2" s="180" t="s">
        <v>444</v>
      </c>
      <c r="CK2" s="180" t="s">
        <v>445</v>
      </c>
      <c r="CL2" s="180" t="s">
        <v>437</v>
      </c>
      <c r="CM2" s="180" t="s">
        <v>438</v>
      </c>
      <c r="CN2" s="29" t="s">
        <v>435</v>
      </c>
      <c r="CO2" s="29" t="s">
        <v>436</v>
      </c>
      <c r="CP2" s="181" t="s">
        <v>448</v>
      </c>
      <c r="CQ2" s="181" t="s">
        <v>449</v>
      </c>
      <c r="CR2" s="181" t="s">
        <v>450</v>
      </c>
      <c r="CS2" s="181" t="s">
        <v>451</v>
      </c>
      <c r="CT2" s="181" t="s">
        <v>452</v>
      </c>
      <c r="CU2" s="181" t="s">
        <v>453</v>
      </c>
      <c r="CV2" s="181" t="s">
        <v>454</v>
      </c>
      <c r="CW2" s="181" t="s">
        <v>437</v>
      </c>
      <c r="CX2" s="196" t="s">
        <v>438</v>
      </c>
      <c r="CY2" s="32" t="s">
        <v>435</v>
      </c>
      <c r="CZ2" s="32" t="s">
        <v>436</v>
      </c>
      <c r="DA2" s="180" t="s">
        <v>456</v>
      </c>
      <c r="DB2" s="180" t="s">
        <v>457</v>
      </c>
      <c r="DC2" s="180" t="s">
        <v>458</v>
      </c>
      <c r="DD2" s="180" t="s">
        <v>459</v>
      </c>
      <c r="DE2" s="180" t="s">
        <v>460</v>
      </c>
      <c r="DF2" s="180" t="s">
        <v>461</v>
      </c>
      <c r="DG2" s="180" t="s">
        <v>462</v>
      </c>
      <c r="DH2" s="180" t="s">
        <v>437</v>
      </c>
      <c r="DI2" s="197" t="s">
        <v>438</v>
      </c>
      <c r="DJ2" s="29" t="s">
        <v>407</v>
      </c>
      <c r="DK2" s="181" t="s">
        <v>408</v>
      </c>
      <c r="DL2" s="181" t="s">
        <v>409</v>
      </c>
      <c r="DM2" s="30" t="s">
        <v>465</v>
      </c>
      <c r="DN2" s="31" t="s">
        <v>466</v>
      </c>
      <c r="DO2" s="32" t="s">
        <v>407</v>
      </c>
      <c r="DP2" s="180" t="s">
        <v>408</v>
      </c>
      <c r="DQ2" s="180" t="s">
        <v>409</v>
      </c>
      <c r="DR2" s="27" t="s">
        <v>468</v>
      </c>
      <c r="DS2" s="179" t="s">
        <v>469</v>
      </c>
      <c r="DT2" s="29" t="s">
        <v>407</v>
      </c>
      <c r="DU2" s="181" t="s">
        <v>408</v>
      </c>
      <c r="DV2" s="181" t="s">
        <v>409</v>
      </c>
      <c r="DW2" s="30" t="s">
        <v>472</v>
      </c>
      <c r="DX2" s="31" t="s">
        <v>471</v>
      </c>
      <c r="DY2" s="32" t="s">
        <v>407</v>
      </c>
      <c r="DZ2" s="180" t="s">
        <v>408</v>
      </c>
      <c r="EA2" s="180" t="s">
        <v>409</v>
      </c>
      <c r="EB2" s="27" t="s">
        <v>476</v>
      </c>
      <c r="EC2" s="179" t="s">
        <v>477</v>
      </c>
      <c r="ED2" s="29" t="s">
        <v>407</v>
      </c>
      <c r="EE2" s="181" t="s">
        <v>408</v>
      </c>
      <c r="EF2" s="181" t="s">
        <v>409</v>
      </c>
      <c r="EG2" s="30" t="s">
        <v>476</v>
      </c>
      <c r="EH2" s="31" t="s">
        <v>477</v>
      </c>
      <c r="EI2" s="32" t="s">
        <v>407</v>
      </c>
      <c r="EJ2" s="180" t="s">
        <v>408</v>
      </c>
      <c r="EK2" s="180" t="s">
        <v>409</v>
      </c>
      <c r="EL2" s="27" t="s">
        <v>476</v>
      </c>
      <c r="EM2" s="179" t="s">
        <v>477</v>
      </c>
      <c r="EN2" s="29" t="s">
        <v>407</v>
      </c>
      <c r="EO2" s="181" t="s">
        <v>408</v>
      </c>
      <c r="EP2" s="181" t="s">
        <v>409</v>
      </c>
      <c r="EQ2" s="30" t="s">
        <v>476</v>
      </c>
      <c r="ER2" s="31" t="s">
        <v>477</v>
      </c>
      <c r="ES2" s="32" t="s">
        <v>407</v>
      </c>
      <c r="ET2" s="180" t="s">
        <v>408</v>
      </c>
      <c r="EU2" s="180" t="s">
        <v>409</v>
      </c>
      <c r="EV2" s="27" t="s">
        <v>476</v>
      </c>
      <c r="EW2" s="179" t="s">
        <v>477</v>
      </c>
      <c r="EX2" s="29" t="s">
        <v>407</v>
      </c>
      <c r="EY2" s="181" t="s">
        <v>408</v>
      </c>
      <c r="EZ2" s="181" t="s">
        <v>409</v>
      </c>
      <c r="FA2" s="30" t="s">
        <v>476</v>
      </c>
      <c r="FB2" s="31" t="s">
        <v>477</v>
      </c>
      <c r="FC2" s="32" t="s">
        <v>407</v>
      </c>
      <c r="FD2" s="180" t="s">
        <v>408</v>
      </c>
      <c r="FE2" s="180" t="s">
        <v>409</v>
      </c>
      <c r="FF2" s="27" t="s">
        <v>476</v>
      </c>
      <c r="FG2" s="179" t="s">
        <v>477</v>
      </c>
      <c r="FH2" s="29" t="s">
        <v>407</v>
      </c>
      <c r="FI2" s="181" t="s">
        <v>408</v>
      </c>
      <c r="FJ2" s="181" t="s">
        <v>409</v>
      </c>
      <c r="FK2" s="30" t="s">
        <v>485</v>
      </c>
      <c r="FL2" s="31" t="s">
        <v>486</v>
      </c>
      <c r="FM2" s="32" t="s">
        <v>407</v>
      </c>
      <c r="FN2" s="180" t="s">
        <v>408</v>
      </c>
      <c r="FO2" s="180" t="s">
        <v>409</v>
      </c>
      <c r="FP2" s="27" t="s">
        <v>476</v>
      </c>
      <c r="FQ2" s="179" t="s">
        <v>477</v>
      </c>
      <c r="FR2" s="29" t="s">
        <v>407</v>
      </c>
      <c r="FS2" s="181" t="s">
        <v>408</v>
      </c>
      <c r="FT2" s="181" t="s">
        <v>409</v>
      </c>
      <c r="FU2" s="30" t="s">
        <v>476</v>
      </c>
      <c r="FV2" s="31" t="s">
        <v>477</v>
      </c>
      <c r="FW2" s="32" t="s">
        <v>407</v>
      </c>
      <c r="FX2" s="180" t="s">
        <v>408</v>
      </c>
      <c r="FY2" s="180" t="s">
        <v>409</v>
      </c>
      <c r="FZ2" s="27" t="s">
        <v>476</v>
      </c>
      <c r="GA2" s="179" t="s">
        <v>477</v>
      </c>
      <c r="GB2" s="29" t="s">
        <v>407</v>
      </c>
      <c r="GC2" s="181" t="s">
        <v>408</v>
      </c>
      <c r="GD2" s="181" t="s">
        <v>409</v>
      </c>
      <c r="GE2" s="30" t="s">
        <v>476</v>
      </c>
      <c r="GF2" s="588" t="s">
        <v>477</v>
      </c>
      <c r="GG2" s="480" t="s">
        <v>265</v>
      </c>
      <c r="GH2" s="27" t="s">
        <v>601</v>
      </c>
      <c r="GI2" s="414" t="s">
        <v>148</v>
      </c>
      <c r="GJ2" s="512" t="s">
        <v>814</v>
      </c>
      <c r="GK2" s="513" t="s">
        <v>865</v>
      </c>
      <c r="GL2" s="514" t="s">
        <v>712</v>
      </c>
      <c r="GM2" s="30" t="s">
        <v>869</v>
      </c>
      <c r="GN2" s="30" t="s">
        <v>870</v>
      </c>
      <c r="GO2" s="514" t="s">
        <v>845</v>
      </c>
      <c r="GP2" s="514" t="s">
        <v>844</v>
      </c>
      <c r="GQ2" s="514" t="s">
        <v>577</v>
      </c>
      <c r="GR2" s="514" t="s">
        <v>862</v>
      </c>
      <c r="GS2" s="514" t="s">
        <v>556</v>
      </c>
      <c r="GT2" s="514" t="s">
        <v>553</v>
      </c>
      <c r="GU2" s="514" t="s">
        <v>858</v>
      </c>
      <c r="GV2" s="514" t="s">
        <v>846</v>
      </c>
      <c r="GW2" s="514" t="s">
        <v>849</v>
      </c>
      <c r="GX2" s="514" t="s">
        <v>847</v>
      </c>
      <c r="GY2" s="514" t="s">
        <v>848</v>
      </c>
      <c r="GZ2" s="514" t="s">
        <v>850</v>
      </c>
      <c r="HA2" s="30" t="s">
        <v>851</v>
      </c>
      <c r="HB2" s="514" t="s">
        <v>852</v>
      </c>
      <c r="HC2" s="514" t="s">
        <v>853</v>
      </c>
      <c r="HD2" s="514" t="s">
        <v>850</v>
      </c>
      <c r="HE2" s="514" t="s">
        <v>854</v>
      </c>
      <c r="HF2" s="514" t="s">
        <v>855</v>
      </c>
      <c r="HG2" s="514" t="s">
        <v>856</v>
      </c>
      <c r="HH2" s="514" t="s">
        <v>871</v>
      </c>
      <c r="HI2" s="514" t="s">
        <v>867</v>
      </c>
      <c r="HJ2" s="514" t="s">
        <v>864</v>
      </c>
      <c r="HK2" s="514" t="s">
        <v>863</v>
      </c>
      <c r="HL2" s="514" t="s">
        <v>859</v>
      </c>
      <c r="HM2" s="33" t="s">
        <v>860</v>
      </c>
    </row>
    <row r="3" spans="1:247" ht="69">
      <c r="A3" s="685" t="s">
        <v>9</v>
      </c>
      <c r="B3" s="572" t="s">
        <v>10</v>
      </c>
      <c r="C3" s="378" t="s">
        <v>11</v>
      </c>
      <c r="D3" s="381" t="s">
        <v>57</v>
      </c>
      <c r="E3" s="379" t="s">
        <v>65</v>
      </c>
      <c r="F3" s="379" t="s">
        <v>65</v>
      </c>
      <c r="G3" s="379" t="s">
        <v>65</v>
      </c>
      <c r="H3" s="379" t="s">
        <v>124</v>
      </c>
      <c r="I3" s="380" t="s">
        <v>65</v>
      </c>
      <c r="J3" s="361">
        <v>300</v>
      </c>
      <c r="K3" s="589">
        <v>8</v>
      </c>
      <c r="L3" s="590">
        <v>2014</v>
      </c>
      <c r="M3" s="398" t="s">
        <v>983</v>
      </c>
      <c r="N3" s="382" t="s">
        <v>82</v>
      </c>
      <c r="O3" s="382" t="s">
        <v>548</v>
      </c>
      <c r="P3" s="591" t="s">
        <v>82</v>
      </c>
      <c r="Q3" s="382">
        <v>0</v>
      </c>
      <c r="R3" s="382" t="s">
        <v>265</v>
      </c>
      <c r="S3" s="382" t="s">
        <v>265</v>
      </c>
      <c r="T3" s="382" t="s">
        <v>265</v>
      </c>
      <c r="U3" s="592" t="s">
        <v>265</v>
      </c>
      <c r="V3" s="61">
        <v>68</v>
      </c>
      <c r="W3" s="381">
        <v>38</v>
      </c>
      <c r="X3" s="381">
        <v>59</v>
      </c>
      <c r="Y3" s="381">
        <v>10</v>
      </c>
      <c r="Z3" s="381">
        <f>IF(MAX(W3:X3)=0,"N.S",MAX(W3:X3))</f>
        <v>59</v>
      </c>
      <c r="AA3" s="593">
        <f t="shared" ref="AA3:AA20" si="0">IF(W3="N.S", "N.S", IF(X3="N.S", "N.S", IF(Y3="N.S", "N.S",W3*X3*Y3)))</f>
        <v>22420</v>
      </c>
      <c r="AB3" s="592" t="s">
        <v>265</v>
      </c>
      <c r="AC3" s="235">
        <v>3.6</v>
      </c>
      <c r="AD3" s="395">
        <v>3.6</v>
      </c>
      <c r="AE3" s="382" t="s">
        <v>265</v>
      </c>
      <c r="AF3" s="382" t="str">
        <f>IF(AC3="N.S", "N.S", IF(AE3="N.S", "N.S", 0.5*(AC3+AD3)*AE3/1000))</f>
        <v>N.S</v>
      </c>
      <c r="AG3" s="382" t="s">
        <v>265</v>
      </c>
      <c r="AH3" s="382">
        <v>0.3</v>
      </c>
      <c r="AI3" s="382">
        <f>IF(AC3="N.S", "N.S",IF(AH3="N.S", "N.S", 0.5*(AC3+AD3)*AH3*3600))</f>
        <v>3888.0000000000005</v>
      </c>
      <c r="AJ3" s="382" t="s">
        <v>13</v>
      </c>
      <c r="AK3" s="382" t="s">
        <v>265</v>
      </c>
      <c r="AL3" s="594" t="str">
        <f>IF(IF(AF3="N.S",0,1)=0,"N.S",IF(AG3="N.S",AF3,AF3+AG3))</f>
        <v>N.S</v>
      </c>
      <c r="AM3" s="594" t="s">
        <v>265</v>
      </c>
      <c r="AN3" s="594" t="s">
        <v>265</v>
      </c>
      <c r="AO3" s="595" t="s">
        <v>265</v>
      </c>
      <c r="AP3" s="595" t="s">
        <v>265</v>
      </c>
      <c r="AQ3" s="596" t="s">
        <v>265</v>
      </c>
      <c r="AR3" s="597" t="s">
        <v>265</v>
      </c>
      <c r="AS3" s="598" t="str">
        <f t="shared" ref="AS3:AS20" si="1">IF(AN3="N.S","N.S",0.25*3/(AN3))</f>
        <v>N.S</v>
      </c>
      <c r="AT3" s="599" t="s">
        <v>552</v>
      </c>
      <c r="AU3" s="382">
        <v>32</v>
      </c>
      <c r="AV3" s="382" t="s">
        <v>265</v>
      </c>
      <c r="AW3" s="383">
        <v>512</v>
      </c>
      <c r="AX3" s="594">
        <v>4000000</v>
      </c>
      <c r="AY3" s="382" t="s">
        <v>265</v>
      </c>
      <c r="AZ3" s="382" t="s">
        <v>265</v>
      </c>
      <c r="BA3" s="382" t="s">
        <v>265</v>
      </c>
      <c r="BB3" s="590">
        <v>1000</v>
      </c>
      <c r="BC3" s="600" t="s">
        <v>265</v>
      </c>
      <c r="BD3" s="600" t="s">
        <v>553</v>
      </c>
      <c r="BE3" s="398" t="s">
        <v>551</v>
      </c>
      <c r="BF3" s="378" t="s">
        <v>550</v>
      </c>
      <c r="BG3" s="61" t="s">
        <v>84</v>
      </c>
      <c r="BH3" s="591" t="s">
        <v>549</v>
      </c>
      <c r="BI3" s="382" t="s">
        <v>265</v>
      </c>
      <c r="BJ3" s="382" t="s">
        <v>265</v>
      </c>
      <c r="BK3" s="382" t="s">
        <v>265</v>
      </c>
      <c r="BL3" s="382" t="s">
        <v>265</v>
      </c>
      <c r="BM3" s="592" t="s">
        <v>265</v>
      </c>
      <c r="BN3" s="301" t="s">
        <v>265</v>
      </c>
      <c r="BO3" s="41" t="s">
        <v>265</v>
      </c>
      <c r="BP3" s="129" t="s">
        <v>265</v>
      </c>
      <c r="BQ3" s="4"/>
      <c r="BR3" s="169" t="s">
        <v>554</v>
      </c>
      <c r="BS3" s="4">
        <v>0</v>
      </c>
      <c r="BT3" s="128"/>
      <c r="BU3" s="128"/>
      <c r="BV3" s="10"/>
      <c r="BW3" s="40"/>
      <c r="BX3" s="295">
        <v>0</v>
      </c>
      <c r="BY3" s="128"/>
      <c r="BZ3" s="128"/>
      <c r="CA3" s="10"/>
      <c r="CB3" s="40"/>
      <c r="CC3" s="4">
        <v>0</v>
      </c>
      <c r="CD3" s="10">
        <v>1</v>
      </c>
      <c r="CE3" s="128"/>
      <c r="CF3" s="128"/>
      <c r="CG3" s="128"/>
      <c r="CH3" s="128"/>
      <c r="CI3" s="128"/>
      <c r="CJ3" s="128"/>
      <c r="CK3" s="128"/>
      <c r="CL3" s="128"/>
      <c r="CM3" s="121"/>
      <c r="CN3" s="4">
        <v>0</v>
      </c>
      <c r="CO3" s="10">
        <v>0</v>
      </c>
      <c r="CP3" s="10"/>
      <c r="CQ3" s="10"/>
      <c r="CR3" s="10"/>
      <c r="CS3" s="10"/>
      <c r="CT3" s="10"/>
      <c r="CU3" s="10"/>
      <c r="CV3" s="10"/>
      <c r="CW3" s="10"/>
      <c r="CX3" s="121"/>
      <c r="CY3" s="4">
        <v>1</v>
      </c>
      <c r="CZ3" s="10">
        <v>0</v>
      </c>
      <c r="DA3" s="10"/>
      <c r="DB3" s="10"/>
      <c r="DC3" s="10"/>
      <c r="DD3" s="10"/>
      <c r="DE3" s="10"/>
      <c r="DF3" s="10"/>
      <c r="DG3" s="10"/>
      <c r="DH3" s="10"/>
      <c r="DI3" s="121"/>
      <c r="DJ3" s="4">
        <v>0</v>
      </c>
      <c r="DK3" s="128"/>
      <c r="DL3" s="128"/>
      <c r="DM3" s="10"/>
      <c r="DN3" s="40"/>
      <c r="DO3" s="4">
        <v>1</v>
      </c>
      <c r="DP3" s="10"/>
      <c r="DQ3" s="128"/>
      <c r="DR3" s="10"/>
      <c r="DS3" s="40"/>
      <c r="DT3" s="4">
        <v>0</v>
      </c>
      <c r="DU3" s="10"/>
      <c r="DV3" s="10"/>
      <c r="DW3" s="10"/>
      <c r="DX3" s="40"/>
      <c r="DY3" s="4">
        <v>1</v>
      </c>
      <c r="DZ3" s="10"/>
      <c r="EA3" s="10"/>
      <c r="EB3" s="10"/>
      <c r="EC3" s="40"/>
      <c r="ED3" s="4">
        <v>1</v>
      </c>
      <c r="EE3" s="10"/>
      <c r="EF3" s="10"/>
      <c r="EG3" s="10"/>
      <c r="EH3" s="40"/>
      <c r="EI3" s="4">
        <v>0</v>
      </c>
      <c r="EJ3" s="10"/>
      <c r="EK3" s="10"/>
      <c r="EL3" s="10"/>
      <c r="EM3" s="40"/>
      <c r="EN3" s="4">
        <v>0</v>
      </c>
      <c r="EO3" s="10"/>
      <c r="EP3" s="10"/>
      <c r="EQ3" s="10"/>
      <c r="ER3" s="40"/>
      <c r="ES3" s="4">
        <v>0</v>
      </c>
      <c r="ET3" s="10"/>
      <c r="EU3" s="10"/>
      <c r="EV3" s="10"/>
      <c r="EW3" s="40"/>
      <c r="EX3" s="4">
        <v>0</v>
      </c>
      <c r="EY3" s="10"/>
      <c r="EZ3" s="10"/>
      <c r="FA3" s="10"/>
      <c r="FB3" s="40"/>
      <c r="FC3" s="4">
        <v>0</v>
      </c>
      <c r="FD3" s="10"/>
      <c r="FE3" s="10"/>
      <c r="FF3" s="10"/>
      <c r="FG3" s="40"/>
      <c r="FH3" s="4">
        <v>0</v>
      </c>
      <c r="FI3" s="10"/>
      <c r="FJ3" s="10"/>
      <c r="FK3" s="10"/>
      <c r="FL3" s="40"/>
      <c r="FM3" s="4">
        <v>0</v>
      </c>
      <c r="FN3" s="10"/>
      <c r="FO3" s="10"/>
      <c r="FP3" s="10"/>
      <c r="FQ3" s="40"/>
      <c r="FR3" s="4">
        <v>0</v>
      </c>
      <c r="FS3" s="10"/>
      <c r="FT3" s="10"/>
      <c r="FU3" s="10"/>
      <c r="FV3" s="40"/>
      <c r="FW3" s="4">
        <v>0</v>
      </c>
      <c r="FX3" s="10"/>
      <c r="FY3" s="10"/>
      <c r="FZ3" s="10"/>
      <c r="GA3" s="40"/>
      <c r="GB3" s="16">
        <v>0</v>
      </c>
      <c r="GC3" s="10"/>
      <c r="GD3" s="10"/>
      <c r="GE3" s="10"/>
      <c r="GF3" s="40"/>
      <c r="GG3" s="10">
        <f>IF(AB4="N.S",1,"")</f>
        <v>1</v>
      </c>
      <c r="GH3" s="10" t="str">
        <f>IF(AB4="IP66 compliant",1,"")</f>
        <v/>
      </c>
      <c r="GI3" s="37" t="str">
        <f>IF(AB4="DIP 24",1,"")</f>
        <v/>
      </c>
      <c r="GJ3" s="4" t="s">
        <v>82</v>
      </c>
      <c r="GK3" s="10" t="s">
        <v>82</v>
      </c>
      <c r="GL3" s="10" t="s">
        <v>82</v>
      </c>
      <c r="GM3" s="10" t="s">
        <v>82</v>
      </c>
      <c r="GN3" s="10" t="s">
        <v>82</v>
      </c>
      <c r="GO3" s="10" t="s">
        <v>82</v>
      </c>
      <c r="GP3" s="10" t="s">
        <v>82</v>
      </c>
      <c r="GQ3" s="10" t="s">
        <v>82</v>
      </c>
      <c r="GR3" s="10" t="s">
        <v>82</v>
      </c>
      <c r="GS3" s="10" t="s">
        <v>82</v>
      </c>
      <c r="GT3" s="10">
        <v>1</v>
      </c>
      <c r="GU3" s="10" t="s">
        <v>82</v>
      </c>
      <c r="GV3" s="10" t="s">
        <v>82</v>
      </c>
      <c r="GW3" s="10" t="s">
        <v>82</v>
      </c>
      <c r="GX3" s="10" t="s">
        <v>82</v>
      </c>
      <c r="GY3" s="10" t="s">
        <v>82</v>
      </c>
      <c r="GZ3" s="10" t="s">
        <v>82</v>
      </c>
      <c r="HA3" s="10" t="s">
        <v>82</v>
      </c>
      <c r="HB3" s="10" t="s">
        <v>82</v>
      </c>
      <c r="HC3" s="10" t="s">
        <v>82</v>
      </c>
      <c r="HD3" s="10" t="s">
        <v>82</v>
      </c>
      <c r="HE3" s="10" t="s">
        <v>82</v>
      </c>
      <c r="HF3" s="10" t="s">
        <v>82</v>
      </c>
      <c r="HG3" s="10" t="s">
        <v>82</v>
      </c>
      <c r="HH3" s="10" t="s">
        <v>82</v>
      </c>
      <c r="HI3" s="10" t="s">
        <v>82</v>
      </c>
      <c r="HJ3" s="10" t="s">
        <v>82</v>
      </c>
      <c r="HK3" s="10" t="s">
        <v>82</v>
      </c>
      <c r="HL3" s="10" t="s">
        <v>82</v>
      </c>
      <c r="HM3" s="40" t="s">
        <v>82</v>
      </c>
    </row>
    <row r="4" spans="1:247" ht="27.6">
      <c r="A4" s="686"/>
      <c r="B4" s="10" t="s">
        <v>14</v>
      </c>
      <c r="C4" s="37" t="s">
        <v>15</v>
      </c>
      <c r="D4" s="41" t="s">
        <v>80</v>
      </c>
      <c r="E4" s="39" t="s">
        <v>65</v>
      </c>
      <c r="F4" s="96" t="s">
        <v>65</v>
      </c>
      <c r="G4" s="96" t="s">
        <v>65</v>
      </c>
      <c r="H4" s="41" t="s">
        <v>65</v>
      </c>
      <c r="I4" s="10" t="s">
        <v>65</v>
      </c>
      <c r="J4" s="601">
        <v>100</v>
      </c>
      <c r="K4" s="602">
        <v>5</v>
      </c>
      <c r="L4" s="603">
        <v>2013</v>
      </c>
      <c r="M4" s="3" t="s">
        <v>447</v>
      </c>
      <c r="N4" s="10" t="s">
        <v>82</v>
      </c>
      <c r="O4" s="10" t="s">
        <v>558</v>
      </c>
      <c r="P4" s="13" t="s">
        <v>82</v>
      </c>
      <c r="Q4" s="10">
        <v>0</v>
      </c>
      <c r="R4" s="10" t="s">
        <v>265</v>
      </c>
      <c r="S4" s="10" t="s">
        <v>265</v>
      </c>
      <c r="T4" s="10" t="s">
        <v>265</v>
      </c>
      <c r="U4" s="40" t="s">
        <v>265</v>
      </c>
      <c r="V4" s="4">
        <v>8</v>
      </c>
      <c r="W4" s="41">
        <v>19.3</v>
      </c>
      <c r="X4" s="41">
        <v>48</v>
      </c>
      <c r="Y4" s="41">
        <v>9.65</v>
      </c>
      <c r="Z4" s="41">
        <f t="shared" ref="Z4:Z65" si="2">IF(MAX(W4:X4)=0,"N.S",MAX(W4:X4))</f>
        <v>48</v>
      </c>
      <c r="AA4" s="593">
        <f t="shared" si="0"/>
        <v>8939.760000000002</v>
      </c>
      <c r="AB4" s="40" t="s">
        <v>265</v>
      </c>
      <c r="AC4" s="236">
        <v>3</v>
      </c>
      <c r="AD4" s="128">
        <v>3</v>
      </c>
      <c r="AE4" s="10" t="s">
        <v>265</v>
      </c>
      <c r="AF4" s="10" t="str">
        <f t="shared" ref="AF4:AF67" si="3">IF(AC4="N.S", "N.S", IF(AE4="N.S", "N.S", 0.5*(AC4+AD4)*AE4/1000))</f>
        <v>N.S</v>
      </c>
      <c r="AG4" s="10" t="s">
        <v>265</v>
      </c>
      <c r="AH4" s="10">
        <v>0.16300000000000001</v>
      </c>
      <c r="AI4" s="10">
        <f>IF(AC4="N.S", "N.S",IF(AH4="N.S", "N.S", 0.5*(AC4+AD4)*AH4*3600))</f>
        <v>1760.3999999999999</v>
      </c>
      <c r="AJ4" s="10" t="s">
        <v>13</v>
      </c>
      <c r="AK4" s="10" t="s">
        <v>265</v>
      </c>
      <c r="AL4" s="42" t="str">
        <f t="shared" ref="AL4:AL23" si="4">IF(IF(AF4="N.S",0,1)=0,"N.S",IF(AG4="N.S",AF4,AF4+AG4))</f>
        <v>N.S</v>
      </c>
      <c r="AM4" s="42" t="s">
        <v>265</v>
      </c>
      <c r="AN4" s="42" t="s">
        <v>265</v>
      </c>
      <c r="AO4" s="42" t="s">
        <v>265</v>
      </c>
      <c r="AP4" s="42" t="s">
        <v>265</v>
      </c>
      <c r="AQ4" s="238">
        <v>288</v>
      </c>
      <c r="AR4" s="437" t="s">
        <v>265</v>
      </c>
      <c r="AS4" s="604" t="str">
        <f t="shared" si="1"/>
        <v>N.S</v>
      </c>
      <c r="AT4" s="19" t="s">
        <v>265</v>
      </c>
      <c r="AU4" s="10" t="s">
        <v>265</v>
      </c>
      <c r="AV4" s="10" t="s">
        <v>265</v>
      </c>
      <c r="AW4" s="10" t="s">
        <v>265</v>
      </c>
      <c r="AX4" s="10" t="s">
        <v>265</v>
      </c>
      <c r="AY4" s="10" t="s">
        <v>265</v>
      </c>
      <c r="AZ4" s="10" t="s">
        <v>265</v>
      </c>
      <c r="BA4" s="37" t="s">
        <v>265</v>
      </c>
      <c r="BB4" s="605" t="s">
        <v>265</v>
      </c>
      <c r="BC4" s="606" t="s">
        <v>265</v>
      </c>
      <c r="BD4" s="37" t="s">
        <v>556</v>
      </c>
      <c r="BE4" s="3" t="s">
        <v>265</v>
      </c>
      <c r="BF4" s="37" t="s">
        <v>265</v>
      </c>
      <c r="BG4" s="4" t="s">
        <v>84</v>
      </c>
      <c r="BH4" s="13" t="s">
        <v>555</v>
      </c>
      <c r="BI4" s="10" t="s">
        <v>265</v>
      </c>
      <c r="BJ4" s="10" t="s">
        <v>265</v>
      </c>
      <c r="BK4" s="10" t="s">
        <v>265</v>
      </c>
      <c r="BL4" s="10" t="s">
        <v>265</v>
      </c>
      <c r="BM4" s="40" t="s">
        <v>265</v>
      </c>
      <c r="BN4" s="301" t="s">
        <v>265</v>
      </c>
      <c r="BO4" s="41" t="s">
        <v>265</v>
      </c>
      <c r="BP4" s="129" t="s">
        <v>265</v>
      </c>
      <c r="BQ4" s="4" t="s">
        <v>22</v>
      </c>
      <c r="BR4" s="169" t="s">
        <v>566</v>
      </c>
      <c r="BS4" s="4">
        <v>0</v>
      </c>
      <c r="BT4" s="128"/>
      <c r="BU4" s="128"/>
      <c r="BV4" s="10"/>
      <c r="BW4" s="40"/>
      <c r="BX4" s="295">
        <v>0</v>
      </c>
      <c r="BY4" s="128"/>
      <c r="BZ4" s="128"/>
      <c r="CA4" s="10"/>
      <c r="CB4" s="40"/>
      <c r="CC4" s="4">
        <v>0</v>
      </c>
      <c r="CD4" s="10">
        <v>1</v>
      </c>
      <c r="CE4" s="128"/>
      <c r="CF4" s="128"/>
      <c r="CG4" s="128"/>
      <c r="CH4" s="128"/>
      <c r="CI4" s="128"/>
      <c r="CJ4" s="128"/>
      <c r="CK4" s="128"/>
      <c r="CL4" s="128"/>
      <c r="CM4" s="121"/>
      <c r="CN4" s="4">
        <v>0</v>
      </c>
      <c r="CO4" s="10">
        <v>0</v>
      </c>
      <c r="CP4" s="10"/>
      <c r="CQ4" s="10"/>
      <c r="CR4" s="10"/>
      <c r="CS4" s="10"/>
      <c r="CT4" s="10"/>
      <c r="CU4" s="10"/>
      <c r="CV4" s="10"/>
      <c r="CW4" s="10"/>
      <c r="CX4" s="121"/>
      <c r="CY4" s="4">
        <v>0</v>
      </c>
      <c r="CZ4" s="10">
        <v>0</v>
      </c>
      <c r="DA4" s="10"/>
      <c r="DB4" s="10"/>
      <c r="DC4" s="10"/>
      <c r="DD4" s="10"/>
      <c r="DE4" s="10"/>
      <c r="DF4" s="10"/>
      <c r="DG4" s="10"/>
      <c r="DH4" s="10"/>
      <c r="DI4" s="121"/>
      <c r="DJ4" s="4">
        <v>1</v>
      </c>
      <c r="DK4" s="128"/>
      <c r="DL4" s="128"/>
      <c r="DM4" s="10"/>
      <c r="DN4" s="40"/>
      <c r="DO4" s="4">
        <v>0</v>
      </c>
      <c r="DP4" s="10"/>
      <c r="DQ4" s="128"/>
      <c r="DR4" s="10"/>
      <c r="DS4" s="40"/>
      <c r="DT4" s="4">
        <v>0</v>
      </c>
      <c r="DU4" s="10"/>
      <c r="DV4" s="10"/>
      <c r="DW4" s="10"/>
      <c r="DX4" s="40"/>
      <c r="DY4" s="4">
        <v>0</v>
      </c>
      <c r="DZ4" s="10"/>
      <c r="EA4" s="10"/>
      <c r="EB4" s="10"/>
      <c r="EC4" s="40"/>
      <c r="ED4" s="4">
        <v>0</v>
      </c>
      <c r="EE4" s="10"/>
      <c r="EF4" s="10"/>
      <c r="EG4" s="10"/>
      <c r="EH4" s="40"/>
      <c r="EI4" s="4">
        <v>0</v>
      </c>
      <c r="EJ4" s="10"/>
      <c r="EK4" s="10"/>
      <c r="EL4" s="10"/>
      <c r="EM4" s="40"/>
      <c r="EN4" s="4">
        <v>0</v>
      </c>
      <c r="EO4" s="10"/>
      <c r="EP4" s="10"/>
      <c r="EQ4" s="10"/>
      <c r="ER4" s="40"/>
      <c r="ES4" s="4">
        <v>0</v>
      </c>
      <c r="ET4" s="10"/>
      <c r="EU4" s="10"/>
      <c r="EV4" s="10"/>
      <c r="EW4" s="40"/>
      <c r="EX4" s="4">
        <v>0</v>
      </c>
      <c r="EY4" s="10"/>
      <c r="EZ4" s="10"/>
      <c r="FA4" s="10"/>
      <c r="FB4" s="40"/>
      <c r="FC4" s="4">
        <v>0</v>
      </c>
      <c r="FD4" s="10"/>
      <c r="FE4" s="10"/>
      <c r="FF4" s="10"/>
      <c r="FG4" s="40"/>
      <c r="FH4" s="4">
        <v>0</v>
      </c>
      <c r="FI4" s="10"/>
      <c r="FJ4" s="10"/>
      <c r="FK4" s="10"/>
      <c r="FL4" s="40"/>
      <c r="FM4" s="4">
        <v>0</v>
      </c>
      <c r="FN4" s="10"/>
      <c r="FO4" s="10"/>
      <c r="FP4" s="10"/>
      <c r="FQ4" s="40"/>
      <c r="FR4" s="4">
        <v>0</v>
      </c>
      <c r="FS4" s="10"/>
      <c r="FT4" s="10"/>
      <c r="FU4" s="10"/>
      <c r="FV4" s="40"/>
      <c r="FW4" s="4">
        <v>0</v>
      </c>
      <c r="FX4" s="10"/>
      <c r="FY4" s="10"/>
      <c r="FZ4" s="10"/>
      <c r="GA4" s="40"/>
      <c r="GB4" s="16">
        <v>0</v>
      </c>
      <c r="GC4" s="10"/>
      <c r="GD4" s="10"/>
      <c r="GE4" s="10"/>
      <c r="GF4" s="40"/>
      <c r="GG4" s="10">
        <f t="shared" ref="GG4:GG67" si="5">IF(AB5="N.S",1,"")</f>
        <v>1</v>
      </c>
      <c r="GH4" s="10" t="str">
        <f t="shared" ref="GH4:GH67" si="6">IF(AB5="IP66 compliant",1,"")</f>
        <v/>
      </c>
      <c r="GI4" s="37" t="str">
        <f t="shared" ref="GI4:GI67" si="7">IF(AB5="DIP 24",1,"")</f>
        <v/>
      </c>
      <c r="GJ4" s="4" t="s">
        <v>82</v>
      </c>
      <c r="GK4" s="10" t="s">
        <v>82</v>
      </c>
      <c r="GL4" s="10" t="s">
        <v>82</v>
      </c>
      <c r="GM4" s="10" t="s">
        <v>82</v>
      </c>
      <c r="GN4" s="10" t="s">
        <v>82</v>
      </c>
      <c r="GO4" s="10" t="s">
        <v>82</v>
      </c>
      <c r="GP4" s="10" t="s">
        <v>82</v>
      </c>
      <c r="GQ4" s="10" t="s">
        <v>82</v>
      </c>
      <c r="GR4" s="10" t="s">
        <v>82</v>
      </c>
      <c r="GS4" s="10">
        <v>1</v>
      </c>
      <c r="GT4" s="10" t="s">
        <v>82</v>
      </c>
      <c r="GU4" s="10" t="s">
        <v>82</v>
      </c>
      <c r="GV4" s="10" t="s">
        <v>82</v>
      </c>
      <c r="GW4" s="10" t="s">
        <v>82</v>
      </c>
      <c r="GX4" s="10" t="s">
        <v>82</v>
      </c>
      <c r="GY4" s="10" t="s">
        <v>82</v>
      </c>
      <c r="GZ4" s="10" t="s">
        <v>82</v>
      </c>
      <c r="HA4" s="10" t="s">
        <v>82</v>
      </c>
      <c r="HB4" s="10" t="s">
        <v>82</v>
      </c>
      <c r="HC4" s="10" t="s">
        <v>82</v>
      </c>
      <c r="HD4" s="10" t="s">
        <v>82</v>
      </c>
      <c r="HE4" s="10" t="s">
        <v>82</v>
      </c>
      <c r="HF4" s="10" t="s">
        <v>82</v>
      </c>
      <c r="HG4" s="10" t="s">
        <v>82</v>
      </c>
      <c r="HH4" s="10" t="s">
        <v>82</v>
      </c>
      <c r="HI4" s="10" t="s">
        <v>82</v>
      </c>
      <c r="HJ4" s="10" t="s">
        <v>82</v>
      </c>
      <c r="HK4" s="10" t="s">
        <v>82</v>
      </c>
      <c r="HL4" s="10" t="s">
        <v>82</v>
      </c>
      <c r="HM4" s="40" t="s">
        <v>82</v>
      </c>
    </row>
    <row r="5" spans="1:247" ht="41.4">
      <c r="A5" s="686"/>
      <c r="B5" s="13" t="s">
        <v>134</v>
      </c>
      <c r="C5" s="37" t="s">
        <v>559</v>
      </c>
      <c r="D5" s="41" t="s">
        <v>81</v>
      </c>
      <c r="E5" s="39" t="s">
        <v>65</v>
      </c>
      <c r="F5" s="39" t="s">
        <v>65</v>
      </c>
      <c r="G5" s="39" t="s">
        <v>65</v>
      </c>
      <c r="H5" s="10" t="s">
        <v>65</v>
      </c>
      <c r="I5" s="10" t="s">
        <v>65</v>
      </c>
      <c r="J5" s="607">
        <v>99</v>
      </c>
      <c r="K5" s="608" t="s">
        <v>265</v>
      </c>
      <c r="L5" s="609" t="s">
        <v>265</v>
      </c>
      <c r="M5" s="4" t="s">
        <v>82</v>
      </c>
      <c r="N5" s="10" t="s">
        <v>82</v>
      </c>
      <c r="O5" s="10" t="s">
        <v>558</v>
      </c>
      <c r="P5" s="10" t="s">
        <v>82</v>
      </c>
      <c r="Q5" s="10">
        <v>0</v>
      </c>
      <c r="R5" s="10" t="s">
        <v>265</v>
      </c>
      <c r="S5" s="10" t="s">
        <v>265</v>
      </c>
      <c r="T5" s="10" t="s">
        <v>265</v>
      </c>
      <c r="U5" s="40" t="s">
        <v>265</v>
      </c>
      <c r="V5" s="4">
        <v>8.5</v>
      </c>
      <c r="W5" s="41">
        <v>25.4</v>
      </c>
      <c r="X5" s="41">
        <v>25.4</v>
      </c>
      <c r="Y5" s="41">
        <f>25.4/8</f>
        <v>3.1749999999999998</v>
      </c>
      <c r="Z5" s="41">
        <f t="shared" si="2"/>
        <v>25.4</v>
      </c>
      <c r="AA5" s="593">
        <f t="shared" si="0"/>
        <v>2048.3829999999998</v>
      </c>
      <c r="AB5" s="40" t="s">
        <v>265</v>
      </c>
      <c r="AC5" s="236" t="s">
        <v>265</v>
      </c>
      <c r="AD5" s="128" t="s">
        <v>265</v>
      </c>
      <c r="AE5" s="10" t="s">
        <v>265</v>
      </c>
      <c r="AF5" s="10" t="str">
        <f t="shared" si="3"/>
        <v>N.S</v>
      </c>
      <c r="AG5" s="10" t="s">
        <v>265</v>
      </c>
      <c r="AH5" s="10" t="s">
        <v>265</v>
      </c>
      <c r="AI5" s="10" t="str">
        <f>IF(AC5="N.S", "N.S",IF(AH5="N.S", "N.S", 0.5*(AC5+AD5)*AH5*3600))</f>
        <v>N.S</v>
      </c>
      <c r="AJ5" s="10" t="s">
        <v>82</v>
      </c>
      <c r="AK5" s="10" t="s">
        <v>84</v>
      </c>
      <c r="AL5" s="42" t="str">
        <f t="shared" si="4"/>
        <v>N.S</v>
      </c>
      <c r="AM5" s="42" t="s">
        <v>265</v>
      </c>
      <c r="AN5" s="42" t="s">
        <v>265</v>
      </c>
      <c r="AO5" s="42" t="s">
        <v>265</v>
      </c>
      <c r="AP5" s="42" t="s">
        <v>265</v>
      </c>
      <c r="AQ5" s="238">
        <v>8760</v>
      </c>
      <c r="AR5" s="437" t="s">
        <v>265</v>
      </c>
      <c r="AS5" s="604" t="str">
        <f t="shared" si="1"/>
        <v>N.S</v>
      </c>
      <c r="AT5" s="19" t="s">
        <v>265</v>
      </c>
      <c r="AU5" s="10" t="s">
        <v>265</v>
      </c>
      <c r="AV5" s="10" t="s">
        <v>265</v>
      </c>
      <c r="AW5" s="10" t="s">
        <v>265</v>
      </c>
      <c r="AX5" s="10" t="s">
        <v>265</v>
      </c>
      <c r="AY5" s="10" t="s">
        <v>265</v>
      </c>
      <c r="AZ5" s="10" t="s">
        <v>265</v>
      </c>
      <c r="BA5" s="37" t="s">
        <v>265</v>
      </c>
      <c r="BB5" s="605" t="s">
        <v>265</v>
      </c>
      <c r="BC5" s="606" t="s">
        <v>265</v>
      </c>
      <c r="BD5" s="37" t="s">
        <v>265</v>
      </c>
      <c r="BE5" s="3" t="s">
        <v>265</v>
      </c>
      <c r="BF5" s="37" t="s">
        <v>265</v>
      </c>
      <c r="BG5" s="4" t="s">
        <v>84</v>
      </c>
      <c r="BH5" s="13" t="s">
        <v>265</v>
      </c>
      <c r="BI5" s="10" t="s">
        <v>265</v>
      </c>
      <c r="BJ5" s="10" t="s">
        <v>265</v>
      </c>
      <c r="BK5" s="10" t="s">
        <v>265</v>
      </c>
      <c r="BL5" s="10" t="s">
        <v>265</v>
      </c>
      <c r="BM5" s="40" t="s">
        <v>265</v>
      </c>
      <c r="BN5" s="301" t="s">
        <v>265</v>
      </c>
      <c r="BO5" s="41" t="s">
        <v>265</v>
      </c>
      <c r="BP5" s="129" t="s">
        <v>265</v>
      </c>
      <c r="BQ5" s="4"/>
      <c r="BR5" s="169"/>
      <c r="BS5" s="4">
        <v>0</v>
      </c>
      <c r="BT5" s="128"/>
      <c r="BU5" s="128"/>
      <c r="BV5" s="10"/>
      <c r="BW5" s="40"/>
      <c r="BX5" s="295">
        <v>0</v>
      </c>
      <c r="BY5" s="128"/>
      <c r="BZ5" s="128"/>
      <c r="CA5" s="10"/>
      <c r="CB5" s="40"/>
      <c r="CC5" s="4">
        <v>0</v>
      </c>
      <c r="CD5" s="10">
        <v>0</v>
      </c>
      <c r="CE5" s="128"/>
      <c r="CF5" s="128"/>
      <c r="CG5" s="128"/>
      <c r="CH5" s="128"/>
      <c r="CI5" s="128"/>
      <c r="CJ5" s="128"/>
      <c r="CK5" s="128"/>
      <c r="CL5" s="128"/>
      <c r="CM5" s="121"/>
      <c r="CN5" s="4">
        <v>0</v>
      </c>
      <c r="CO5" s="10">
        <v>0</v>
      </c>
      <c r="CP5" s="10"/>
      <c r="CQ5" s="10"/>
      <c r="CR5" s="10"/>
      <c r="CS5" s="10"/>
      <c r="CT5" s="10"/>
      <c r="CU5" s="10"/>
      <c r="CV5" s="10"/>
      <c r="CW5" s="10"/>
      <c r="CX5" s="121"/>
      <c r="CY5" s="4">
        <v>0</v>
      </c>
      <c r="CZ5" s="10">
        <v>0</v>
      </c>
      <c r="DA5" s="10"/>
      <c r="DB5" s="10"/>
      <c r="DC5" s="10"/>
      <c r="DD5" s="10"/>
      <c r="DE5" s="10"/>
      <c r="DF5" s="10"/>
      <c r="DG5" s="10"/>
      <c r="DH5" s="10"/>
      <c r="DI5" s="121"/>
      <c r="DJ5" s="4">
        <v>0</v>
      </c>
      <c r="DK5" s="128"/>
      <c r="DL5" s="128"/>
      <c r="DM5" s="10"/>
      <c r="DN5" s="40"/>
      <c r="DO5" s="4">
        <v>0</v>
      </c>
      <c r="DP5" s="10"/>
      <c r="DQ5" s="128"/>
      <c r="DR5" s="10"/>
      <c r="DS5" s="40"/>
      <c r="DT5" s="4">
        <v>0</v>
      </c>
      <c r="DU5" s="10"/>
      <c r="DV5" s="10"/>
      <c r="DW5" s="10"/>
      <c r="DX5" s="40"/>
      <c r="DY5" s="4">
        <v>0</v>
      </c>
      <c r="DZ5" s="10"/>
      <c r="EA5" s="10"/>
      <c r="EB5" s="10"/>
      <c r="EC5" s="40"/>
      <c r="ED5" s="4">
        <v>0</v>
      </c>
      <c r="EE5" s="10"/>
      <c r="EF5" s="10"/>
      <c r="EG5" s="10"/>
      <c r="EH5" s="40"/>
      <c r="EI5" s="4">
        <v>0</v>
      </c>
      <c r="EJ5" s="10"/>
      <c r="EK5" s="10"/>
      <c r="EL5" s="10"/>
      <c r="EM5" s="40"/>
      <c r="EN5" s="4">
        <v>0</v>
      </c>
      <c r="EO5" s="10"/>
      <c r="EP5" s="10"/>
      <c r="EQ5" s="10"/>
      <c r="ER5" s="40"/>
      <c r="ES5" s="4">
        <v>0</v>
      </c>
      <c r="ET5" s="10"/>
      <c r="EU5" s="10"/>
      <c r="EV5" s="10"/>
      <c r="EW5" s="40"/>
      <c r="EX5" s="4">
        <v>0</v>
      </c>
      <c r="EY5" s="10"/>
      <c r="EZ5" s="10"/>
      <c r="FA5" s="10"/>
      <c r="FB5" s="40"/>
      <c r="FC5" s="4">
        <v>0</v>
      </c>
      <c r="FD5" s="10"/>
      <c r="FE5" s="10"/>
      <c r="FF5" s="10"/>
      <c r="FG5" s="40"/>
      <c r="FH5" s="4">
        <v>0</v>
      </c>
      <c r="FI5" s="10"/>
      <c r="FJ5" s="10"/>
      <c r="FK5" s="10"/>
      <c r="FL5" s="40"/>
      <c r="FM5" s="4">
        <v>0</v>
      </c>
      <c r="FN5" s="10"/>
      <c r="FO5" s="10"/>
      <c r="FP5" s="10"/>
      <c r="FQ5" s="40"/>
      <c r="FR5" s="4">
        <v>0</v>
      </c>
      <c r="FS5" s="10"/>
      <c r="FT5" s="10"/>
      <c r="FU5" s="10"/>
      <c r="FV5" s="40"/>
      <c r="FW5" s="4">
        <v>0</v>
      </c>
      <c r="FX5" s="10"/>
      <c r="FY5" s="10"/>
      <c r="FZ5" s="10"/>
      <c r="GA5" s="40"/>
      <c r="GB5" s="16">
        <v>0</v>
      </c>
      <c r="GC5" s="10"/>
      <c r="GD5" s="10"/>
      <c r="GE5" s="10"/>
      <c r="GF5" s="40"/>
      <c r="GG5" s="10">
        <f t="shared" si="5"/>
        <v>1</v>
      </c>
      <c r="GH5" s="10" t="str">
        <f t="shared" si="6"/>
        <v/>
      </c>
      <c r="GI5" s="37" t="str">
        <f t="shared" si="7"/>
        <v/>
      </c>
      <c r="GJ5" s="4" t="s">
        <v>82</v>
      </c>
      <c r="GK5" s="10" t="s">
        <v>82</v>
      </c>
      <c r="GL5" s="10" t="s">
        <v>82</v>
      </c>
      <c r="GM5" s="10" t="s">
        <v>82</v>
      </c>
      <c r="GN5" s="10" t="s">
        <v>82</v>
      </c>
      <c r="GO5" s="10" t="s">
        <v>82</v>
      </c>
      <c r="GP5" s="10" t="s">
        <v>82</v>
      </c>
      <c r="GQ5" s="10" t="s">
        <v>82</v>
      </c>
      <c r="GR5" s="10" t="s">
        <v>82</v>
      </c>
      <c r="GS5" s="10" t="s">
        <v>82</v>
      </c>
      <c r="GT5" s="10" t="s">
        <v>82</v>
      </c>
      <c r="GU5" s="10" t="s">
        <v>82</v>
      </c>
      <c r="GV5" s="10" t="s">
        <v>82</v>
      </c>
      <c r="GW5" s="10" t="s">
        <v>82</v>
      </c>
      <c r="GX5" s="10" t="s">
        <v>82</v>
      </c>
      <c r="GY5" s="10" t="s">
        <v>82</v>
      </c>
      <c r="GZ5" s="10" t="s">
        <v>82</v>
      </c>
      <c r="HA5" s="10" t="s">
        <v>82</v>
      </c>
      <c r="HB5" s="10" t="s">
        <v>82</v>
      </c>
      <c r="HC5" s="10" t="s">
        <v>82</v>
      </c>
      <c r="HD5" s="10" t="s">
        <v>82</v>
      </c>
      <c r="HE5" s="10" t="s">
        <v>82</v>
      </c>
      <c r="HF5" s="10" t="s">
        <v>82</v>
      </c>
      <c r="HG5" s="10" t="s">
        <v>82</v>
      </c>
      <c r="HH5" s="10" t="s">
        <v>82</v>
      </c>
      <c r="HI5" s="10" t="s">
        <v>82</v>
      </c>
      <c r="HJ5" s="10" t="s">
        <v>82</v>
      </c>
      <c r="HK5" s="10" t="s">
        <v>82</v>
      </c>
      <c r="HL5" s="10" t="s">
        <v>82</v>
      </c>
      <c r="HM5" s="40" t="s">
        <v>82</v>
      </c>
    </row>
    <row r="6" spans="1:247" ht="27.6">
      <c r="A6" s="686"/>
      <c r="B6" s="10" t="s">
        <v>561</v>
      </c>
      <c r="C6" s="37" t="s">
        <v>17</v>
      </c>
      <c r="D6" s="100" t="s">
        <v>85</v>
      </c>
      <c r="E6" s="39" t="s">
        <v>65</v>
      </c>
      <c r="F6" s="39" t="s">
        <v>65</v>
      </c>
      <c r="G6" s="39" t="s">
        <v>65</v>
      </c>
      <c r="H6" s="10" t="s">
        <v>65</v>
      </c>
      <c r="I6" s="10" t="s">
        <v>65</v>
      </c>
      <c r="J6" s="607">
        <v>99.95</v>
      </c>
      <c r="K6" s="608">
        <v>1</v>
      </c>
      <c r="L6" s="609">
        <v>2014</v>
      </c>
      <c r="M6" s="4" t="s">
        <v>86</v>
      </c>
      <c r="N6" s="10" t="s">
        <v>82</v>
      </c>
      <c r="O6" s="10" t="s">
        <v>82</v>
      </c>
      <c r="P6" s="13" t="s">
        <v>82</v>
      </c>
      <c r="Q6" s="10" t="s">
        <v>265</v>
      </c>
      <c r="R6" s="10" t="s">
        <v>265</v>
      </c>
      <c r="S6" s="10" t="s">
        <v>265</v>
      </c>
      <c r="T6" s="10" t="s">
        <v>265</v>
      </c>
      <c r="U6" s="40" t="s">
        <v>265</v>
      </c>
      <c r="V6" s="4">
        <v>99.79</v>
      </c>
      <c r="W6" s="41">
        <v>24.1</v>
      </c>
      <c r="X6" s="41">
        <v>79</v>
      </c>
      <c r="Y6" s="41">
        <v>119.1</v>
      </c>
      <c r="Z6" s="41">
        <f t="shared" si="2"/>
        <v>79</v>
      </c>
      <c r="AA6" s="593">
        <f t="shared" si="0"/>
        <v>226754.49</v>
      </c>
      <c r="AB6" s="40" t="s">
        <v>265</v>
      </c>
      <c r="AC6" s="236">
        <v>3</v>
      </c>
      <c r="AD6" s="128">
        <v>3</v>
      </c>
      <c r="AE6" s="10" t="s">
        <v>265</v>
      </c>
      <c r="AF6" s="10" t="str">
        <f t="shared" si="3"/>
        <v>N.S</v>
      </c>
      <c r="AG6" s="10" t="s">
        <v>265</v>
      </c>
      <c r="AH6" s="10">
        <v>0.2</v>
      </c>
      <c r="AI6" s="10">
        <f>IF(AC6="N.S", "N.S",IF(AH6="N.S", "N.S", 0.5*(AC6+AD6)*AH6*3600))</f>
        <v>2160.0000000000005</v>
      </c>
      <c r="AJ6" s="10" t="s">
        <v>82</v>
      </c>
      <c r="AK6" s="10" t="s">
        <v>84</v>
      </c>
      <c r="AL6" s="42" t="str">
        <f t="shared" si="4"/>
        <v>N.S</v>
      </c>
      <c r="AM6" s="42" t="s">
        <v>265</v>
      </c>
      <c r="AN6" s="42" t="s">
        <v>265</v>
      </c>
      <c r="AO6" s="42" t="s">
        <v>265</v>
      </c>
      <c r="AP6" s="42" t="s">
        <v>265</v>
      </c>
      <c r="AQ6" s="238">
        <v>8760</v>
      </c>
      <c r="AR6" s="437" t="s">
        <v>265</v>
      </c>
      <c r="AS6" s="604" t="str">
        <f t="shared" si="1"/>
        <v>N.S</v>
      </c>
      <c r="AT6" s="19" t="s">
        <v>265</v>
      </c>
      <c r="AU6" s="10" t="s">
        <v>265</v>
      </c>
      <c r="AV6" s="10" t="s">
        <v>265</v>
      </c>
      <c r="AW6" s="10" t="s">
        <v>265</v>
      </c>
      <c r="AX6" s="10" t="s">
        <v>265</v>
      </c>
      <c r="AY6" s="10" t="s">
        <v>265</v>
      </c>
      <c r="AZ6" s="10" t="s">
        <v>265</v>
      </c>
      <c r="BA6" s="10" t="s">
        <v>265</v>
      </c>
      <c r="BB6" s="362" t="s">
        <v>265</v>
      </c>
      <c r="BC6" s="606" t="s">
        <v>265</v>
      </c>
      <c r="BD6" s="37" t="s">
        <v>265</v>
      </c>
      <c r="BE6" s="3" t="s">
        <v>265</v>
      </c>
      <c r="BF6" s="37" t="s">
        <v>265</v>
      </c>
      <c r="BG6" s="4" t="s">
        <v>84</v>
      </c>
      <c r="BH6" s="13" t="s">
        <v>560</v>
      </c>
      <c r="BI6" s="10" t="s">
        <v>265</v>
      </c>
      <c r="BJ6" s="10" t="s">
        <v>265</v>
      </c>
      <c r="BK6" s="10" t="s">
        <v>265</v>
      </c>
      <c r="BL6" s="10" t="s">
        <v>265</v>
      </c>
      <c r="BM6" s="40" t="s">
        <v>265</v>
      </c>
      <c r="BN6" s="301" t="s">
        <v>265</v>
      </c>
      <c r="BO6" s="41" t="s">
        <v>265</v>
      </c>
      <c r="BP6" s="129" t="s">
        <v>265</v>
      </c>
      <c r="BQ6" s="4" t="s">
        <v>18</v>
      </c>
      <c r="BR6" s="169"/>
      <c r="BS6" s="4">
        <v>0</v>
      </c>
      <c r="BT6" s="128"/>
      <c r="BU6" s="128"/>
      <c r="BV6" s="10"/>
      <c r="BW6" s="40"/>
      <c r="BX6" s="295">
        <v>0</v>
      </c>
      <c r="BY6" s="128"/>
      <c r="BZ6" s="128"/>
      <c r="CA6" s="10"/>
      <c r="CB6" s="40"/>
      <c r="CC6" s="4">
        <v>0</v>
      </c>
      <c r="CD6" s="10">
        <v>0</v>
      </c>
      <c r="CE6" s="128"/>
      <c r="CF6" s="128"/>
      <c r="CG6" s="128"/>
      <c r="CH6" s="128"/>
      <c r="CI6" s="128"/>
      <c r="CJ6" s="128"/>
      <c r="CK6" s="128"/>
      <c r="CL6" s="128"/>
      <c r="CM6" s="121"/>
      <c r="CN6" s="4">
        <v>0</v>
      </c>
      <c r="CO6" s="10">
        <v>0</v>
      </c>
      <c r="CP6" s="10"/>
      <c r="CQ6" s="10"/>
      <c r="CR6" s="10"/>
      <c r="CS6" s="10"/>
      <c r="CT6" s="10"/>
      <c r="CU6" s="10"/>
      <c r="CV6" s="10"/>
      <c r="CW6" s="10"/>
      <c r="CX6" s="121"/>
      <c r="CY6" s="4">
        <v>0</v>
      </c>
      <c r="CZ6" s="10">
        <v>0</v>
      </c>
      <c r="DA6" s="10"/>
      <c r="DB6" s="10"/>
      <c r="DC6" s="10"/>
      <c r="DD6" s="10"/>
      <c r="DE6" s="10"/>
      <c r="DF6" s="10"/>
      <c r="DG6" s="10"/>
      <c r="DH6" s="10"/>
      <c r="DI6" s="121"/>
      <c r="DJ6" s="4">
        <v>0</v>
      </c>
      <c r="DK6" s="128"/>
      <c r="DL6" s="128"/>
      <c r="DM6" s="10"/>
      <c r="DN6" s="40"/>
      <c r="DO6" s="4">
        <v>1</v>
      </c>
      <c r="DP6" s="10"/>
      <c r="DQ6" s="128"/>
      <c r="DR6" s="10"/>
      <c r="DS6" s="40"/>
      <c r="DT6" s="4">
        <v>0</v>
      </c>
      <c r="DU6" s="10"/>
      <c r="DV6" s="10"/>
      <c r="DW6" s="10"/>
      <c r="DX6" s="40"/>
      <c r="DY6" s="4">
        <v>0</v>
      </c>
      <c r="DZ6" s="10"/>
      <c r="EA6" s="10"/>
      <c r="EB6" s="10"/>
      <c r="EC6" s="40"/>
      <c r="ED6" s="4">
        <v>0</v>
      </c>
      <c r="EE6" s="10"/>
      <c r="EF6" s="10"/>
      <c r="EG6" s="10"/>
      <c r="EH6" s="40"/>
      <c r="EI6" s="4">
        <v>0</v>
      </c>
      <c r="EJ6" s="10"/>
      <c r="EK6" s="10"/>
      <c r="EL6" s="10"/>
      <c r="EM6" s="40"/>
      <c r="EN6" s="4">
        <v>0</v>
      </c>
      <c r="EO6" s="10"/>
      <c r="EP6" s="10"/>
      <c r="EQ6" s="10"/>
      <c r="ER6" s="40"/>
      <c r="ES6" s="4">
        <v>0</v>
      </c>
      <c r="ET6" s="10"/>
      <c r="EU6" s="10"/>
      <c r="EV6" s="10"/>
      <c r="EW6" s="40"/>
      <c r="EX6" s="4">
        <v>0</v>
      </c>
      <c r="EY6" s="10"/>
      <c r="EZ6" s="10"/>
      <c r="FA6" s="10"/>
      <c r="FB6" s="40"/>
      <c r="FC6" s="4">
        <v>0</v>
      </c>
      <c r="FD6" s="10"/>
      <c r="FE6" s="10"/>
      <c r="FF6" s="10"/>
      <c r="FG6" s="40"/>
      <c r="FH6" s="4">
        <v>0</v>
      </c>
      <c r="FI6" s="10"/>
      <c r="FJ6" s="10"/>
      <c r="FK6" s="10"/>
      <c r="FL6" s="40"/>
      <c r="FM6" s="4">
        <v>0</v>
      </c>
      <c r="FN6" s="10"/>
      <c r="FO6" s="10"/>
      <c r="FP6" s="10"/>
      <c r="FQ6" s="40"/>
      <c r="FR6" s="4">
        <v>0</v>
      </c>
      <c r="FS6" s="10"/>
      <c r="FT6" s="10"/>
      <c r="FU6" s="10"/>
      <c r="FV6" s="40"/>
      <c r="FW6" s="4">
        <v>0</v>
      </c>
      <c r="FX6" s="10"/>
      <c r="FY6" s="10"/>
      <c r="FZ6" s="10"/>
      <c r="GA6" s="40"/>
      <c r="GB6" s="16">
        <v>0</v>
      </c>
      <c r="GC6" s="10"/>
      <c r="GD6" s="10"/>
      <c r="GE6" s="10"/>
      <c r="GF6" s="40"/>
      <c r="GG6" s="10">
        <f t="shared" si="5"/>
        <v>1</v>
      </c>
      <c r="GH6" s="10" t="str">
        <f t="shared" si="6"/>
        <v/>
      </c>
      <c r="GI6" s="37" t="str">
        <f t="shared" si="7"/>
        <v/>
      </c>
      <c r="GJ6" s="4" t="s">
        <v>82</v>
      </c>
      <c r="GK6" s="10" t="s">
        <v>82</v>
      </c>
      <c r="GL6" s="10" t="s">
        <v>82</v>
      </c>
      <c r="GM6" s="10" t="s">
        <v>82</v>
      </c>
      <c r="GN6" s="10" t="s">
        <v>82</v>
      </c>
      <c r="GO6" s="10" t="s">
        <v>82</v>
      </c>
      <c r="GP6" s="10" t="s">
        <v>82</v>
      </c>
      <c r="GQ6" s="10" t="s">
        <v>82</v>
      </c>
      <c r="GR6" s="10" t="s">
        <v>82</v>
      </c>
      <c r="GS6" s="10" t="s">
        <v>82</v>
      </c>
      <c r="GT6" s="10" t="s">
        <v>82</v>
      </c>
      <c r="GU6" s="10" t="s">
        <v>82</v>
      </c>
      <c r="GV6" s="10" t="s">
        <v>82</v>
      </c>
      <c r="GW6" s="10" t="s">
        <v>82</v>
      </c>
      <c r="GX6" s="10" t="s">
        <v>82</v>
      </c>
      <c r="GY6" s="10" t="s">
        <v>82</v>
      </c>
      <c r="GZ6" s="10" t="s">
        <v>82</v>
      </c>
      <c r="HA6" s="10" t="s">
        <v>82</v>
      </c>
      <c r="HB6" s="10" t="s">
        <v>82</v>
      </c>
      <c r="HC6" s="10" t="s">
        <v>82</v>
      </c>
      <c r="HD6" s="10" t="s">
        <v>82</v>
      </c>
      <c r="HE6" s="10" t="s">
        <v>82</v>
      </c>
      <c r="HF6" s="10" t="s">
        <v>82</v>
      </c>
      <c r="HG6" s="10" t="s">
        <v>82</v>
      </c>
      <c r="HH6" s="10" t="s">
        <v>82</v>
      </c>
      <c r="HI6" s="10" t="s">
        <v>82</v>
      </c>
      <c r="HJ6" s="10" t="s">
        <v>82</v>
      </c>
      <c r="HK6" s="10" t="s">
        <v>82</v>
      </c>
      <c r="HL6" s="10" t="s">
        <v>82</v>
      </c>
      <c r="HM6" s="40" t="s">
        <v>82</v>
      </c>
    </row>
    <row r="7" spans="1:247" ht="14.4">
      <c r="A7" s="686"/>
      <c r="B7" s="13" t="s">
        <v>562</v>
      </c>
      <c r="C7" s="37" t="s">
        <v>19</v>
      </c>
      <c r="D7" s="41" t="s">
        <v>87</v>
      </c>
      <c r="E7" s="39" t="s">
        <v>65</v>
      </c>
      <c r="F7" s="39" t="s">
        <v>65</v>
      </c>
      <c r="G7" s="39" t="s">
        <v>65</v>
      </c>
      <c r="H7" s="10" t="s">
        <v>65</v>
      </c>
      <c r="I7" s="10" t="s">
        <v>65</v>
      </c>
      <c r="J7" s="601">
        <v>150</v>
      </c>
      <c r="K7" s="608" t="s">
        <v>265</v>
      </c>
      <c r="L7" s="609" t="s">
        <v>265</v>
      </c>
      <c r="M7" s="3" t="s">
        <v>317</v>
      </c>
      <c r="N7" s="10" t="s">
        <v>82</v>
      </c>
      <c r="O7" s="10" t="s">
        <v>548</v>
      </c>
      <c r="P7" s="13" t="s">
        <v>82</v>
      </c>
      <c r="Q7" s="10" t="s">
        <v>265</v>
      </c>
      <c r="R7" s="10" t="s">
        <v>265</v>
      </c>
      <c r="S7" s="10" t="s">
        <v>265</v>
      </c>
      <c r="T7" s="10" t="s">
        <v>265</v>
      </c>
      <c r="U7" s="40" t="s">
        <v>265</v>
      </c>
      <c r="V7" s="4">
        <v>33</v>
      </c>
      <c r="W7" s="41">
        <v>40</v>
      </c>
      <c r="X7" s="41">
        <v>40</v>
      </c>
      <c r="Y7" s="41">
        <v>13.5</v>
      </c>
      <c r="Z7" s="41">
        <f t="shared" si="2"/>
        <v>40</v>
      </c>
      <c r="AA7" s="593">
        <f t="shared" si="0"/>
        <v>21600</v>
      </c>
      <c r="AB7" s="40" t="s">
        <v>265</v>
      </c>
      <c r="AC7" s="236" t="s">
        <v>265</v>
      </c>
      <c r="AD7" s="128" t="s">
        <v>265</v>
      </c>
      <c r="AE7" s="10" t="s">
        <v>265</v>
      </c>
      <c r="AF7" s="10" t="str">
        <f t="shared" si="3"/>
        <v>N.S</v>
      </c>
      <c r="AG7" s="10" t="s">
        <v>265</v>
      </c>
      <c r="AH7" s="10">
        <v>0.3</v>
      </c>
      <c r="AI7" s="10" t="str">
        <f t="shared" ref="AI7:AI70" si="8">IF(AC7="N.S", "N.S",IF(AH7="N.S", "N.S", 0.5*(AC7+AD7)*AH7*3600))</f>
        <v>N.S</v>
      </c>
      <c r="AJ7" s="10" t="s">
        <v>84</v>
      </c>
      <c r="AK7" s="10" t="s">
        <v>265</v>
      </c>
      <c r="AL7" s="42" t="str">
        <f t="shared" si="4"/>
        <v>N.S</v>
      </c>
      <c r="AM7" s="42" t="s">
        <v>265</v>
      </c>
      <c r="AN7" s="42" t="s">
        <v>265</v>
      </c>
      <c r="AO7" s="42" t="s">
        <v>265</v>
      </c>
      <c r="AP7" s="42" t="s">
        <v>265</v>
      </c>
      <c r="AQ7" s="238">
        <v>2</v>
      </c>
      <c r="AR7" s="437" t="s">
        <v>265</v>
      </c>
      <c r="AS7" s="604" t="str">
        <f t="shared" si="1"/>
        <v>N.S</v>
      </c>
      <c r="AT7" s="19" t="s">
        <v>265</v>
      </c>
      <c r="AU7" s="10" t="s">
        <v>265</v>
      </c>
      <c r="AV7" s="10" t="s">
        <v>265</v>
      </c>
      <c r="AW7" s="10" t="s">
        <v>265</v>
      </c>
      <c r="AX7" s="10" t="s">
        <v>265</v>
      </c>
      <c r="AY7" s="10" t="s">
        <v>265</v>
      </c>
      <c r="AZ7" s="10" t="s">
        <v>265</v>
      </c>
      <c r="BA7" s="37" t="s">
        <v>565</v>
      </c>
      <c r="BB7" s="605" t="s">
        <v>265</v>
      </c>
      <c r="BC7" s="606" t="s">
        <v>265</v>
      </c>
      <c r="BD7" s="37" t="s">
        <v>553</v>
      </c>
      <c r="BE7" s="3" t="s">
        <v>265</v>
      </c>
      <c r="BF7" s="37" t="s">
        <v>265</v>
      </c>
      <c r="BG7" s="4" t="s">
        <v>84</v>
      </c>
      <c r="BH7" s="13" t="s">
        <v>564</v>
      </c>
      <c r="BI7" s="10" t="s">
        <v>265</v>
      </c>
      <c r="BJ7" s="10" t="s">
        <v>265</v>
      </c>
      <c r="BK7" s="10" t="s">
        <v>265</v>
      </c>
      <c r="BL7" s="10" t="s">
        <v>265</v>
      </c>
      <c r="BM7" s="40" t="s">
        <v>265</v>
      </c>
      <c r="BN7" s="301" t="s">
        <v>265</v>
      </c>
      <c r="BO7" s="41" t="s">
        <v>265</v>
      </c>
      <c r="BP7" s="129" t="s">
        <v>265</v>
      </c>
      <c r="BQ7" s="4"/>
      <c r="BR7" s="169" t="s">
        <v>563</v>
      </c>
      <c r="BS7" s="4">
        <v>0</v>
      </c>
      <c r="BT7" s="128"/>
      <c r="BU7" s="128"/>
      <c r="BV7" s="10"/>
      <c r="BW7" s="40"/>
      <c r="BX7" s="295">
        <v>0</v>
      </c>
      <c r="BY7" s="128"/>
      <c r="BZ7" s="128"/>
      <c r="CA7" s="10"/>
      <c r="CB7" s="40"/>
      <c r="CC7" s="4">
        <v>0</v>
      </c>
      <c r="CD7" s="10">
        <v>0</v>
      </c>
      <c r="CE7" s="128"/>
      <c r="CF7" s="128"/>
      <c r="CG7" s="128"/>
      <c r="CH7" s="128"/>
      <c r="CI7" s="128"/>
      <c r="CJ7" s="128"/>
      <c r="CK7" s="128"/>
      <c r="CL7" s="128"/>
      <c r="CM7" s="121"/>
      <c r="CN7" s="4">
        <v>0</v>
      </c>
      <c r="CO7" s="10">
        <v>0</v>
      </c>
      <c r="CP7" s="10"/>
      <c r="CQ7" s="10"/>
      <c r="CR7" s="10"/>
      <c r="CS7" s="10"/>
      <c r="CT7" s="10"/>
      <c r="CU7" s="10"/>
      <c r="CV7" s="10"/>
      <c r="CW7" s="10"/>
      <c r="CX7" s="121"/>
      <c r="CY7" s="4">
        <v>0</v>
      </c>
      <c r="CZ7" s="10">
        <v>0</v>
      </c>
      <c r="DA7" s="10"/>
      <c r="DB7" s="10"/>
      <c r="DC7" s="10"/>
      <c r="DD7" s="10"/>
      <c r="DE7" s="10"/>
      <c r="DF7" s="10"/>
      <c r="DG7" s="10"/>
      <c r="DH7" s="10"/>
      <c r="DI7" s="121"/>
      <c r="DJ7" s="4">
        <v>0</v>
      </c>
      <c r="DK7" s="128"/>
      <c r="DL7" s="128"/>
      <c r="DM7" s="10"/>
      <c r="DN7" s="40"/>
      <c r="DO7" s="4">
        <v>0</v>
      </c>
      <c r="DP7" s="10"/>
      <c r="DQ7" s="128"/>
      <c r="DR7" s="10"/>
      <c r="DS7" s="40"/>
      <c r="DT7" s="4">
        <v>0</v>
      </c>
      <c r="DU7" s="10"/>
      <c r="DV7" s="10"/>
      <c r="DW7" s="10"/>
      <c r="DX7" s="40"/>
      <c r="DY7" s="4">
        <v>0</v>
      </c>
      <c r="DZ7" s="10"/>
      <c r="EA7" s="10"/>
      <c r="EB7" s="10"/>
      <c r="EC7" s="40"/>
      <c r="ED7" s="4">
        <v>1</v>
      </c>
      <c r="EE7" s="10"/>
      <c r="EF7" s="10"/>
      <c r="EG7" s="10"/>
      <c r="EH7" s="40"/>
      <c r="EI7" s="4">
        <v>0</v>
      </c>
      <c r="EJ7" s="10"/>
      <c r="EK7" s="10"/>
      <c r="EL7" s="10"/>
      <c r="EM7" s="40"/>
      <c r="EN7" s="4">
        <v>0</v>
      </c>
      <c r="EO7" s="10"/>
      <c r="EP7" s="10"/>
      <c r="EQ7" s="10"/>
      <c r="ER7" s="40"/>
      <c r="ES7" s="4">
        <v>0</v>
      </c>
      <c r="ET7" s="10"/>
      <c r="EU7" s="10"/>
      <c r="EV7" s="10"/>
      <c r="EW7" s="40"/>
      <c r="EX7" s="4">
        <v>0</v>
      </c>
      <c r="EY7" s="10"/>
      <c r="EZ7" s="10"/>
      <c r="FA7" s="10"/>
      <c r="FB7" s="40"/>
      <c r="FC7" s="4">
        <v>0</v>
      </c>
      <c r="FD7" s="10"/>
      <c r="FE7" s="10"/>
      <c r="FF7" s="10"/>
      <c r="FG7" s="40"/>
      <c r="FH7" s="4">
        <v>0</v>
      </c>
      <c r="FI7" s="10"/>
      <c r="FJ7" s="10"/>
      <c r="FK7" s="10"/>
      <c r="FL7" s="40"/>
      <c r="FM7" s="4">
        <v>0</v>
      </c>
      <c r="FN7" s="10"/>
      <c r="FO7" s="10"/>
      <c r="FP7" s="10"/>
      <c r="FQ7" s="40"/>
      <c r="FR7" s="4">
        <v>0</v>
      </c>
      <c r="FS7" s="10"/>
      <c r="FT7" s="10"/>
      <c r="FU7" s="10"/>
      <c r="FV7" s="40"/>
      <c r="FW7" s="4">
        <v>0</v>
      </c>
      <c r="FX7" s="10"/>
      <c r="FY7" s="10"/>
      <c r="FZ7" s="10"/>
      <c r="GA7" s="40"/>
      <c r="GB7" s="16">
        <v>0</v>
      </c>
      <c r="GC7" s="10"/>
      <c r="GD7" s="10"/>
      <c r="GE7" s="10"/>
      <c r="GF7" s="40"/>
      <c r="GG7" s="10">
        <f t="shared" si="5"/>
        <v>1</v>
      </c>
      <c r="GH7" s="10" t="str">
        <f t="shared" si="6"/>
        <v/>
      </c>
      <c r="GI7" s="37" t="str">
        <f t="shared" si="7"/>
        <v/>
      </c>
      <c r="GJ7" s="4" t="s">
        <v>82</v>
      </c>
      <c r="GK7" s="10" t="s">
        <v>82</v>
      </c>
      <c r="GL7" s="10" t="s">
        <v>82</v>
      </c>
      <c r="GM7" s="10" t="s">
        <v>82</v>
      </c>
      <c r="GN7" s="10" t="s">
        <v>82</v>
      </c>
      <c r="GO7" s="10" t="s">
        <v>82</v>
      </c>
      <c r="GP7" s="10" t="s">
        <v>82</v>
      </c>
      <c r="GQ7" s="10" t="s">
        <v>82</v>
      </c>
      <c r="GR7" s="10" t="s">
        <v>82</v>
      </c>
      <c r="GS7" s="10" t="s">
        <v>82</v>
      </c>
      <c r="GT7" s="10">
        <v>1</v>
      </c>
      <c r="GU7" s="10" t="s">
        <v>82</v>
      </c>
      <c r="GV7" s="10" t="s">
        <v>82</v>
      </c>
      <c r="GW7" s="10" t="s">
        <v>82</v>
      </c>
      <c r="GX7" s="10" t="s">
        <v>82</v>
      </c>
      <c r="GY7" s="10" t="s">
        <v>82</v>
      </c>
      <c r="GZ7" s="10" t="s">
        <v>82</v>
      </c>
      <c r="HA7" s="10" t="s">
        <v>82</v>
      </c>
      <c r="HB7" s="10" t="s">
        <v>82</v>
      </c>
      <c r="HC7" s="10" t="s">
        <v>82</v>
      </c>
      <c r="HD7" s="10" t="s">
        <v>82</v>
      </c>
      <c r="HE7" s="10" t="s">
        <v>82</v>
      </c>
      <c r="HF7" s="10" t="s">
        <v>82</v>
      </c>
      <c r="HG7" s="10" t="s">
        <v>82</v>
      </c>
      <c r="HH7" s="10" t="s">
        <v>82</v>
      </c>
      <c r="HI7" s="10" t="s">
        <v>82</v>
      </c>
      <c r="HJ7" s="10" t="s">
        <v>82</v>
      </c>
      <c r="HK7" s="10" t="s">
        <v>82</v>
      </c>
      <c r="HL7" s="10" t="s">
        <v>82</v>
      </c>
      <c r="HM7" s="40" t="s">
        <v>82</v>
      </c>
    </row>
    <row r="8" spans="1:247" s="191" customFormat="1" ht="13.8">
      <c r="A8" s="686"/>
      <c r="B8" s="10" t="s">
        <v>16</v>
      </c>
      <c r="C8" s="37" t="s">
        <v>88</v>
      </c>
      <c r="D8" s="41" t="s">
        <v>89</v>
      </c>
      <c r="E8" s="39" t="s">
        <v>65</v>
      </c>
      <c r="F8" s="39" t="s">
        <v>65</v>
      </c>
      <c r="G8" s="39" t="s">
        <v>65</v>
      </c>
      <c r="H8" s="11" t="s">
        <v>65</v>
      </c>
      <c r="I8" s="11" t="s">
        <v>65</v>
      </c>
      <c r="J8" s="362" t="s">
        <v>265</v>
      </c>
      <c r="K8" s="608" t="s">
        <v>265</v>
      </c>
      <c r="L8" s="609" t="s">
        <v>265</v>
      </c>
      <c r="M8" s="4" t="s">
        <v>567</v>
      </c>
      <c r="N8" s="10" t="s">
        <v>82</v>
      </c>
      <c r="O8" s="10" t="s">
        <v>558</v>
      </c>
      <c r="P8" s="10" t="s">
        <v>82</v>
      </c>
      <c r="Q8" s="10" t="s">
        <v>265</v>
      </c>
      <c r="R8" s="10" t="s">
        <v>265</v>
      </c>
      <c r="S8" s="10" t="s">
        <v>265</v>
      </c>
      <c r="T8" s="10" t="s">
        <v>265</v>
      </c>
      <c r="U8" s="40" t="s">
        <v>265</v>
      </c>
      <c r="V8" s="4" t="s">
        <v>265</v>
      </c>
      <c r="W8" s="41">
        <v>25</v>
      </c>
      <c r="X8" s="41">
        <v>25</v>
      </c>
      <c r="Y8" s="41" t="s">
        <v>265</v>
      </c>
      <c r="Z8" s="41">
        <f t="shared" si="2"/>
        <v>25</v>
      </c>
      <c r="AA8" s="593" t="str">
        <f t="shared" si="0"/>
        <v>N.S</v>
      </c>
      <c r="AB8" s="40" t="s">
        <v>265</v>
      </c>
      <c r="AC8" s="236" t="s">
        <v>265</v>
      </c>
      <c r="AD8" s="128" t="s">
        <v>265</v>
      </c>
      <c r="AE8" s="10" t="s">
        <v>265</v>
      </c>
      <c r="AF8" s="10" t="str">
        <f t="shared" si="3"/>
        <v>N.S</v>
      </c>
      <c r="AG8" s="10" t="s">
        <v>265</v>
      </c>
      <c r="AH8" s="10" t="s">
        <v>265</v>
      </c>
      <c r="AI8" s="10" t="str">
        <f t="shared" si="8"/>
        <v>N.S</v>
      </c>
      <c r="AJ8" s="10" t="s">
        <v>265</v>
      </c>
      <c r="AK8" s="10" t="s">
        <v>265</v>
      </c>
      <c r="AL8" s="42" t="str">
        <f t="shared" si="4"/>
        <v>N.S</v>
      </c>
      <c r="AM8" s="42" t="s">
        <v>568</v>
      </c>
      <c r="AN8" s="42" t="s">
        <v>265</v>
      </c>
      <c r="AO8" s="42" t="s">
        <v>265</v>
      </c>
      <c r="AP8" s="42" t="s">
        <v>265</v>
      </c>
      <c r="AQ8" s="238" t="s">
        <v>265</v>
      </c>
      <c r="AR8" s="437" t="s">
        <v>265</v>
      </c>
      <c r="AS8" s="604" t="str">
        <f t="shared" si="1"/>
        <v>N.S</v>
      </c>
      <c r="AT8" s="19" t="s">
        <v>265</v>
      </c>
      <c r="AU8" s="10" t="s">
        <v>265</v>
      </c>
      <c r="AV8" s="10" t="s">
        <v>265</v>
      </c>
      <c r="AW8" s="10" t="s">
        <v>265</v>
      </c>
      <c r="AX8" s="10" t="s">
        <v>265</v>
      </c>
      <c r="AY8" s="10" t="s">
        <v>265</v>
      </c>
      <c r="AZ8" s="10" t="s">
        <v>265</v>
      </c>
      <c r="BA8" s="37" t="s">
        <v>265</v>
      </c>
      <c r="BB8" s="605" t="s">
        <v>265</v>
      </c>
      <c r="BC8" s="606" t="s">
        <v>265</v>
      </c>
      <c r="BD8" s="37" t="s">
        <v>265</v>
      </c>
      <c r="BE8" s="3" t="s">
        <v>265</v>
      </c>
      <c r="BF8" s="37" t="s">
        <v>265</v>
      </c>
      <c r="BG8" s="4" t="s">
        <v>84</v>
      </c>
      <c r="BH8" s="13" t="s">
        <v>265</v>
      </c>
      <c r="BI8" s="10" t="s">
        <v>265</v>
      </c>
      <c r="BJ8" s="10" t="s">
        <v>265</v>
      </c>
      <c r="BK8" s="10" t="s">
        <v>265</v>
      </c>
      <c r="BL8" s="10" t="s">
        <v>265</v>
      </c>
      <c r="BM8" s="40" t="s">
        <v>265</v>
      </c>
      <c r="BN8" s="301" t="s">
        <v>265</v>
      </c>
      <c r="BO8" s="41" t="s">
        <v>265</v>
      </c>
      <c r="BP8" s="129" t="s">
        <v>265</v>
      </c>
      <c r="BQ8" s="4"/>
      <c r="BR8" s="169"/>
      <c r="BS8" s="4">
        <v>0</v>
      </c>
      <c r="BT8" s="128"/>
      <c r="BU8" s="128"/>
      <c r="BV8" s="10"/>
      <c r="BW8" s="40"/>
      <c r="BX8" s="295">
        <v>0</v>
      </c>
      <c r="BY8" s="128"/>
      <c r="BZ8" s="128"/>
      <c r="CA8" s="10"/>
      <c r="CB8" s="40"/>
      <c r="CC8" s="4">
        <v>0</v>
      </c>
      <c r="CD8" s="10">
        <v>0</v>
      </c>
      <c r="CE8" s="128"/>
      <c r="CF8" s="128"/>
      <c r="CG8" s="128"/>
      <c r="CH8" s="128"/>
      <c r="CI8" s="128"/>
      <c r="CJ8" s="128"/>
      <c r="CK8" s="128"/>
      <c r="CL8" s="128"/>
      <c r="CM8" s="121"/>
      <c r="CN8" s="4">
        <v>0</v>
      </c>
      <c r="CO8" s="10">
        <v>0</v>
      </c>
      <c r="CP8" s="10"/>
      <c r="CQ8" s="10"/>
      <c r="CR8" s="10"/>
      <c r="CS8" s="10"/>
      <c r="CT8" s="10"/>
      <c r="CU8" s="10"/>
      <c r="CV8" s="10"/>
      <c r="CW8" s="10"/>
      <c r="CX8" s="121"/>
      <c r="CY8" s="4">
        <v>0</v>
      </c>
      <c r="CZ8" s="10">
        <v>0</v>
      </c>
      <c r="DA8" s="10"/>
      <c r="DB8" s="10"/>
      <c r="DC8" s="10"/>
      <c r="DD8" s="10"/>
      <c r="DE8" s="10"/>
      <c r="DF8" s="10"/>
      <c r="DG8" s="10"/>
      <c r="DH8" s="10"/>
      <c r="DI8" s="121"/>
      <c r="DJ8" s="4">
        <v>0</v>
      </c>
      <c r="DK8" s="128"/>
      <c r="DL8" s="128"/>
      <c r="DM8" s="10"/>
      <c r="DN8" s="40"/>
      <c r="DO8" s="4">
        <v>0</v>
      </c>
      <c r="DP8" s="10"/>
      <c r="DQ8" s="128"/>
      <c r="DR8" s="10"/>
      <c r="DS8" s="40"/>
      <c r="DT8" s="4">
        <v>0</v>
      </c>
      <c r="DU8" s="10"/>
      <c r="DV8" s="10"/>
      <c r="DW8" s="10"/>
      <c r="DX8" s="40"/>
      <c r="DY8" s="4">
        <v>0</v>
      </c>
      <c r="DZ8" s="10"/>
      <c r="EA8" s="10"/>
      <c r="EB8" s="10"/>
      <c r="EC8" s="40"/>
      <c r="ED8" s="4">
        <v>0</v>
      </c>
      <c r="EE8" s="10"/>
      <c r="EF8" s="10"/>
      <c r="EG8" s="10"/>
      <c r="EH8" s="40"/>
      <c r="EI8" s="4">
        <v>0</v>
      </c>
      <c r="EJ8" s="10"/>
      <c r="EK8" s="10"/>
      <c r="EL8" s="10"/>
      <c r="EM8" s="40"/>
      <c r="EN8" s="4">
        <v>0</v>
      </c>
      <c r="EO8" s="10"/>
      <c r="EP8" s="10"/>
      <c r="EQ8" s="10"/>
      <c r="ER8" s="40"/>
      <c r="ES8" s="4">
        <v>0</v>
      </c>
      <c r="ET8" s="10"/>
      <c r="EU8" s="10"/>
      <c r="EV8" s="10"/>
      <c r="EW8" s="40"/>
      <c r="EX8" s="4">
        <v>0</v>
      </c>
      <c r="EY8" s="10"/>
      <c r="EZ8" s="10"/>
      <c r="FA8" s="10"/>
      <c r="FB8" s="40"/>
      <c r="FC8" s="4">
        <v>0</v>
      </c>
      <c r="FD8" s="10"/>
      <c r="FE8" s="10"/>
      <c r="FF8" s="10"/>
      <c r="FG8" s="40"/>
      <c r="FH8" s="4">
        <v>0</v>
      </c>
      <c r="FI8" s="10"/>
      <c r="FJ8" s="10"/>
      <c r="FK8" s="10"/>
      <c r="FL8" s="40"/>
      <c r="FM8" s="4">
        <v>1</v>
      </c>
      <c r="FN8" s="10"/>
      <c r="FO8" s="10"/>
      <c r="FP8" s="10"/>
      <c r="FQ8" s="40"/>
      <c r="FR8" s="4">
        <v>0</v>
      </c>
      <c r="FS8" s="10"/>
      <c r="FT8" s="10"/>
      <c r="FU8" s="10"/>
      <c r="FV8" s="40"/>
      <c r="FW8" s="4">
        <v>0</v>
      </c>
      <c r="FX8" s="10"/>
      <c r="FY8" s="10"/>
      <c r="FZ8" s="10"/>
      <c r="GA8" s="40"/>
      <c r="GB8" s="16">
        <v>0</v>
      </c>
      <c r="GC8" s="10"/>
      <c r="GD8" s="10"/>
      <c r="GE8" s="10"/>
      <c r="GF8" s="40"/>
      <c r="GG8" s="10">
        <f t="shared" si="5"/>
        <v>1</v>
      </c>
      <c r="GH8" s="10" t="str">
        <f t="shared" si="6"/>
        <v/>
      </c>
      <c r="GI8" s="37" t="str">
        <f t="shared" si="7"/>
        <v/>
      </c>
      <c r="GJ8" s="4" t="s">
        <v>82</v>
      </c>
      <c r="GK8" s="10" t="s">
        <v>82</v>
      </c>
      <c r="GL8" s="10" t="s">
        <v>82</v>
      </c>
      <c r="GM8" s="10" t="s">
        <v>82</v>
      </c>
      <c r="GN8" s="10" t="s">
        <v>82</v>
      </c>
      <c r="GO8" s="10" t="s">
        <v>82</v>
      </c>
      <c r="GP8" s="10" t="s">
        <v>82</v>
      </c>
      <c r="GQ8" s="10" t="s">
        <v>82</v>
      </c>
      <c r="GR8" s="10" t="s">
        <v>82</v>
      </c>
      <c r="GS8" s="10" t="s">
        <v>82</v>
      </c>
      <c r="GT8" s="10" t="s">
        <v>82</v>
      </c>
      <c r="GU8" s="10" t="s">
        <v>82</v>
      </c>
      <c r="GV8" s="10" t="s">
        <v>82</v>
      </c>
      <c r="GW8" s="10" t="s">
        <v>82</v>
      </c>
      <c r="GX8" s="10" t="s">
        <v>82</v>
      </c>
      <c r="GY8" s="10" t="s">
        <v>82</v>
      </c>
      <c r="GZ8" s="10" t="s">
        <v>82</v>
      </c>
      <c r="HA8" s="10" t="s">
        <v>82</v>
      </c>
      <c r="HB8" s="10" t="s">
        <v>82</v>
      </c>
      <c r="HC8" s="10" t="s">
        <v>82</v>
      </c>
      <c r="HD8" s="10" t="s">
        <v>82</v>
      </c>
      <c r="HE8" s="10" t="s">
        <v>82</v>
      </c>
      <c r="HF8" s="10" t="s">
        <v>82</v>
      </c>
      <c r="HG8" s="10" t="s">
        <v>82</v>
      </c>
      <c r="HH8" s="10" t="s">
        <v>82</v>
      </c>
      <c r="HI8" s="10" t="s">
        <v>82</v>
      </c>
      <c r="HJ8" s="10" t="s">
        <v>82</v>
      </c>
      <c r="HK8" s="10" t="s">
        <v>82</v>
      </c>
      <c r="HL8" s="10" t="s">
        <v>82</v>
      </c>
      <c r="HM8" s="40" t="s">
        <v>82</v>
      </c>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row>
    <row r="9" spans="1:247" s="190" customFormat="1" ht="345.6">
      <c r="A9" s="686"/>
      <c r="B9" s="15" t="s">
        <v>121</v>
      </c>
      <c r="C9" s="689" t="s">
        <v>94</v>
      </c>
      <c r="D9" s="389" t="s">
        <v>125</v>
      </c>
      <c r="E9" s="39" t="s">
        <v>65</v>
      </c>
      <c r="F9" s="39" t="s">
        <v>124</v>
      </c>
      <c r="G9" s="39" t="s">
        <v>124</v>
      </c>
      <c r="H9" s="39" t="s">
        <v>124</v>
      </c>
      <c r="I9" s="39" t="s">
        <v>124</v>
      </c>
      <c r="J9" s="364">
        <f>359*1.09068</f>
        <v>391.55412000000001</v>
      </c>
      <c r="K9" s="608" t="s">
        <v>265</v>
      </c>
      <c r="L9" s="609" t="s">
        <v>265</v>
      </c>
      <c r="M9" s="18" t="s">
        <v>984</v>
      </c>
      <c r="N9" s="17" t="s">
        <v>571</v>
      </c>
      <c r="O9" s="15" t="s">
        <v>558</v>
      </c>
      <c r="P9" s="17" t="s">
        <v>265</v>
      </c>
      <c r="Q9" s="15">
        <v>11</v>
      </c>
      <c r="R9" s="15">
        <v>11</v>
      </c>
      <c r="S9" s="15">
        <v>12</v>
      </c>
      <c r="T9" s="15">
        <v>1</v>
      </c>
      <c r="U9" s="48" t="s">
        <v>265</v>
      </c>
      <c r="V9" s="16">
        <v>23.6</v>
      </c>
      <c r="W9" s="49">
        <v>51</v>
      </c>
      <c r="X9" s="49">
        <v>34</v>
      </c>
      <c r="Y9" s="49">
        <v>14</v>
      </c>
      <c r="Z9" s="41">
        <f t="shared" si="2"/>
        <v>51</v>
      </c>
      <c r="AA9" s="593">
        <f t="shared" si="0"/>
        <v>24276</v>
      </c>
      <c r="AB9" s="48" t="s">
        <v>265</v>
      </c>
      <c r="AC9" s="234">
        <v>3.7</v>
      </c>
      <c r="AD9" s="177">
        <v>3.7</v>
      </c>
      <c r="AE9" s="15" t="s">
        <v>265</v>
      </c>
      <c r="AF9" s="10" t="str">
        <f t="shared" si="3"/>
        <v>N.S</v>
      </c>
      <c r="AG9" s="10" t="s">
        <v>265</v>
      </c>
      <c r="AH9" s="15">
        <v>0.45</v>
      </c>
      <c r="AI9" s="10">
        <f t="shared" si="8"/>
        <v>5994</v>
      </c>
      <c r="AJ9" s="15" t="s">
        <v>84</v>
      </c>
      <c r="AK9" s="15" t="s">
        <v>84</v>
      </c>
      <c r="AL9" s="42" t="str">
        <f t="shared" si="4"/>
        <v>N.S</v>
      </c>
      <c r="AM9" s="51" t="s">
        <v>265</v>
      </c>
      <c r="AN9" s="42" t="s">
        <v>265</v>
      </c>
      <c r="AO9" s="42" t="s">
        <v>265</v>
      </c>
      <c r="AP9" s="42" t="s">
        <v>265</v>
      </c>
      <c r="AQ9" s="610">
        <v>91</v>
      </c>
      <c r="AR9" s="611" t="s">
        <v>265</v>
      </c>
      <c r="AS9" s="604" t="str">
        <f t="shared" si="1"/>
        <v>N.S</v>
      </c>
      <c r="AT9" s="20" t="s">
        <v>570</v>
      </c>
      <c r="AU9" s="15" t="s">
        <v>265</v>
      </c>
      <c r="AV9" s="15" t="s">
        <v>265</v>
      </c>
      <c r="AW9" s="15">
        <v>16</v>
      </c>
      <c r="AX9" s="15">
        <v>256</v>
      </c>
      <c r="AY9" s="15" t="s">
        <v>265</v>
      </c>
      <c r="AZ9" s="15" t="s">
        <v>265</v>
      </c>
      <c r="BA9" s="67" t="s">
        <v>565</v>
      </c>
      <c r="BB9" s="612">
        <v>24</v>
      </c>
      <c r="BC9" s="606" t="s">
        <v>265</v>
      </c>
      <c r="BD9" s="386" t="s">
        <v>573</v>
      </c>
      <c r="BE9" s="18" t="s">
        <v>574</v>
      </c>
      <c r="BF9" s="67" t="s">
        <v>265</v>
      </c>
      <c r="BG9" s="16" t="s">
        <v>84</v>
      </c>
      <c r="BH9" s="17" t="s">
        <v>572</v>
      </c>
      <c r="BI9" s="15" t="s">
        <v>575</v>
      </c>
      <c r="BJ9" s="15">
        <v>2400</v>
      </c>
      <c r="BK9" s="15" t="s">
        <v>265</v>
      </c>
      <c r="BL9" s="15" t="s">
        <v>265</v>
      </c>
      <c r="BM9" s="48" t="s">
        <v>265</v>
      </c>
      <c r="BN9" s="301" t="s">
        <v>265</v>
      </c>
      <c r="BO9" s="41" t="s">
        <v>265</v>
      </c>
      <c r="BP9" s="129" t="s">
        <v>265</v>
      </c>
      <c r="BQ9" s="16" t="s">
        <v>122</v>
      </c>
      <c r="BR9" s="170"/>
      <c r="BS9" s="16">
        <v>1</v>
      </c>
      <c r="BT9" s="177"/>
      <c r="BU9" s="177"/>
      <c r="BV9" s="15"/>
      <c r="BW9" s="48"/>
      <c r="BX9" s="23">
        <v>0</v>
      </c>
      <c r="BY9" s="177"/>
      <c r="BZ9" s="177"/>
      <c r="CA9" s="15"/>
      <c r="CB9" s="48"/>
      <c r="CC9" s="16">
        <v>0</v>
      </c>
      <c r="CD9" s="15">
        <v>1</v>
      </c>
      <c r="CE9" s="177">
        <v>2</v>
      </c>
      <c r="CF9" s="177">
        <v>4</v>
      </c>
      <c r="CG9" s="177">
        <v>8</v>
      </c>
      <c r="CH9" s="177">
        <v>16</v>
      </c>
      <c r="CI9" s="177"/>
      <c r="CJ9" s="177"/>
      <c r="CK9" s="177"/>
      <c r="CL9" s="177"/>
      <c r="CM9" s="192">
        <f>LOG(4*1000,2)</f>
        <v>11.965784284662087</v>
      </c>
      <c r="CN9" s="16">
        <v>0</v>
      </c>
      <c r="CO9" s="15">
        <v>1</v>
      </c>
      <c r="CP9" s="15">
        <v>250</v>
      </c>
      <c r="CQ9" s="15">
        <v>500</v>
      </c>
      <c r="CR9" s="15">
        <v>1000</v>
      </c>
      <c r="CS9" s="15">
        <v>2000</v>
      </c>
      <c r="CT9" s="15"/>
      <c r="CU9" s="15"/>
      <c r="CV9" s="15"/>
      <c r="CW9" s="15"/>
      <c r="CX9" s="192">
        <f>LOG(500/0.131,2)</f>
        <v>11.898145567786724</v>
      </c>
      <c r="CY9" s="16">
        <v>0</v>
      </c>
      <c r="CZ9" s="15">
        <v>1</v>
      </c>
      <c r="DA9" s="15">
        <v>1.3</v>
      </c>
      <c r="DB9" s="15">
        <v>1.9</v>
      </c>
      <c r="DC9" s="15">
        <v>2.5</v>
      </c>
      <c r="DD9" s="15">
        <v>4</v>
      </c>
      <c r="DE9" s="15">
        <v>4.7</v>
      </c>
      <c r="DF9" s="15">
        <v>5.6</v>
      </c>
      <c r="DG9" s="15">
        <v>8.1</v>
      </c>
      <c r="DH9" s="15"/>
      <c r="DI9" s="192">
        <f>LOG(16.2*230,2)</f>
        <v>11.863411958941636</v>
      </c>
      <c r="DJ9" s="4">
        <v>1</v>
      </c>
      <c r="DK9" s="177"/>
      <c r="DL9" s="177"/>
      <c r="DM9" s="15"/>
      <c r="DN9" s="48"/>
      <c r="DO9" s="4">
        <v>0</v>
      </c>
      <c r="DP9" s="15"/>
      <c r="DQ9" s="177"/>
      <c r="DR9" s="15"/>
      <c r="DS9" s="48"/>
      <c r="DT9" s="4">
        <v>0</v>
      </c>
      <c r="DU9" s="15"/>
      <c r="DV9" s="15"/>
      <c r="DW9" s="15"/>
      <c r="DX9" s="48"/>
      <c r="DY9" s="4">
        <v>0</v>
      </c>
      <c r="DZ9" s="15"/>
      <c r="EA9" s="15"/>
      <c r="EB9" s="15"/>
      <c r="EC9" s="48"/>
      <c r="ED9" s="4">
        <v>0</v>
      </c>
      <c r="EE9" s="15"/>
      <c r="EF9" s="15"/>
      <c r="EG9" s="15"/>
      <c r="EH9" s="48"/>
      <c r="EI9" s="4">
        <v>0</v>
      </c>
      <c r="EJ9" s="15"/>
      <c r="EK9" s="15"/>
      <c r="EL9" s="15"/>
      <c r="EM9" s="48"/>
      <c r="EN9" s="4">
        <v>0</v>
      </c>
      <c r="EO9" s="15"/>
      <c r="EP9" s="15"/>
      <c r="EQ9" s="15"/>
      <c r="ER9" s="48"/>
      <c r="ES9" s="4">
        <v>0</v>
      </c>
      <c r="ET9" s="15"/>
      <c r="EU9" s="15"/>
      <c r="EV9" s="15"/>
      <c r="EW9" s="48"/>
      <c r="EX9" s="4">
        <v>0</v>
      </c>
      <c r="EY9" s="15"/>
      <c r="EZ9" s="15"/>
      <c r="FA9" s="15"/>
      <c r="FB9" s="48"/>
      <c r="FC9" s="4">
        <v>0</v>
      </c>
      <c r="FD9" s="15"/>
      <c r="FE9" s="15"/>
      <c r="FF9" s="15"/>
      <c r="FG9" s="48"/>
      <c r="FH9" s="4">
        <v>0</v>
      </c>
      <c r="FI9" s="15"/>
      <c r="FJ9" s="15"/>
      <c r="FK9" s="15"/>
      <c r="FL9" s="48"/>
      <c r="FM9" s="4">
        <v>0</v>
      </c>
      <c r="FN9" s="15"/>
      <c r="FO9" s="15"/>
      <c r="FP9" s="15"/>
      <c r="FQ9" s="48"/>
      <c r="FR9" s="4">
        <v>0</v>
      </c>
      <c r="FS9" s="15"/>
      <c r="FT9" s="15"/>
      <c r="FU9" s="15"/>
      <c r="FV9" s="48"/>
      <c r="FW9" s="4">
        <v>0</v>
      </c>
      <c r="FX9" s="15"/>
      <c r="FY9" s="15"/>
      <c r="FZ9" s="15"/>
      <c r="GA9" s="48"/>
      <c r="GB9" s="16">
        <v>0</v>
      </c>
      <c r="GC9" s="15"/>
      <c r="GD9" s="15"/>
      <c r="GE9" s="15"/>
      <c r="GF9" s="48"/>
      <c r="GG9" s="10">
        <f t="shared" si="5"/>
        <v>1</v>
      </c>
      <c r="GH9" s="10" t="str">
        <f t="shared" si="6"/>
        <v/>
      </c>
      <c r="GI9" s="37" t="str">
        <f t="shared" si="7"/>
        <v/>
      </c>
      <c r="GJ9" s="16">
        <v>1</v>
      </c>
      <c r="GK9" s="10" t="s">
        <v>82</v>
      </c>
      <c r="GL9" s="15">
        <v>1</v>
      </c>
      <c r="GM9" s="10" t="s">
        <v>82</v>
      </c>
      <c r="GN9" s="10" t="s">
        <v>82</v>
      </c>
      <c r="GO9" s="10" t="s">
        <v>82</v>
      </c>
      <c r="GP9" s="15">
        <v>1</v>
      </c>
      <c r="GQ9" s="15">
        <v>1</v>
      </c>
      <c r="GR9" s="10" t="s">
        <v>82</v>
      </c>
      <c r="GS9" s="15">
        <v>1</v>
      </c>
      <c r="GT9" s="10" t="s">
        <v>82</v>
      </c>
      <c r="GU9" s="10" t="s">
        <v>82</v>
      </c>
      <c r="GV9" s="10" t="s">
        <v>82</v>
      </c>
      <c r="GW9" s="10" t="s">
        <v>82</v>
      </c>
      <c r="GX9" s="10" t="s">
        <v>82</v>
      </c>
      <c r="GY9" s="10" t="s">
        <v>82</v>
      </c>
      <c r="GZ9" s="10" t="s">
        <v>82</v>
      </c>
      <c r="HA9" s="10" t="s">
        <v>82</v>
      </c>
      <c r="HB9" s="10" t="s">
        <v>82</v>
      </c>
      <c r="HC9" s="10" t="s">
        <v>82</v>
      </c>
      <c r="HD9" s="10" t="s">
        <v>82</v>
      </c>
      <c r="HE9" s="10" t="s">
        <v>82</v>
      </c>
      <c r="HF9" s="10" t="s">
        <v>82</v>
      </c>
      <c r="HG9" s="10" t="s">
        <v>82</v>
      </c>
      <c r="HH9" s="10" t="s">
        <v>82</v>
      </c>
      <c r="HI9" s="10" t="s">
        <v>82</v>
      </c>
      <c r="HJ9" s="10" t="s">
        <v>82</v>
      </c>
      <c r="HK9" s="10" t="s">
        <v>82</v>
      </c>
      <c r="HL9" s="10" t="s">
        <v>82</v>
      </c>
      <c r="HM9" s="40" t="s">
        <v>82</v>
      </c>
      <c r="HN9" s="613"/>
      <c r="HO9" s="613"/>
      <c r="HP9" s="613"/>
      <c r="HQ9" s="613"/>
      <c r="HR9" s="613"/>
      <c r="HS9" s="613"/>
      <c r="HT9" s="613"/>
      <c r="HU9" s="613"/>
      <c r="HV9" s="613"/>
      <c r="HW9" s="613"/>
      <c r="HX9" s="613"/>
      <c r="HY9" s="613"/>
      <c r="HZ9" s="613"/>
      <c r="IA9" s="613"/>
      <c r="IB9" s="613"/>
      <c r="IC9" s="613"/>
      <c r="ID9" s="613"/>
      <c r="IE9" s="613"/>
      <c r="IF9" s="613"/>
      <c r="IG9" s="613"/>
      <c r="IH9" s="613"/>
      <c r="II9" s="613"/>
      <c r="IJ9" s="613"/>
      <c r="IK9" s="613"/>
      <c r="IL9" s="613"/>
      <c r="IM9" s="613"/>
    </row>
    <row r="10" spans="1:247" s="50" customFormat="1" ht="69.599999999999994">
      <c r="A10" s="686"/>
      <c r="B10" s="17" t="s">
        <v>123</v>
      </c>
      <c r="C10" s="689"/>
      <c r="D10" s="389" t="s">
        <v>603</v>
      </c>
      <c r="E10" s="77" t="s">
        <v>65</v>
      </c>
      <c r="F10" s="15" t="s">
        <v>65</v>
      </c>
      <c r="G10" s="46" t="s">
        <v>124</v>
      </c>
      <c r="H10" s="15" t="s">
        <v>65</v>
      </c>
      <c r="I10" s="46" t="s">
        <v>65</v>
      </c>
      <c r="J10" s="364">
        <f>428*1.09068</f>
        <v>466.81104000000005</v>
      </c>
      <c r="K10" s="608" t="s">
        <v>265</v>
      </c>
      <c r="L10" s="609" t="s">
        <v>265</v>
      </c>
      <c r="M10" s="18" t="s">
        <v>985</v>
      </c>
      <c r="N10" s="15" t="s">
        <v>265</v>
      </c>
      <c r="O10" s="15" t="s">
        <v>558</v>
      </c>
      <c r="P10" s="17" t="s">
        <v>84</v>
      </c>
      <c r="Q10" s="15">
        <v>2</v>
      </c>
      <c r="R10" s="15">
        <v>3</v>
      </c>
      <c r="S10" s="15">
        <v>12</v>
      </c>
      <c r="T10" s="15" t="s">
        <v>265</v>
      </c>
      <c r="U10" s="48" t="s">
        <v>265</v>
      </c>
      <c r="V10" s="16">
        <v>28</v>
      </c>
      <c r="W10" s="49">
        <v>65</v>
      </c>
      <c r="X10" s="49">
        <v>32</v>
      </c>
      <c r="Y10" s="49">
        <v>12</v>
      </c>
      <c r="Z10" s="41">
        <f t="shared" si="2"/>
        <v>65</v>
      </c>
      <c r="AA10" s="593">
        <f t="shared" si="0"/>
        <v>24960</v>
      </c>
      <c r="AB10" s="48" t="s">
        <v>265</v>
      </c>
      <c r="AC10" s="233">
        <v>3.7</v>
      </c>
      <c r="AD10" s="178">
        <v>3.7</v>
      </c>
      <c r="AE10" s="35">
        <v>0.06</v>
      </c>
      <c r="AF10" s="10">
        <f t="shared" si="3"/>
        <v>2.22E-4</v>
      </c>
      <c r="AG10" s="10">
        <v>0</v>
      </c>
      <c r="AH10" s="15">
        <v>0.45</v>
      </c>
      <c r="AI10" s="10">
        <f t="shared" si="8"/>
        <v>5994</v>
      </c>
      <c r="AJ10" s="51" t="s">
        <v>84</v>
      </c>
      <c r="AK10" s="51" t="s">
        <v>84</v>
      </c>
      <c r="AL10" s="42">
        <f t="shared" si="4"/>
        <v>2.22E-4</v>
      </c>
      <c r="AM10" s="51" t="s">
        <v>265</v>
      </c>
      <c r="AN10" s="42">
        <f>AL10*AQ1</f>
        <v>2.2199999999999999E-6</v>
      </c>
      <c r="AO10" s="42" t="s">
        <v>265</v>
      </c>
      <c r="AP10" s="42" t="s">
        <v>265</v>
      </c>
      <c r="AQ10" s="610" t="s">
        <v>265</v>
      </c>
      <c r="AR10" s="614">
        <f>IF(AN10=0,"N.S",AI10/(AN10*3600))</f>
        <v>750000.00000000012</v>
      </c>
      <c r="AS10" s="604">
        <f t="shared" si="1"/>
        <v>337837.83783783787</v>
      </c>
      <c r="AT10" s="20" t="s">
        <v>570</v>
      </c>
      <c r="AU10" s="15">
        <v>16</v>
      </c>
      <c r="AV10" s="15" t="s">
        <v>265</v>
      </c>
      <c r="AW10" s="15" t="s">
        <v>265</v>
      </c>
      <c r="AX10" s="15" t="s">
        <v>265</v>
      </c>
      <c r="AY10" s="15">
        <v>2.048</v>
      </c>
      <c r="AZ10" s="15" t="s">
        <v>265</v>
      </c>
      <c r="BA10" s="67" t="s">
        <v>565</v>
      </c>
      <c r="BB10" s="612">
        <v>24</v>
      </c>
      <c r="BC10" s="606" t="s">
        <v>265</v>
      </c>
      <c r="BD10" s="67" t="s">
        <v>577</v>
      </c>
      <c r="BE10" s="18" t="s">
        <v>265</v>
      </c>
      <c r="BF10" s="67" t="s">
        <v>265</v>
      </c>
      <c r="BG10" s="55" t="s">
        <v>84</v>
      </c>
      <c r="BH10" s="53" t="s">
        <v>576</v>
      </c>
      <c r="BI10" s="35" t="s">
        <v>575</v>
      </c>
      <c r="BJ10" s="15" t="s">
        <v>265</v>
      </c>
      <c r="BK10" s="15" t="s">
        <v>265</v>
      </c>
      <c r="BL10" s="15" t="s">
        <v>265</v>
      </c>
      <c r="BM10" s="48" t="s">
        <v>265</v>
      </c>
      <c r="BN10" s="301" t="s">
        <v>265</v>
      </c>
      <c r="BO10" s="41" t="s">
        <v>265</v>
      </c>
      <c r="BP10" s="129" t="s">
        <v>265</v>
      </c>
      <c r="BQ10" s="16"/>
      <c r="BR10" s="170"/>
      <c r="BS10" s="16">
        <v>0</v>
      </c>
      <c r="BT10" s="177"/>
      <c r="BU10" s="177"/>
      <c r="BV10" s="15"/>
      <c r="BW10" s="48"/>
      <c r="BX10" s="23">
        <v>0</v>
      </c>
      <c r="BY10" s="177"/>
      <c r="BZ10" s="177"/>
      <c r="CA10" s="15"/>
      <c r="CB10" s="48"/>
      <c r="CC10" s="16">
        <v>0</v>
      </c>
      <c r="CD10" s="15">
        <v>0</v>
      </c>
      <c r="CE10" s="177"/>
      <c r="CF10" s="177"/>
      <c r="CG10" s="177"/>
      <c r="CH10" s="177"/>
      <c r="CI10" s="177"/>
      <c r="CJ10" s="177"/>
      <c r="CK10" s="177"/>
      <c r="CL10" s="177"/>
      <c r="CM10" s="192"/>
      <c r="CN10" s="16">
        <v>0</v>
      </c>
      <c r="CO10" s="15">
        <v>0</v>
      </c>
      <c r="CP10" s="15"/>
      <c r="CQ10" s="15"/>
      <c r="CR10" s="15"/>
      <c r="CS10" s="15"/>
      <c r="CT10" s="15"/>
      <c r="CU10" s="15"/>
      <c r="CV10" s="15"/>
      <c r="CW10" s="15"/>
      <c r="CX10" s="192"/>
      <c r="CY10" s="16">
        <v>0</v>
      </c>
      <c r="CZ10" s="15">
        <v>0</v>
      </c>
      <c r="DA10" s="15"/>
      <c r="DB10" s="15"/>
      <c r="DC10" s="15"/>
      <c r="DD10" s="15"/>
      <c r="DE10" s="15"/>
      <c r="DF10" s="15"/>
      <c r="DG10" s="15"/>
      <c r="DH10" s="15"/>
      <c r="DI10" s="192"/>
      <c r="DJ10" s="4">
        <v>0</v>
      </c>
      <c r="DK10" s="177"/>
      <c r="DL10" s="177"/>
      <c r="DM10" s="15"/>
      <c r="DN10" s="48"/>
      <c r="DO10" s="4">
        <v>0</v>
      </c>
      <c r="DP10" s="15"/>
      <c r="DQ10" s="177"/>
      <c r="DR10" s="15"/>
      <c r="DS10" s="48"/>
      <c r="DT10" s="4">
        <v>0</v>
      </c>
      <c r="DU10" s="15"/>
      <c r="DV10" s="15"/>
      <c r="DW10" s="15"/>
      <c r="DX10" s="48"/>
      <c r="DY10" s="4">
        <v>0</v>
      </c>
      <c r="DZ10" s="15"/>
      <c r="EA10" s="15"/>
      <c r="EB10" s="15"/>
      <c r="EC10" s="48"/>
      <c r="ED10" s="4">
        <v>0</v>
      </c>
      <c r="EE10" s="15"/>
      <c r="EF10" s="15"/>
      <c r="EG10" s="15"/>
      <c r="EH10" s="48"/>
      <c r="EI10" s="4">
        <v>0</v>
      </c>
      <c r="EJ10" s="15"/>
      <c r="EK10" s="15"/>
      <c r="EL10" s="15"/>
      <c r="EM10" s="48"/>
      <c r="EN10" s="4">
        <v>0</v>
      </c>
      <c r="EO10" s="15"/>
      <c r="EP10" s="15"/>
      <c r="EQ10" s="15"/>
      <c r="ER10" s="48"/>
      <c r="ES10" s="4">
        <v>0</v>
      </c>
      <c r="ET10" s="15"/>
      <c r="EU10" s="15"/>
      <c r="EV10" s="15"/>
      <c r="EW10" s="48"/>
      <c r="EX10" s="4">
        <v>0</v>
      </c>
      <c r="EY10" s="15"/>
      <c r="EZ10" s="15"/>
      <c r="FA10" s="15"/>
      <c r="FB10" s="48"/>
      <c r="FC10" s="4">
        <v>0</v>
      </c>
      <c r="FD10" s="15"/>
      <c r="FE10" s="15"/>
      <c r="FF10" s="15"/>
      <c r="FG10" s="48"/>
      <c r="FH10" s="4">
        <v>0</v>
      </c>
      <c r="FI10" s="15"/>
      <c r="FJ10" s="15"/>
      <c r="FK10" s="15"/>
      <c r="FL10" s="48"/>
      <c r="FM10" s="4">
        <v>0</v>
      </c>
      <c r="FN10" s="15"/>
      <c r="FO10" s="15"/>
      <c r="FP10" s="15"/>
      <c r="FQ10" s="48"/>
      <c r="FR10" s="4">
        <v>1</v>
      </c>
      <c r="FS10" s="15"/>
      <c r="FT10" s="15"/>
      <c r="FU10" s="15"/>
      <c r="FV10" s="48"/>
      <c r="FW10" s="4">
        <v>0</v>
      </c>
      <c r="FX10" s="15"/>
      <c r="FY10" s="15"/>
      <c r="FZ10" s="15"/>
      <c r="GA10" s="48"/>
      <c r="GB10" s="16">
        <v>0</v>
      </c>
      <c r="GC10" s="15"/>
      <c r="GD10" s="15"/>
      <c r="GE10" s="15"/>
      <c r="GF10" s="48"/>
      <c r="GG10" s="10">
        <f t="shared" si="5"/>
        <v>1</v>
      </c>
      <c r="GH10" s="10" t="str">
        <f t="shared" si="6"/>
        <v/>
      </c>
      <c r="GI10" s="37" t="str">
        <f t="shared" si="7"/>
        <v/>
      </c>
      <c r="GJ10" s="16" t="s">
        <v>82</v>
      </c>
      <c r="GK10" s="10" t="s">
        <v>82</v>
      </c>
      <c r="GL10" s="15" t="s">
        <v>82</v>
      </c>
      <c r="GM10" s="10" t="s">
        <v>82</v>
      </c>
      <c r="GN10" s="10" t="s">
        <v>82</v>
      </c>
      <c r="GO10" s="15" t="s">
        <v>82</v>
      </c>
      <c r="GP10" s="15" t="s">
        <v>82</v>
      </c>
      <c r="GQ10" s="15">
        <v>1</v>
      </c>
      <c r="GR10" s="10" t="s">
        <v>82</v>
      </c>
      <c r="GS10" s="10" t="s">
        <v>82</v>
      </c>
      <c r="GT10" s="10" t="s">
        <v>82</v>
      </c>
      <c r="GU10" s="10" t="s">
        <v>82</v>
      </c>
      <c r="GV10" s="10" t="s">
        <v>82</v>
      </c>
      <c r="GW10" s="10" t="s">
        <v>82</v>
      </c>
      <c r="GX10" s="10" t="s">
        <v>82</v>
      </c>
      <c r="GY10" s="10" t="s">
        <v>82</v>
      </c>
      <c r="GZ10" s="10" t="s">
        <v>82</v>
      </c>
      <c r="HA10" s="10" t="s">
        <v>82</v>
      </c>
      <c r="HB10" s="10" t="s">
        <v>82</v>
      </c>
      <c r="HC10" s="10" t="s">
        <v>82</v>
      </c>
      <c r="HD10" s="10" t="s">
        <v>82</v>
      </c>
      <c r="HE10" s="10" t="s">
        <v>82</v>
      </c>
      <c r="HF10" s="10" t="s">
        <v>82</v>
      </c>
      <c r="HG10" s="10" t="s">
        <v>82</v>
      </c>
      <c r="HH10" s="10" t="s">
        <v>82</v>
      </c>
      <c r="HI10" s="10" t="s">
        <v>82</v>
      </c>
      <c r="HJ10" s="10" t="s">
        <v>82</v>
      </c>
      <c r="HK10" s="10" t="s">
        <v>82</v>
      </c>
      <c r="HL10" s="10" t="s">
        <v>82</v>
      </c>
      <c r="HM10" s="40" t="s">
        <v>82</v>
      </c>
    </row>
    <row r="11" spans="1:247" s="57" customFormat="1" ht="82.8">
      <c r="A11" s="686"/>
      <c r="B11" s="53" t="s">
        <v>127</v>
      </c>
      <c r="C11" s="689"/>
      <c r="D11" s="478" t="s">
        <v>968</v>
      </c>
      <c r="E11" s="52" t="s">
        <v>65</v>
      </c>
      <c r="F11" s="52" t="s">
        <v>124</v>
      </c>
      <c r="G11" s="52" t="s">
        <v>124</v>
      </c>
      <c r="H11" s="35" t="s">
        <v>65</v>
      </c>
      <c r="I11" s="35" t="s">
        <v>65</v>
      </c>
      <c r="J11" s="364">
        <f>479*1.09068</f>
        <v>522.43572000000006</v>
      </c>
      <c r="K11" s="608" t="s">
        <v>265</v>
      </c>
      <c r="L11" s="609" t="s">
        <v>265</v>
      </c>
      <c r="M11" s="24" t="s">
        <v>986</v>
      </c>
      <c r="N11" s="53" t="s">
        <v>131</v>
      </c>
      <c r="O11" s="53" t="s">
        <v>558</v>
      </c>
      <c r="P11" s="53" t="s">
        <v>129</v>
      </c>
      <c r="Q11" s="35">
        <v>2</v>
      </c>
      <c r="R11" s="35" t="s">
        <v>265</v>
      </c>
      <c r="S11" s="35">
        <v>12</v>
      </c>
      <c r="T11" s="35" t="s">
        <v>265</v>
      </c>
      <c r="U11" s="54" t="s">
        <v>265</v>
      </c>
      <c r="V11" s="55" t="s">
        <v>265</v>
      </c>
      <c r="W11" s="479">
        <v>65</v>
      </c>
      <c r="X11" s="479">
        <v>32</v>
      </c>
      <c r="Y11" s="479">
        <v>12</v>
      </c>
      <c r="Z11" s="41">
        <f t="shared" si="2"/>
        <v>65</v>
      </c>
      <c r="AA11" s="593">
        <f t="shared" si="0"/>
        <v>24960</v>
      </c>
      <c r="AB11" s="54" t="s">
        <v>265</v>
      </c>
      <c r="AC11" s="233">
        <v>3.7</v>
      </c>
      <c r="AD11" s="178">
        <v>3.7</v>
      </c>
      <c r="AE11" s="35">
        <v>17</v>
      </c>
      <c r="AF11" s="10">
        <f t="shared" si="3"/>
        <v>6.2900000000000011E-2</v>
      </c>
      <c r="AG11" s="35">
        <v>0</v>
      </c>
      <c r="AH11" s="35">
        <v>0.45</v>
      </c>
      <c r="AI11" s="10">
        <f t="shared" si="8"/>
        <v>5994</v>
      </c>
      <c r="AJ11" s="56" t="s">
        <v>84</v>
      </c>
      <c r="AK11" s="51" t="s">
        <v>84</v>
      </c>
      <c r="AL11" s="42">
        <f t="shared" si="4"/>
        <v>6.2900000000000011E-2</v>
      </c>
      <c r="AM11" s="56">
        <f>0.017*AD11/100</f>
        <v>6.2900000000000011E-4</v>
      </c>
      <c r="AN11" s="42">
        <f>AM11*(1-AQ1)+AL11*AQ1</f>
        <v>1.2517100000000001E-3</v>
      </c>
      <c r="AO11" s="42" t="s">
        <v>265</v>
      </c>
      <c r="AP11" s="42" t="s">
        <v>265</v>
      </c>
      <c r="AQ11" s="615" t="s">
        <v>265</v>
      </c>
      <c r="AR11" s="611">
        <f>IF(AN11=0,"N.S",AI11/(AN11*3600))</f>
        <v>1330.1803133313626</v>
      </c>
      <c r="AS11" s="604">
        <f t="shared" si="1"/>
        <v>599.18032132043356</v>
      </c>
      <c r="AT11" s="25" t="s">
        <v>130</v>
      </c>
      <c r="AU11" s="35">
        <v>16</v>
      </c>
      <c r="AV11" s="15" t="s">
        <v>265</v>
      </c>
      <c r="AW11" s="15" t="s">
        <v>265</v>
      </c>
      <c r="AX11" s="15" t="s">
        <v>265</v>
      </c>
      <c r="AY11" s="35">
        <v>2.048</v>
      </c>
      <c r="AZ11" s="15" t="s">
        <v>265</v>
      </c>
      <c r="BA11" s="67" t="s">
        <v>565</v>
      </c>
      <c r="BB11" s="311">
        <v>24</v>
      </c>
      <c r="BC11" s="606" t="s">
        <v>265</v>
      </c>
      <c r="BD11" s="616" t="s">
        <v>265</v>
      </c>
      <c r="BE11" s="18" t="s">
        <v>265</v>
      </c>
      <c r="BF11" s="67" t="s">
        <v>265</v>
      </c>
      <c r="BG11" s="55" t="s">
        <v>84</v>
      </c>
      <c r="BH11" s="53" t="s">
        <v>576</v>
      </c>
      <c r="BI11" s="35" t="s">
        <v>575</v>
      </c>
      <c r="BJ11" s="15" t="s">
        <v>265</v>
      </c>
      <c r="BK11" s="15" t="s">
        <v>265</v>
      </c>
      <c r="BL11" s="15" t="s">
        <v>265</v>
      </c>
      <c r="BM11" s="48" t="s">
        <v>265</v>
      </c>
      <c r="BN11" s="301" t="s">
        <v>265</v>
      </c>
      <c r="BO11" s="41" t="s">
        <v>265</v>
      </c>
      <c r="BP11" s="129" t="s">
        <v>265</v>
      </c>
      <c r="BQ11" s="55"/>
      <c r="BR11" s="171"/>
      <c r="BS11" s="55">
        <v>0</v>
      </c>
      <c r="BT11" s="178"/>
      <c r="BU11" s="178"/>
      <c r="BV11" s="35"/>
      <c r="BW11" s="54"/>
      <c r="BX11" s="36">
        <v>0</v>
      </c>
      <c r="BY11" s="178"/>
      <c r="BZ11" s="178"/>
      <c r="CA11" s="35"/>
      <c r="CB11" s="54"/>
      <c r="CC11" s="55">
        <v>0</v>
      </c>
      <c r="CD11" s="35">
        <v>0</v>
      </c>
      <c r="CE11" s="178"/>
      <c r="CF11" s="178"/>
      <c r="CG11" s="178"/>
      <c r="CH11" s="178"/>
      <c r="CI11" s="178"/>
      <c r="CJ11" s="178"/>
      <c r="CK11" s="178"/>
      <c r="CL11" s="178"/>
      <c r="CM11" s="193"/>
      <c r="CN11" s="16">
        <v>0</v>
      </c>
      <c r="CO11" s="15">
        <v>0</v>
      </c>
      <c r="CP11" s="35"/>
      <c r="CQ11" s="35"/>
      <c r="CR11" s="35"/>
      <c r="CS11" s="35"/>
      <c r="CT11" s="35"/>
      <c r="CU11" s="35"/>
      <c r="CV11" s="35"/>
      <c r="CW11" s="35"/>
      <c r="CX11" s="193"/>
      <c r="CY11" s="16">
        <v>0</v>
      </c>
      <c r="CZ11" s="15">
        <v>0</v>
      </c>
      <c r="DA11" s="35"/>
      <c r="DB11" s="35"/>
      <c r="DC11" s="35"/>
      <c r="DD11" s="35"/>
      <c r="DE11" s="35"/>
      <c r="DF11" s="35"/>
      <c r="DG11" s="35"/>
      <c r="DH11" s="35"/>
      <c r="DI11" s="193"/>
      <c r="DJ11" s="4">
        <v>0</v>
      </c>
      <c r="DK11" s="178"/>
      <c r="DL11" s="178"/>
      <c r="DM11" s="35"/>
      <c r="DN11" s="54"/>
      <c r="DO11" s="4">
        <v>0</v>
      </c>
      <c r="DP11" s="35"/>
      <c r="DQ11" s="178"/>
      <c r="DR11" s="35"/>
      <c r="DS11" s="54"/>
      <c r="DT11" s="4">
        <v>0</v>
      </c>
      <c r="DU11" s="35"/>
      <c r="DV11" s="35"/>
      <c r="DW11" s="35"/>
      <c r="DX11" s="54"/>
      <c r="DY11" s="4">
        <v>0</v>
      </c>
      <c r="DZ11" s="35"/>
      <c r="EA11" s="35"/>
      <c r="EB11" s="35"/>
      <c r="EC11" s="54"/>
      <c r="ED11" s="4">
        <v>0</v>
      </c>
      <c r="EE11" s="35"/>
      <c r="EF11" s="35"/>
      <c r="EG11" s="35"/>
      <c r="EH11" s="54"/>
      <c r="EI11" s="4">
        <v>0</v>
      </c>
      <c r="EJ11" s="35"/>
      <c r="EK11" s="35"/>
      <c r="EL11" s="35"/>
      <c r="EM11" s="54"/>
      <c r="EN11" s="4">
        <v>0</v>
      </c>
      <c r="EO11" s="35"/>
      <c r="EP11" s="35"/>
      <c r="EQ11" s="35"/>
      <c r="ER11" s="54"/>
      <c r="ES11" s="4">
        <v>0</v>
      </c>
      <c r="ET11" s="35"/>
      <c r="EU11" s="35"/>
      <c r="EV11" s="35"/>
      <c r="EW11" s="54"/>
      <c r="EX11" s="4">
        <v>0</v>
      </c>
      <c r="EY11" s="35"/>
      <c r="EZ11" s="35"/>
      <c r="FA11" s="35"/>
      <c r="FB11" s="54"/>
      <c r="FC11" s="4">
        <v>0</v>
      </c>
      <c r="FD11" s="35"/>
      <c r="FE11" s="35"/>
      <c r="FF11" s="35"/>
      <c r="FG11" s="54"/>
      <c r="FH11" s="4">
        <v>0</v>
      </c>
      <c r="FI11" s="35"/>
      <c r="FJ11" s="35"/>
      <c r="FK11" s="35"/>
      <c r="FL11" s="54"/>
      <c r="FM11" s="4">
        <v>0</v>
      </c>
      <c r="FN11" s="35"/>
      <c r="FO11" s="35"/>
      <c r="FP11" s="35"/>
      <c r="FQ11" s="54"/>
      <c r="FR11" s="4">
        <v>1</v>
      </c>
      <c r="FS11" s="35"/>
      <c r="FT11" s="35"/>
      <c r="FU11" s="35"/>
      <c r="FV11" s="54"/>
      <c r="FW11" s="4">
        <v>1</v>
      </c>
      <c r="FX11" s="35"/>
      <c r="FY11" s="35"/>
      <c r="FZ11" s="35"/>
      <c r="GA11" s="54"/>
      <c r="GB11" s="16">
        <v>0</v>
      </c>
      <c r="GC11" s="35"/>
      <c r="GD11" s="35"/>
      <c r="GE11" s="35"/>
      <c r="GF11" s="54"/>
      <c r="GG11" s="10">
        <f t="shared" si="5"/>
        <v>1</v>
      </c>
      <c r="GH11" s="10" t="str">
        <f t="shared" si="6"/>
        <v/>
      </c>
      <c r="GI11" s="37" t="str">
        <f t="shared" si="7"/>
        <v/>
      </c>
      <c r="GJ11" s="4" t="s">
        <v>82</v>
      </c>
      <c r="GK11" s="10" t="s">
        <v>82</v>
      </c>
      <c r="GL11" s="10" t="s">
        <v>82</v>
      </c>
      <c r="GM11" s="10" t="s">
        <v>82</v>
      </c>
      <c r="GN11" s="10" t="s">
        <v>82</v>
      </c>
      <c r="GO11" s="10" t="s">
        <v>82</v>
      </c>
      <c r="GP11" s="10" t="s">
        <v>82</v>
      </c>
      <c r="GQ11" s="10" t="s">
        <v>82</v>
      </c>
      <c r="GR11" s="10" t="s">
        <v>82</v>
      </c>
      <c r="GS11" s="10" t="s">
        <v>82</v>
      </c>
      <c r="GT11" s="10" t="s">
        <v>82</v>
      </c>
      <c r="GU11" s="10" t="s">
        <v>82</v>
      </c>
      <c r="GV11" s="10" t="s">
        <v>82</v>
      </c>
      <c r="GW11" s="10" t="s">
        <v>82</v>
      </c>
      <c r="GX11" s="10" t="s">
        <v>82</v>
      </c>
      <c r="GY11" s="10" t="s">
        <v>82</v>
      </c>
      <c r="GZ11" s="10" t="s">
        <v>82</v>
      </c>
      <c r="HA11" s="10" t="s">
        <v>82</v>
      </c>
      <c r="HB11" s="10" t="s">
        <v>82</v>
      </c>
      <c r="HC11" s="10" t="s">
        <v>82</v>
      </c>
      <c r="HD11" s="10" t="s">
        <v>82</v>
      </c>
      <c r="HE11" s="10" t="s">
        <v>82</v>
      </c>
      <c r="HF11" s="10" t="s">
        <v>82</v>
      </c>
      <c r="HG11" s="10" t="s">
        <v>82</v>
      </c>
      <c r="HH11" s="10" t="s">
        <v>82</v>
      </c>
      <c r="HI11" s="10" t="s">
        <v>82</v>
      </c>
      <c r="HJ11" s="10" t="s">
        <v>82</v>
      </c>
      <c r="HK11" s="10" t="s">
        <v>82</v>
      </c>
      <c r="HL11" s="10" t="s">
        <v>82</v>
      </c>
      <c r="HM11" s="40" t="s">
        <v>82</v>
      </c>
    </row>
    <row r="12" spans="1:247" s="58" customFormat="1" ht="69">
      <c r="A12" s="686"/>
      <c r="B12" s="17" t="s">
        <v>132</v>
      </c>
      <c r="C12" s="689"/>
      <c r="D12" s="389" t="s">
        <v>969</v>
      </c>
      <c r="E12" s="46" t="s">
        <v>65</v>
      </c>
      <c r="F12" s="46" t="s">
        <v>124</v>
      </c>
      <c r="G12" s="46" t="s">
        <v>124</v>
      </c>
      <c r="H12" s="15" t="s">
        <v>65</v>
      </c>
      <c r="I12" s="15" t="s">
        <v>65</v>
      </c>
      <c r="J12" s="364">
        <f>448*1.09068</f>
        <v>488.62464000000006</v>
      </c>
      <c r="K12" s="608" t="s">
        <v>265</v>
      </c>
      <c r="L12" s="609" t="s">
        <v>265</v>
      </c>
      <c r="M12" s="18" t="s">
        <v>463</v>
      </c>
      <c r="N12" s="17" t="s">
        <v>133</v>
      </c>
      <c r="O12" s="17" t="s">
        <v>558</v>
      </c>
      <c r="P12" s="17" t="s">
        <v>578</v>
      </c>
      <c r="Q12" s="15">
        <v>2</v>
      </c>
      <c r="R12" s="15">
        <v>1</v>
      </c>
      <c r="S12" s="15">
        <v>24</v>
      </c>
      <c r="T12" s="35" t="s">
        <v>265</v>
      </c>
      <c r="U12" s="54" t="s">
        <v>265</v>
      </c>
      <c r="V12" s="16">
        <v>31</v>
      </c>
      <c r="W12" s="49">
        <v>65</v>
      </c>
      <c r="X12" s="49">
        <v>32</v>
      </c>
      <c r="Y12" s="49">
        <v>12</v>
      </c>
      <c r="Z12" s="41">
        <f t="shared" si="2"/>
        <v>65</v>
      </c>
      <c r="AA12" s="593">
        <f t="shared" si="0"/>
        <v>24960</v>
      </c>
      <c r="AB12" s="54" t="s">
        <v>265</v>
      </c>
      <c r="AC12" s="233">
        <v>3.7</v>
      </c>
      <c r="AD12" s="178">
        <v>3.7</v>
      </c>
      <c r="AE12" s="15" t="s">
        <v>265</v>
      </c>
      <c r="AF12" s="10" t="str">
        <f t="shared" si="3"/>
        <v>N.S</v>
      </c>
      <c r="AG12" s="15" t="s">
        <v>265</v>
      </c>
      <c r="AH12" s="15">
        <v>0.45</v>
      </c>
      <c r="AI12" s="10">
        <f t="shared" si="8"/>
        <v>5994</v>
      </c>
      <c r="AJ12" s="51" t="s">
        <v>84</v>
      </c>
      <c r="AK12" s="51" t="s">
        <v>84</v>
      </c>
      <c r="AL12" s="42" t="str">
        <f t="shared" si="4"/>
        <v>N.S</v>
      </c>
      <c r="AM12" s="51" t="s">
        <v>265</v>
      </c>
      <c r="AN12" s="42" t="s">
        <v>265</v>
      </c>
      <c r="AO12" s="42" t="s">
        <v>265</v>
      </c>
      <c r="AP12" s="42" t="s">
        <v>265</v>
      </c>
      <c r="AQ12" s="610" t="s">
        <v>265</v>
      </c>
      <c r="AR12" s="611" t="s">
        <v>265</v>
      </c>
      <c r="AS12" s="604" t="str">
        <f t="shared" si="1"/>
        <v>N.S</v>
      </c>
      <c r="AT12" s="20" t="s">
        <v>130</v>
      </c>
      <c r="AU12" s="15">
        <v>16</v>
      </c>
      <c r="AV12" s="15" t="s">
        <v>265</v>
      </c>
      <c r="AW12" s="15" t="s">
        <v>265</v>
      </c>
      <c r="AX12" s="15" t="s">
        <v>265</v>
      </c>
      <c r="AY12" s="15">
        <v>2.048</v>
      </c>
      <c r="AZ12" s="15" t="s">
        <v>265</v>
      </c>
      <c r="BA12" s="67" t="s">
        <v>565</v>
      </c>
      <c r="BB12" s="311">
        <v>24</v>
      </c>
      <c r="BC12" s="606" t="s">
        <v>265</v>
      </c>
      <c r="BD12" s="616" t="s">
        <v>265</v>
      </c>
      <c r="BE12" s="18" t="s">
        <v>265</v>
      </c>
      <c r="BF12" s="67" t="s">
        <v>265</v>
      </c>
      <c r="BG12" s="55" t="s">
        <v>84</v>
      </c>
      <c r="BH12" s="53" t="s">
        <v>576</v>
      </c>
      <c r="BI12" s="35" t="s">
        <v>575</v>
      </c>
      <c r="BJ12" s="15" t="s">
        <v>265</v>
      </c>
      <c r="BK12" s="15" t="s">
        <v>265</v>
      </c>
      <c r="BL12" s="15" t="s">
        <v>265</v>
      </c>
      <c r="BM12" s="48" t="s">
        <v>265</v>
      </c>
      <c r="BN12" s="301" t="s">
        <v>265</v>
      </c>
      <c r="BO12" s="41" t="s">
        <v>265</v>
      </c>
      <c r="BP12" s="129" t="s">
        <v>265</v>
      </c>
      <c r="BQ12" s="16"/>
      <c r="BR12" s="170"/>
      <c r="BS12" s="16">
        <v>0</v>
      </c>
      <c r="BT12" s="177"/>
      <c r="BU12" s="177"/>
      <c r="BV12" s="15"/>
      <c r="BW12" s="48"/>
      <c r="BX12" s="23">
        <v>0</v>
      </c>
      <c r="BY12" s="177"/>
      <c r="BZ12" s="177"/>
      <c r="CA12" s="15"/>
      <c r="CB12" s="48"/>
      <c r="CC12" s="16">
        <v>0</v>
      </c>
      <c r="CD12" s="15">
        <v>3</v>
      </c>
      <c r="CE12" s="177">
        <v>1.5</v>
      </c>
      <c r="CF12" s="177">
        <v>6</v>
      </c>
      <c r="CG12" s="177"/>
      <c r="CH12" s="177"/>
      <c r="CI12" s="177"/>
      <c r="CJ12" s="177"/>
      <c r="CK12" s="177"/>
      <c r="CL12" s="177"/>
      <c r="CM12" s="192"/>
      <c r="CN12" s="16">
        <v>0</v>
      </c>
      <c r="CO12" s="15">
        <v>0</v>
      </c>
      <c r="CP12" s="15"/>
      <c r="CQ12" s="15"/>
      <c r="CR12" s="15"/>
      <c r="CS12" s="15"/>
      <c r="CT12" s="15"/>
      <c r="CU12" s="15"/>
      <c r="CV12" s="15"/>
      <c r="CW12" s="15"/>
      <c r="CX12" s="192"/>
      <c r="CY12" s="16">
        <v>0</v>
      </c>
      <c r="CZ12" s="15">
        <v>0</v>
      </c>
      <c r="DA12" s="15"/>
      <c r="DB12" s="15"/>
      <c r="DC12" s="15"/>
      <c r="DD12" s="15"/>
      <c r="DE12" s="15"/>
      <c r="DF12" s="15"/>
      <c r="DG12" s="15"/>
      <c r="DH12" s="15"/>
      <c r="DI12" s="192"/>
      <c r="DJ12" s="4">
        <v>1</v>
      </c>
      <c r="DK12" s="177"/>
      <c r="DL12" s="177"/>
      <c r="DM12" s="15"/>
      <c r="DN12" s="48"/>
      <c r="DO12" s="4">
        <v>0</v>
      </c>
      <c r="DP12" s="15"/>
      <c r="DQ12" s="177"/>
      <c r="DR12" s="15"/>
      <c r="DS12" s="48"/>
      <c r="DT12" s="4">
        <v>0</v>
      </c>
      <c r="DU12" s="15"/>
      <c r="DV12" s="15"/>
      <c r="DW12" s="15"/>
      <c r="DX12" s="48"/>
      <c r="DY12" s="4">
        <v>0</v>
      </c>
      <c r="DZ12" s="15"/>
      <c r="EA12" s="15"/>
      <c r="EB12" s="15"/>
      <c r="EC12" s="48"/>
      <c r="ED12" s="4">
        <v>0</v>
      </c>
      <c r="EE12" s="15"/>
      <c r="EF12" s="15"/>
      <c r="EG12" s="15"/>
      <c r="EH12" s="48"/>
      <c r="EI12" s="4">
        <v>0</v>
      </c>
      <c r="EJ12" s="15"/>
      <c r="EK12" s="15"/>
      <c r="EL12" s="15"/>
      <c r="EM12" s="48"/>
      <c r="EN12" s="4">
        <v>0</v>
      </c>
      <c r="EO12" s="15"/>
      <c r="EP12" s="15"/>
      <c r="EQ12" s="15"/>
      <c r="ER12" s="48"/>
      <c r="ES12" s="4">
        <v>0</v>
      </c>
      <c r="ET12" s="15"/>
      <c r="EU12" s="15"/>
      <c r="EV12" s="15"/>
      <c r="EW12" s="48"/>
      <c r="EX12" s="4">
        <v>0</v>
      </c>
      <c r="EY12" s="15"/>
      <c r="EZ12" s="15"/>
      <c r="FA12" s="15"/>
      <c r="FB12" s="48"/>
      <c r="FC12" s="4">
        <v>0</v>
      </c>
      <c r="FD12" s="15"/>
      <c r="FE12" s="15"/>
      <c r="FF12" s="15"/>
      <c r="FG12" s="48"/>
      <c r="FH12" s="4">
        <v>0</v>
      </c>
      <c r="FI12" s="15"/>
      <c r="FJ12" s="15"/>
      <c r="FK12" s="15"/>
      <c r="FL12" s="48"/>
      <c r="FM12" s="4">
        <v>0</v>
      </c>
      <c r="FN12" s="15"/>
      <c r="FO12" s="15"/>
      <c r="FP12" s="15"/>
      <c r="FQ12" s="48"/>
      <c r="FR12" s="4">
        <v>0</v>
      </c>
      <c r="FS12" s="15"/>
      <c r="FT12" s="15"/>
      <c r="FU12" s="15"/>
      <c r="FV12" s="48"/>
      <c r="FW12" s="4">
        <v>0</v>
      </c>
      <c r="FX12" s="15"/>
      <c r="FY12" s="15"/>
      <c r="FZ12" s="15"/>
      <c r="GA12" s="48"/>
      <c r="GB12" s="16">
        <v>0</v>
      </c>
      <c r="GC12" s="15"/>
      <c r="GD12" s="15"/>
      <c r="GE12" s="15"/>
      <c r="GF12" s="48"/>
      <c r="GG12" s="10">
        <f t="shared" si="5"/>
        <v>1</v>
      </c>
      <c r="GH12" s="10" t="str">
        <f t="shared" si="6"/>
        <v/>
      </c>
      <c r="GI12" s="37" t="str">
        <f t="shared" si="7"/>
        <v/>
      </c>
      <c r="GJ12" s="4" t="s">
        <v>82</v>
      </c>
      <c r="GK12" s="10" t="s">
        <v>82</v>
      </c>
      <c r="GL12" s="10" t="s">
        <v>82</v>
      </c>
      <c r="GM12" s="10" t="s">
        <v>82</v>
      </c>
      <c r="GN12" s="10" t="s">
        <v>82</v>
      </c>
      <c r="GO12" s="10" t="s">
        <v>82</v>
      </c>
      <c r="GP12" s="10" t="s">
        <v>82</v>
      </c>
      <c r="GQ12" s="10" t="s">
        <v>82</v>
      </c>
      <c r="GR12" s="10" t="s">
        <v>82</v>
      </c>
      <c r="GS12" s="10" t="s">
        <v>82</v>
      </c>
      <c r="GT12" s="10" t="s">
        <v>82</v>
      </c>
      <c r="GU12" s="10" t="s">
        <v>82</v>
      </c>
      <c r="GV12" s="10" t="s">
        <v>82</v>
      </c>
      <c r="GW12" s="10" t="s">
        <v>82</v>
      </c>
      <c r="GX12" s="10" t="s">
        <v>82</v>
      </c>
      <c r="GY12" s="10" t="s">
        <v>82</v>
      </c>
      <c r="GZ12" s="10" t="s">
        <v>82</v>
      </c>
      <c r="HA12" s="10" t="s">
        <v>82</v>
      </c>
      <c r="HB12" s="10" t="s">
        <v>82</v>
      </c>
      <c r="HC12" s="10" t="s">
        <v>82</v>
      </c>
      <c r="HD12" s="10" t="s">
        <v>82</v>
      </c>
      <c r="HE12" s="10" t="s">
        <v>82</v>
      </c>
      <c r="HF12" s="10" t="s">
        <v>82</v>
      </c>
      <c r="HG12" s="10" t="s">
        <v>82</v>
      </c>
      <c r="HH12" s="10" t="s">
        <v>82</v>
      </c>
      <c r="HI12" s="10" t="s">
        <v>82</v>
      </c>
      <c r="HJ12" s="10" t="s">
        <v>82</v>
      </c>
      <c r="HK12" s="10" t="s">
        <v>82</v>
      </c>
      <c r="HL12" s="10" t="s">
        <v>82</v>
      </c>
      <c r="HM12" s="40" t="s">
        <v>82</v>
      </c>
    </row>
    <row r="13" spans="1:247" s="191" customFormat="1" ht="55.2">
      <c r="A13" s="686"/>
      <c r="B13" s="13" t="s">
        <v>135</v>
      </c>
      <c r="C13" s="689"/>
      <c r="D13" s="100" t="s">
        <v>970</v>
      </c>
      <c r="E13" s="77" t="s">
        <v>65</v>
      </c>
      <c r="F13" s="77" t="s">
        <v>124</v>
      </c>
      <c r="G13" s="11" t="s">
        <v>65</v>
      </c>
      <c r="H13" s="11" t="s">
        <v>65</v>
      </c>
      <c r="I13" s="11" t="s">
        <v>65</v>
      </c>
      <c r="J13" s="362">
        <f>448*1.09068</f>
        <v>488.62464000000006</v>
      </c>
      <c r="K13" s="608" t="s">
        <v>265</v>
      </c>
      <c r="L13" s="609" t="s">
        <v>265</v>
      </c>
      <c r="M13" s="4" t="s">
        <v>579</v>
      </c>
      <c r="N13" s="10"/>
      <c r="O13" s="17" t="s">
        <v>558</v>
      </c>
      <c r="P13" s="17" t="s">
        <v>578</v>
      </c>
      <c r="Q13" s="15">
        <v>2</v>
      </c>
      <c r="R13" s="15">
        <v>1</v>
      </c>
      <c r="S13" s="15">
        <v>24</v>
      </c>
      <c r="T13" s="35" t="s">
        <v>265</v>
      </c>
      <c r="U13" s="54" t="s">
        <v>265</v>
      </c>
      <c r="V13" s="16">
        <v>31</v>
      </c>
      <c r="W13" s="49">
        <v>65</v>
      </c>
      <c r="X13" s="49">
        <v>32</v>
      </c>
      <c r="Y13" s="49">
        <v>12</v>
      </c>
      <c r="Z13" s="41">
        <f t="shared" si="2"/>
        <v>65</v>
      </c>
      <c r="AA13" s="593">
        <f t="shared" si="0"/>
        <v>24960</v>
      </c>
      <c r="AB13" s="54" t="s">
        <v>265</v>
      </c>
      <c r="AC13" s="233">
        <v>3.7</v>
      </c>
      <c r="AD13" s="178">
        <v>3.7</v>
      </c>
      <c r="AE13" s="15" t="s">
        <v>265</v>
      </c>
      <c r="AF13" s="10" t="str">
        <f t="shared" si="3"/>
        <v>N.S</v>
      </c>
      <c r="AG13" s="15" t="s">
        <v>265</v>
      </c>
      <c r="AH13" s="15">
        <v>0.45</v>
      </c>
      <c r="AI13" s="10">
        <f t="shared" si="8"/>
        <v>5994</v>
      </c>
      <c r="AJ13" s="51" t="s">
        <v>84</v>
      </c>
      <c r="AK13" s="51" t="s">
        <v>84</v>
      </c>
      <c r="AL13" s="42" t="str">
        <f t="shared" si="4"/>
        <v>N.S</v>
      </c>
      <c r="AM13" s="51" t="s">
        <v>265</v>
      </c>
      <c r="AN13" s="42" t="s">
        <v>265</v>
      </c>
      <c r="AO13" s="42" t="s">
        <v>265</v>
      </c>
      <c r="AP13" s="42" t="s">
        <v>265</v>
      </c>
      <c r="AQ13" s="610" t="s">
        <v>265</v>
      </c>
      <c r="AR13" s="611" t="s">
        <v>265</v>
      </c>
      <c r="AS13" s="604" t="str">
        <f t="shared" si="1"/>
        <v>N.S</v>
      </c>
      <c r="AT13" s="20" t="s">
        <v>130</v>
      </c>
      <c r="AU13" s="15">
        <v>16</v>
      </c>
      <c r="AV13" s="15" t="s">
        <v>265</v>
      </c>
      <c r="AW13" s="15" t="s">
        <v>265</v>
      </c>
      <c r="AX13" s="15" t="s">
        <v>265</v>
      </c>
      <c r="AY13" s="15">
        <v>2.048</v>
      </c>
      <c r="AZ13" s="15" t="s">
        <v>265</v>
      </c>
      <c r="BA13" s="67" t="s">
        <v>565</v>
      </c>
      <c r="BB13" s="311">
        <v>24</v>
      </c>
      <c r="BC13" s="606" t="s">
        <v>265</v>
      </c>
      <c r="BD13" s="616" t="s">
        <v>265</v>
      </c>
      <c r="BE13" s="18" t="s">
        <v>265</v>
      </c>
      <c r="BF13" s="67" t="s">
        <v>265</v>
      </c>
      <c r="BG13" s="55" t="s">
        <v>84</v>
      </c>
      <c r="BH13" s="53" t="s">
        <v>576</v>
      </c>
      <c r="BI13" s="35" t="s">
        <v>575</v>
      </c>
      <c r="BJ13" s="15" t="s">
        <v>265</v>
      </c>
      <c r="BK13" s="15" t="s">
        <v>265</v>
      </c>
      <c r="BL13" s="15" t="s">
        <v>265</v>
      </c>
      <c r="BM13" s="48" t="s">
        <v>265</v>
      </c>
      <c r="BN13" s="301" t="s">
        <v>265</v>
      </c>
      <c r="BO13" s="41" t="s">
        <v>265</v>
      </c>
      <c r="BP13" s="129" t="s">
        <v>265</v>
      </c>
      <c r="BQ13" s="4"/>
      <c r="BR13" s="169"/>
      <c r="BS13" s="4">
        <v>0</v>
      </c>
      <c r="BT13" s="128"/>
      <c r="BU13" s="128"/>
      <c r="BV13" s="10"/>
      <c r="BW13" s="40"/>
      <c r="BX13" s="295">
        <v>0</v>
      </c>
      <c r="BY13" s="128"/>
      <c r="BZ13" s="128"/>
      <c r="CA13" s="10"/>
      <c r="CB13" s="40"/>
      <c r="CC13" s="4">
        <v>0</v>
      </c>
      <c r="CD13" s="10">
        <v>0</v>
      </c>
      <c r="CE13" s="128"/>
      <c r="CF13" s="128"/>
      <c r="CG13" s="128"/>
      <c r="CH13" s="128"/>
      <c r="CI13" s="128"/>
      <c r="CJ13" s="128"/>
      <c r="CK13" s="128"/>
      <c r="CL13" s="128"/>
      <c r="CM13" s="121"/>
      <c r="CN13" s="16">
        <v>0</v>
      </c>
      <c r="CO13" s="15">
        <v>0</v>
      </c>
      <c r="CP13" s="10"/>
      <c r="CQ13" s="10"/>
      <c r="CR13" s="10"/>
      <c r="CS13" s="10"/>
      <c r="CT13" s="10"/>
      <c r="CU13" s="10"/>
      <c r="CV13" s="10"/>
      <c r="CW13" s="10"/>
      <c r="CX13" s="121"/>
      <c r="CY13" s="16">
        <v>0</v>
      </c>
      <c r="CZ13" s="15">
        <v>0</v>
      </c>
      <c r="DA13" s="10"/>
      <c r="DB13" s="10"/>
      <c r="DC13" s="10"/>
      <c r="DD13" s="10"/>
      <c r="DE13" s="10"/>
      <c r="DF13" s="10"/>
      <c r="DG13" s="10"/>
      <c r="DH13" s="10"/>
      <c r="DI13" s="121"/>
      <c r="DJ13" s="4">
        <v>0</v>
      </c>
      <c r="DK13" s="128"/>
      <c r="DL13" s="128"/>
      <c r="DM13" s="10"/>
      <c r="DN13" s="40"/>
      <c r="DO13" s="4">
        <v>0</v>
      </c>
      <c r="DP13" s="10"/>
      <c r="DQ13" s="128"/>
      <c r="DR13" s="10"/>
      <c r="DS13" s="40"/>
      <c r="DT13" s="4">
        <v>0</v>
      </c>
      <c r="DU13" s="10"/>
      <c r="DV13" s="10"/>
      <c r="DW13" s="10"/>
      <c r="DX13" s="40"/>
      <c r="DY13" s="4">
        <v>0</v>
      </c>
      <c r="DZ13" s="10"/>
      <c r="EA13" s="10"/>
      <c r="EB13" s="10"/>
      <c r="EC13" s="40"/>
      <c r="ED13" s="4">
        <v>0</v>
      </c>
      <c r="EE13" s="10"/>
      <c r="EF13" s="10"/>
      <c r="EG13" s="10"/>
      <c r="EH13" s="40"/>
      <c r="EI13" s="4">
        <v>0</v>
      </c>
      <c r="EJ13" s="10"/>
      <c r="EK13" s="10"/>
      <c r="EL13" s="10"/>
      <c r="EM13" s="40"/>
      <c r="EN13" s="4">
        <v>0</v>
      </c>
      <c r="EO13" s="10"/>
      <c r="EP13" s="10"/>
      <c r="EQ13" s="10"/>
      <c r="ER13" s="40"/>
      <c r="ES13" s="4">
        <v>0</v>
      </c>
      <c r="ET13" s="10"/>
      <c r="EU13" s="10"/>
      <c r="EV13" s="10"/>
      <c r="EW13" s="40"/>
      <c r="EX13" s="4">
        <v>0</v>
      </c>
      <c r="EY13" s="10"/>
      <c r="EZ13" s="10"/>
      <c r="FA13" s="10"/>
      <c r="FB13" s="40"/>
      <c r="FC13" s="4">
        <v>0</v>
      </c>
      <c r="FD13" s="10"/>
      <c r="FE13" s="10"/>
      <c r="FF13" s="10"/>
      <c r="FG13" s="40"/>
      <c r="FH13" s="4">
        <v>0</v>
      </c>
      <c r="FI13" s="10"/>
      <c r="FJ13" s="10"/>
      <c r="FK13" s="10"/>
      <c r="FL13" s="40"/>
      <c r="FM13" s="4">
        <v>0</v>
      </c>
      <c r="FN13" s="10"/>
      <c r="FO13" s="10"/>
      <c r="FP13" s="10"/>
      <c r="FQ13" s="40"/>
      <c r="FR13" s="4">
        <v>0</v>
      </c>
      <c r="FS13" s="10"/>
      <c r="FT13" s="10"/>
      <c r="FU13" s="10"/>
      <c r="FV13" s="40"/>
      <c r="FW13" s="4">
        <v>0</v>
      </c>
      <c r="FX13" s="10"/>
      <c r="FY13" s="10"/>
      <c r="FZ13" s="10"/>
      <c r="GA13" s="40"/>
      <c r="GB13" s="4">
        <v>1</v>
      </c>
      <c r="GC13" s="10"/>
      <c r="GD13" s="10"/>
      <c r="GE13" s="10"/>
      <c r="GF13" s="40"/>
      <c r="GG13" s="10">
        <f t="shared" si="5"/>
        <v>1</v>
      </c>
      <c r="GH13" s="10" t="str">
        <f t="shared" si="6"/>
        <v/>
      </c>
      <c r="GI13" s="37" t="str">
        <f t="shared" si="7"/>
        <v/>
      </c>
      <c r="GJ13" s="4" t="s">
        <v>82</v>
      </c>
      <c r="GK13" s="10" t="s">
        <v>82</v>
      </c>
      <c r="GL13" s="10" t="s">
        <v>82</v>
      </c>
      <c r="GM13" s="10" t="s">
        <v>82</v>
      </c>
      <c r="GN13" s="10" t="s">
        <v>82</v>
      </c>
      <c r="GO13" s="10" t="s">
        <v>82</v>
      </c>
      <c r="GP13" s="10" t="s">
        <v>82</v>
      </c>
      <c r="GQ13" s="10" t="s">
        <v>82</v>
      </c>
      <c r="GR13" s="10" t="s">
        <v>82</v>
      </c>
      <c r="GS13" s="10" t="s">
        <v>82</v>
      </c>
      <c r="GT13" s="10" t="s">
        <v>82</v>
      </c>
      <c r="GU13" s="10" t="s">
        <v>82</v>
      </c>
      <c r="GV13" s="10" t="s">
        <v>82</v>
      </c>
      <c r="GW13" s="10" t="s">
        <v>82</v>
      </c>
      <c r="GX13" s="10" t="s">
        <v>82</v>
      </c>
      <c r="GY13" s="10" t="s">
        <v>82</v>
      </c>
      <c r="GZ13" s="10" t="s">
        <v>82</v>
      </c>
      <c r="HA13" s="10" t="s">
        <v>82</v>
      </c>
      <c r="HB13" s="10" t="s">
        <v>82</v>
      </c>
      <c r="HC13" s="10" t="s">
        <v>82</v>
      </c>
      <c r="HD13" s="10" t="s">
        <v>82</v>
      </c>
      <c r="HE13" s="10" t="s">
        <v>82</v>
      </c>
      <c r="HF13" s="10" t="s">
        <v>82</v>
      </c>
      <c r="HG13" s="10" t="s">
        <v>82</v>
      </c>
      <c r="HH13" s="10" t="s">
        <v>82</v>
      </c>
      <c r="HI13" s="10" t="s">
        <v>82</v>
      </c>
      <c r="HJ13" s="10" t="s">
        <v>82</v>
      </c>
      <c r="HK13" s="10" t="s">
        <v>82</v>
      </c>
      <c r="HL13" s="10" t="s">
        <v>82</v>
      </c>
      <c r="HM13" s="40" t="s">
        <v>82</v>
      </c>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s="190" customFormat="1" ht="55.2">
      <c r="A14" s="686"/>
      <c r="B14" s="17" t="s">
        <v>138</v>
      </c>
      <c r="C14" s="689"/>
      <c r="D14" s="389" t="s">
        <v>604</v>
      </c>
      <c r="E14" s="384" t="s">
        <v>65</v>
      </c>
      <c r="F14" s="384" t="s">
        <v>124</v>
      </c>
      <c r="G14" s="716" t="s">
        <v>124</v>
      </c>
      <c r="H14" s="47" t="s">
        <v>65</v>
      </c>
      <c r="I14" s="47" t="s">
        <v>65</v>
      </c>
      <c r="J14" s="364">
        <f>120*1.09068</f>
        <v>130.88160000000002</v>
      </c>
      <c r="K14" s="608" t="s">
        <v>265</v>
      </c>
      <c r="L14" s="609" t="s">
        <v>265</v>
      </c>
      <c r="M14" s="16" t="s">
        <v>82</v>
      </c>
      <c r="N14" s="15" t="s">
        <v>137</v>
      </c>
      <c r="O14" s="15" t="s">
        <v>558</v>
      </c>
      <c r="P14" s="15" t="s">
        <v>115</v>
      </c>
      <c r="Q14" s="15">
        <v>4</v>
      </c>
      <c r="R14" s="15">
        <v>4</v>
      </c>
      <c r="S14" s="15" t="s">
        <v>265</v>
      </c>
      <c r="T14" s="15" t="s">
        <v>265</v>
      </c>
      <c r="U14" s="48" t="s">
        <v>265</v>
      </c>
      <c r="V14" s="16" t="s">
        <v>265</v>
      </c>
      <c r="W14" s="49" t="s">
        <v>265</v>
      </c>
      <c r="X14" s="49" t="s">
        <v>265</v>
      </c>
      <c r="Y14" s="49" t="s">
        <v>265</v>
      </c>
      <c r="Z14" s="41" t="str">
        <f t="shared" si="2"/>
        <v>N.S</v>
      </c>
      <c r="AA14" s="593" t="str">
        <f t="shared" si="0"/>
        <v>N.S</v>
      </c>
      <c r="AB14" s="54" t="s">
        <v>265</v>
      </c>
      <c r="AC14" s="16" t="s">
        <v>265</v>
      </c>
      <c r="AD14" s="15" t="s">
        <v>265</v>
      </c>
      <c r="AE14" s="15" t="s">
        <v>265</v>
      </c>
      <c r="AF14" s="10" t="str">
        <f t="shared" si="3"/>
        <v>N.S</v>
      </c>
      <c r="AG14" s="15" t="s">
        <v>265</v>
      </c>
      <c r="AH14" s="15"/>
      <c r="AI14" s="10" t="str">
        <f t="shared" si="8"/>
        <v>N.S</v>
      </c>
      <c r="AJ14" s="15" t="s">
        <v>136</v>
      </c>
      <c r="AK14" s="15"/>
      <c r="AL14" s="42" t="str">
        <f t="shared" si="4"/>
        <v>N.S</v>
      </c>
      <c r="AM14" s="51" t="s">
        <v>265</v>
      </c>
      <c r="AN14" s="42" t="s">
        <v>265</v>
      </c>
      <c r="AO14" s="42" t="s">
        <v>265</v>
      </c>
      <c r="AP14" s="42" t="s">
        <v>265</v>
      </c>
      <c r="AQ14" s="610" t="s">
        <v>265</v>
      </c>
      <c r="AR14" s="611" t="s">
        <v>265</v>
      </c>
      <c r="AS14" s="604" t="str">
        <f t="shared" si="1"/>
        <v>N.S</v>
      </c>
      <c r="AT14" s="20" t="s">
        <v>82</v>
      </c>
      <c r="AU14" s="15" t="s">
        <v>265</v>
      </c>
      <c r="AV14" s="15" t="s">
        <v>265</v>
      </c>
      <c r="AW14" s="15" t="s">
        <v>265</v>
      </c>
      <c r="AX14" s="15" t="s">
        <v>265</v>
      </c>
      <c r="AY14" s="15">
        <v>2048</v>
      </c>
      <c r="AZ14" s="15" t="s">
        <v>265</v>
      </c>
      <c r="BA14" s="67" t="s">
        <v>565</v>
      </c>
      <c r="BB14" s="612" t="s">
        <v>265</v>
      </c>
      <c r="BC14" s="606" t="s">
        <v>265</v>
      </c>
      <c r="BD14" s="386" t="s">
        <v>580</v>
      </c>
      <c r="BE14" s="18" t="s">
        <v>265</v>
      </c>
      <c r="BF14" s="67" t="s">
        <v>265</v>
      </c>
      <c r="BG14" s="16" t="s">
        <v>82</v>
      </c>
      <c r="BH14" s="17"/>
      <c r="BI14" s="15"/>
      <c r="BJ14" s="15"/>
      <c r="BK14" s="15"/>
      <c r="BL14" s="15"/>
      <c r="BM14" s="48"/>
      <c r="BN14" s="301" t="s">
        <v>265</v>
      </c>
      <c r="BO14" s="41" t="s">
        <v>265</v>
      </c>
      <c r="BP14" s="129" t="s">
        <v>265</v>
      </c>
      <c r="BQ14" s="16"/>
      <c r="BR14" s="170"/>
      <c r="BS14" s="16">
        <v>0</v>
      </c>
      <c r="BT14" s="177"/>
      <c r="BU14" s="177"/>
      <c r="BV14" s="15"/>
      <c r="BW14" s="48"/>
      <c r="BX14" s="23">
        <v>0</v>
      </c>
      <c r="BY14" s="177"/>
      <c r="BZ14" s="177"/>
      <c r="CA14" s="15"/>
      <c r="CB14" s="48"/>
      <c r="CC14" s="16">
        <v>0</v>
      </c>
      <c r="CD14" s="15">
        <v>0</v>
      </c>
      <c r="CE14" s="177"/>
      <c r="CF14" s="177"/>
      <c r="CG14" s="177"/>
      <c r="CH14" s="177"/>
      <c r="CI14" s="177"/>
      <c r="CJ14" s="177"/>
      <c r="CK14" s="177"/>
      <c r="CL14" s="177"/>
      <c r="CM14" s="192"/>
      <c r="CN14" s="16">
        <v>0</v>
      </c>
      <c r="CO14" s="15">
        <v>0</v>
      </c>
      <c r="CP14" s="15"/>
      <c r="CQ14" s="15"/>
      <c r="CR14" s="15"/>
      <c r="CS14" s="15"/>
      <c r="CT14" s="15"/>
      <c r="CU14" s="15"/>
      <c r="CV14" s="15"/>
      <c r="CW14" s="15"/>
      <c r="CX14" s="192"/>
      <c r="CY14" s="16">
        <v>0</v>
      </c>
      <c r="CZ14" s="15">
        <v>0</v>
      </c>
      <c r="DA14" s="15"/>
      <c r="DB14" s="15"/>
      <c r="DC14" s="15"/>
      <c r="DD14" s="15"/>
      <c r="DE14" s="15"/>
      <c r="DF14" s="15"/>
      <c r="DG14" s="15"/>
      <c r="DH14" s="15"/>
      <c r="DI14" s="192"/>
      <c r="DJ14" s="4">
        <v>0</v>
      </c>
      <c r="DK14" s="177"/>
      <c r="DL14" s="177"/>
      <c r="DM14" s="15"/>
      <c r="DN14" s="48"/>
      <c r="DO14" s="4">
        <v>0</v>
      </c>
      <c r="DP14" s="15"/>
      <c r="DQ14" s="177"/>
      <c r="DR14" s="15"/>
      <c r="DS14" s="48"/>
      <c r="DT14" s="4">
        <v>0</v>
      </c>
      <c r="DU14" s="15"/>
      <c r="DV14" s="15"/>
      <c r="DW14" s="15"/>
      <c r="DX14" s="48"/>
      <c r="DY14" s="4">
        <v>0</v>
      </c>
      <c r="DZ14" s="15"/>
      <c r="EA14" s="15"/>
      <c r="EB14" s="15"/>
      <c r="EC14" s="48"/>
      <c r="ED14" s="4">
        <v>0</v>
      </c>
      <c r="EE14" s="15"/>
      <c r="EF14" s="15"/>
      <c r="EG14" s="15"/>
      <c r="EH14" s="48"/>
      <c r="EI14" s="4">
        <v>0</v>
      </c>
      <c r="EJ14" s="15"/>
      <c r="EK14" s="15"/>
      <c r="EL14" s="15"/>
      <c r="EM14" s="48"/>
      <c r="EN14" s="4">
        <v>0</v>
      </c>
      <c r="EO14" s="15"/>
      <c r="EP14" s="15"/>
      <c r="EQ14" s="15"/>
      <c r="ER14" s="48"/>
      <c r="ES14" s="4">
        <v>0</v>
      </c>
      <c r="ET14" s="15"/>
      <c r="EU14" s="15"/>
      <c r="EV14" s="15"/>
      <c r="EW14" s="48"/>
      <c r="EX14" s="4">
        <v>0</v>
      </c>
      <c r="EY14" s="15"/>
      <c r="EZ14" s="15"/>
      <c r="FA14" s="15"/>
      <c r="FB14" s="48"/>
      <c r="FC14" s="4">
        <v>0</v>
      </c>
      <c r="FD14" s="15"/>
      <c r="FE14" s="15"/>
      <c r="FF14" s="15"/>
      <c r="FG14" s="48"/>
      <c r="FH14" s="4">
        <v>0</v>
      </c>
      <c r="FI14" s="15"/>
      <c r="FJ14" s="15"/>
      <c r="FK14" s="15"/>
      <c r="FL14" s="48"/>
      <c r="FM14" s="4">
        <v>0</v>
      </c>
      <c r="FN14" s="15"/>
      <c r="FO14" s="15"/>
      <c r="FP14" s="15"/>
      <c r="FQ14" s="48"/>
      <c r="FR14" s="4">
        <v>0</v>
      </c>
      <c r="FS14" s="15"/>
      <c r="FT14" s="15"/>
      <c r="FU14" s="15"/>
      <c r="FV14" s="48"/>
      <c r="FW14" s="4">
        <v>0</v>
      </c>
      <c r="FX14" s="15"/>
      <c r="FY14" s="15"/>
      <c r="FZ14" s="15"/>
      <c r="GA14" s="48"/>
      <c r="GB14" s="16"/>
      <c r="GC14" s="15"/>
      <c r="GD14" s="15"/>
      <c r="GE14" s="15"/>
      <c r="GF14" s="48"/>
      <c r="GG14" s="10">
        <f t="shared" si="5"/>
        <v>1</v>
      </c>
      <c r="GH14" s="10" t="str">
        <f t="shared" si="6"/>
        <v/>
      </c>
      <c r="GI14" s="37" t="str">
        <f t="shared" si="7"/>
        <v/>
      </c>
      <c r="GJ14" s="4" t="s">
        <v>82</v>
      </c>
      <c r="GK14" s="10" t="s">
        <v>82</v>
      </c>
      <c r="GL14" s="10">
        <v>1</v>
      </c>
      <c r="GM14" s="10" t="s">
        <v>82</v>
      </c>
      <c r="GN14" s="10" t="s">
        <v>82</v>
      </c>
      <c r="GO14" s="10" t="s">
        <v>82</v>
      </c>
      <c r="GP14" s="10">
        <v>1</v>
      </c>
      <c r="GQ14" s="10">
        <v>1</v>
      </c>
      <c r="GR14" s="10" t="s">
        <v>82</v>
      </c>
      <c r="GS14" s="10" t="s">
        <v>82</v>
      </c>
      <c r="GT14" s="10" t="s">
        <v>82</v>
      </c>
      <c r="GU14" s="10" t="s">
        <v>82</v>
      </c>
      <c r="GV14" s="10" t="s">
        <v>82</v>
      </c>
      <c r="GW14" s="10" t="s">
        <v>82</v>
      </c>
      <c r="GX14" s="10" t="s">
        <v>82</v>
      </c>
      <c r="GY14" s="10" t="s">
        <v>82</v>
      </c>
      <c r="GZ14" s="10" t="s">
        <v>82</v>
      </c>
      <c r="HA14" s="10" t="s">
        <v>82</v>
      </c>
      <c r="HB14" s="10" t="s">
        <v>82</v>
      </c>
      <c r="HC14" s="10" t="s">
        <v>82</v>
      </c>
      <c r="HD14" s="10" t="s">
        <v>82</v>
      </c>
      <c r="HE14" s="10" t="s">
        <v>82</v>
      </c>
      <c r="HF14" s="10" t="s">
        <v>82</v>
      </c>
      <c r="HG14" s="10" t="s">
        <v>82</v>
      </c>
      <c r="HH14" s="10" t="s">
        <v>82</v>
      </c>
      <c r="HI14" s="10" t="s">
        <v>82</v>
      </c>
      <c r="HJ14" s="10" t="s">
        <v>82</v>
      </c>
      <c r="HK14" s="10" t="s">
        <v>82</v>
      </c>
      <c r="HL14" s="10" t="s">
        <v>82</v>
      </c>
      <c r="HM14" s="40" t="s">
        <v>82</v>
      </c>
      <c r="HN14" s="613"/>
      <c r="HO14" s="613"/>
      <c r="HP14" s="613"/>
      <c r="HQ14" s="613"/>
      <c r="HR14" s="613"/>
      <c r="HS14" s="613"/>
      <c r="HT14" s="613"/>
      <c r="HU14" s="613"/>
      <c r="HV14" s="613"/>
      <c r="HW14" s="613"/>
      <c r="HX14" s="613"/>
      <c r="HY14" s="613"/>
      <c r="HZ14" s="613"/>
      <c r="IA14" s="613"/>
      <c r="IB14" s="613"/>
      <c r="IC14" s="613"/>
      <c r="ID14" s="613"/>
      <c r="IE14" s="613"/>
      <c r="IF14" s="613"/>
      <c r="IG14" s="613"/>
      <c r="IH14" s="613"/>
      <c r="II14" s="613"/>
      <c r="IJ14" s="613"/>
      <c r="IK14" s="613"/>
      <c r="IL14" s="613"/>
      <c r="IM14" s="613"/>
    </row>
    <row r="15" spans="1:247" s="190" customFormat="1" ht="62.25" customHeight="1">
      <c r="A15" s="686"/>
      <c r="B15" s="17" t="s">
        <v>139</v>
      </c>
      <c r="C15" s="689"/>
      <c r="D15" s="389" t="s">
        <v>140</v>
      </c>
      <c r="E15" s="384" t="s">
        <v>65</v>
      </c>
      <c r="F15" s="384" t="s">
        <v>124</v>
      </c>
      <c r="G15" s="716"/>
      <c r="H15" s="47" t="s">
        <v>65</v>
      </c>
      <c r="I15" s="47" t="s">
        <v>65</v>
      </c>
      <c r="J15" s="364">
        <f>194*1.09068</f>
        <v>211.59192000000002</v>
      </c>
      <c r="K15" s="608" t="s">
        <v>265</v>
      </c>
      <c r="L15" s="609" t="s">
        <v>265</v>
      </c>
      <c r="M15" s="16" t="s">
        <v>82</v>
      </c>
      <c r="N15" s="15" t="s">
        <v>137</v>
      </c>
      <c r="O15" s="15" t="s">
        <v>558</v>
      </c>
      <c r="P15" s="15" t="s">
        <v>115</v>
      </c>
      <c r="Q15" s="15">
        <v>4</v>
      </c>
      <c r="R15" s="15">
        <v>4</v>
      </c>
      <c r="S15" s="15" t="s">
        <v>265</v>
      </c>
      <c r="T15" s="15" t="s">
        <v>265</v>
      </c>
      <c r="U15" s="48" t="s">
        <v>265</v>
      </c>
      <c r="V15" s="16" t="s">
        <v>265</v>
      </c>
      <c r="W15" s="49" t="s">
        <v>265</v>
      </c>
      <c r="X15" s="49" t="s">
        <v>265</v>
      </c>
      <c r="Y15" s="49" t="s">
        <v>265</v>
      </c>
      <c r="Z15" s="41" t="str">
        <f t="shared" si="2"/>
        <v>N.S</v>
      </c>
      <c r="AA15" s="593" t="str">
        <f t="shared" si="0"/>
        <v>N.S</v>
      </c>
      <c r="AB15" s="54" t="s">
        <v>265</v>
      </c>
      <c r="AC15" s="16" t="s">
        <v>265</v>
      </c>
      <c r="AD15" s="15" t="s">
        <v>265</v>
      </c>
      <c r="AE15" s="15" t="s">
        <v>265</v>
      </c>
      <c r="AF15" s="10" t="str">
        <f t="shared" si="3"/>
        <v>N.S</v>
      </c>
      <c r="AG15" s="15" t="s">
        <v>265</v>
      </c>
      <c r="AH15" s="15"/>
      <c r="AI15" s="10" t="str">
        <f t="shared" si="8"/>
        <v>N.S</v>
      </c>
      <c r="AJ15" s="15" t="s">
        <v>136</v>
      </c>
      <c r="AK15" s="15"/>
      <c r="AL15" s="42" t="str">
        <f t="shared" si="4"/>
        <v>N.S</v>
      </c>
      <c r="AM15" s="51" t="s">
        <v>265</v>
      </c>
      <c r="AN15" s="42" t="s">
        <v>265</v>
      </c>
      <c r="AO15" s="42" t="s">
        <v>265</v>
      </c>
      <c r="AP15" s="42" t="s">
        <v>265</v>
      </c>
      <c r="AQ15" s="610" t="s">
        <v>265</v>
      </c>
      <c r="AR15" s="611" t="s">
        <v>265</v>
      </c>
      <c r="AS15" s="604" t="str">
        <f t="shared" si="1"/>
        <v>N.S</v>
      </c>
      <c r="AT15" s="20" t="s">
        <v>82</v>
      </c>
      <c r="AU15" s="15" t="s">
        <v>265</v>
      </c>
      <c r="AV15" s="15" t="s">
        <v>265</v>
      </c>
      <c r="AW15" s="15" t="s">
        <v>265</v>
      </c>
      <c r="AX15" s="15" t="s">
        <v>265</v>
      </c>
      <c r="AY15" s="15">
        <v>2049</v>
      </c>
      <c r="AZ15" s="15" t="s">
        <v>265</v>
      </c>
      <c r="BA15" s="67" t="s">
        <v>565</v>
      </c>
      <c r="BB15" s="612" t="s">
        <v>265</v>
      </c>
      <c r="BC15" s="606" t="s">
        <v>265</v>
      </c>
      <c r="BD15" s="386" t="s">
        <v>580</v>
      </c>
      <c r="BE15" s="18" t="s">
        <v>265</v>
      </c>
      <c r="BF15" s="67" t="s">
        <v>265</v>
      </c>
      <c r="BG15" s="16" t="s">
        <v>82</v>
      </c>
      <c r="BH15" s="17"/>
      <c r="BI15" s="15"/>
      <c r="BJ15" s="15"/>
      <c r="BK15" s="15"/>
      <c r="BL15" s="15"/>
      <c r="BM15" s="48"/>
      <c r="BN15" s="301" t="s">
        <v>265</v>
      </c>
      <c r="BO15" s="41" t="s">
        <v>265</v>
      </c>
      <c r="BP15" s="129" t="s">
        <v>265</v>
      </c>
      <c r="BQ15" s="16"/>
      <c r="BR15" s="170"/>
      <c r="BS15" s="16">
        <v>0</v>
      </c>
      <c r="BT15" s="177"/>
      <c r="BU15" s="177"/>
      <c r="BV15" s="15"/>
      <c r="BW15" s="48"/>
      <c r="BX15" s="23">
        <v>0</v>
      </c>
      <c r="BY15" s="177"/>
      <c r="BZ15" s="177"/>
      <c r="CA15" s="15"/>
      <c r="CB15" s="48"/>
      <c r="CC15" s="16">
        <v>0</v>
      </c>
      <c r="CD15" s="15">
        <v>0</v>
      </c>
      <c r="CE15" s="177"/>
      <c r="CF15" s="177"/>
      <c r="CG15" s="177"/>
      <c r="CH15" s="177"/>
      <c r="CI15" s="177"/>
      <c r="CJ15" s="177"/>
      <c r="CK15" s="177"/>
      <c r="CL15" s="177"/>
      <c r="CM15" s="192"/>
      <c r="CN15" s="16">
        <v>0</v>
      </c>
      <c r="CO15" s="15">
        <v>0</v>
      </c>
      <c r="CP15" s="15"/>
      <c r="CQ15" s="15"/>
      <c r="CR15" s="15"/>
      <c r="CS15" s="15"/>
      <c r="CT15" s="15"/>
      <c r="CU15" s="15"/>
      <c r="CV15" s="15"/>
      <c r="CW15" s="15"/>
      <c r="CX15" s="192"/>
      <c r="CY15" s="16">
        <v>0</v>
      </c>
      <c r="CZ15" s="15">
        <v>0</v>
      </c>
      <c r="DA15" s="15"/>
      <c r="DB15" s="15"/>
      <c r="DC15" s="15"/>
      <c r="DD15" s="15"/>
      <c r="DE15" s="15"/>
      <c r="DF15" s="15"/>
      <c r="DG15" s="15"/>
      <c r="DH15" s="15"/>
      <c r="DI15" s="192"/>
      <c r="DJ15" s="4">
        <v>0</v>
      </c>
      <c r="DK15" s="177"/>
      <c r="DL15" s="177"/>
      <c r="DM15" s="15"/>
      <c r="DN15" s="48"/>
      <c r="DO15" s="4">
        <v>0</v>
      </c>
      <c r="DP15" s="15"/>
      <c r="DQ15" s="177"/>
      <c r="DR15" s="15"/>
      <c r="DS15" s="48"/>
      <c r="DT15" s="4">
        <v>0</v>
      </c>
      <c r="DU15" s="15"/>
      <c r="DV15" s="15"/>
      <c r="DW15" s="15"/>
      <c r="DX15" s="48"/>
      <c r="DY15" s="4">
        <v>0</v>
      </c>
      <c r="DZ15" s="15"/>
      <c r="EA15" s="15"/>
      <c r="EB15" s="15"/>
      <c r="EC15" s="48"/>
      <c r="ED15" s="4">
        <v>0</v>
      </c>
      <c r="EE15" s="15"/>
      <c r="EF15" s="15"/>
      <c r="EG15" s="15"/>
      <c r="EH15" s="48"/>
      <c r="EI15" s="4">
        <v>0</v>
      </c>
      <c r="EJ15" s="15"/>
      <c r="EK15" s="15"/>
      <c r="EL15" s="15"/>
      <c r="EM15" s="48"/>
      <c r="EN15" s="4">
        <v>0</v>
      </c>
      <c r="EO15" s="15"/>
      <c r="EP15" s="15"/>
      <c r="EQ15" s="15"/>
      <c r="ER15" s="48"/>
      <c r="ES15" s="4">
        <v>0</v>
      </c>
      <c r="ET15" s="15"/>
      <c r="EU15" s="15"/>
      <c r="EV15" s="15"/>
      <c r="EW15" s="48"/>
      <c r="EX15" s="4">
        <v>0</v>
      </c>
      <c r="EY15" s="15"/>
      <c r="EZ15" s="15"/>
      <c r="FA15" s="15"/>
      <c r="FB15" s="48"/>
      <c r="FC15" s="4">
        <v>0</v>
      </c>
      <c r="FD15" s="15"/>
      <c r="FE15" s="15"/>
      <c r="FF15" s="15"/>
      <c r="FG15" s="48"/>
      <c r="FH15" s="4">
        <v>0</v>
      </c>
      <c r="FI15" s="15"/>
      <c r="FJ15" s="15"/>
      <c r="FK15" s="15"/>
      <c r="FL15" s="48"/>
      <c r="FM15" s="4">
        <v>0</v>
      </c>
      <c r="FN15" s="15"/>
      <c r="FO15" s="15"/>
      <c r="FP15" s="15"/>
      <c r="FQ15" s="48"/>
      <c r="FR15" s="4">
        <v>0</v>
      </c>
      <c r="FS15" s="15"/>
      <c r="FT15" s="15"/>
      <c r="FU15" s="15"/>
      <c r="FV15" s="48"/>
      <c r="FW15" s="4">
        <v>0</v>
      </c>
      <c r="FX15" s="15"/>
      <c r="FY15" s="15"/>
      <c r="FZ15" s="15"/>
      <c r="GA15" s="48"/>
      <c r="GB15" s="16"/>
      <c r="GC15" s="15"/>
      <c r="GD15" s="15"/>
      <c r="GE15" s="15"/>
      <c r="GF15" s="48"/>
      <c r="GG15" s="10">
        <f t="shared" si="5"/>
        <v>1</v>
      </c>
      <c r="GH15" s="10" t="str">
        <f t="shared" si="6"/>
        <v/>
      </c>
      <c r="GI15" s="37" t="str">
        <f t="shared" si="7"/>
        <v/>
      </c>
      <c r="GJ15" s="4" t="s">
        <v>82</v>
      </c>
      <c r="GK15" s="10" t="s">
        <v>82</v>
      </c>
      <c r="GL15" s="10">
        <v>2</v>
      </c>
      <c r="GM15" s="10" t="s">
        <v>82</v>
      </c>
      <c r="GN15" s="10" t="s">
        <v>82</v>
      </c>
      <c r="GO15" s="10" t="s">
        <v>82</v>
      </c>
      <c r="GP15" s="10">
        <v>1</v>
      </c>
      <c r="GQ15" s="10">
        <v>1</v>
      </c>
      <c r="GR15" s="10" t="s">
        <v>82</v>
      </c>
      <c r="GS15" s="10" t="s">
        <v>82</v>
      </c>
      <c r="GT15" s="10" t="s">
        <v>82</v>
      </c>
      <c r="GU15" s="10" t="s">
        <v>82</v>
      </c>
      <c r="GV15" s="10" t="s">
        <v>82</v>
      </c>
      <c r="GW15" s="10" t="s">
        <v>82</v>
      </c>
      <c r="GX15" s="10" t="s">
        <v>82</v>
      </c>
      <c r="GY15" s="10" t="s">
        <v>82</v>
      </c>
      <c r="GZ15" s="10" t="s">
        <v>82</v>
      </c>
      <c r="HA15" s="10" t="s">
        <v>82</v>
      </c>
      <c r="HB15" s="10" t="s">
        <v>82</v>
      </c>
      <c r="HC15" s="10" t="s">
        <v>82</v>
      </c>
      <c r="HD15" s="10" t="s">
        <v>82</v>
      </c>
      <c r="HE15" s="10" t="s">
        <v>82</v>
      </c>
      <c r="HF15" s="10" t="s">
        <v>82</v>
      </c>
      <c r="HG15" s="10" t="s">
        <v>82</v>
      </c>
      <c r="HH15" s="10" t="s">
        <v>82</v>
      </c>
      <c r="HI15" s="10" t="s">
        <v>82</v>
      </c>
      <c r="HJ15" s="10" t="s">
        <v>82</v>
      </c>
      <c r="HK15" s="10" t="s">
        <v>82</v>
      </c>
      <c r="HL15" s="10" t="s">
        <v>82</v>
      </c>
      <c r="HM15" s="40" t="s">
        <v>82</v>
      </c>
      <c r="HN15" s="613"/>
      <c r="HO15" s="613"/>
      <c r="HP15" s="613"/>
      <c r="HQ15" s="613"/>
      <c r="HR15" s="613"/>
      <c r="HS15" s="613"/>
      <c r="HT15" s="613"/>
      <c r="HU15" s="613"/>
      <c r="HV15" s="613"/>
      <c r="HW15" s="613"/>
      <c r="HX15" s="613"/>
      <c r="HY15" s="613"/>
      <c r="HZ15" s="613"/>
      <c r="IA15" s="613"/>
      <c r="IB15" s="613"/>
      <c r="IC15" s="613"/>
      <c r="ID15" s="613"/>
      <c r="IE15" s="613"/>
      <c r="IF15" s="613"/>
      <c r="IG15" s="613"/>
      <c r="IH15" s="613"/>
      <c r="II15" s="613"/>
      <c r="IJ15" s="613"/>
      <c r="IK15" s="613"/>
      <c r="IL15" s="613"/>
      <c r="IM15" s="613"/>
    </row>
    <row r="16" spans="1:247" s="191" customFormat="1" ht="69">
      <c r="A16" s="686"/>
      <c r="B16" s="13" t="s">
        <v>318</v>
      </c>
      <c r="C16" s="691" t="s">
        <v>319</v>
      </c>
      <c r="D16" s="100" t="s">
        <v>80</v>
      </c>
      <c r="E16" s="77" t="s">
        <v>65</v>
      </c>
      <c r="F16" s="710" t="s">
        <v>124</v>
      </c>
      <c r="G16" s="77" t="s">
        <v>65</v>
      </c>
      <c r="H16" s="77" t="s">
        <v>65</v>
      </c>
      <c r="I16" s="77" t="s">
        <v>65</v>
      </c>
      <c r="J16" s="364">
        <f>150*1.09068</f>
        <v>163.602</v>
      </c>
      <c r="K16" s="608">
        <v>1</v>
      </c>
      <c r="L16" s="609">
        <v>2015</v>
      </c>
      <c r="M16" s="3" t="s">
        <v>320</v>
      </c>
      <c r="N16" s="10" t="s">
        <v>82</v>
      </c>
      <c r="O16" s="10" t="s">
        <v>558</v>
      </c>
      <c r="P16" s="10" t="s">
        <v>82</v>
      </c>
      <c r="Q16" s="10" t="s">
        <v>265</v>
      </c>
      <c r="R16" s="10" t="s">
        <v>265</v>
      </c>
      <c r="S16" s="10" t="s">
        <v>265</v>
      </c>
      <c r="T16" s="10" t="s">
        <v>265</v>
      </c>
      <c r="U16" s="40" t="s">
        <v>265</v>
      </c>
      <c r="V16" s="4">
        <v>37</v>
      </c>
      <c r="W16" s="49" t="s">
        <v>265</v>
      </c>
      <c r="X16" s="49" t="s">
        <v>265</v>
      </c>
      <c r="Y16" s="49" t="s">
        <v>265</v>
      </c>
      <c r="Z16" s="41" t="str">
        <f t="shared" si="2"/>
        <v>N.S</v>
      </c>
      <c r="AA16" s="593" t="str">
        <f t="shared" si="0"/>
        <v>N.S</v>
      </c>
      <c r="AB16" s="54" t="s">
        <v>265</v>
      </c>
      <c r="AC16" s="16" t="s">
        <v>265</v>
      </c>
      <c r="AD16" s="15" t="s">
        <v>265</v>
      </c>
      <c r="AE16" s="15" t="s">
        <v>265</v>
      </c>
      <c r="AF16" s="10" t="str">
        <f t="shared" si="3"/>
        <v>N.S</v>
      </c>
      <c r="AG16" s="15" t="s">
        <v>265</v>
      </c>
      <c r="AH16" s="15">
        <v>0.16300000000000001</v>
      </c>
      <c r="AI16" s="10" t="str">
        <f t="shared" si="8"/>
        <v>N.S</v>
      </c>
      <c r="AJ16" s="10" t="s">
        <v>82</v>
      </c>
      <c r="AK16" s="10" t="s">
        <v>265</v>
      </c>
      <c r="AL16" s="42" t="str">
        <f t="shared" si="4"/>
        <v>N.S</v>
      </c>
      <c r="AM16" s="51" t="s">
        <v>265</v>
      </c>
      <c r="AN16" s="42" t="s">
        <v>265</v>
      </c>
      <c r="AO16" s="42" t="s">
        <v>265</v>
      </c>
      <c r="AP16" s="42" t="s">
        <v>265</v>
      </c>
      <c r="AQ16" s="610">
        <f>8*30*24</f>
        <v>5760</v>
      </c>
      <c r="AR16" s="611" t="s">
        <v>265</v>
      </c>
      <c r="AS16" s="604" t="str">
        <f t="shared" si="1"/>
        <v>N.S</v>
      </c>
      <c r="AT16" s="19" t="s">
        <v>265</v>
      </c>
      <c r="AU16" s="10" t="s">
        <v>265</v>
      </c>
      <c r="AV16" s="10" t="s">
        <v>265</v>
      </c>
      <c r="AW16" s="10" t="s">
        <v>265</v>
      </c>
      <c r="AX16" s="10" t="s">
        <v>265</v>
      </c>
      <c r="AY16" s="10" t="s">
        <v>265</v>
      </c>
      <c r="AZ16" s="10" t="s">
        <v>265</v>
      </c>
      <c r="BA16" s="37" t="s">
        <v>265</v>
      </c>
      <c r="BB16" s="605" t="s">
        <v>265</v>
      </c>
      <c r="BC16" s="606" t="s">
        <v>265</v>
      </c>
      <c r="BD16" s="37" t="s">
        <v>265</v>
      </c>
      <c r="BE16" s="3" t="s">
        <v>265</v>
      </c>
      <c r="BF16" s="37" t="s">
        <v>265</v>
      </c>
      <c r="BG16" s="4" t="s">
        <v>84</v>
      </c>
      <c r="BH16" s="13" t="s">
        <v>584</v>
      </c>
      <c r="BI16" s="10" t="s">
        <v>265</v>
      </c>
      <c r="BJ16" s="10" t="s">
        <v>265</v>
      </c>
      <c r="BK16" s="10" t="s">
        <v>265</v>
      </c>
      <c r="BL16" s="10" t="s">
        <v>265</v>
      </c>
      <c r="BM16" s="40" t="s">
        <v>265</v>
      </c>
      <c r="BN16" s="301" t="s">
        <v>265</v>
      </c>
      <c r="BO16" s="41" t="s">
        <v>265</v>
      </c>
      <c r="BP16" s="129" t="s">
        <v>265</v>
      </c>
      <c r="BQ16" s="4"/>
      <c r="BR16" s="672" t="s">
        <v>987</v>
      </c>
      <c r="BS16" s="4">
        <v>0</v>
      </c>
      <c r="BT16" s="128"/>
      <c r="BU16" s="128"/>
      <c r="BV16" s="10"/>
      <c r="BW16" s="40"/>
      <c r="BX16" s="295">
        <v>0</v>
      </c>
      <c r="BY16" s="128"/>
      <c r="BZ16" s="128"/>
      <c r="CA16" s="10"/>
      <c r="CB16" s="40"/>
      <c r="CC16" s="4">
        <v>0</v>
      </c>
      <c r="CD16" s="10">
        <v>1</v>
      </c>
      <c r="CE16" s="128"/>
      <c r="CF16" s="128"/>
      <c r="CG16" s="128"/>
      <c r="CH16" s="128"/>
      <c r="CI16" s="128"/>
      <c r="CJ16" s="128"/>
      <c r="CK16" s="128"/>
      <c r="CL16" s="128"/>
      <c r="CM16" s="121"/>
      <c r="CN16" s="16">
        <v>0</v>
      </c>
      <c r="CO16" s="15">
        <v>0</v>
      </c>
      <c r="CP16" s="10"/>
      <c r="CQ16" s="10"/>
      <c r="CR16" s="10"/>
      <c r="CS16" s="10"/>
      <c r="CT16" s="10"/>
      <c r="CU16" s="10"/>
      <c r="CV16" s="10"/>
      <c r="CW16" s="10"/>
      <c r="CX16" s="121"/>
      <c r="CY16" s="16">
        <v>0</v>
      </c>
      <c r="CZ16" s="15">
        <v>0</v>
      </c>
      <c r="DA16" s="10"/>
      <c r="DB16" s="10"/>
      <c r="DC16" s="10"/>
      <c r="DD16" s="10"/>
      <c r="DE16" s="10"/>
      <c r="DF16" s="10"/>
      <c r="DG16" s="10"/>
      <c r="DH16" s="10"/>
      <c r="DI16" s="121"/>
      <c r="DJ16" s="4">
        <v>0</v>
      </c>
      <c r="DK16" s="128"/>
      <c r="DL16" s="128"/>
      <c r="DM16" s="10"/>
      <c r="DN16" s="40"/>
      <c r="DO16" s="4">
        <v>0</v>
      </c>
      <c r="DP16" s="10"/>
      <c r="DQ16" s="128"/>
      <c r="DR16" s="10"/>
      <c r="DS16" s="40"/>
      <c r="DT16" s="4">
        <v>0</v>
      </c>
      <c r="DU16" s="10"/>
      <c r="DV16" s="10"/>
      <c r="DW16" s="10"/>
      <c r="DX16" s="40"/>
      <c r="DY16" s="4">
        <v>0</v>
      </c>
      <c r="DZ16" s="10"/>
      <c r="EA16" s="10"/>
      <c r="EB16" s="10"/>
      <c r="EC16" s="40"/>
      <c r="ED16" s="4">
        <v>0</v>
      </c>
      <c r="EE16" s="10"/>
      <c r="EF16" s="10"/>
      <c r="EG16" s="10"/>
      <c r="EH16" s="40"/>
      <c r="EI16" s="4">
        <v>0</v>
      </c>
      <c r="EJ16" s="10"/>
      <c r="EK16" s="10"/>
      <c r="EL16" s="10"/>
      <c r="EM16" s="40"/>
      <c r="EN16" s="4">
        <v>0</v>
      </c>
      <c r="EO16" s="10"/>
      <c r="EP16" s="10"/>
      <c r="EQ16" s="10"/>
      <c r="ER16" s="40"/>
      <c r="ES16" s="4">
        <v>0</v>
      </c>
      <c r="ET16" s="10"/>
      <c r="EU16" s="10"/>
      <c r="EV16" s="10"/>
      <c r="EW16" s="40"/>
      <c r="EX16" s="4">
        <v>0</v>
      </c>
      <c r="EY16" s="10"/>
      <c r="EZ16" s="10"/>
      <c r="FA16" s="10"/>
      <c r="FB16" s="40"/>
      <c r="FC16" s="4">
        <v>0</v>
      </c>
      <c r="FD16" s="10"/>
      <c r="FE16" s="10"/>
      <c r="FF16" s="10"/>
      <c r="FG16" s="40"/>
      <c r="FH16" s="4">
        <v>0</v>
      </c>
      <c r="FI16" s="10"/>
      <c r="FJ16" s="10"/>
      <c r="FK16" s="10"/>
      <c r="FL16" s="40"/>
      <c r="FM16" s="4">
        <v>0</v>
      </c>
      <c r="FN16" s="10"/>
      <c r="FO16" s="10"/>
      <c r="FP16" s="10"/>
      <c r="FQ16" s="40"/>
      <c r="FR16" s="4">
        <v>0</v>
      </c>
      <c r="FS16" s="10"/>
      <c r="FT16" s="10"/>
      <c r="FU16" s="10"/>
      <c r="FV16" s="40"/>
      <c r="FW16" s="4">
        <v>0</v>
      </c>
      <c r="FX16" s="10"/>
      <c r="FY16" s="10"/>
      <c r="FZ16" s="10"/>
      <c r="GA16" s="40"/>
      <c r="GB16" s="4"/>
      <c r="GC16" s="10"/>
      <c r="GD16" s="10"/>
      <c r="GE16" s="10"/>
      <c r="GF16" s="40"/>
      <c r="GG16" s="10">
        <f t="shared" si="5"/>
        <v>1</v>
      </c>
      <c r="GH16" s="10" t="str">
        <f t="shared" si="6"/>
        <v/>
      </c>
      <c r="GI16" s="37" t="str">
        <f t="shared" si="7"/>
        <v/>
      </c>
      <c r="GJ16" s="4" t="s">
        <v>82</v>
      </c>
      <c r="GK16" s="10" t="s">
        <v>82</v>
      </c>
      <c r="GL16" s="10" t="s">
        <v>82</v>
      </c>
      <c r="GM16" s="10" t="s">
        <v>82</v>
      </c>
      <c r="GN16" s="10" t="s">
        <v>82</v>
      </c>
      <c r="GO16" s="10" t="s">
        <v>82</v>
      </c>
      <c r="GP16" s="10" t="s">
        <v>82</v>
      </c>
      <c r="GQ16" s="10" t="s">
        <v>82</v>
      </c>
      <c r="GR16" s="10" t="s">
        <v>82</v>
      </c>
      <c r="GS16" s="10" t="s">
        <v>82</v>
      </c>
      <c r="GT16" s="10" t="s">
        <v>82</v>
      </c>
      <c r="GU16" s="10" t="s">
        <v>82</v>
      </c>
      <c r="GV16" s="10" t="s">
        <v>82</v>
      </c>
      <c r="GW16" s="10" t="s">
        <v>82</v>
      </c>
      <c r="GX16" s="10" t="s">
        <v>82</v>
      </c>
      <c r="GY16" s="10" t="s">
        <v>82</v>
      </c>
      <c r="GZ16" s="10" t="s">
        <v>82</v>
      </c>
      <c r="HA16" s="10" t="s">
        <v>82</v>
      </c>
      <c r="HB16" s="10" t="s">
        <v>82</v>
      </c>
      <c r="HC16" s="10" t="s">
        <v>82</v>
      </c>
      <c r="HD16" s="10" t="s">
        <v>82</v>
      </c>
      <c r="HE16" s="10" t="s">
        <v>82</v>
      </c>
      <c r="HF16" s="10" t="s">
        <v>82</v>
      </c>
      <c r="HG16" s="10" t="s">
        <v>82</v>
      </c>
      <c r="HH16" s="10" t="s">
        <v>82</v>
      </c>
      <c r="HI16" s="10" t="s">
        <v>82</v>
      </c>
      <c r="HJ16" s="10" t="s">
        <v>82</v>
      </c>
      <c r="HK16" s="10" t="s">
        <v>82</v>
      </c>
      <c r="HL16" s="10" t="s">
        <v>82</v>
      </c>
      <c r="HM16" s="40" t="s">
        <v>82</v>
      </c>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s="191" customFormat="1" ht="69">
      <c r="A17" s="686"/>
      <c r="B17" s="13" t="s">
        <v>321</v>
      </c>
      <c r="C17" s="691"/>
      <c r="D17" s="100" t="s">
        <v>80</v>
      </c>
      <c r="E17" s="77" t="s">
        <v>65</v>
      </c>
      <c r="F17" s="710"/>
      <c r="G17" s="77" t="s">
        <v>65</v>
      </c>
      <c r="H17" s="77" t="s">
        <v>65</v>
      </c>
      <c r="I17" s="11" t="s">
        <v>65</v>
      </c>
      <c r="J17" s="364">
        <f>390*1.09068</f>
        <v>425.36520000000002</v>
      </c>
      <c r="K17" s="608" t="s">
        <v>265</v>
      </c>
      <c r="L17" s="609" t="s">
        <v>265</v>
      </c>
      <c r="M17" s="4" t="s">
        <v>320</v>
      </c>
      <c r="N17" s="10" t="s">
        <v>82</v>
      </c>
      <c r="O17" s="10" t="s">
        <v>558</v>
      </c>
      <c r="P17" s="10" t="s">
        <v>82</v>
      </c>
      <c r="Q17" s="10" t="s">
        <v>265</v>
      </c>
      <c r="R17" s="10" t="s">
        <v>265</v>
      </c>
      <c r="S17" s="10" t="s">
        <v>265</v>
      </c>
      <c r="T17" s="10" t="s">
        <v>265</v>
      </c>
      <c r="U17" s="40" t="s">
        <v>265</v>
      </c>
      <c r="V17" s="4">
        <v>37</v>
      </c>
      <c r="W17" s="49" t="s">
        <v>265</v>
      </c>
      <c r="X17" s="49" t="s">
        <v>265</v>
      </c>
      <c r="Y17" s="49" t="s">
        <v>265</v>
      </c>
      <c r="Z17" s="41" t="str">
        <f t="shared" si="2"/>
        <v>N.S</v>
      </c>
      <c r="AA17" s="593" t="str">
        <f t="shared" si="0"/>
        <v>N.S</v>
      </c>
      <c r="AB17" s="54" t="s">
        <v>265</v>
      </c>
      <c r="AC17" s="16" t="s">
        <v>265</v>
      </c>
      <c r="AD17" s="15" t="s">
        <v>265</v>
      </c>
      <c r="AE17" s="15" t="s">
        <v>265</v>
      </c>
      <c r="AF17" s="10" t="str">
        <f t="shared" si="3"/>
        <v>N.S</v>
      </c>
      <c r="AG17" s="15" t="s">
        <v>265</v>
      </c>
      <c r="AH17" s="15">
        <v>0.16300000000000001</v>
      </c>
      <c r="AI17" s="10" t="str">
        <f t="shared" si="8"/>
        <v>N.S</v>
      </c>
      <c r="AJ17" s="10" t="s">
        <v>82</v>
      </c>
      <c r="AK17" s="10" t="s">
        <v>265</v>
      </c>
      <c r="AL17" s="42" t="str">
        <f t="shared" si="4"/>
        <v>N.S</v>
      </c>
      <c r="AM17" s="51" t="s">
        <v>265</v>
      </c>
      <c r="AN17" s="42" t="s">
        <v>265</v>
      </c>
      <c r="AO17" s="42" t="s">
        <v>265</v>
      </c>
      <c r="AP17" s="42" t="s">
        <v>265</v>
      </c>
      <c r="AQ17" s="610">
        <f>8*30*24</f>
        <v>5760</v>
      </c>
      <c r="AR17" s="611" t="s">
        <v>265</v>
      </c>
      <c r="AS17" s="604" t="str">
        <f t="shared" si="1"/>
        <v>N.S</v>
      </c>
      <c r="AT17" s="19" t="s">
        <v>265</v>
      </c>
      <c r="AU17" s="10" t="s">
        <v>265</v>
      </c>
      <c r="AV17" s="10" t="s">
        <v>265</v>
      </c>
      <c r="AW17" s="10" t="s">
        <v>265</v>
      </c>
      <c r="AX17" s="10" t="s">
        <v>265</v>
      </c>
      <c r="AY17" s="10" t="s">
        <v>265</v>
      </c>
      <c r="AZ17" s="10" t="s">
        <v>265</v>
      </c>
      <c r="BA17" s="37" t="s">
        <v>265</v>
      </c>
      <c r="BB17" s="605" t="s">
        <v>265</v>
      </c>
      <c r="BC17" s="606" t="s">
        <v>265</v>
      </c>
      <c r="BD17" s="37" t="s">
        <v>265</v>
      </c>
      <c r="BE17" s="3" t="s">
        <v>265</v>
      </c>
      <c r="BF17" s="37" t="s">
        <v>265</v>
      </c>
      <c r="BG17" s="4" t="s">
        <v>84</v>
      </c>
      <c r="BH17" s="13" t="s">
        <v>584</v>
      </c>
      <c r="BI17" s="10" t="s">
        <v>265</v>
      </c>
      <c r="BJ17" s="10" t="s">
        <v>265</v>
      </c>
      <c r="BK17" s="10" t="s">
        <v>265</v>
      </c>
      <c r="BL17" s="10" t="s">
        <v>265</v>
      </c>
      <c r="BM17" s="40" t="s">
        <v>265</v>
      </c>
      <c r="BN17" s="301" t="s">
        <v>265</v>
      </c>
      <c r="BO17" s="41" t="s">
        <v>265</v>
      </c>
      <c r="BP17" s="129" t="s">
        <v>265</v>
      </c>
      <c r="BQ17" s="4"/>
      <c r="BR17" s="673"/>
      <c r="BS17" s="4">
        <v>0</v>
      </c>
      <c r="BT17" s="128"/>
      <c r="BU17" s="128"/>
      <c r="BV17" s="10"/>
      <c r="BW17" s="40"/>
      <c r="BX17" s="295">
        <v>0</v>
      </c>
      <c r="BY17" s="128"/>
      <c r="BZ17" s="128"/>
      <c r="CA17" s="10"/>
      <c r="CB17" s="40"/>
      <c r="CC17" s="4">
        <v>0</v>
      </c>
      <c r="CD17" s="10">
        <v>1</v>
      </c>
      <c r="CE17" s="128"/>
      <c r="CF17" s="128"/>
      <c r="CG17" s="128"/>
      <c r="CH17" s="128"/>
      <c r="CI17" s="128"/>
      <c r="CJ17" s="128"/>
      <c r="CK17" s="128"/>
      <c r="CL17" s="128"/>
      <c r="CM17" s="121"/>
      <c r="CN17" s="16">
        <v>0</v>
      </c>
      <c r="CO17" s="15">
        <v>0</v>
      </c>
      <c r="CP17" s="10"/>
      <c r="CQ17" s="10"/>
      <c r="CR17" s="10"/>
      <c r="CS17" s="10"/>
      <c r="CT17" s="10"/>
      <c r="CU17" s="10"/>
      <c r="CV17" s="10"/>
      <c r="CW17" s="10"/>
      <c r="CX17" s="121"/>
      <c r="CY17" s="16">
        <v>0</v>
      </c>
      <c r="CZ17" s="15">
        <v>0</v>
      </c>
      <c r="DA17" s="10"/>
      <c r="DB17" s="10"/>
      <c r="DC17" s="10"/>
      <c r="DD17" s="10"/>
      <c r="DE17" s="10"/>
      <c r="DF17" s="10"/>
      <c r="DG17" s="10"/>
      <c r="DH17" s="10"/>
      <c r="DI17" s="121"/>
      <c r="DJ17" s="4">
        <v>0</v>
      </c>
      <c r="DK17" s="128"/>
      <c r="DL17" s="128"/>
      <c r="DM17" s="10"/>
      <c r="DN17" s="40"/>
      <c r="DO17" s="4">
        <v>0</v>
      </c>
      <c r="DP17" s="10"/>
      <c r="DQ17" s="128"/>
      <c r="DR17" s="10"/>
      <c r="DS17" s="40"/>
      <c r="DT17" s="4">
        <v>0</v>
      </c>
      <c r="DU17" s="10"/>
      <c r="DV17" s="10"/>
      <c r="DW17" s="10"/>
      <c r="DX17" s="40"/>
      <c r="DY17" s="4">
        <v>0</v>
      </c>
      <c r="DZ17" s="10"/>
      <c r="EA17" s="10"/>
      <c r="EB17" s="10"/>
      <c r="EC17" s="40"/>
      <c r="ED17" s="4">
        <v>0</v>
      </c>
      <c r="EE17" s="10"/>
      <c r="EF17" s="10"/>
      <c r="EG17" s="10"/>
      <c r="EH17" s="40"/>
      <c r="EI17" s="4">
        <v>0</v>
      </c>
      <c r="EJ17" s="10"/>
      <c r="EK17" s="10"/>
      <c r="EL17" s="10"/>
      <c r="EM17" s="40"/>
      <c r="EN17" s="4">
        <v>0</v>
      </c>
      <c r="EO17" s="10"/>
      <c r="EP17" s="10"/>
      <c r="EQ17" s="10"/>
      <c r="ER17" s="40"/>
      <c r="ES17" s="4">
        <v>0</v>
      </c>
      <c r="ET17" s="10"/>
      <c r="EU17" s="10"/>
      <c r="EV17" s="10"/>
      <c r="EW17" s="40"/>
      <c r="EX17" s="4">
        <v>0</v>
      </c>
      <c r="EY17" s="10"/>
      <c r="EZ17" s="10"/>
      <c r="FA17" s="10"/>
      <c r="FB17" s="40"/>
      <c r="FC17" s="4">
        <v>0</v>
      </c>
      <c r="FD17" s="10"/>
      <c r="FE17" s="10"/>
      <c r="FF17" s="10"/>
      <c r="FG17" s="40"/>
      <c r="FH17" s="4">
        <v>0</v>
      </c>
      <c r="FI17" s="10"/>
      <c r="FJ17" s="10"/>
      <c r="FK17" s="10"/>
      <c r="FL17" s="40"/>
      <c r="FM17" s="4">
        <v>0</v>
      </c>
      <c r="FN17" s="10"/>
      <c r="FO17" s="10"/>
      <c r="FP17" s="10"/>
      <c r="FQ17" s="40"/>
      <c r="FR17" s="4">
        <v>0</v>
      </c>
      <c r="FS17" s="10"/>
      <c r="FT17" s="10"/>
      <c r="FU17" s="10"/>
      <c r="FV17" s="40"/>
      <c r="FW17" s="4">
        <v>0</v>
      </c>
      <c r="FX17" s="10"/>
      <c r="FY17" s="10"/>
      <c r="FZ17" s="10"/>
      <c r="GA17" s="40"/>
      <c r="GB17" s="4"/>
      <c r="GC17" s="10"/>
      <c r="GD17" s="10"/>
      <c r="GE17" s="10"/>
      <c r="GF17" s="40"/>
      <c r="GG17" s="10">
        <f t="shared" si="5"/>
        <v>1</v>
      </c>
      <c r="GH17" s="10" t="str">
        <f t="shared" si="6"/>
        <v/>
      </c>
      <c r="GI17" s="37" t="str">
        <f t="shared" si="7"/>
        <v/>
      </c>
      <c r="GJ17" s="4" t="s">
        <v>82</v>
      </c>
      <c r="GK17" s="10" t="s">
        <v>82</v>
      </c>
      <c r="GL17" s="10" t="s">
        <v>82</v>
      </c>
      <c r="GM17" s="10" t="s">
        <v>82</v>
      </c>
      <c r="GN17" s="10" t="s">
        <v>82</v>
      </c>
      <c r="GO17" s="10" t="s">
        <v>82</v>
      </c>
      <c r="GP17" s="10" t="s">
        <v>82</v>
      </c>
      <c r="GQ17" s="10" t="s">
        <v>82</v>
      </c>
      <c r="GR17" s="10" t="s">
        <v>82</v>
      </c>
      <c r="GS17" s="10" t="s">
        <v>82</v>
      </c>
      <c r="GT17" s="10" t="s">
        <v>82</v>
      </c>
      <c r="GU17" s="10" t="s">
        <v>82</v>
      </c>
      <c r="GV17" s="10" t="s">
        <v>82</v>
      </c>
      <c r="GW17" s="10" t="s">
        <v>82</v>
      </c>
      <c r="GX17" s="10" t="s">
        <v>82</v>
      </c>
      <c r="GY17" s="10" t="s">
        <v>82</v>
      </c>
      <c r="GZ17" s="10" t="s">
        <v>82</v>
      </c>
      <c r="HA17" s="10" t="s">
        <v>82</v>
      </c>
      <c r="HB17" s="10" t="s">
        <v>82</v>
      </c>
      <c r="HC17" s="10" t="s">
        <v>82</v>
      </c>
      <c r="HD17" s="10" t="s">
        <v>82</v>
      </c>
      <c r="HE17" s="10" t="s">
        <v>82</v>
      </c>
      <c r="HF17" s="10" t="s">
        <v>82</v>
      </c>
      <c r="HG17" s="10" t="s">
        <v>82</v>
      </c>
      <c r="HH17" s="10" t="s">
        <v>82</v>
      </c>
      <c r="HI17" s="10" t="s">
        <v>82</v>
      </c>
      <c r="HJ17" s="10" t="s">
        <v>82</v>
      </c>
      <c r="HK17" s="10" t="s">
        <v>82</v>
      </c>
      <c r="HL17" s="10" t="s">
        <v>82</v>
      </c>
      <c r="HM17" s="40" t="s">
        <v>82</v>
      </c>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s="191" customFormat="1" ht="55.2">
      <c r="A18" s="686"/>
      <c r="B18" s="13" t="s">
        <v>581</v>
      </c>
      <c r="C18" s="691"/>
      <c r="D18" s="100" t="s">
        <v>80</v>
      </c>
      <c r="E18" s="77" t="s">
        <v>65</v>
      </c>
      <c r="F18" s="77" t="s">
        <v>65</v>
      </c>
      <c r="G18" s="77" t="s">
        <v>65</v>
      </c>
      <c r="H18" s="77" t="s">
        <v>65</v>
      </c>
      <c r="I18" s="11" t="s">
        <v>65</v>
      </c>
      <c r="J18" s="364">
        <f>99.95*1.09068</f>
        <v>109.01346600000001</v>
      </c>
      <c r="K18" s="608" t="s">
        <v>265</v>
      </c>
      <c r="L18" s="609" t="s">
        <v>265</v>
      </c>
      <c r="M18" s="3" t="s">
        <v>582</v>
      </c>
      <c r="N18" s="10" t="s">
        <v>82</v>
      </c>
      <c r="O18" s="10" t="s">
        <v>558</v>
      </c>
      <c r="P18" s="10" t="s">
        <v>82</v>
      </c>
      <c r="Q18" s="10" t="s">
        <v>265</v>
      </c>
      <c r="R18" s="10" t="s">
        <v>265</v>
      </c>
      <c r="S18" s="10" t="s">
        <v>265</v>
      </c>
      <c r="T18" s="10" t="s">
        <v>265</v>
      </c>
      <c r="U18" s="40" t="s">
        <v>265</v>
      </c>
      <c r="V18" s="4">
        <v>8</v>
      </c>
      <c r="W18" s="41">
        <v>22</v>
      </c>
      <c r="X18" s="41">
        <v>43</v>
      </c>
      <c r="Y18" s="41">
        <v>8</v>
      </c>
      <c r="Z18" s="41">
        <f t="shared" si="2"/>
        <v>43</v>
      </c>
      <c r="AA18" s="593">
        <f t="shared" si="0"/>
        <v>7568</v>
      </c>
      <c r="AB18" s="54" t="s">
        <v>265</v>
      </c>
      <c r="AC18" s="16" t="s">
        <v>265</v>
      </c>
      <c r="AD18" s="15" t="s">
        <v>265</v>
      </c>
      <c r="AE18" s="15" t="s">
        <v>265</v>
      </c>
      <c r="AF18" s="10" t="str">
        <f t="shared" si="3"/>
        <v>N.S</v>
      </c>
      <c r="AG18" s="15" t="s">
        <v>265</v>
      </c>
      <c r="AH18" s="15" t="s">
        <v>265</v>
      </c>
      <c r="AI18" s="10" t="str">
        <f t="shared" si="8"/>
        <v>N.S</v>
      </c>
      <c r="AJ18" s="10" t="s">
        <v>84</v>
      </c>
      <c r="AK18" s="10" t="s">
        <v>265</v>
      </c>
      <c r="AL18" s="42" t="str">
        <f t="shared" si="4"/>
        <v>N.S</v>
      </c>
      <c r="AM18" s="51" t="s">
        <v>265</v>
      </c>
      <c r="AN18" s="42" t="s">
        <v>265</v>
      </c>
      <c r="AO18" s="42" t="s">
        <v>265</v>
      </c>
      <c r="AP18" s="42" t="s">
        <v>265</v>
      </c>
      <c r="AQ18" s="238">
        <f>2*7*24</f>
        <v>336</v>
      </c>
      <c r="AR18" s="611" t="s">
        <v>265</v>
      </c>
      <c r="AS18" s="604" t="str">
        <f t="shared" si="1"/>
        <v>N.S</v>
      </c>
      <c r="AT18" s="19" t="s">
        <v>265</v>
      </c>
      <c r="AU18" s="10" t="s">
        <v>265</v>
      </c>
      <c r="AV18" s="10" t="s">
        <v>265</v>
      </c>
      <c r="AW18" s="10" t="s">
        <v>265</v>
      </c>
      <c r="AX18" s="10" t="s">
        <v>265</v>
      </c>
      <c r="AY18" s="10" t="s">
        <v>265</v>
      </c>
      <c r="AZ18" s="10" t="s">
        <v>265</v>
      </c>
      <c r="BA18" s="37" t="s">
        <v>265</v>
      </c>
      <c r="BB18" s="605" t="s">
        <v>265</v>
      </c>
      <c r="BC18" s="606" t="s">
        <v>265</v>
      </c>
      <c r="BD18" s="37" t="s">
        <v>265</v>
      </c>
      <c r="BE18" s="3" t="s">
        <v>265</v>
      </c>
      <c r="BF18" s="37" t="s">
        <v>265</v>
      </c>
      <c r="BG18" s="4" t="s">
        <v>84</v>
      </c>
      <c r="BH18" s="13" t="s">
        <v>583</v>
      </c>
      <c r="BI18" s="10" t="s">
        <v>265</v>
      </c>
      <c r="BJ18" s="10" t="s">
        <v>265</v>
      </c>
      <c r="BK18" s="10" t="s">
        <v>265</v>
      </c>
      <c r="BL18" s="10" t="s">
        <v>265</v>
      </c>
      <c r="BM18" s="40" t="s">
        <v>265</v>
      </c>
      <c r="BN18" s="301" t="s">
        <v>265</v>
      </c>
      <c r="BO18" s="41" t="s">
        <v>265</v>
      </c>
      <c r="BP18" s="129" t="s">
        <v>265</v>
      </c>
      <c r="BQ18" s="4"/>
      <c r="BR18" s="169"/>
      <c r="BS18" s="4">
        <v>0</v>
      </c>
      <c r="BT18" s="128"/>
      <c r="BU18" s="128"/>
      <c r="BV18" s="10"/>
      <c r="BW18" s="40"/>
      <c r="BX18" s="295">
        <v>0</v>
      </c>
      <c r="BY18" s="128"/>
      <c r="BZ18" s="128"/>
      <c r="CA18" s="10"/>
      <c r="CB18" s="40"/>
      <c r="CC18" s="4">
        <v>0</v>
      </c>
      <c r="CD18" s="10">
        <v>1</v>
      </c>
      <c r="CE18" s="128"/>
      <c r="CF18" s="128"/>
      <c r="CG18" s="128"/>
      <c r="CH18" s="128"/>
      <c r="CI18" s="128"/>
      <c r="CJ18" s="128"/>
      <c r="CK18" s="128"/>
      <c r="CL18" s="128"/>
      <c r="CM18" s="121"/>
      <c r="CN18" s="16">
        <v>0</v>
      </c>
      <c r="CO18" s="15">
        <v>0</v>
      </c>
      <c r="CP18" s="10"/>
      <c r="CQ18" s="10"/>
      <c r="CR18" s="10"/>
      <c r="CS18" s="10"/>
      <c r="CT18" s="10"/>
      <c r="CU18" s="10"/>
      <c r="CV18" s="10"/>
      <c r="CW18" s="10"/>
      <c r="CX18" s="121"/>
      <c r="CY18" s="16">
        <v>0</v>
      </c>
      <c r="CZ18" s="15">
        <v>0</v>
      </c>
      <c r="DA18" s="10"/>
      <c r="DB18" s="10"/>
      <c r="DC18" s="10"/>
      <c r="DD18" s="10"/>
      <c r="DE18" s="10"/>
      <c r="DF18" s="10"/>
      <c r="DG18" s="10"/>
      <c r="DH18" s="10"/>
      <c r="DI18" s="121"/>
      <c r="DJ18" s="4">
        <v>0</v>
      </c>
      <c r="DK18" s="128"/>
      <c r="DL18" s="128"/>
      <c r="DM18" s="10"/>
      <c r="DN18" s="40"/>
      <c r="DO18" s="4">
        <v>1</v>
      </c>
      <c r="DP18" s="10"/>
      <c r="DQ18" s="128"/>
      <c r="DR18" s="10"/>
      <c r="DS18" s="40"/>
      <c r="DT18" s="4">
        <v>0</v>
      </c>
      <c r="DU18" s="10"/>
      <c r="DV18" s="10"/>
      <c r="DW18" s="10"/>
      <c r="DX18" s="40"/>
      <c r="DY18" s="4">
        <v>0</v>
      </c>
      <c r="DZ18" s="10"/>
      <c r="EA18" s="10"/>
      <c r="EB18" s="10"/>
      <c r="EC18" s="40"/>
      <c r="ED18" s="4">
        <v>0</v>
      </c>
      <c r="EE18" s="10"/>
      <c r="EF18" s="10"/>
      <c r="EG18" s="10"/>
      <c r="EH18" s="40"/>
      <c r="EI18" s="4">
        <v>0</v>
      </c>
      <c r="EJ18" s="10"/>
      <c r="EK18" s="10"/>
      <c r="EL18" s="10"/>
      <c r="EM18" s="40"/>
      <c r="EN18" s="4">
        <v>0</v>
      </c>
      <c r="EO18" s="10"/>
      <c r="EP18" s="10"/>
      <c r="EQ18" s="10"/>
      <c r="ER18" s="40"/>
      <c r="ES18" s="4">
        <v>0</v>
      </c>
      <c r="ET18" s="10"/>
      <c r="EU18" s="10"/>
      <c r="EV18" s="10"/>
      <c r="EW18" s="40"/>
      <c r="EX18" s="4">
        <v>0</v>
      </c>
      <c r="EY18" s="10"/>
      <c r="EZ18" s="10"/>
      <c r="FA18" s="10"/>
      <c r="FB18" s="40"/>
      <c r="FC18" s="4">
        <v>0</v>
      </c>
      <c r="FD18" s="10"/>
      <c r="FE18" s="10"/>
      <c r="FF18" s="10"/>
      <c r="FG18" s="40"/>
      <c r="FH18" s="4">
        <v>0</v>
      </c>
      <c r="FI18" s="10"/>
      <c r="FJ18" s="10"/>
      <c r="FK18" s="10"/>
      <c r="FL18" s="40"/>
      <c r="FM18" s="4">
        <v>0</v>
      </c>
      <c r="FN18" s="10"/>
      <c r="FO18" s="10"/>
      <c r="FP18" s="10"/>
      <c r="FQ18" s="40"/>
      <c r="FR18" s="4">
        <v>0</v>
      </c>
      <c r="FS18" s="10"/>
      <c r="FT18" s="10"/>
      <c r="FU18" s="10"/>
      <c r="FV18" s="40"/>
      <c r="FW18" s="4">
        <v>0</v>
      </c>
      <c r="FX18" s="10"/>
      <c r="FY18" s="10"/>
      <c r="FZ18" s="10"/>
      <c r="GA18" s="40"/>
      <c r="GB18" s="4"/>
      <c r="GC18" s="10"/>
      <c r="GD18" s="10"/>
      <c r="GE18" s="10"/>
      <c r="GF18" s="40"/>
      <c r="GG18" s="10">
        <f t="shared" si="5"/>
        <v>1</v>
      </c>
      <c r="GH18" s="10" t="str">
        <f t="shared" si="6"/>
        <v/>
      </c>
      <c r="GI18" s="37" t="str">
        <f t="shared" si="7"/>
        <v/>
      </c>
      <c r="GJ18" s="4" t="s">
        <v>82</v>
      </c>
      <c r="GK18" s="10" t="s">
        <v>82</v>
      </c>
      <c r="GL18" s="10" t="s">
        <v>82</v>
      </c>
      <c r="GM18" s="10" t="s">
        <v>82</v>
      </c>
      <c r="GN18" s="10" t="s">
        <v>82</v>
      </c>
      <c r="GO18" s="10" t="s">
        <v>82</v>
      </c>
      <c r="GP18" s="10" t="s">
        <v>82</v>
      </c>
      <c r="GQ18" s="10" t="s">
        <v>82</v>
      </c>
      <c r="GR18" s="10" t="s">
        <v>82</v>
      </c>
      <c r="GS18" s="10" t="s">
        <v>82</v>
      </c>
      <c r="GT18" s="10" t="s">
        <v>82</v>
      </c>
      <c r="GU18" s="10" t="s">
        <v>82</v>
      </c>
      <c r="GV18" s="10" t="s">
        <v>82</v>
      </c>
      <c r="GW18" s="10" t="s">
        <v>82</v>
      </c>
      <c r="GX18" s="10" t="s">
        <v>82</v>
      </c>
      <c r="GY18" s="10" t="s">
        <v>82</v>
      </c>
      <c r="GZ18" s="10" t="s">
        <v>82</v>
      </c>
      <c r="HA18" s="10" t="s">
        <v>82</v>
      </c>
      <c r="HB18" s="10" t="s">
        <v>82</v>
      </c>
      <c r="HC18" s="10" t="s">
        <v>82</v>
      </c>
      <c r="HD18" s="10" t="s">
        <v>82</v>
      </c>
      <c r="HE18" s="10" t="s">
        <v>82</v>
      </c>
      <c r="HF18" s="10" t="s">
        <v>82</v>
      </c>
      <c r="HG18" s="10" t="s">
        <v>82</v>
      </c>
      <c r="HH18" s="10" t="s">
        <v>82</v>
      </c>
      <c r="HI18" s="10" t="s">
        <v>82</v>
      </c>
      <c r="HJ18" s="10" t="s">
        <v>82</v>
      </c>
      <c r="HK18" s="10" t="s">
        <v>82</v>
      </c>
      <c r="HL18" s="10" t="s">
        <v>82</v>
      </c>
      <c r="HM18" s="40" t="s">
        <v>82</v>
      </c>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s="191" customFormat="1" ht="69">
      <c r="A19" s="686"/>
      <c r="B19" s="13" t="s">
        <v>322</v>
      </c>
      <c r="C19" s="691"/>
      <c r="D19" s="100" t="s">
        <v>324</v>
      </c>
      <c r="E19" s="77" t="s">
        <v>65</v>
      </c>
      <c r="F19" s="77" t="s">
        <v>65</v>
      </c>
      <c r="G19" s="11" t="s">
        <v>65</v>
      </c>
      <c r="H19" s="11" t="s">
        <v>65</v>
      </c>
      <c r="I19" s="11" t="s">
        <v>65</v>
      </c>
      <c r="J19" s="364">
        <f>129.95*1.09068</f>
        <v>141.73386600000001</v>
      </c>
      <c r="K19" s="608" t="s">
        <v>265</v>
      </c>
      <c r="L19" s="609" t="s">
        <v>265</v>
      </c>
      <c r="M19" s="3" t="s">
        <v>988</v>
      </c>
      <c r="N19" s="10" t="s">
        <v>82</v>
      </c>
      <c r="O19" s="10" t="s">
        <v>558</v>
      </c>
      <c r="P19" s="10" t="s">
        <v>82</v>
      </c>
      <c r="Q19" s="10" t="s">
        <v>265</v>
      </c>
      <c r="R19" s="10" t="s">
        <v>265</v>
      </c>
      <c r="S19" s="10" t="s">
        <v>265</v>
      </c>
      <c r="T19" s="10" t="s">
        <v>265</v>
      </c>
      <c r="U19" s="40" t="s">
        <v>265</v>
      </c>
      <c r="V19" s="4">
        <v>600</v>
      </c>
      <c r="W19" s="41">
        <v>140</v>
      </c>
      <c r="X19" s="41">
        <v>100</v>
      </c>
      <c r="Y19" s="41">
        <v>150</v>
      </c>
      <c r="Z19" s="41">
        <f t="shared" si="2"/>
        <v>140</v>
      </c>
      <c r="AA19" s="593">
        <f t="shared" si="0"/>
        <v>2100000</v>
      </c>
      <c r="AB19" s="54" t="s">
        <v>265</v>
      </c>
      <c r="AC19" s="16" t="s">
        <v>265</v>
      </c>
      <c r="AD19" s="15" t="s">
        <v>265</v>
      </c>
      <c r="AE19" s="15" t="s">
        <v>265</v>
      </c>
      <c r="AF19" s="10" t="str">
        <f t="shared" si="3"/>
        <v>N.S</v>
      </c>
      <c r="AG19" s="15" t="s">
        <v>265</v>
      </c>
      <c r="AH19" s="10">
        <v>3</v>
      </c>
      <c r="AI19" s="10" t="str">
        <f t="shared" si="8"/>
        <v>N.S</v>
      </c>
      <c r="AJ19" s="10" t="s">
        <v>84</v>
      </c>
      <c r="AK19" s="10" t="s">
        <v>265</v>
      </c>
      <c r="AL19" s="42" t="str">
        <f t="shared" si="4"/>
        <v>N.S</v>
      </c>
      <c r="AM19" s="51" t="s">
        <v>265</v>
      </c>
      <c r="AN19" s="42" t="s">
        <v>265</v>
      </c>
      <c r="AO19" s="42" t="s">
        <v>265</v>
      </c>
      <c r="AP19" s="42" t="s">
        <v>265</v>
      </c>
      <c r="AQ19" s="238">
        <f>8*30*24</f>
        <v>5760</v>
      </c>
      <c r="AR19" s="611" t="s">
        <v>265</v>
      </c>
      <c r="AS19" s="604" t="str">
        <f t="shared" si="1"/>
        <v>N.S</v>
      </c>
      <c r="AT19" s="19" t="s">
        <v>265</v>
      </c>
      <c r="AU19" s="10" t="s">
        <v>265</v>
      </c>
      <c r="AV19" s="10" t="s">
        <v>265</v>
      </c>
      <c r="AW19" s="10" t="s">
        <v>265</v>
      </c>
      <c r="AX19" s="10" t="s">
        <v>265</v>
      </c>
      <c r="AY19" s="10" t="s">
        <v>265</v>
      </c>
      <c r="AZ19" s="10" t="s">
        <v>265</v>
      </c>
      <c r="BA19" s="37" t="s">
        <v>265</v>
      </c>
      <c r="BB19" s="605" t="s">
        <v>265</v>
      </c>
      <c r="BC19" s="606" t="s">
        <v>265</v>
      </c>
      <c r="BD19" s="37" t="s">
        <v>265</v>
      </c>
      <c r="BE19" s="3" t="s">
        <v>265</v>
      </c>
      <c r="BF19" s="37" t="s">
        <v>265</v>
      </c>
      <c r="BG19" s="4" t="s">
        <v>84</v>
      </c>
      <c r="BH19" s="13" t="s">
        <v>584</v>
      </c>
      <c r="BI19" s="10" t="s">
        <v>265</v>
      </c>
      <c r="BJ19" s="10" t="s">
        <v>265</v>
      </c>
      <c r="BK19" s="10" t="s">
        <v>265</v>
      </c>
      <c r="BL19" s="10" t="s">
        <v>265</v>
      </c>
      <c r="BM19" s="40" t="s">
        <v>265</v>
      </c>
      <c r="BN19" s="301" t="s">
        <v>265</v>
      </c>
      <c r="BO19" s="41" t="s">
        <v>265</v>
      </c>
      <c r="BP19" s="129" t="s">
        <v>265</v>
      </c>
      <c r="BQ19" s="4"/>
      <c r="BR19" s="37" t="s">
        <v>323</v>
      </c>
      <c r="BS19" s="4">
        <v>0</v>
      </c>
      <c r="BT19" s="128"/>
      <c r="BU19" s="128"/>
      <c r="BV19" s="10"/>
      <c r="BW19" s="40"/>
      <c r="BX19" s="295">
        <v>0</v>
      </c>
      <c r="BY19" s="128"/>
      <c r="BZ19" s="128"/>
      <c r="CA19" s="10"/>
      <c r="CB19" s="40"/>
      <c r="CC19" s="4">
        <v>0</v>
      </c>
      <c r="CD19" s="10">
        <v>0</v>
      </c>
      <c r="CE19" s="128"/>
      <c r="CF19" s="128"/>
      <c r="CG19" s="128"/>
      <c r="CH19" s="128"/>
      <c r="CI19" s="128"/>
      <c r="CJ19" s="128"/>
      <c r="CK19" s="128"/>
      <c r="CL19" s="128"/>
      <c r="CM19" s="121"/>
      <c r="CN19" s="16">
        <v>0</v>
      </c>
      <c r="CO19" s="15">
        <v>0</v>
      </c>
      <c r="CP19" s="10"/>
      <c r="CQ19" s="10"/>
      <c r="CR19" s="10"/>
      <c r="CS19" s="10"/>
      <c r="CT19" s="10"/>
      <c r="CU19" s="10"/>
      <c r="CV19" s="10"/>
      <c r="CW19" s="10"/>
      <c r="CX19" s="121"/>
      <c r="CY19" s="16">
        <v>0</v>
      </c>
      <c r="CZ19" s="15">
        <v>0</v>
      </c>
      <c r="DA19" s="10"/>
      <c r="DB19" s="10"/>
      <c r="DC19" s="10"/>
      <c r="DD19" s="10"/>
      <c r="DE19" s="10"/>
      <c r="DF19" s="10"/>
      <c r="DG19" s="10"/>
      <c r="DH19" s="10"/>
      <c r="DI19" s="121"/>
      <c r="DJ19" s="4">
        <v>1</v>
      </c>
      <c r="DK19" s="128"/>
      <c r="DL19" s="128">
        <f>LOG(37996/800,2)</f>
        <v>5.5697037377017331</v>
      </c>
      <c r="DM19" s="10">
        <v>0</v>
      </c>
      <c r="DN19" s="40">
        <v>37996</v>
      </c>
      <c r="DO19" s="4">
        <v>0</v>
      </c>
      <c r="DP19" s="10"/>
      <c r="DQ19" s="128">
        <f>LOG(1/0.05,2)</f>
        <v>4.3219280948873626</v>
      </c>
      <c r="DR19" s="10">
        <v>40</v>
      </c>
      <c r="DS19" s="40">
        <v>180</v>
      </c>
      <c r="DT19" s="4">
        <v>0</v>
      </c>
      <c r="DU19" s="10"/>
      <c r="DV19" s="10"/>
      <c r="DW19" s="10"/>
      <c r="DX19" s="40"/>
      <c r="DY19" s="4">
        <v>0</v>
      </c>
      <c r="DZ19" s="10"/>
      <c r="EA19" s="10"/>
      <c r="EB19" s="10"/>
      <c r="EC19" s="40"/>
      <c r="ED19" s="4">
        <v>0</v>
      </c>
      <c r="EE19" s="10"/>
      <c r="EF19" s="10"/>
      <c r="EG19" s="10"/>
      <c r="EH19" s="40"/>
      <c r="EI19" s="4">
        <v>0</v>
      </c>
      <c r="EJ19" s="10"/>
      <c r="EK19" s="10"/>
      <c r="EL19" s="10"/>
      <c r="EM19" s="40"/>
      <c r="EN19" s="4">
        <v>0</v>
      </c>
      <c r="EO19" s="10"/>
      <c r="EP19" s="10"/>
      <c r="EQ19" s="10"/>
      <c r="ER19" s="40"/>
      <c r="ES19" s="4">
        <v>0</v>
      </c>
      <c r="ET19" s="10"/>
      <c r="EU19" s="10"/>
      <c r="EV19" s="10"/>
      <c r="EW19" s="40"/>
      <c r="EX19" s="4">
        <v>0</v>
      </c>
      <c r="EY19" s="10"/>
      <c r="EZ19" s="10"/>
      <c r="FA19" s="10"/>
      <c r="FB19" s="40"/>
      <c r="FC19" s="4">
        <v>0</v>
      </c>
      <c r="FD19" s="10"/>
      <c r="FE19" s="10"/>
      <c r="FF19" s="10"/>
      <c r="FG19" s="40"/>
      <c r="FH19" s="4">
        <v>0</v>
      </c>
      <c r="FI19" s="10"/>
      <c r="FJ19" s="10"/>
      <c r="FK19" s="10"/>
      <c r="FL19" s="40"/>
      <c r="FM19" s="4">
        <v>0</v>
      </c>
      <c r="FN19" s="10"/>
      <c r="FO19" s="10"/>
      <c r="FP19" s="10"/>
      <c r="FQ19" s="40"/>
      <c r="FR19" s="4">
        <v>0</v>
      </c>
      <c r="FS19" s="10"/>
      <c r="FT19" s="10"/>
      <c r="FU19" s="10"/>
      <c r="FV19" s="40"/>
      <c r="FW19" s="4">
        <v>0</v>
      </c>
      <c r="FX19" s="10"/>
      <c r="FY19" s="10"/>
      <c r="FZ19" s="10"/>
      <c r="GA19" s="40"/>
      <c r="GB19" s="4"/>
      <c r="GC19" s="10"/>
      <c r="GD19" s="10"/>
      <c r="GE19" s="10"/>
      <c r="GF19" s="40"/>
      <c r="GG19" s="10">
        <f t="shared" si="5"/>
        <v>1</v>
      </c>
      <c r="GH19" s="10" t="str">
        <f t="shared" si="6"/>
        <v/>
      </c>
      <c r="GI19" s="37" t="str">
        <f t="shared" si="7"/>
        <v/>
      </c>
      <c r="GJ19" s="4" t="s">
        <v>82</v>
      </c>
      <c r="GK19" s="10" t="s">
        <v>82</v>
      </c>
      <c r="GL19" s="10" t="s">
        <v>82</v>
      </c>
      <c r="GM19" s="10" t="s">
        <v>82</v>
      </c>
      <c r="GN19" s="10" t="s">
        <v>82</v>
      </c>
      <c r="GO19" s="10" t="s">
        <v>82</v>
      </c>
      <c r="GP19" s="10" t="s">
        <v>82</v>
      </c>
      <c r="GQ19" s="10" t="s">
        <v>82</v>
      </c>
      <c r="GR19" s="10" t="s">
        <v>82</v>
      </c>
      <c r="GS19" s="10" t="s">
        <v>82</v>
      </c>
      <c r="GT19" s="10" t="s">
        <v>82</v>
      </c>
      <c r="GU19" s="10" t="s">
        <v>82</v>
      </c>
      <c r="GV19" s="10" t="s">
        <v>82</v>
      </c>
      <c r="GW19" s="10" t="s">
        <v>82</v>
      </c>
      <c r="GX19" s="10" t="s">
        <v>82</v>
      </c>
      <c r="GY19" s="10" t="s">
        <v>82</v>
      </c>
      <c r="GZ19" s="10" t="s">
        <v>82</v>
      </c>
      <c r="HA19" s="10" t="s">
        <v>82</v>
      </c>
      <c r="HB19" s="10" t="s">
        <v>82</v>
      </c>
      <c r="HC19" s="10" t="s">
        <v>82</v>
      </c>
      <c r="HD19" s="10" t="s">
        <v>82</v>
      </c>
      <c r="HE19" s="10" t="s">
        <v>82</v>
      </c>
      <c r="HF19" s="10" t="s">
        <v>82</v>
      </c>
      <c r="HG19" s="10" t="s">
        <v>82</v>
      </c>
      <c r="HH19" s="10" t="s">
        <v>82</v>
      </c>
      <c r="HI19" s="10" t="s">
        <v>82</v>
      </c>
      <c r="HJ19" s="10" t="s">
        <v>82</v>
      </c>
      <c r="HK19" s="10" t="s">
        <v>82</v>
      </c>
      <c r="HL19" s="10" t="s">
        <v>82</v>
      </c>
      <c r="HM19" s="40" t="s">
        <v>82</v>
      </c>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s="60" customFormat="1" ht="14.4" thickBot="1">
      <c r="A20" s="686"/>
      <c r="B20" s="41" t="s">
        <v>265</v>
      </c>
      <c r="C20" s="41" t="s">
        <v>265</v>
      </c>
      <c r="D20" s="41" t="s">
        <v>265</v>
      </c>
      <c r="E20" s="302" t="s">
        <v>65</v>
      </c>
      <c r="F20" s="302" t="s">
        <v>65</v>
      </c>
      <c r="G20" s="302" t="s">
        <v>65</v>
      </c>
      <c r="H20" s="302" t="s">
        <v>65</v>
      </c>
      <c r="I20" s="302" t="s">
        <v>65</v>
      </c>
      <c r="J20" s="608">
        <v>19.95</v>
      </c>
      <c r="K20" s="608" t="s">
        <v>265</v>
      </c>
      <c r="L20" s="609" t="s">
        <v>265</v>
      </c>
      <c r="M20" s="4" t="s">
        <v>265</v>
      </c>
      <c r="N20" s="10" t="s">
        <v>265</v>
      </c>
      <c r="O20" s="10" t="s">
        <v>265</v>
      </c>
      <c r="P20" s="10" t="s">
        <v>265</v>
      </c>
      <c r="Q20" s="10" t="s">
        <v>265</v>
      </c>
      <c r="R20" s="10" t="s">
        <v>265</v>
      </c>
      <c r="S20" s="10" t="s">
        <v>265</v>
      </c>
      <c r="T20" s="10" t="s">
        <v>265</v>
      </c>
      <c r="U20" s="40" t="s">
        <v>789</v>
      </c>
      <c r="V20" s="4" t="s">
        <v>265</v>
      </c>
      <c r="W20" s="41" t="s">
        <v>265</v>
      </c>
      <c r="X20" s="41" t="s">
        <v>265</v>
      </c>
      <c r="Y20" s="41" t="s">
        <v>265</v>
      </c>
      <c r="Z20" s="41" t="str">
        <f t="shared" si="2"/>
        <v>N.S</v>
      </c>
      <c r="AA20" s="593" t="str">
        <f t="shared" si="0"/>
        <v>N.S</v>
      </c>
      <c r="AB20" s="40" t="s">
        <v>265</v>
      </c>
      <c r="AC20" s="236" t="s">
        <v>265</v>
      </c>
      <c r="AD20" s="128" t="s">
        <v>265</v>
      </c>
      <c r="AE20" s="10" t="s">
        <v>265</v>
      </c>
      <c r="AF20" s="10" t="str">
        <f t="shared" si="3"/>
        <v>N.S</v>
      </c>
      <c r="AG20" s="15" t="s">
        <v>265</v>
      </c>
      <c r="AH20" s="15" t="s">
        <v>265</v>
      </c>
      <c r="AI20" s="10" t="str">
        <f t="shared" si="8"/>
        <v>N.S</v>
      </c>
      <c r="AJ20" s="10" t="s">
        <v>265</v>
      </c>
      <c r="AK20" s="10" t="s">
        <v>265</v>
      </c>
      <c r="AL20" s="42" t="s">
        <v>265</v>
      </c>
      <c r="AM20" s="42" t="s">
        <v>265</v>
      </c>
      <c r="AN20" s="42" t="s">
        <v>265</v>
      </c>
      <c r="AO20" s="42" t="s">
        <v>265</v>
      </c>
      <c r="AP20" s="42" t="s">
        <v>265</v>
      </c>
      <c r="AQ20" s="238" t="s">
        <v>265</v>
      </c>
      <c r="AR20" s="614" t="s">
        <v>265</v>
      </c>
      <c r="AS20" s="604" t="str">
        <f t="shared" si="1"/>
        <v>N.S</v>
      </c>
      <c r="AT20" s="19" t="s">
        <v>265</v>
      </c>
      <c r="AU20" s="10" t="s">
        <v>265</v>
      </c>
      <c r="AV20" s="10" t="s">
        <v>265</v>
      </c>
      <c r="AW20" s="10" t="s">
        <v>265</v>
      </c>
      <c r="AX20" s="10" t="s">
        <v>265</v>
      </c>
      <c r="AY20" s="10" t="s">
        <v>265</v>
      </c>
      <c r="AZ20" s="10" t="s">
        <v>265</v>
      </c>
      <c r="BA20" s="37" t="s">
        <v>265</v>
      </c>
      <c r="BB20" s="605" t="s">
        <v>265</v>
      </c>
      <c r="BC20" s="606" t="s">
        <v>265</v>
      </c>
      <c r="BD20" s="37" t="s">
        <v>265</v>
      </c>
      <c r="BE20" s="3" t="s">
        <v>265</v>
      </c>
      <c r="BF20" s="37" t="s">
        <v>265</v>
      </c>
      <c r="BG20" s="4" t="s">
        <v>265</v>
      </c>
      <c r="BH20" s="13" t="s">
        <v>265</v>
      </c>
      <c r="BI20" s="10" t="s">
        <v>265</v>
      </c>
      <c r="BJ20" s="10" t="s">
        <v>265</v>
      </c>
      <c r="BK20" s="10" t="s">
        <v>265</v>
      </c>
      <c r="BL20" s="10" t="s">
        <v>265</v>
      </c>
      <c r="BM20" s="40" t="s">
        <v>265</v>
      </c>
      <c r="BN20" s="301" t="s">
        <v>265</v>
      </c>
      <c r="BO20" s="41" t="s">
        <v>265</v>
      </c>
      <c r="BP20" s="129" t="s">
        <v>265</v>
      </c>
      <c r="BQ20" s="5"/>
      <c r="BR20" s="172"/>
      <c r="BS20" s="4">
        <v>0</v>
      </c>
      <c r="BT20" s="128"/>
      <c r="BU20" s="128"/>
      <c r="BV20" s="10"/>
      <c r="BW20" s="40"/>
      <c r="BX20" s="295">
        <v>0</v>
      </c>
      <c r="BY20" s="128"/>
      <c r="BZ20" s="128"/>
      <c r="CA20" s="10"/>
      <c r="CB20" s="40"/>
      <c r="CC20" s="4">
        <v>0</v>
      </c>
      <c r="CD20" s="10">
        <v>0</v>
      </c>
      <c r="CE20" s="128"/>
      <c r="CF20" s="128"/>
      <c r="CG20" s="128"/>
      <c r="CH20" s="128"/>
      <c r="CI20" s="128"/>
      <c r="CJ20" s="128"/>
      <c r="CK20" s="128"/>
      <c r="CL20" s="128"/>
      <c r="CM20" s="121"/>
      <c r="CN20" s="16">
        <v>0</v>
      </c>
      <c r="CO20" s="15">
        <v>0</v>
      </c>
      <c r="CP20" s="10"/>
      <c r="CQ20" s="10"/>
      <c r="CR20" s="10"/>
      <c r="CS20" s="10"/>
      <c r="CT20" s="10"/>
      <c r="CU20" s="10"/>
      <c r="CV20" s="10"/>
      <c r="CW20" s="10"/>
      <c r="CX20" s="121"/>
      <c r="CY20" s="16">
        <v>0</v>
      </c>
      <c r="CZ20" s="15">
        <v>0</v>
      </c>
      <c r="DA20" s="10"/>
      <c r="DB20" s="10"/>
      <c r="DC20" s="10"/>
      <c r="DD20" s="10"/>
      <c r="DE20" s="10"/>
      <c r="DF20" s="10"/>
      <c r="DG20" s="10"/>
      <c r="DH20" s="10"/>
      <c r="DI20" s="121"/>
      <c r="DJ20" s="4">
        <v>0</v>
      </c>
      <c r="DK20" s="128"/>
      <c r="DL20" s="128"/>
      <c r="DM20" s="10"/>
      <c r="DN20" s="40"/>
      <c r="DO20" s="4">
        <v>0</v>
      </c>
      <c r="DP20" s="10"/>
      <c r="DQ20" s="128"/>
      <c r="DR20" s="10"/>
      <c r="DS20" s="40"/>
      <c r="DT20" s="4">
        <v>0</v>
      </c>
      <c r="DU20" s="10"/>
      <c r="DV20" s="10"/>
      <c r="DW20" s="10"/>
      <c r="DX20" s="40"/>
      <c r="DY20" s="4">
        <v>0</v>
      </c>
      <c r="DZ20" s="10"/>
      <c r="EA20" s="10"/>
      <c r="EB20" s="10"/>
      <c r="EC20" s="40"/>
      <c r="ED20" s="4">
        <v>0</v>
      </c>
      <c r="EE20" s="10"/>
      <c r="EF20" s="10"/>
      <c r="EG20" s="10"/>
      <c r="EH20" s="40"/>
      <c r="EI20" s="4">
        <v>0</v>
      </c>
      <c r="EJ20" s="10"/>
      <c r="EK20" s="10"/>
      <c r="EL20" s="10"/>
      <c r="EM20" s="40"/>
      <c r="EN20" s="4">
        <v>0</v>
      </c>
      <c r="EO20" s="10"/>
      <c r="EP20" s="10"/>
      <c r="EQ20" s="10"/>
      <c r="ER20" s="40"/>
      <c r="ES20" s="4">
        <v>0</v>
      </c>
      <c r="ET20" s="10"/>
      <c r="EU20" s="10"/>
      <c r="EV20" s="10"/>
      <c r="EW20" s="40"/>
      <c r="EX20" s="4">
        <v>0</v>
      </c>
      <c r="EY20" s="10"/>
      <c r="EZ20" s="10"/>
      <c r="FA20" s="10"/>
      <c r="FB20" s="40"/>
      <c r="FC20" s="4">
        <v>0</v>
      </c>
      <c r="FD20" s="10"/>
      <c r="FE20" s="10"/>
      <c r="FF20" s="10"/>
      <c r="FG20" s="40"/>
      <c r="FH20" s="4">
        <v>0</v>
      </c>
      <c r="FI20" s="10"/>
      <c r="FJ20" s="10"/>
      <c r="FK20" s="10"/>
      <c r="FL20" s="40"/>
      <c r="FM20" s="4">
        <v>0</v>
      </c>
      <c r="FN20" s="10"/>
      <c r="FO20" s="10"/>
      <c r="FP20" s="10"/>
      <c r="FQ20" s="40"/>
      <c r="FR20" s="4">
        <v>0</v>
      </c>
      <c r="FS20" s="10"/>
      <c r="FT20" s="10"/>
      <c r="FU20" s="10"/>
      <c r="FV20" s="40"/>
      <c r="FW20" s="4">
        <v>0</v>
      </c>
      <c r="FX20" s="10"/>
      <c r="FY20" s="10"/>
      <c r="FZ20" s="10"/>
      <c r="GA20" s="40"/>
      <c r="GB20" s="4"/>
      <c r="GC20" s="10"/>
      <c r="GD20" s="10"/>
      <c r="GE20" s="10"/>
      <c r="GF20" s="40"/>
      <c r="GG20" s="10">
        <f t="shared" si="5"/>
        <v>1</v>
      </c>
      <c r="GH20" s="10" t="str">
        <f t="shared" si="6"/>
        <v/>
      </c>
      <c r="GI20" s="37" t="str">
        <f t="shared" si="7"/>
        <v/>
      </c>
      <c r="GJ20" s="4" t="s">
        <v>82</v>
      </c>
      <c r="GK20" s="10" t="s">
        <v>82</v>
      </c>
      <c r="GL20" s="10" t="s">
        <v>82</v>
      </c>
      <c r="GM20" s="10" t="s">
        <v>82</v>
      </c>
      <c r="GN20" s="10" t="s">
        <v>82</v>
      </c>
      <c r="GO20" s="10" t="s">
        <v>82</v>
      </c>
      <c r="GP20" s="10" t="s">
        <v>82</v>
      </c>
      <c r="GQ20" s="10" t="s">
        <v>82</v>
      </c>
      <c r="GR20" s="10" t="s">
        <v>82</v>
      </c>
      <c r="GS20" s="10" t="s">
        <v>82</v>
      </c>
      <c r="GT20" s="10" t="s">
        <v>82</v>
      </c>
      <c r="GU20" s="10" t="s">
        <v>82</v>
      </c>
      <c r="GV20" s="10" t="s">
        <v>82</v>
      </c>
      <c r="GW20" s="10" t="s">
        <v>82</v>
      </c>
      <c r="GX20" s="10" t="s">
        <v>82</v>
      </c>
      <c r="GY20" s="10" t="s">
        <v>82</v>
      </c>
      <c r="GZ20" s="10" t="s">
        <v>82</v>
      </c>
      <c r="HA20" s="10" t="s">
        <v>82</v>
      </c>
      <c r="HB20" s="10" t="s">
        <v>82</v>
      </c>
      <c r="HC20" s="10" t="s">
        <v>82</v>
      </c>
      <c r="HD20" s="10" t="s">
        <v>82</v>
      </c>
      <c r="HE20" s="10" t="s">
        <v>82</v>
      </c>
      <c r="HF20" s="10" t="s">
        <v>82</v>
      </c>
      <c r="HG20" s="10" t="s">
        <v>82</v>
      </c>
      <c r="HH20" s="10" t="s">
        <v>82</v>
      </c>
      <c r="HI20" s="10" t="s">
        <v>82</v>
      </c>
      <c r="HJ20" s="10" t="s">
        <v>82</v>
      </c>
      <c r="HK20" s="10" t="s">
        <v>82</v>
      </c>
      <c r="HL20" s="10" t="s">
        <v>82</v>
      </c>
      <c r="HM20" s="40" t="s">
        <v>82</v>
      </c>
    </row>
    <row r="21" spans="1:247" ht="114" customHeight="1">
      <c r="A21" s="692" t="s">
        <v>886</v>
      </c>
      <c r="B21" s="104" t="s">
        <v>0</v>
      </c>
      <c r="C21" s="687" t="s">
        <v>219</v>
      </c>
      <c r="D21" s="41" t="s">
        <v>105</v>
      </c>
      <c r="E21" s="77" t="s">
        <v>124</v>
      </c>
      <c r="F21" s="77" t="s">
        <v>124</v>
      </c>
      <c r="G21" s="10" t="s">
        <v>65</v>
      </c>
      <c r="H21" s="714" t="s">
        <v>65</v>
      </c>
      <c r="I21" s="703" t="s">
        <v>65</v>
      </c>
      <c r="J21" s="601">
        <v>125</v>
      </c>
      <c r="K21" s="608" t="s">
        <v>265</v>
      </c>
      <c r="L21" s="609" t="s">
        <v>265</v>
      </c>
      <c r="M21" s="4" t="s">
        <v>82</v>
      </c>
      <c r="N21" s="13" t="s">
        <v>989</v>
      </c>
      <c r="O21" s="13" t="s">
        <v>558</v>
      </c>
      <c r="P21" s="10" t="s">
        <v>84</v>
      </c>
      <c r="Q21" s="10" t="s">
        <v>265</v>
      </c>
      <c r="R21" s="10">
        <v>3</v>
      </c>
      <c r="S21" s="10">
        <v>10</v>
      </c>
      <c r="T21" s="10" t="s">
        <v>265</v>
      </c>
      <c r="U21" s="40" t="s">
        <v>265</v>
      </c>
      <c r="V21" s="4">
        <v>63</v>
      </c>
      <c r="W21" s="41">
        <f>2.25*25.4</f>
        <v>57.15</v>
      </c>
      <c r="X21" s="41">
        <f>1.24*25.4</f>
        <v>31.495999999999999</v>
      </c>
      <c r="Y21" s="41">
        <f>0.24*25.4</f>
        <v>6.0959999999999992</v>
      </c>
      <c r="Z21" s="41">
        <f t="shared" si="2"/>
        <v>57.15</v>
      </c>
      <c r="AA21" s="593">
        <f>IF(W21="N.S", "N.S", IF(X21="N.S", "N.S", IF(Y21="N.S", "N.S",W21*X21*Y21)))</f>
        <v>10972.778054399998</v>
      </c>
      <c r="AB21" s="40" t="s">
        <v>265</v>
      </c>
      <c r="AC21" s="236">
        <v>2.7</v>
      </c>
      <c r="AD21" s="128">
        <v>3.3</v>
      </c>
      <c r="AE21" s="10">
        <v>8</v>
      </c>
      <c r="AF21" s="10">
        <f t="shared" si="3"/>
        <v>2.4E-2</v>
      </c>
      <c r="AG21" s="10" t="s">
        <v>265</v>
      </c>
      <c r="AH21" s="10">
        <f>2*1.15</f>
        <v>2.2999999999999998</v>
      </c>
      <c r="AI21" s="10">
        <f t="shared" si="8"/>
        <v>24839.999999999996</v>
      </c>
      <c r="AJ21" s="42" t="s">
        <v>82</v>
      </c>
      <c r="AK21" s="42" t="s">
        <v>84</v>
      </c>
      <c r="AL21" s="42">
        <f t="shared" si="4"/>
        <v>2.4E-2</v>
      </c>
      <c r="AM21" s="42">
        <f>AC21*0.000015</f>
        <v>4.0500000000000002E-5</v>
      </c>
      <c r="AN21" s="42">
        <f>AL21*AQ1+AM21*(1-AQ1)</f>
        <v>2.8009500000000001E-4</v>
      </c>
      <c r="AO21" s="42" t="s">
        <v>265</v>
      </c>
      <c r="AP21" s="42" t="s">
        <v>265</v>
      </c>
      <c r="AQ21" s="42">
        <v>8760</v>
      </c>
      <c r="AR21" s="611">
        <f>IF(AN21=0,"N.S",AI21/(AN21*3600))</f>
        <v>24634.499009264709</v>
      </c>
      <c r="AS21" s="604">
        <f t="shared" ref="AS21:AS78" si="9">IF(AN21="N.S","N.S",0.25*3/(AN21))</f>
        <v>2677.6629357896427</v>
      </c>
      <c r="AT21" s="360" t="s">
        <v>104</v>
      </c>
      <c r="AU21" s="104" t="s">
        <v>265</v>
      </c>
      <c r="AV21" s="104" t="s">
        <v>265</v>
      </c>
      <c r="AW21" s="104" t="s">
        <v>265</v>
      </c>
      <c r="AX21" s="104">
        <v>128</v>
      </c>
      <c r="AY21" s="104">
        <v>4</v>
      </c>
      <c r="AZ21" s="104" t="s">
        <v>265</v>
      </c>
      <c r="BA21" s="290" t="s">
        <v>265</v>
      </c>
      <c r="BB21" s="359" t="s">
        <v>265</v>
      </c>
      <c r="BC21" s="617">
        <v>39</v>
      </c>
      <c r="BD21" s="388" t="s">
        <v>587</v>
      </c>
      <c r="BE21" s="3" t="s">
        <v>588</v>
      </c>
      <c r="BF21" s="290" t="s">
        <v>265</v>
      </c>
      <c r="BG21" s="4" t="s">
        <v>84</v>
      </c>
      <c r="BH21" s="13" t="s">
        <v>265</v>
      </c>
      <c r="BI21" s="10" t="s">
        <v>265</v>
      </c>
      <c r="BJ21" s="13" t="s">
        <v>586</v>
      </c>
      <c r="BK21" s="10" t="s">
        <v>265</v>
      </c>
      <c r="BL21" s="10">
        <v>-101</v>
      </c>
      <c r="BM21" s="40">
        <v>10</v>
      </c>
      <c r="BN21" s="301" t="s">
        <v>265</v>
      </c>
      <c r="BO21" s="41" t="s">
        <v>265</v>
      </c>
      <c r="BP21" s="129" t="s">
        <v>265</v>
      </c>
      <c r="BQ21" s="6"/>
      <c r="BR21" s="173"/>
      <c r="BS21" s="4">
        <v>0</v>
      </c>
      <c r="BT21" s="128"/>
      <c r="BU21" s="128"/>
      <c r="BV21" s="10"/>
      <c r="BW21" s="40"/>
      <c r="BX21" s="295">
        <v>0</v>
      </c>
      <c r="BY21" s="128"/>
      <c r="BZ21" s="128"/>
      <c r="CA21" s="10"/>
      <c r="CB21" s="40"/>
      <c r="CC21" s="4">
        <v>0</v>
      </c>
      <c r="CD21" s="10">
        <v>0</v>
      </c>
      <c r="CE21" s="128"/>
      <c r="CF21" s="128"/>
      <c r="CG21" s="128"/>
      <c r="CH21" s="128"/>
      <c r="CI21" s="128"/>
      <c r="CJ21" s="128"/>
      <c r="CK21" s="128"/>
      <c r="CL21" s="128"/>
      <c r="CM21" s="121"/>
      <c r="CN21" s="16">
        <v>0</v>
      </c>
      <c r="CO21" s="15">
        <v>0</v>
      </c>
      <c r="CP21" s="10"/>
      <c r="CQ21" s="10"/>
      <c r="CR21" s="10"/>
      <c r="CS21" s="10"/>
      <c r="CT21" s="10"/>
      <c r="CU21" s="10"/>
      <c r="CV21" s="10"/>
      <c r="CW21" s="10"/>
      <c r="CX21" s="121"/>
      <c r="CY21" s="16">
        <v>0</v>
      </c>
      <c r="CZ21" s="15">
        <v>0</v>
      </c>
      <c r="DA21" s="10"/>
      <c r="DB21" s="10"/>
      <c r="DC21" s="10"/>
      <c r="DD21" s="10"/>
      <c r="DE21" s="10"/>
      <c r="DF21" s="10"/>
      <c r="DG21" s="10"/>
      <c r="DH21" s="10"/>
      <c r="DI21" s="121"/>
      <c r="DJ21" s="4">
        <v>0</v>
      </c>
      <c r="DK21" s="128"/>
      <c r="DL21" s="128"/>
      <c r="DM21" s="10"/>
      <c r="DN21" s="40"/>
      <c r="DO21" s="4">
        <v>0</v>
      </c>
      <c r="DP21" s="10"/>
      <c r="DQ21" s="128"/>
      <c r="DR21" s="10"/>
      <c r="DS21" s="40"/>
      <c r="DT21" s="4">
        <v>0</v>
      </c>
      <c r="DU21" s="10"/>
      <c r="DV21" s="10"/>
      <c r="DW21" s="10"/>
      <c r="DX21" s="40"/>
      <c r="DY21" s="4">
        <v>0</v>
      </c>
      <c r="DZ21" s="10"/>
      <c r="EA21" s="10"/>
      <c r="EB21" s="10"/>
      <c r="EC21" s="40"/>
      <c r="ED21" s="4">
        <v>0</v>
      </c>
      <c r="EE21" s="10"/>
      <c r="EF21" s="10"/>
      <c r="EG21" s="10"/>
      <c r="EH21" s="40"/>
      <c r="EI21" s="4">
        <v>0</v>
      </c>
      <c r="EJ21" s="10"/>
      <c r="EK21" s="10"/>
      <c r="EL21" s="10"/>
      <c r="EM21" s="40"/>
      <c r="EN21" s="4">
        <v>0</v>
      </c>
      <c r="EO21" s="10"/>
      <c r="EP21" s="10"/>
      <c r="EQ21" s="10"/>
      <c r="ER21" s="40"/>
      <c r="ES21" s="4">
        <v>0</v>
      </c>
      <c r="ET21" s="10"/>
      <c r="EU21" s="10"/>
      <c r="EV21" s="10"/>
      <c r="EW21" s="40"/>
      <c r="EX21" s="4">
        <v>0</v>
      </c>
      <c r="EY21" s="10"/>
      <c r="EZ21" s="10"/>
      <c r="FA21" s="10"/>
      <c r="FB21" s="40"/>
      <c r="FC21" s="4">
        <v>0</v>
      </c>
      <c r="FD21" s="10"/>
      <c r="FE21" s="10"/>
      <c r="FF21" s="10"/>
      <c r="FG21" s="40"/>
      <c r="FH21" s="4">
        <v>0</v>
      </c>
      <c r="FI21" s="10"/>
      <c r="FJ21" s="10"/>
      <c r="FK21" s="10"/>
      <c r="FL21" s="40"/>
      <c r="FM21" s="4">
        <v>0</v>
      </c>
      <c r="FN21" s="10"/>
      <c r="FO21" s="10"/>
      <c r="FP21" s="10"/>
      <c r="FQ21" s="40"/>
      <c r="FR21" s="4">
        <v>0</v>
      </c>
      <c r="FS21" s="10"/>
      <c r="FT21" s="10"/>
      <c r="FU21" s="10"/>
      <c r="FV21" s="40"/>
      <c r="FW21" s="4">
        <v>0</v>
      </c>
      <c r="FX21" s="10"/>
      <c r="FY21" s="10"/>
      <c r="FZ21" s="10"/>
      <c r="GA21" s="40"/>
      <c r="GB21" s="4"/>
      <c r="GC21" s="10"/>
      <c r="GD21" s="10"/>
      <c r="GE21" s="10"/>
      <c r="GF21" s="40"/>
      <c r="GG21" s="10">
        <f t="shared" si="5"/>
        <v>1</v>
      </c>
      <c r="GH21" s="10" t="str">
        <f t="shared" si="6"/>
        <v/>
      </c>
      <c r="GI21" s="37" t="str">
        <f t="shared" si="7"/>
        <v/>
      </c>
      <c r="GJ21" s="4" t="s">
        <v>82</v>
      </c>
      <c r="GK21" s="10" t="s">
        <v>82</v>
      </c>
      <c r="GL21" s="10">
        <v>1</v>
      </c>
      <c r="GM21" s="10" t="s">
        <v>82</v>
      </c>
      <c r="GN21" s="10" t="s">
        <v>82</v>
      </c>
      <c r="GO21" s="10" t="s">
        <v>82</v>
      </c>
      <c r="GP21" s="10">
        <v>1</v>
      </c>
      <c r="GQ21" s="10">
        <v>1</v>
      </c>
      <c r="GR21" s="10" t="s">
        <v>82</v>
      </c>
      <c r="GS21" s="10" t="s">
        <v>82</v>
      </c>
      <c r="GT21" s="10" t="s">
        <v>82</v>
      </c>
      <c r="GU21" s="10" t="s">
        <v>82</v>
      </c>
      <c r="GV21" s="10" t="s">
        <v>82</v>
      </c>
      <c r="GW21" s="10" t="s">
        <v>82</v>
      </c>
      <c r="GX21" s="10" t="s">
        <v>82</v>
      </c>
      <c r="GY21" s="10" t="s">
        <v>82</v>
      </c>
      <c r="GZ21" s="10" t="s">
        <v>82</v>
      </c>
      <c r="HA21" s="10" t="s">
        <v>82</v>
      </c>
      <c r="HB21" s="10" t="s">
        <v>82</v>
      </c>
      <c r="HC21" s="10" t="s">
        <v>82</v>
      </c>
      <c r="HD21" s="10" t="s">
        <v>82</v>
      </c>
      <c r="HE21" s="10" t="s">
        <v>82</v>
      </c>
      <c r="HF21" s="10" t="s">
        <v>82</v>
      </c>
      <c r="HG21" s="10" t="s">
        <v>82</v>
      </c>
      <c r="HH21" s="10" t="s">
        <v>82</v>
      </c>
      <c r="HI21" s="10" t="s">
        <v>82</v>
      </c>
      <c r="HJ21" s="10" t="s">
        <v>82</v>
      </c>
      <c r="HK21" s="10" t="s">
        <v>82</v>
      </c>
      <c r="HL21" s="10" t="s">
        <v>82</v>
      </c>
      <c r="HM21" s="40" t="s">
        <v>82</v>
      </c>
    </row>
    <row r="22" spans="1:247" ht="69">
      <c r="A22" s="693"/>
      <c r="B22" s="104" t="s">
        <v>92</v>
      </c>
      <c r="C22" s="687"/>
      <c r="D22" s="100" t="s">
        <v>97</v>
      </c>
      <c r="E22" s="39" t="s">
        <v>124</v>
      </c>
      <c r="F22" s="39" t="s">
        <v>65</v>
      </c>
      <c r="G22" s="10" t="s">
        <v>65</v>
      </c>
      <c r="H22" s="714"/>
      <c r="I22" s="703"/>
      <c r="J22" s="607" t="s">
        <v>265</v>
      </c>
      <c r="K22" s="608" t="s">
        <v>265</v>
      </c>
      <c r="L22" s="609" t="s">
        <v>265</v>
      </c>
      <c r="M22" s="3" t="s">
        <v>467</v>
      </c>
      <c r="N22" s="10" t="s">
        <v>265</v>
      </c>
      <c r="O22" s="10" t="s">
        <v>558</v>
      </c>
      <c r="P22" s="13" t="s">
        <v>265</v>
      </c>
      <c r="Q22" s="10" t="s">
        <v>265</v>
      </c>
      <c r="R22" s="10" t="s">
        <v>265</v>
      </c>
      <c r="S22" s="10" t="s">
        <v>265</v>
      </c>
      <c r="T22" s="10" t="s">
        <v>265</v>
      </c>
      <c r="U22" s="40" t="s">
        <v>265</v>
      </c>
      <c r="V22" s="4">
        <v>213</v>
      </c>
      <c r="W22" s="41">
        <v>114</v>
      </c>
      <c r="X22" s="41">
        <v>114</v>
      </c>
      <c r="Y22" s="41">
        <v>22</v>
      </c>
      <c r="Z22" s="41">
        <f t="shared" si="2"/>
        <v>114</v>
      </c>
      <c r="AA22" s="593">
        <f t="shared" ref="AA22:AA78" si="10">IF(W22="N.S", "N.S", IF(X22="N.S", "N.S", IF(Y22="N.S", "N.S",W22*X22*Y22)))</f>
        <v>285912</v>
      </c>
      <c r="AB22" s="40" t="s">
        <v>265</v>
      </c>
      <c r="AC22" s="236">
        <v>3.2</v>
      </c>
      <c r="AD22" s="128">
        <v>4.2</v>
      </c>
      <c r="AE22" s="10" t="s">
        <v>265</v>
      </c>
      <c r="AF22" s="10" t="str">
        <f t="shared" si="3"/>
        <v>N.S</v>
      </c>
      <c r="AG22" s="10" t="s">
        <v>265</v>
      </c>
      <c r="AH22" s="10">
        <v>1.88</v>
      </c>
      <c r="AI22" s="10">
        <f t="shared" si="8"/>
        <v>25041.599999999999</v>
      </c>
      <c r="AJ22" s="42" t="s">
        <v>84</v>
      </c>
      <c r="AK22" s="42" t="s">
        <v>265</v>
      </c>
      <c r="AL22" s="42" t="s">
        <v>265</v>
      </c>
      <c r="AM22" s="42" t="s">
        <v>265</v>
      </c>
      <c r="AN22" s="42" t="s">
        <v>265</v>
      </c>
      <c r="AO22" s="42" t="s">
        <v>265</v>
      </c>
      <c r="AP22" s="42" t="s">
        <v>265</v>
      </c>
      <c r="AQ22" s="238" t="s">
        <v>265</v>
      </c>
      <c r="AR22" s="611" t="s">
        <v>265</v>
      </c>
      <c r="AS22" s="604" t="str">
        <f t="shared" si="9"/>
        <v>N.S</v>
      </c>
      <c r="AT22" s="19" t="s">
        <v>265</v>
      </c>
      <c r="AU22" s="10" t="s">
        <v>265</v>
      </c>
      <c r="AV22" s="10" t="s">
        <v>265</v>
      </c>
      <c r="AW22" s="10" t="s">
        <v>265</v>
      </c>
      <c r="AX22" s="10" t="s">
        <v>265</v>
      </c>
      <c r="AY22" s="10" t="s">
        <v>265</v>
      </c>
      <c r="AZ22" s="10" t="s">
        <v>265</v>
      </c>
      <c r="BA22" s="37" t="s">
        <v>590</v>
      </c>
      <c r="BB22" s="605" t="s">
        <v>265</v>
      </c>
      <c r="BC22" s="606" t="s">
        <v>265</v>
      </c>
      <c r="BD22" s="37" t="s">
        <v>265</v>
      </c>
      <c r="BE22" s="3" t="s">
        <v>265</v>
      </c>
      <c r="BF22" s="37" t="s">
        <v>265</v>
      </c>
      <c r="BG22" s="4" t="s">
        <v>84</v>
      </c>
      <c r="BH22" s="13" t="s">
        <v>598</v>
      </c>
      <c r="BI22" s="10" t="s">
        <v>265</v>
      </c>
      <c r="BJ22" s="13" t="s">
        <v>589</v>
      </c>
      <c r="BK22" s="10" t="s">
        <v>265</v>
      </c>
      <c r="BL22" s="10" t="s">
        <v>265</v>
      </c>
      <c r="BM22" s="40" t="s">
        <v>265</v>
      </c>
      <c r="BN22" s="301" t="s">
        <v>265</v>
      </c>
      <c r="BO22" s="41" t="s">
        <v>265</v>
      </c>
      <c r="BP22" s="129" t="s">
        <v>265</v>
      </c>
      <c r="BQ22" s="4"/>
      <c r="BR22" s="169"/>
      <c r="BS22" s="4">
        <v>1</v>
      </c>
      <c r="BT22" s="128">
        <f>LOG((BW22-BV22)/1,2)</f>
        <v>6.2854022188622487</v>
      </c>
      <c r="BU22" s="128"/>
      <c r="BV22" s="10">
        <v>-18</v>
      </c>
      <c r="BW22" s="40">
        <v>60</v>
      </c>
      <c r="BX22" s="295">
        <v>1</v>
      </c>
      <c r="BY22" s="128"/>
      <c r="BZ22" s="128"/>
      <c r="CA22" s="10">
        <v>0</v>
      </c>
      <c r="CB22" s="40">
        <v>100</v>
      </c>
      <c r="CC22" s="4">
        <v>0</v>
      </c>
      <c r="CD22" s="10">
        <v>1</v>
      </c>
      <c r="CE22" s="128">
        <v>16</v>
      </c>
      <c r="CF22" s="128"/>
      <c r="CG22" s="128"/>
      <c r="CH22" s="128"/>
      <c r="CI22" s="128"/>
      <c r="CJ22" s="128"/>
      <c r="CK22" s="128"/>
      <c r="CL22" s="128"/>
      <c r="CM22" s="121"/>
      <c r="CN22" s="16">
        <v>0</v>
      </c>
      <c r="CO22" s="15">
        <v>0</v>
      </c>
      <c r="CP22" s="10"/>
      <c r="CQ22" s="10"/>
      <c r="CR22" s="10"/>
      <c r="CS22" s="10"/>
      <c r="CT22" s="10"/>
      <c r="CU22" s="10"/>
      <c r="CV22" s="10"/>
      <c r="CW22" s="10"/>
      <c r="CX22" s="121"/>
      <c r="CY22" s="16">
        <v>0</v>
      </c>
      <c r="CZ22" s="15">
        <v>0</v>
      </c>
      <c r="DA22" s="10"/>
      <c r="DB22" s="10"/>
      <c r="DC22" s="10"/>
      <c r="DD22" s="10"/>
      <c r="DE22" s="10"/>
      <c r="DF22" s="10"/>
      <c r="DG22" s="10"/>
      <c r="DH22" s="10"/>
      <c r="DI22" s="121"/>
      <c r="DJ22" s="4">
        <v>0</v>
      </c>
      <c r="DK22" s="128"/>
      <c r="DL22" s="128"/>
      <c r="DM22" s="10">
        <v>78000</v>
      </c>
      <c r="DN22" s="40">
        <v>102000</v>
      </c>
      <c r="DO22" s="4">
        <v>0</v>
      </c>
      <c r="DP22" s="10"/>
      <c r="DQ22" s="128"/>
      <c r="DR22" s="10"/>
      <c r="DS22" s="40"/>
      <c r="DT22" s="4">
        <v>1</v>
      </c>
      <c r="DU22" s="10"/>
      <c r="DV22" s="10"/>
      <c r="DW22" s="10"/>
      <c r="DX22" s="40">
        <v>20</v>
      </c>
      <c r="DY22" s="4">
        <v>0</v>
      </c>
      <c r="DZ22" s="10"/>
      <c r="EA22" s="10"/>
      <c r="EB22" s="10"/>
      <c r="EC22" s="40"/>
      <c r="ED22" s="4">
        <v>0</v>
      </c>
      <c r="EE22" s="10"/>
      <c r="EF22" s="10"/>
      <c r="EG22" s="10"/>
      <c r="EH22" s="40"/>
      <c r="EI22" s="4">
        <v>0</v>
      </c>
      <c r="EJ22" s="10"/>
      <c r="EK22" s="10"/>
      <c r="EL22" s="10"/>
      <c r="EM22" s="40"/>
      <c r="EN22" s="4">
        <v>0</v>
      </c>
      <c r="EO22" s="10"/>
      <c r="EP22" s="10"/>
      <c r="EQ22" s="10"/>
      <c r="ER22" s="40"/>
      <c r="ES22" s="4">
        <v>0</v>
      </c>
      <c r="ET22" s="10"/>
      <c r="EU22" s="10"/>
      <c r="EV22" s="10"/>
      <c r="EW22" s="40"/>
      <c r="EX22" s="4">
        <v>0</v>
      </c>
      <c r="EY22" s="10"/>
      <c r="EZ22" s="10"/>
      <c r="FA22" s="10"/>
      <c r="FB22" s="40"/>
      <c r="FC22" s="4">
        <v>0</v>
      </c>
      <c r="FD22" s="10"/>
      <c r="FE22" s="10"/>
      <c r="FF22" s="10"/>
      <c r="FG22" s="40"/>
      <c r="FH22" s="4">
        <v>0</v>
      </c>
      <c r="FI22" s="10"/>
      <c r="FJ22" s="10"/>
      <c r="FK22" s="10"/>
      <c r="FL22" s="40"/>
      <c r="FM22" s="4">
        <v>0</v>
      </c>
      <c r="FN22" s="10"/>
      <c r="FO22" s="10"/>
      <c r="FP22" s="10"/>
      <c r="FQ22" s="40"/>
      <c r="FR22" s="4">
        <v>0</v>
      </c>
      <c r="FS22" s="10"/>
      <c r="FT22" s="10"/>
      <c r="FU22" s="10"/>
      <c r="FV22" s="40"/>
      <c r="FW22" s="4">
        <v>0</v>
      </c>
      <c r="FX22" s="10"/>
      <c r="FY22" s="10"/>
      <c r="FZ22" s="10"/>
      <c r="GA22" s="40"/>
      <c r="GB22" s="4"/>
      <c r="GC22" s="10"/>
      <c r="GD22" s="10"/>
      <c r="GE22" s="10"/>
      <c r="GF22" s="40"/>
      <c r="GG22" s="10">
        <f t="shared" si="5"/>
        <v>1</v>
      </c>
      <c r="GH22" s="10" t="str">
        <f t="shared" si="6"/>
        <v/>
      </c>
      <c r="GI22" s="37" t="str">
        <f t="shared" si="7"/>
        <v/>
      </c>
      <c r="GJ22" s="4" t="s">
        <v>82</v>
      </c>
      <c r="GK22" s="10" t="s">
        <v>82</v>
      </c>
      <c r="GL22" s="10" t="s">
        <v>82</v>
      </c>
      <c r="GM22" s="10" t="s">
        <v>82</v>
      </c>
      <c r="GN22" s="10" t="s">
        <v>82</v>
      </c>
      <c r="GO22" s="10" t="s">
        <v>82</v>
      </c>
      <c r="GP22" s="10" t="s">
        <v>82</v>
      </c>
      <c r="GQ22" s="10" t="s">
        <v>82</v>
      </c>
      <c r="GR22" s="10" t="s">
        <v>82</v>
      </c>
      <c r="GS22" s="10" t="s">
        <v>82</v>
      </c>
      <c r="GT22" s="10" t="s">
        <v>82</v>
      </c>
      <c r="GU22" s="10" t="s">
        <v>82</v>
      </c>
      <c r="GV22" s="10" t="s">
        <v>82</v>
      </c>
      <c r="GW22" s="10" t="s">
        <v>82</v>
      </c>
      <c r="GX22" s="10" t="s">
        <v>82</v>
      </c>
      <c r="GY22" s="10" t="s">
        <v>82</v>
      </c>
      <c r="GZ22" s="10" t="s">
        <v>82</v>
      </c>
      <c r="HA22" s="10" t="s">
        <v>82</v>
      </c>
      <c r="HB22" s="10" t="s">
        <v>82</v>
      </c>
      <c r="HC22" s="10" t="s">
        <v>82</v>
      </c>
      <c r="HD22" s="10" t="s">
        <v>82</v>
      </c>
      <c r="HE22" s="10" t="s">
        <v>82</v>
      </c>
      <c r="HF22" s="10" t="s">
        <v>82</v>
      </c>
      <c r="HG22" s="10" t="s">
        <v>82</v>
      </c>
      <c r="HH22" s="10" t="s">
        <v>82</v>
      </c>
      <c r="HI22" s="10" t="s">
        <v>82</v>
      </c>
      <c r="HJ22" s="10" t="s">
        <v>82</v>
      </c>
      <c r="HK22" s="10" t="s">
        <v>82</v>
      </c>
      <c r="HL22" s="10" t="s">
        <v>82</v>
      </c>
      <c r="HM22" s="40" t="s">
        <v>82</v>
      </c>
    </row>
    <row r="23" spans="1:247" ht="96.6">
      <c r="A23" s="693"/>
      <c r="B23" s="10" t="s">
        <v>1</v>
      </c>
      <c r="C23" s="687"/>
      <c r="D23" s="41" t="s">
        <v>105</v>
      </c>
      <c r="E23" s="39" t="s">
        <v>124</v>
      </c>
      <c r="F23" s="39" t="s">
        <v>65</v>
      </c>
      <c r="G23" s="10" t="s">
        <v>65</v>
      </c>
      <c r="H23" s="714"/>
      <c r="I23" s="703"/>
      <c r="J23" s="362">
        <v>29</v>
      </c>
      <c r="K23" s="608" t="s">
        <v>265</v>
      </c>
      <c r="L23" s="609" t="s">
        <v>265</v>
      </c>
      <c r="M23" s="4" t="s">
        <v>106</v>
      </c>
      <c r="N23" s="13" t="s">
        <v>593</v>
      </c>
      <c r="O23" s="10" t="s">
        <v>558</v>
      </c>
      <c r="P23" s="10" t="s">
        <v>265</v>
      </c>
      <c r="Q23" s="10">
        <v>8</v>
      </c>
      <c r="R23" s="10">
        <v>8</v>
      </c>
      <c r="S23" s="10">
        <v>10</v>
      </c>
      <c r="T23" s="10" t="s">
        <v>265</v>
      </c>
      <c r="U23" s="40" t="s">
        <v>265</v>
      </c>
      <c r="V23" s="4">
        <v>18</v>
      </c>
      <c r="W23" s="41">
        <f>2.25*25.4</f>
        <v>57.15</v>
      </c>
      <c r="X23" s="41">
        <f>1.25*25.4</f>
        <v>31.75</v>
      </c>
      <c r="Y23" s="41">
        <f>0.25*25.4</f>
        <v>6.35</v>
      </c>
      <c r="Z23" s="41">
        <f t="shared" si="2"/>
        <v>57.15</v>
      </c>
      <c r="AA23" s="593">
        <f t="shared" si="10"/>
        <v>11522.154375</v>
      </c>
      <c r="AB23" s="40" t="s">
        <v>265</v>
      </c>
      <c r="AC23" s="236">
        <v>2.7</v>
      </c>
      <c r="AD23" s="128">
        <v>3.3</v>
      </c>
      <c r="AE23" s="10">
        <v>8</v>
      </c>
      <c r="AF23" s="10">
        <f t="shared" si="3"/>
        <v>2.4E-2</v>
      </c>
      <c r="AG23" s="10" t="s">
        <v>265</v>
      </c>
      <c r="AH23" s="10">
        <f>2*1</f>
        <v>2</v>
      </c>
      <c r="AI23" s="10">
        <f t="shared" si="8"/>
        <v>21600</v>
      </c>
      <c r="AJ23" s="42" t="s">
        <v>265</v>
      </c>
      <c r="AK23" s="42" t="s">
        <v>84</v>
      </c>
      <c r="AL23" s="42">
        <f t="shared" si="4"/>
        <v>2.4E-2</v>
      </c>
      <c r="AM23" s="42">
        <f>0.5*(AC23+AD23)*0.008/1000</f>
        <v>2.4000000000000001E-5</v>
      </c>
      <c r="AN23" s="42">
        <f>AL23*AQ1+AM23*(1-AQ1)</f>
        <v>2.6375999999999998E-4</v>
      </c>
      <c r="AO23" s="42" t="s">
        <v>265</v>
      </c>
      <c r="AP23" s="42" t="s">
        <v>265</v>
      </c>
      <c r="AQ23" s="238" t="s">
        <v>265</v>
      </c>
      <c r="AR23" s="611">
        <f>IF(AN23=0,"N.S",AI23/(AN23*3600))</f>
        <v>22747.95268425842</v>
      </c>
      <c r="AS23" s="604">
        <f>IF(AN23="N.S","N.S",0.25*3/(AN23))</f>
        <v>2843.4940855323025</v>
      </c>
      <c r="AT23" s="19" t="s">
        <v>594</v>
      </c>
      <c r="AU23" s="10" t="s">
        <v>265</v>
      </c>
      <c r="AV23" s="10" t="s">
        <v>265</v>
      </c>
      <c r="AW23" s="10">
        <v>8</v>
      </c>
      <c r="AX23" s="10">
        <v>128</v>
      </c>
      <c r="AY23" s="10">
        <v>4</v>
      </c>
      <c r="AZ23" s="10" t="s">
        <v>265</v>
      </c>
      <c r="BA23" s="37" t="s">
        <v>265</v>
      </c>
      <c r="BB23" s="605" t="s">
        <v>265</v>
      </c>
      <c r="BC23" s="606" t="s">
        <v>265</v>
      </c>
      <c r="BD23" s="388" t="s">
        <v>587</v>
      </c>
      <c r="BE23" s="3" t="s">
        <v>588</v>
      </c>
      <c r="BF23" s="37" t="s">
        <v>265</v>
      </c>
      <c r="BG23" s="4" t="s">
        <v>84</v>
      </c>
      <c r="BH23" s="13" t="s">
        <v>591</v>
      </c>
      <c r="BI23" s="10" t="s">
        <v>265</v>
      </c>
      <c r="BJ23" s="10">
        <v>2400</v>
      </c>
      <c r="BK23" s="10" t="s">
        <v>265</v>
      </c>
      <c r="BL23" s="10">
        <v>-101</v>
      </c>
      <c r="BM23" s="40">
        <v>3</v>
      </c>
      <c r="BN23" s="301" t="s">
        <v>265</v>
      </c>
      <c r="BO23" s="41" t="s">
        <v>265</v>
      </c>
      <c r="BP23" s="129" t="s">
        <v>265</v>
      </c>
      <c r="BQ23" s="4"/>
      <c r="BR23" s="169" t="s">
        <v>592</v>
      </c>
      <c r="BS23" s="4">
        <v>0</v>
      </c>
      <c r="BT23" s="128"/>
      <c r="BU23" s="128"/>
      <c r="BV23" s="10"/>
      <c r="BW23" s="40"/>
      <c r="BX23" s="295">
        <v>0</v>
      </c>
      <c r="BY23" s="128"/>
      <c r="BZ23" s="128"/>
      <c r="CA23" s="10"/>
      <c r="CB23" s="40"/>
      <c r="CC23" s="4">
        <v>0</v>
      </c>
      <c r="CD23" s="10">
        <v>0</v>
      </c>
      <c r="CE23" s="128"/>
      <c r="CF23" s="128"/>
      <c r="CG23" s="128"/>
      <c r="CH23" s="128"/>
      <c r="CI23" s="128"/>
      <c r="CJ23" s="128"/>
      <c r="CK23" s="128"/>
      <c r="CL23" s="128"/>
      <c r="CM23" s="121"/>
      <c r="CN23" s="16">
        <v>0</v>
      </c>
      <c r="CO23" s="15">
        <v>0</v>
      </c>
      <c r="CP23" s="10"/>
      <c r="CQ23" s="10"/>
      <c r="CR23" s="10"/>
      <c r="CS23" s="10"/>
      <c r="CT23" s="10"/>
      <c r="CU23" s="10"/>
      <c r="CV23" s="10"/>
      <c r="CW23" s="10"/>
      <c r="CX23" s="121"/>
      <c r="CY23" s="16">
        <v>0</v>
      </c>
      <c r="CZ23" s="15">
        <v>0</v>
      </c>
      <c r="DA23" s="10"/>
      <c r="DB23" s="10"/>
      <c r="DC23" s="10"/>
      <c r="DD23" s="10"/>
      <c r="DE23" s="10"/>
      <c r="DF23" s="10"/>
      <c r="DG23" s="10"/>
      <c r="DH23" s="10"/>
      <c r="DI23" s="121"/>
      <c r="DJ23" s="4">
        <v>0</v>
      </c>
      <c r="DK23" s="128"/>
      <c r="DL23" s="128"/>
      <c r="DM23" s="10"/>
      <c r="DN23" s="40"/>
      <c r="DO23" s="4">
        <v>0</v>
      </c>
      <c r="DP23" s="10"/>
      <c r="DQ23" s="128"/>
      <c r="DR23" s="10"/>
      <c r="DS23" s="40"/>
      <c r="DT23" s="4">
        <v>0</v>
      </c>
      <c r="DU23" s="10"/>
      <c r="DV23" s="10"/>
      <c r="DW23" s="10"/>
      <c r="DX23" s="40"/>
      <c r="DY23" s="4">
        <v>0</v>
      </c>
      <c r="DZ23" s="10"/>
      <c r="EA23" s="10"/>
      <c r="EB23" s="10"/>
      <c r="EC23" s="40"/>
      <c r="ED23" s="4">
        <v>0</v>
      </c>
      <c r="EE23" s="10"/>
      <c r="EF23" s="10"/>
      <c r="EG23" s="10"/>
      <c r="EH23" s="40"/>
      <c r="EI23" s="4">
        <v>0</v>
      </c>
      <c r="EJ23" s="10"/>
      <c r="EK23" s="10"/>
      <c r="EL23" s="10"/>
      <c r="EM23" s="40"/>
      <c r="EN23" s="4">
        <v>0</v>
      </c>
      <c r="EO23" s="10"/>
      <c r="EP23" s="10"/>
      <c r="EQ23" s="10"/>
      <c r="ER23" s="40"/>
      <c r="ES23" s="4">
        <v>0</v>
      </c>
      <c r="ET23" s="10"/>
      <c r="EU23" s="10"/>
      <c r="EV23" s="10"/>
      <c r="EW23" s="40"/>
      <c r="EX23" s="4">
        <v>0</v>
      </c>
      <c r="EY23" s="10"/>
      <c r="EZ23" s="10"/>
      <c r="FA23" s="10"/>
      <c r="FB23" s="40"/>
      <c r="FC23" s="4">
        <v>0</v>
      </c>
      <c r="FD23" s="10"/>
      <c r="FE23" s="10"/>
      <c r="FF23" s="10"/>
      <c r="FG23" s="40"/>
      <c r="FH23" s="4">
        <v>0</v>
      </c>
      <c r="FI23" s="10"/>
      <c r="FJ23" s="10"/>
      <c r="FK23" s="10"/>
      <c r="FL23" s="40"/>
      <c r="FM23" s="4">
        <v>0</v>
      </c>
      <c r="FN23" s="10"/>
      <c r="FO23" s="10"/>
      <c r="FP23" s="10"/>
      <c r="FQ23" s="40"/>
      <c r="FR23" s="4">
        <v>0</v>
      </c>
      <c r="FS23" s="10"/>
      <c r="FT23" s="10"/>
      <c r="FU23" s="10"/>
      <c r="FV23" s="40"/>
      <c r="FW23" s="4">
        <v>0</v>
      </c>
      <c r="FX23" s="10"/>
      <c r="FY23" s="10"/>
      <c r="FZ23" s="10"/>
      <c r="GA23" s="40"/>
      <c r="GB23" s="4"/>
      <c r="GC23" s="10"/>
      <c r="GD23" s="10"/>
      <c r="GE23" s="10"/>
      <c r="GF23" s="40"/>
      <c r="GG23" s="10">
        <f t="shared" si="5"/>
        <v>1</v>
      </c>
      <c r="GH23" s="10" t="str">
        <f t="shared" si="6"/>
        <v/>
      </c>
      <c r="GI23" s="37" t="str">
        <f t="shared" si="7"/>
        <v/>
      </c>
      <c r="GJ23" s="4" t="s">
        <v>82</v>
      </c>
      <c r="GK23" s="10" t="s">
        <v>82</v>
      </c>
      <c r="GL23" s="10">
        <v>1</v>
      </c>
      <c r="GM23" s="10" t="s">
        <v>82</v>
      </c>
      <c r="GN23" s="10" t="s">
        <v>82</v>
      </c>
      <c r="GO23" s="10" t="s">
        <v>82</v>
      </c>
      <c r="GP23" s="10">
        <v>1</v>
      </c>
      <c r="GQ23" s="10">
        <v>1</v>
      </c>
      <c r="GR23" s="10" t="s">
        <v>82</v>
      </c>
      <c r="GS23" s="10" t="s">
        <v>82</v>
      </c>
      <c r="GT23" s="10" t="s">
        <v>82</v>
      </c>
      <c r="GU23" s="10" t="s">
        <v>82</v>
      </c>
      <c r="GV23" s="10" t="s">
        <v>82</v>
      </c>
      <c r="GW23" s="10" t="s">
        <v>82</v>
      </c>
      <c r="GX23" s="10" t="s">
        <v>82</v>
      </c>
      <c r="GY23" s="10" t="s">
        <v>82</v>
      </c>
      <c r="GZ23" s="10" t="s">
        <v>82</v>
      </c>
      <c r="HA23" s="10" t="s">
        <v>82</v>
      </c>
      <c r="HB23" s="10" t="s">
        <v>82</v>
      </c>
      <c r="HC23" s="10" t="s">
        <v>82</v>
      </c>
      <c r="HD23" s="10" t="s">
        <v>82</v>
      </c>
      <c r="HE23" s="10" t="s">
        <v>82</v>
      </c>
      <c r="HF23" s="10" t="s">
        <v>82</v>
      </c>
      <c r="HG23" s="10" t="s">
        <v>82</v>
      </c>
      <c r="HH23" s="10" t="s">
        <v>82</v>
      </c>
      <c r="HI23" s="10" t="s">
        <v>82</v>
      </c>
      <c r="HJ23" s="10" t="s">
        <v>82</v>
      </c>
      <c r="HK23" s="10" t="s">
        <v>82</v>
      </c>
      <c r="HL23" s="10" t="s">
        <v>82</v>
      </c>
      <c r="HM23" s="40" t="s">
        <v>82</v>
      </c>
    </row>
    <row r="24" spans="1:247" ht="41.4">
      <c r="A24" s="693"/>
      <c r="B24" s="10" t="s">
        <v>96</v>
      </c>
      <c r="C24" s="687"/>
      <c r="D24" s="100" t="s">
        <v>97</v>
      </c>
      <c r="E24" s="39" t="s">
        <v>65</v>
      </c>
      <c r="F24" s="39" t="s">
        <v>124</v>
      </c>
      <c r="G24" s="10" t="s">
        <v>65</v>
      </c>
      <c r="H24" s="714"/>
      <c r="I24" s="703"/>
      <c r="J24" s="362" t="s">
        <v>265</v>
      </c>
      <c r="K24" s="608" t="s">
        <v>265</v>
      </c>
      <c r="L24" s="609" t="s">
        <v>265</v>
      </c>
      <c r="M24" s="3" t="s">
        <v>599</v>
      </c>
      <c r="N24" s="10" t="s">
        <v>265</v>
      </c>
      <c r="O24" s="10" t="s">
        <v>558</v>
      </c>
      <c r="P24" s="10" t="s">
        <v>265</v>
      </c>
      <c r="Q24" s="10" t="s">
        <v>265</v>
      </c>
      <c r="R24" s="10" t="s">
        <v>265</v>
      </c>
      <c r="S24" s="10" t="s">
        <v>265</v>
      </c>
      <c r="T24" s="10" t="s">
        <v>265</v>
      </c>
      <c r="U24" s="40" t="s">
        <v>265</v>
      </c>
      <c r="V24" s="4" t="s">
        <v>265</v>
      </c>
      <c r="W24" s="41" t="s">
        <v>265</v>
      </c>
      <c r="X24" s="41" t="s">
        <v>265</v>
      </c>
      <c r="Y24" s="41" t="s">
        <v>265</v>
      </c>
      <c r="Z24" s="41" t="str">
        <f t="shared" si="2"/>
        <v>N.S</v>
      </c>
      <c r="AA24" s="593" t="str">
        <f t="shared" si="10"/>
        <v>N.S</v>
      </c>
      <c r="AB24" s="40" t="s">
        <v>265</v>
      </c>
      <c r="AC24" s="236">
        <v>4.5</v>
      </c>
      <c r="AD24" s="128">
        <v>35</v>
      </c>
      <c r="AE24" s="42" t="s">
        <v>265</v>
      </c>
      <c r="AF24" s="10" t="str">
        <f t="shared" si="3"/>
        <v>N.S</v>
      </c>
      <c r="AG24" s="42" t="s">
        <v>265</v>
      </c>
      <c r="AH24" s="42" t="s">
        <v>265</v>
      </c>
      <c r="AI24" s="10" t="str">
        <f t="shared" si="8"/>
        <v>N.S</v>
      </c>
      <c r="AJ24" s="42" t="s">
        <v>265</v>
      </c>
      <c r="AK24" s="42" t="s">
        <v>265</v>
      </c>
      <c r="AL24" s="42">
        <v>1.25</v>
      </c>
      <c r="AM24" s="42" t="s">
        <v>265</v>
      </c>
      <c r="AN24" s="42">
        <f>IF(AL24="N.S",N.S.,AL24*AQ1+IF(AM24="N.S",0,AM24*(1-AQ1)))</f>
        <v>1.2500000000000001E-2</v>
      </c>
      <c r="AO24" s="42" t="s">
        <v>265</v>
      </c>
      <c r="AP24" s="42" t="s">
        <v>265</v>
      </c>
      <c r="AQ24" s="238" t="s">
        <v>265</v>
      </c>
      <c r="AR24" s="611" t="str">
        <f t="shared" ref="AR24:AR55" si="11">IF(AN24="N.S","N.S",IF(AI24="N.S","N.S",AI24/(AN24*3600)))</f>
        <v>N.S</v>
      </c>
      <c r="AS24" s="604">
        <f t="shared" si="9"/>
        <v>60</v>
      </c>
      <c r="AT24" s="19" t="s">
        <v>265</v>
      </c>
      <c r="AU24" s="10" t="s">
        <v>265</v>
      </c>
      <c r="AV24" s="10" t="s">
        <v>265</v>
      </c>
      <c r="AW24" s="10" t="s">
        <v>265</v>
      </c>
      <c r="AX24" s="10" t="s">
        <v>265</v>
      </c>
      <c r="AY24" s="10" t="s">
        <v>265</v>
      </c>
      <c r="AZ24" s="10" t="s">
        <v>265</v>
      </c>
      <c r="BA24" s="37" t="s">
        <v>265</v>
      </c>
      <c r="BB24" s="605" t="s">
        <v>265</v>
      </c>
      <c r="BC24" s="606" t="s">
        <v>265</v>
      </c>
      <c r="BD24" s="37" t="s">
        <v>600</v>
      </c>
      <c r="BE24" s="3" t="s">
        <v>265</v>
      </c>
      <c r="BF24" s="37" t="s">
        <v>265</v>
      </c>
      <c r="BG24" s="4" t="s">
        <v>84</v>
      </c>
      <c r="BH24" s="13" t="s">
        <v>597</v>
      </c>
      <c r="BI24" s="10" t="s">
        <v>265</v>
      </c>
      <c r="BJ24" s="10" t="s">
        <v>265</v>
      </c>
      <c r="BK24" s="10" t="s">
        <v>265</v>
      </c>
      <c r="BL24" s="10" t="s">
        <v>265</v>
      </c>
      <c r="BM24" s="40" t="s">
        <v>265</v>
      </c>
      <c r="BN24" s="301" t="s">
        <v>265</v>
      </c>
      <c r="BO24" s="41" t="s">
        <v>265</v>
      </c>
      <c r="BP24" s="129" t="s">
        <v>265</v>
      </c>
      <c r="BQ24" s="4"/>
      <c r="BR24" s="169"/>
      <c r="BS24" s="4">
        <v>0</v>
      </c>
      <c r="BT24" s="128"/>
      <c r="BU24" s="128"/>
      <c r="BV24" s="10"/>
      <c r="BW24" s="40"/>
      <c r="BX24" s="295">
        <v>0</v>
      </c>
      <c r="BY24" s="128"/>
      <c r="BZ24" s="128"/>
      <c r="CA24" s="10"/>
      <c r="CB24" s="40"/>
      <c r="CC24" s="4">
        <v>0</v>
      </c>
      <c r="CD24" s="10">
        <v>0</v>
      </c>
      <c r="CE24" s="128"/>
      <c r="CF24" s="128"/>
      <c r="CG24" s="128"/>
      <c r="CH24" s="128"/>
      <c r="CI24" s="128"/>
      <c r="CJ24" s="128"/>
      <c r="CK24" s="128"/>
      <c r="CL24" s="128"/>
      <c r="CM24" s="121"/>
      <c r="CN24" s="16">
        <v>0</v>
      </c>
      <c r="CO24" s="15">
        <v>0</v>
      </c>
      <c r="CP24" s="10"/>
      <c r="CQ24" s="10"/>
      <c r="CR24" s="10"/>
      <c r="CS24" s="10"/>
      <c r="CT24" s="10"/>
      <c r="CU24" s="10"/>
      <c r="CV24" s="10"/>
      <c r="CW24" s="10"/>
      <c r="CX24" s="121"/>
      <c r="CY24" s="16">
        <v>0</v>
      </c>
      <c r="CZ24" s="15">
        <v>0</v>
      </c>
      <c r="DA24" s="10"/>
      <c r="DB24" s="10"/>
      <c r="DC24" s="10"/>
      <c r="DD24" s="10"/>
      <c r="DE24" s="10"/>
      <c r="DF24" s="10"/>
      <c r="DG24" s="10"/>
      <c r="DH24" s="10"/>
      <c r="DI24" s="121"/>
      <c r="DJ24" s="4">
        <v>0</v>
      </c>
      <c r="DK24" s="128"/>
      <c r="DL24" s="128"/>
      <c r="DM24" s="10"/>
      <c r="DN24" s="40"/>
      <c r="DO24" s="4">
        <v>0</v>
      </c>
      <c r="DP24" s="10"/>
      <c r="DQ24" s="128"/>
      <c r="DR24" s="10"/>
      <c r="DS24" s="40"/>
      <c r="DT24" s="4">
        <v>0</v>
      </c>
      <c r="DU24" s="10"/>
      <c r="DV24" s="10"/>
      <c r="DW24" s="10"/>
      <c r="DX24" s="40"/>
      <c r="DY24" s="4">
        <v>0</v>
      </c>
      <c r="DZ24" s="10"/>
      <c r="EA24" s="10"/>
      <c r="EB24" s="10"/>
      <c r="EC24" s="40"/>
      <c r="ED24" s="4">
        <v>0</v>
      </c>
      <c r="EE24" s="10"/>
      <c r="EF24" s="10"/>
      <c r="EG24" s="10"/>
      <c r="EH24" s="40"/>
      <c r="EI24" s="4">
        <v>0</v>
      </c>
      <c r="EJ24" s="10"/>
      <c r="EK24" s="10"/>
      <c r="EL24" s="10"/>
      <c r="EM24" s="40"/>
      <c r="EN24" s="4">
        <v>0</v>
      </c>
      <c r="EO24" s="10"/>
      <c r="EP24" s="10"/>
      <c r="EQ24" s="10"/>
      <c r="ER24" s="40"/>
      <c r="ES24" s="4">
        <v>0</v>
      </c>
      <c r="ET24" s="10"/>
      <c r="EU24" s="10"/>
      <c r="EV24" s="10"/>
      <c r="EW24" s="40"/>
      <c r="EX24" s="4">
        <v>0</v>
      </c>
      <c r="EY24" s="10"/>
      <c r="EZ24" s="10"/>
      <c r="FA24" s="10"/>
      <c r="FB24" s="40"/>
      <c r="FC24" s="4">
        <v>0</v>
      </c>
      <c r="FD24" s="10"/>
      <c r="FE24" s="10"/>
      <c r="FF24" s="10"/>
      <c r="FG24" s="40"/>
      <c r="FH24" s="4">
        <v>0</v>
      </c>
      <c r="FI24" s="10"/>
      <c r="FJ24" s="10"/>
      <c r="FK24" s="10"/>
      <c r="FL24" s="40"/>
      <c r="FM24" s="4">
        <v>0</v>
      </c>
      <c r="FN24" s="10"/>
      <c r="FO24" s="10"/>
      <c r="FP24" s="10"/>
      <c r="FQ24" s="40"/>
      <c r="FR24" s="4">
        <v>0</v>
      </c>
      <c r="FS24" s="10"/>
      <c r="FT24" s="10"/>
      <c r="FU24" s="10"/>
      <c r="FV24" s="40"/>
      <c r="FW24" s="4">
        <v>0</v>
      </c>
      <c r="FX24" s="10"/>
      <c r="FY24" s="10"/>
      <c r="FZ24" s="10"/>
      <c r="GA24" s="40"/>
      <c r="GB24" s="4"/>
      <c r="GC24" s="10"/>
      <c r="GD24" s="10"/>
      <c r="GE24" s="10"/>
      <c r="GF24" s="40"/>
      <c r="GG24" s="10" t="str">
        <f t="shared" si="5"/>
        <v/>
      </c>
      <c r="GH24" s="10">
        <f t="shared" si="6"/>
        <v>1</v>
      </c>
      <c r="GI24" s="37" t="str">
        <f t="shared" si="7"/>
        <v/>
      </c>
      <c r="GJ24" s="4" t="s">
        <v>82</v>
      </c>
      <c r="GK24" s="10" t="s">
        <v>82</v>
      </c>
      <c r="GL24" s="10" t="s">
        <v>82</v>
      </c>
      <c r="GM24" s="10" t="s">
        <v>82</v>
      </c>
      <c r="GN24" s="10" t="s">
        <v>82</v>
      </c>
      <c r="GO24" s="10" t="s">
        <v>82</v>
      </c>
      <c r="GP24" s="10" t="s">
        <v>82</v>
      </c>
      <c r="GQ24" s="10" t="s">
        <v>82</v>
      </c>
      <c r="GR24" s="10" t="s">
        <v>82</v>
      </c>
      <c r="GS24" s="10" t="s">
        <v>82</v>
      </c>
      <c r="GT24" s="10" t="s">
        <v>82</v>
      </c>
      <c r="GU24" s="10" t="s">
        <v>82</v>
      </c>
      <c r="GV24" s="10" t="s">
        <v>82</v>
      </c>
      <c r="GW24" s="10" t="s">
        <v>82</v>
      </c>
      <c r="GX24" s="10" t="s">
        <v>82</v>
      </c>
      <c r="GY24" s="10" t="s">
        <v>82</v>
      </c>
      <c r="GZ24" s="10" t="s">
        <v>82</v>
      </c>
      <c r="HA24" s="10" t="s">
        <v>82</v>
      </c>
      <c r="HB24" s="10" t="s">
        <v>82</v>
      </c>
      <c r="HC24" s="10" t="s">
        <v>82</v>
      </c>
      <c r="HD24" s="10">
        <v>1</v>
      </c>
      <c r="HE24" s="10" t="s">
        <v>82</v>
      </c>
      <c r="HF24" s="10" t="s">
        <v>82</v>
      </c>
      <c r="HG24" s="10" t="s">
        <v>82</v>
      </c>
      <c r="HH24" s="10" t="s">
        <v>82</v>
      </c>
      <c r="HI24" s="10" t="s">
        <v>82</v>
      </c>
      <c r="HJ24" s="10" t="s">
        <v>82</v>
      </c>
      <c r="HK24" s="10" t="s">
        <v>82</v>
      </c>
      <c r="HL24" s="10" t="s">
        <v>82</v>
      </c>
      <c r="HM24" s="40" t="s">
        <v>82</v>
      </c>
    </row>
    <row r="25" spans="1:247" ht="43.2">
      <c r="A25" s="693"/>
      <c r="B25" s="10" t="s">
        <v>98</v>
      </c>
      <c r="C25" s="687"/>
      <c r="D25" s="100" t="s">
        <v>97</v>
      </c>
      <c r="E25" s="39" t="s">
        <v>65</v>
      </c>
      <c r="F25" s="96" t="s">
        <v>65</v>
      </c>
      <c r="G25" s="77" t="s">
        <v>124</v>
      </c>
      <c r="H25" s="714"/>
      <c r="I25" s="703"/>
      <c r="J25" s="362">
        <v>6000</v>
      </c>
      <c r="K25" s="608">
        <v>8</v>
      </c>
      <c r="L25" s="609">
        <v>2009</v>
      </c>
      <c r="M25" s="3" t="s">
        <v>990</v>
      </c>
      <c r="N25" s="10" t="s">
        <v>265</v>
      </c>
      <c r="O25" s="10" t="s">
        <v>558</v>
      </c>
      <c r="P25" s="10" t="s">
        <v>265</v>
      </c>
      <c r="Q25" s="10" t="s">
        <v>265</v>
      </c>
      <c r="R25" s="10" t="s">
        <v>265</v>
      </c>
      <c r="S25" s="10" t="s">
        <v>265</v>
      </c>
      <c r="T25" s="10" t="s">
        <v>265</v>
      </c>
      <c r="U25" s="40" t="s">
        <v>265</v>
      </c>
      <c r="V25" s="4">
        <v>580</v>
      </c>
      <c r="W25" s="41">
        <v>76</v>
      </c>
      <c r="X25" s="41">
        <v>76</v>
      </c>
      <c r="Y25" s="41">
        <v>95</v>
      </c>
      <c r="Z25" s="41">
        <f t="shared" si="2"/>
        <v>76</v>
      </c>
      <c r="AA25" s="593">
        <f t="shared" si="10"/>
        <v>548720</v>
      </c>
      <c r="AB25" s="618" t="s">
        <v>758</v>
      </c>
      <c r="AC25" s="236">
        <v>9</v>
      </c>
      <c r="AD25" s="128">
        <v>42</v>
      </c>
      <c r="AE25" s="10" t="s">
        <v>265</v>
      </c>
      <c r="AF25" s="10" t="str">
        <f t="shared" si="3"/>
        <v>N.S</v>
      </c>
      <c r="AG25" s="10" t="s">
        <v>265</v>
      </c>
      <c r="AH25" s="10" t="s">
        <v>265</v>
      </c>
      <c r="AI25" s="10" t="str">
        <f t="shared" si="8"/>
        <v>N.S</v>
      </c>
      <c r="AJ25" s="42" t="s">
        <v>265</v>
      </c>
      <c r="AK25" s="42" t="s">
        <v>265</v>
      </c>
      <c r="AL25" s="42">
        <v>4</v>
      </c>
      <c r="AM25" s="42" t="s">
        <v>265</v>
      </c>
      <c r="AN25" s="42">
        <f>IF(AL25="N.S","N.S",AL25*AQ1+IF(AM25="N.S",0,AM25*(1-AQ1)))</f>
        <v>0.04</v>
      </c>
      <c r="AO25" s="42" t="s">
        <v>265</v>
      </c>
      <c r="AP25" s="42" t="s">
        <v>265</v>
      </c>
      <c r="AQ25" s="238" t="s">
        <v>265</v>
      </c>
      <c r="AR25" s="611" t="str">
        <f t="shared" si="11"/>
        <v>N.S</v>
      </c>
      <c r="AS25" s="604">
        <f t="shared" si="9"/>
        <v>18.75</v>
      </c>
      <c r="AT25" s="19" t="s">
        <v>265</v>
      </c>
      <c r="AU25" s="10" t="s">
        <v>265</v>
      </c>
      <c r="AV25" s="10" t="s">
        <v>265</v>
      </c>
      <c r="AW25" s="10" t="s">
        <v>265</v>
      </c>
      <c r="AX25" s="10" t="s">
        <v>265</v>
      </c>
      <c r="AY25" s="10" t="s">
        <v>265</v>
      </c>
      <c r="AZ25" s="10" t="s">
        <v>265</v>
      </c>
      <c r="BA25" s="37" t="s">
        <v>265</v>
      </c>
      <c r="BB25" s="605" t="s">
        <v>265</v>
      </c>
      <c r="BC25" s="37">
        <v>100</v>
      </c>
      <c r="BD25" s="37" t="s">
        <v>600</v>
      </c>
      <c r="BE25" s="3" t="s">
        <v>265</v>
      </c>
      <c r="BF25" s="37" t="s">
        <v>265</v>
      </c>
      <c r="BG25" s="4" t="s">
        <v>84</v>
      </c>
      <c r="BH25" s="13" t="s">
        <v>597</v>
      </c>
      <c r="BI25" s="10" t="s">
        <v>265</v>
      </c>
      <c r="BJ25" s="10" t="s">
        <v>265</v>
      </c>
      <c r="BK25" s="10" t="s">
        <v>265</v>
      </c>
      <c r="BL25" s="10" t="s">
        <v>265</v>
      </c>
      <c r="BM25" s="40" t="s">
        <v>265</v>
      </c>
      <c r="BN25" s="301" t="s">
        <v>265</v>
      </c>
      <c r="BO25" s="41" t="s">
        <v>265</v>
      </c>
      <c r="BP25" s="129" t="s">
        <v>265</v>
      </c>
      <c r="BQ25" s="4"/>
      <c r="BR25" s="169"/>
      <c r="BS25" s="4">
        <v>0</v>
      </c>
      <c r="BT25" s="128"/>
      <c r="BU25" s="128"/>
      <c r="BV25" s="10"/>
      <c r="BW25" s="40"/>
      <c r="BX25" s="295">
        <v>0</v>
      </c>
      <c r="BY25" s="128"/>
      <c r="BZ25" s="128"/>
      <c r="CA25" s="10"/>
      <c r="CB25" s="40"/>
      <c r="CC25" s="4">
        <v>0</v>
      </c>
      <c r="CD25" s="10">
        <v>0</v>
      </c>
      <c r="CE25" s="128"/>
      <c r="CF25" s="128"/>
      <c r="CG25" s="128"/>
      <c r="CH25" s="128"/>
      <c r="CI25" s="128"/>
      <c r="CJ25" s="128"/>
      <c r="CK25" s="128"/>
      <c r="CL25" s="128"/>
      <c r="CM25" s="121"/>
      <c r="CN25" s="16">
        <v>0</v>
      </c>
      <c r="CO25" s="15">
        <v>0</v>
      </c>
      <c r="CP25" s="10"/>
      <c r="CQ25" s="10"/>
      <c r="CR25" s="10"/>
      <c r="CS25" s="10"/>
      <c r="CT25" s="10"/>
      <c r="CU25" s="10"/>
      <c r="CV25" s="10"/>
      <c r="CW25" s="10"/>
      <c r="CX25" s="121"/>
      <c r="CY25" s="16">
        <v>0</v>
      </c>
      <c r="CZ25" s="15">
        <v>0</v>
      </c>
      <c r="DA25" s="10"/>
      <c r="DB25" s="10"/>
      <c r="DC25" s="10"/>
      <c r="DD25" s="10"/>
      <c r="DE25" s="10"/>
      <c r="DF25" s="10"/>
      <c r="DG25" s="10"/>
      <c r="DH25" s="10"/>
      <c r="DI25" s="121"/>
      <c r="DJ25" s="4">
        <v>0</v>
      </c>
      <c r="DK25" s="128"/>
      <c r="DL25" s="128"/>
      <c r="DM25" s="10"/>
      <c r="DN25" s="40"/>
      <c r="DO25" s="4">
        <v>0</v>
      </c>
      <c r="DP25" s="10"/>
      <c r="DQ25" s="128"/>
      <c r="DR25" s="10"/>
      <c r="DS25" s="40"/>
      <c r="DT25" s="4">
        <v>0</v>
      </c>
      <c r="DU25" s="10"/>
      <c r="DV25" s="10"/>
      <c r="DW25" s="10"/>
      <c r="DX25" s="40"/>
      <c r="DY25" s="4">
        <v>0</v>
      </c>
      <c r="DZ25" s="10"/>
      <c r="EA25" s="10"/>
      <c r="EB25" s="10"/>
      <c r="EC25" s="40"/>
      <c r="ED25" s="4">
        <v>0</v>
      </c>
      <c r="EE25" s="10"/>
      <c r="EF25" s="10"/>
      <c r="EG25" s="10"/>
      <c r="EH25" s="40"/>
      <c r="EI25" s="4">
        <v>0</v>
      </c>
      <c r="EJ25" s="10"/>
      <c r="EK25" s="10"/>
      <c r="EL25" s="10"/>
      <c r="EM25" s="40"/>
      <c r="EN25" s="4">
        <v>0</v>
      </c>
      <c r="EO25" s="10"/>
      <c r="EP25" s="10"/>
      <c r="EQ25" s="10"/>
      <c r="ER25" s="40"/>
      <c r="ES25" s="4">
        <v>0</v>
      </c>
      <c r="ET25" s="10"/>
      <c r="EU25" s="10"/>
      <c r="EV25" s="10"/>
      <c r="EW25" s="40"/>
      <c r="EX25" s="4">
        <v>0</v>
      </c>
      <c r="EY25" s="10"/>
      <c r="EZ25" s="10"/>
      <c r="FA25" s="10"/>
      <c r="FB25" s="40"/>
      <c r="FC25" s="4">
        <v>0</v>
      </c>
      <c r="FD25" s="10"/>
      <c r="FE25" s="10"/>
      <c r="FF25" s="10"/>
      <c r="FG25" s="40"/>
      <c r="FH25" s="4">
        <v>0</v>
      </c>
      <c r="FI25" s="10"/>
      <c r="FJ25" s="10"/>
      <c r="FK25" s="10"/>
      <c r="FL25" s="40"/>
      <c r="FM25" s="4">
        <v>0</v>
      </c>
      <c r="FN25" s="10"/>
      <c r="FO25" s="10"/>
      <c r="FP25" s="10"/>
      <c r="FQ25" s="40"/>
      <c r="FR25" s="4">
        <v>0</v>
      </c>
      <c r="FS25" s="10"/>
      <c r="FT25" s="10"/>
      <c r="FU25" s="10"/>
      <c r="FV25" s="40"/>
      <c r="FW25" s="4">
        <v>0</v>
      </c>
      <c r="FX25" s="10"/>
      <c r="FY25" s="10"/>
      <c r="FZ25" s="10"/>
      <c r="GA25" s="40"/>
      <c r="GB25" s="4"/>
      <c r="GC25" s="10"/>
      <c r="GD25" s="10"/>
      <c r="GE25" s="10"/>
      <c r="GF25" s="40"/>
      <c r="GG25" s="10" t="str">
        <f t="shared" si="5"/>
        <v/>
      </c>
      <c r="GH25" s="10">
        <f t="shared" si="6"/>
        <v>1</v>
      </c>
      <c r="GI25" s="37" t="str">
        <f t="shared" si="7"/>
        <v/>
      </c>
      <c r="GJ25" s="4" t="s">
        <v>82</v>
      </c>
      <c r="GK25" s="10" t="s">
        <v>82</v>
      </c>
      <c r="GL25" s="10" t="s">
        <v>82</v>
      </c>
      <c r="GM25" s="10" t="s">
        <v>82</v>
      </c>
      <c r="GN25" s="10" t="s">
        <v>82</v>
      </c>
      <c r="GO25" s="10" t="s">
        <v>82</v>
      </c>
      <c r="GP25" s="10" t="s">
        <v>82</v>
      </c>
      <c r="GQ25" s="10" t="s">
        <v>82</v>
      </c>
      <c r="GR25" s="10" t="s">
        <v>82</v>
      </c>
      <c r="GS25" s="10" t="s">
        <v>82</v>
      </c>
      <c r="GT25" s="10" t="s">
        <v>82</v>
      </c>
      <c r="GU25" s="10" t="s">
        <v>82</v>
      </c>
      <c r="GV25" s="10" t="s">
        <v>82</v>
      </c>
      <c r="GW25" s="10" t="s">
        <v>82</v>
      </c>
      <c r="GX25" s="10" t="s">
        <v>82</v>
      </c>
      <c r="GY25" s="10" t="s">
        <v>82</v>
      </c>
      <c r="GZ25" s="10" t="s">
        <v>82</v>
      </c>
      <c r="HA25" s="10" t="s">
        <v>82</v>
      </c>
      <c r="HB25" s="10" t="s">
        <v>82</v>
      </c>
      <c r="HC25" s="10" t="s">
        <v>82</v>
      </c>
      <c r="HD25" s="10">
        <v>1</v>
      </c>
      <c r="HE25" s="10" t="s">
        <v>82</v>
      </c>
      <c r="HF25" s="10" t="s">
        <v>82</v>
      </c>
      <c r="HG25" s="10" t="s">
        <v>82</v>
      </c>
      <c r="HH25" s="10" t="s">
        <v>82</v>
      </c>
      <c r="HI25" s="10" t="s">
        <v>82</v>
      </c>
      <c r="HJ25" s="10" t="s">
        <v>82</v>
      </c>
      <c r="HK25" s="10" t="s">
        <v>82</v>
      </c>
      <c r="HL25" s="10" t="s">
        <v>82</v>
      </c>
      <c r="HM25" s="40" t="s">
        <v>82</v>
      </c>
    </row>
    <row r="26" spans="1:247" ht="41.4">
      <c r="A26" s="693"/>
      <c r="B26" s="10" t="s">
        <v>99</v>
      </c>
      <c r="C26" s="687"/>
      <c r="D26" s="100" t="s">
        <v>100</v>
      </c>
      <c r="E26" s="39" t="s">
        <v>65</v>
      </c>
      <c r="F26" s="77" t="s">
        <v>124</v>
      </c>
      <c r="G26" s="10" t="s">
        <v>65</v>
      </c>
      <c r="H26" s="714"/>
      <c r="I26" s="703"/>
      <c r="J26" s="362" t="s">
        <v>265</v>
      </c>
      <c r="K26" s="608" t="s">
        <v>265</v>
      </c>
      <c r="L26" s="609" t="s">
        <v>265</v>
      </c>
      <c r="M26" s="3" t="s">
        <v>605</v>
      </c>
      <c r="N26" s="10" t="s">
        <v>265</v>
      </c>
      <c r="O26" s="10" t="s">
        <v>558</v>
      </c>
      <c r="P26" s="10" t="s">
        <v>265</v>
      </c>
      <c r="Q26" s="10" t="s">
        <v>265</v>
      </c>
      <c r="R26" s="10" t="s">
        <v>265</v>
      </c>
      <c r="S26" s="10" t="s">
        <v>265</v>
      </c>
      <c r="T26" s="10" t="s">
        <v>265</v>
      </c>
      <c r="U26" s="40" t="s">
        <v>265</v>
      </c>
      <c r="V26" s="4">
        <v>550</v>
      </c>
      <c r="W26" s="41">
        <v>76</v>
      </c>
      <c r="X26" s="41">
        <v>63</v>
      </c>
      <c r="Y26" s="41">
        <v>95</v>
      </c>
      <c r="Z26" s="41">
        <f t="shared" si="2"/>
        <v>76</v>
      </c>
      <c r="AA26" s="593">
        <f t="shared" si="10"/>
        <v>454860</v>
      </c>
      <c r="AB26" s="618" t="s">
        <v>758</v>
      </c>
      <c r="AC26" s="236">
        <v>9</v>
      </c>
      <c r="AD26" s="128">
        <v>42</v>
      </c>
      <c r="AE26" s="10" t="s">
        <v>265</v>
      </c>
      <c r="AF26" s="10" t="str">
        <f t="shared" si="3"/>
        <v>N.S</v>
      </c>
      <c r="AG26" s="10" t="s">
        <v>265</v>
      </c>
      <c r="AH26" s="10" t="s">
        <v>265</v>
      </c>
      <c r="AI26" s="10" t="str">
        <f t="shared" si="8"/>
        <v>N.S</v>
      </c>
      <c r="AJ26" s="42" t="s">
        <v>265</v>
      </c>
      <c r="AK26" s="42" t="s">
        <v>265</v>
      </c>
      <c r="AL26" s="42">
        <v>3</v>
      </c>
      <c r="AM26" s="42" t="s">
        <v>265</v>
      </c>
      <c r="AN26" s="42">
        <f>IF(AL26="N.S",N.S.,AL26*AQ1+IF(AM26="N.S",0,AM26*(1-AQ1)))</f>
        <v>0.03</v>
      </c>
      <c r="AO26" s="42" t="s">
        <v>265</v>
      </c>
      <c r="AP26" s="42" t="s">
        <v>265</v>
      </c>
      <c r="AQ26" s="238" t="s">
        <v>265</v>
      </c>
      <c r="AR26" s="611" t="str">
        <f t="shared" si="11"/>
        <v>N.S</v>
      </c>
      <c r="AS26" s="604">
        <f t="shared" si="9"/>
        <v>25</v>
      </c>
      <c r="AT26" s="19" t="s">
        <v>265</v>
      </c>
      <c r="AU26" s="10" t="s">
        <v>265</v>
      </c>
      <c r="AV26" s="10" t="s">
        <v>265</v>
      </c>
      <c r="AW26" s="10" t="s">
        <v>265</v>
      </c>
      <c r="AX26" s="10" t="s">
        <v>265</v>
      </c>
      <c r="AY26" s="10" t="s">
        <v>265</v>
      </c>
      <c r="AZ26" s="10" t="s">
        <v>265</v>
      </c>
      <c r="BA26" s="37" t="s">
        <v>265</v>
      </c>
      <c r="BB26" s="605" t="s">
        <v>265</v>
      </c>
      <c r="BC26" s="37">
        <v>100</v>
      </c>
      <c r="BD26" s="37" t="s">
        <v>600</v>
      </c>
      <c r="BE26" s="3" t="s">
        <v>265</v>
      </c>
      <c r="BF26" s="37" t="s">
        <v>265</v>
      </c>
      <c r="BG26" s="4" t="s">
        <v>84</v>
      </c>
      <c r="BH26" s="13" t="s">
        <v>597</v>
      </c>
      <c r="BI26" s="10" t="s">
        <v>265</v>
      </c>
      <c r="BJ26" s="10" t="s">
        <v>265</v>
      </c>
      <c r="BK26" s="10" t="s">
        <v>265</v>
      </c>
      <c r="BL26" s="10" t="s">
        <v>265</v>
      </c>
      <c r="BM26" s="40" t="s">
        <v>265</v>
      </c>
      <c r="BN26" s="301" t="s">
        <v>265</v>
      </c>
      <c r="BO26" s="41" t="s">
        <v>265</v>
      </c>
      <c r="BP26" s="129" t="s">
        <v>265</v>
      </c>
      <c r="BQ26" s="4" t="s">
        <v>602</v>
      </c>
      <c r="BR26" s="169"/>
      <c r="BS26" s="4">
        <v>0</v>
      </c>
      <c r="BT26" s="128"/>
      <c r="BU26" s="128"/>
      <c r="BV26" s="10"/>
      <c r="BW26" s="40"/>
      <c r="BX26" s="295">
        <v>0</v>
      </c>
      <c r="BY26" s="128"/>
      <c r="BZ26" s="128"/>
      <c r="CA26" s="10"/>
      <c r="CB26" s="40"/>
      <c r="CC26" s="4">
        <v>0</v>
      </c>
      <c r="CD26" s="10">
        <v>0</v>
      </c>
      <c r="CE26" s="128"/>
      <c r="CF26" s="128"/>
      <c r="CG26" s="128"/>
      <c r="CH26" s="128"/>
      <c r="CI26" s="128"/>
      <c r="CJ26" s="128"/>
      <c r="CK26" s="128"/>
      <c r="CL26" s="128"/>
      <c r="CM26" s="121"/>
      <c r="CN26" s="16">
        <v>0</v>
      </c>
      <c r="CO26" s="15">
        <v>0</v>
      </c>
      <c r="CP26" s="10"/>
      <c r="CQ26" s="10"/>
      <c r="CR26" s="10"/>
      <c r="CS26" s="10"/>
      <c r="CT26" s="10"/>
      <c r="CU26" s="10"/>
      <c r="CV26" s="10"/>
      <c r="CW26" s="10"/>
      <c r="CX26" s="121"/>
      <c r="CY26" s="16">
        <v>0</v>
      </c>
      <c r="CZ26" s="15">
        <v>0</v>
      </c>
      <c r="DA26" s="10"/>
      <c r="DB26" s="10"/>
      <c r="DC26" s="10"/>
      <c r="DD26" s="10"/>
      <c r="DE26" s="10"/>
      <c r="DF26" s="10"/>
      <c r="DG26" s="10"/>
      <c r="DH26" s="10"/>
      <c r="DI26" s="121"/>
      <c r="DJ26" s="4">
        <v>0</v>
      </c>
      <c r="DK26" s="128"/>
      <c r="DL26" s="128"/>
      <c r="DM26" s="10"/>
      <c r="DN26" s="40"/>
      <c r="DO26" s="4">
        <v>0</v>
      </c>
      <c r="DP26" s="10"/>
      <c r="DQ26" s="128"/>
      <c r="DR26" s="10"/>
      <c r="DS26" s="40"/>
      <c r="DT26" s="4">
        <v>0</v>
      </c>
      <c r="DU26" s="10"/>
      <c r="DV26" s="10"/>
      <c r="DW26" s="10"/>
      <c r="DX26" s="40"/>
      <c r="DY26" s="4">
        <v>0</v>
      </c>
      <c r="DZ26" s="10"/>
      <c r="EA26" s="10"/>
      <c r="EB26" s="10"/>
      <c r="EC26" s="40"/>
      <c r="ED26" s="4">
        <v>0</v>
      </c>
      <c r="EE26" s="10"/>
      <c r="EF26" s="10"/>
      <c r="EG26" s="10"/>
      <c r="EH26" s="40"/>
      <c r="EI26" s="4">
        <v>0</v>
      </c>
      <c r="EJ26" s="10"/>
      <c r="EK26" s="10"/>
      <c r="EL26" s="10"/>
      <c r="EM26" s="40"/>
      <c r="EN26" s="4">
        <v>0</v>
      </c>
      <c r="EO26" s="10"/>
      <c r="EP26" s="10"/>
      <c r="EQ26" s="10"/>
      <c r="ER26" s="40"/>
      <c r="ES26" s="4">
        <v>0</v>
      </c>
      <c r="ET26" s="10"/>
      <c r="EU26" s="10"/>
      <c r="EV26" s="10"/>
      <c r="EW26" s="40"/>
      <c r="EX26" s="4">
        <v>0</v>
      </c>
      <c r="EY26" s="10"/>
      <c r="EZ26" s="10"/>
      <c r="FA26" s="10"/>
      <c r="FB26" s="40"/>
      <c r="FC26" s="4">
        <v>0</v>
      </c>
      <c r="FD26" s="10"/>
      <c r="FE26" s="10"/>
      <c r="FF26" s="10"/>
      <c r="FG26" s="40"/>
      <c r="FH26" s="4">
        <v>0</v>
      </c>
      <c r="FI26" s="10"/>
      <c r="FJ26" s="10"/>
      <c r="FK26" s="10"/>
      <c r="FL26" s="40"/>
      <c r="FM26" s="4">
        <v>0</v>
      </c>
      <c r="FN26" s="10"/>
      <c r="FO26" s="10"/>
      <c r="FP26" s="10"/>
      <c r="FQ26" s="40"/>
      <c r="FR26" s="4">
        <v>0</v>
      </c>
      <c r="FS26" s="10"/>
      <c r="FT26" s="10"/>
      <c r="FU26" s="10"/>
      <c r="FV26" s="40"/>
      <c r="FW26" s="4">
        <v>0</v>
      </c>
      <c r="FX26" s="10"/>
      <c r="FY26" s="10"/>
      <c r="FZ26" s="10"/>
      <c r="GA26" s="40"/>
      <c r="GB26" s="4"/>
      <c r="GC26" s="10"/>
      <c r="GD26" s="10"/>
      <c r="GE26" s="10"/>
      <c r="GF26" s="40"/>
      <c r="GG26" s="10">
        <f t="shared" si="5"/>
        <v>1</v>
      </c>
      <c r="GH26" s="10" t="str">
        <f t="shared" si="6"/>
        <v/>
      </c>
      <c r="GI26" s="37" t="str">
        <f t="shared" si="7"/>
        <v/>
      </c>
      <c r="GJ26" s="4" t="s">
        <v>82</v>
      </c>
      <c r="GK26" s="10" t="s">
        <v>82</v>
      </c>
      <c r="GL26" s="10" t="s">
        <v>82</v>
      </c>
      <c r="GM26" s="10" t="s">
        <v>82</v>
      </c>
      <c r="GN26" s="10" t="s">
        <v>82</v>
      </c>
      <c r="GO26" s="10" t="s">
        <v>82</v>
      </c>
      <c r="GP26" s="10" t="s">
        <v>82</v>
      </c>
      <c r="GQ26" s="10" t="s">
        <v>82</v>
      </c>
      <c r="GR26" s="10" t="s">
        <v>82</v>
      </c>
      <c r="GS26" s="10" t="s">
        <v>82</v>
      </c>
      <c r="GT26" s="10" t="s">
        <v>82</v>
      </c>
      <c r="GU26" s="10" t="s">
        <v>82</v>
      </c>
      <c r="GV26" s="10" t="s">
        <v>82</v>
      </c>
      <c r="GW26" s="10" t="s">
        <v>82</v>
      </c>
      <c r="GX26" s="10" t="s">
        <v>82</v>
      </c>
      <c r="GY26" s="10" t="s">
        <v>82</v>
      </c>
      <c r="GZ26" s="10" t="s">
        <v>82</v>
      </c>
      <c r="HA26" s="10" t="s">
        <v>82</v>
      </c>
      <c r="HB26" s="10" t="s">
        <v>82</v>
      </c>
      <c r="HC26" s="10" t="s">
        <v>82</v>
      </c>
      <c r="HD26" s="10">
        <v>1</v>
      </c>
      <c r="HE26" s="10" t="s">
        <v>82</v>
      </c>
      <c r="HF26" s="10" t="s">
        <v>82</v>
      </c>
      <c r="HG26" s="10" t="s">
        <v>82</v>
      </c>
      <c r="HH26" s="10" t="s">
        <v>82</v>
      </c>
      <c r="HI26" s="10" t="s">
        <v>82</v>
      </c>
      <c r="HJ26" s="10" t="s">
        <v>82</v>
      </c>
      <c r="HK26" s="10" t="s">
        <v>82</v>
      </c>
      <c r="HL26" s="10" t="s">
        <v>82</v>
      </c>
      <c r="HM26" s="40" t="s">
        <v>82</v>
      </c>
    </row>
    <row r="27" spans="1:247" ht="27.6">
      <c r="A27" s="693"/>
      <c r="B27" s="10" t="s">
        <v>101</v>
      </c>
      <c r="C27" s="687"/>
      <c r="D27" s="100" t="s">
        <v>102</v>
      </c>
      <c r="E27" s="39" t="s">
        <v>124</v>
      </c>
      <c r="F27" s="77" t="s">
        <v>65</v>
      </c>
      <c r="G27" s="10" t="s">
        <v>65</v>
      </c>
      <c r="H27" s="714"/>
      <c r="I27" s="703"/>
      <c r="J27" s="362" t="s">
        <v>265</v>
      </c>
      <c r="K27" s="608" t="s">
        <v>265</v>
      </c>
      <c r="L27" s="609" t="s">
        <v>265</v>
      </c>
      <c r="M27" s="3" t="s">
        <v>606</v>
      </c>
      <c r="N27" s="10" t="s">
        <v>265</v>
      </c>
      <c r="O27" s="10" t="s">
        <v>558</v>
      </c>
      <c r="P27" s="10" t="s">
        <v>265</v>
      </c>
      <c r="Q27" s="10" t="s">
        <v>265</v>
      </c>
      <c r="R27" s="10" t="s">
        <v>265</v>
      </c>
      <c r="S27" s="10" t="s">
        <v>265</v>
      </c>
      <c r="T27" s="10" t="s">
        <v>265</v>
      </c>
      <c r="U27" s="40" t="s">
        <v>265</v>
      </c>
      <c r="V27" s="4">
        <v>2000</v>
      </c>
      <c r="W27" s="41">
        <v>152</v>
      </c>
      <c r="X27" s="41">
        <v>127</v>
      </c>
      <c r="Y27" s="41">
        <v>110</v>
      </c>
      <c r="Z27" s="41">
        <f t="shared" si="2"/>
        <v>152</v>
      </c>
      <c r="AA27" s="593">
        <f t="shared" si="10"/>
        <v>2123440</v>
      </c>
      <c r="AB27" s="40" t="s">
        <v>265</v>
      </c>
      <c r="AC27" s="236">
        <v>16</v>
      </c>
      <c r="AD27" s="128">
        <v>32</v>
      </c>
      <c r="AE27" s="10" t="s">
        <v>265</v>
      </c>
      <c r="AF27" s="10" t="str">
        <f t="shared" si="3"/>
        <v>N.S</v>
      </c>
      <c r="AG27" s="10" t="s">
        <v>265</v>
      </c>
      <c r="AH27" s="10" t="s">
        <v>265</v>
      </c>
      <c r="AI27" s="10" t="str">
        <f t="shared" si="8"/>
        <v>N.S</v>
      </c>
      <c r="AJ27" s="42" t="s">
        <v>265</v>
      </c>
      <c r="AK27" s="42" t="s">
        <v>265</v>
      </c>
      <c r="AL27" s="42">
        <v>9</v>
      </c>
      <c r="AM27" s="42" t="s">
        <v>265</v>
      </c>
      <c r="AN27" s="42">
        <f>IF(AL27="N.S",N.S.,AL27*AQ1+IF(AM27="N.S",0,AM27*(1-AQ1)))</f>
        <v>0.09</v>
      </c>
      <c r="AO27" s="42" t="s">
        <v>265</v>
      </c>
      <c r="AP27" s="42" t="s">
        <v>265</v>
      </c>
      <c r="AQ27" s="238" t="s">
        <v>265</v>
      </c>
      <c r="AR27" s="611" t="str">
        <f t="shared" si="11"/>
        <v>N.S</v>
      </c>
      <c r="AS27" s="604">
        <f t="shared" si="9"/>
        <v>8.3333333333333339</v>
      </c>
      <c r="AT27" s="19" t="s">
        <v>265</v>
      </c>
      <c r="AU27" s="10" t="s">
        <v>265</v>
      </c>
      <c r="AV27" s="10" t="s">
        <v>265</v>
      </c>
      <c r="AW27" s="10" t="s">
        <v>265</v>
      </c>
      <c r="AX27" s="10" t="s">
        <v>265</v>
      </c>
      <c r="AY27" s="10" t="s">
        <v>265</v>
      </c>
      <c r="AZ27" s="10" t="s">
        <v>265</v>
      </c>
      <c r="BA27" s="37" t="s">
        <v>265</v>
      </c>
      <c r="BB27" s="605" t="s">
        <v>265</v>
      </c>
      <c r="BC27" s="37">
        <v>100</v>
      </c>
      <c r="BD27" s="37" t="s">
        <v>600</v>
      </c>
      <c r="BE27" s="3" t="s">
        <v>265</v>
      </c>
      <c r="BF27" s="37" t="s">
        <v>265</v>
      </c>
      <c r="BG27" s="4" t="s">
        <v>265</v>
      </c>
      <c r="BH27" s="13"/>
      <c r="BI27" s="10" t="s">
        <v>265</v>
      </c>
      <c r="BJ27" s="10" t="s">
        <v>265</v>
      </c>
      <c r="BK27" s="10" t="s">
        <v>265</v>
      </c>
      <c r="BL27" s="10" t="s">
        <v>265</v>
      </c>
      <c r="BM27" s="40" t="s">
        <v>265</v>
      </c>
      <c r="BN27" s="301" t="s">
        <v>265</v>
      </c>
      <c r="BO27" s="41" t="s">
        <v>265</v>
      </c>
      <c r="BP27" s="129" t="s">
        <v>265</v>
      </c>
      <c r="BQ27" s="4"/>
      <c r="BR27" s="169"/>
      <c r="BS27" s="4">
        <v>0</v>
      </c>
      <c r="BT27" s="128"/>
      <c r="BU27" s="128"/>
      <c r="BV27" s="10"/>
      <c r="BW27" s="40"/>
      <c r="BX27" s="295">
        <v>0</v>
      </c>
      <c r="BY27" s="128"/>
      <c r="BZ27" s="128"/>
      <c r="CA27" s="10"/>
      <c r="CB27" s="40"/>
      <c r="CC27" s="4">
        <v>0</v>
      </c>
      <c r="CD27" s="10">
        <v>0</v>
      </c>
      <c r="CE27" s="128"/>
      <c r="CF27" s="128"/>
      <c r="CG27" s="128"/>
      <c r="CH27" s="128"/>
      <c r="CI27" s="128"/>
      <c r="CJ27" s="128"/>
      <c r="CK27" s="128"/>
      <c r="CL27" s="128"/>
      <c r="CM27" s="121"/>
      <c r="CN27" s="16">
        <v>0</v>
      </c>
      <c r="CO27" s="15">
        <v>0</v>
      </c>
      <c r="CP27" s="10"/>
      <c r="CQ27" s="10"/>
      <c r="CR27" s="10"/>
      <c r="CS27" s="10"/>
      <c r="CT27" s="10"/>
      <c r="CU27" s="10"/>
      <c r="CV27" s="10"/>
      <c r="CW27" s="10"/>
      <c r="CX27" s="121"/>
      <c r="CY27" s="16">
        <v>0</v>
      </c>
      <c r="CZ27" s="15">
        <v>0</v>
      </c>
      <c r="DA27" s="10"/>
      <c r="DB27" s="10"/>
      <c r="DC27" s="10"/>
      <c r="DD27" s="10"/>
      <c r="DE27" s="10"/>
      <c r="DF27" s="10"/>
      <c r="DG27" s="10"/>
      <c r="DH27" s="10"/>
      <c r="DI27" s="121"/>
      <c r="DJ27" s="4">
        <v>0</v>
      </c>
      <c r="DK27" s="128"/>
      <c r="DL27" s="128"/>
      <c r="DM27" s="10"/>
      <c r="DN27" s="40"/>
      <c r="DO27" s="4">
        <v>0</v>
      </c>
      <c r="DP27" s="10"/>
      <c r="DQ27" s="128"/>
      <c r="DR27" s="10"/>
      <c r="DS27" s="40"/>
      <c r="DT27" s="4">
        <v>0</v>
      </c>
      <c r="DU27" s="10"/>
      <c r="DV27" s="10"/>
      <c r="DW27" s="10"/>
      <c r="DX27" s="40"/>
      <c r="DY27" s="4">
        <v>0</v>
      </c>
      <c r="DZ27" s="10"/>
      <c r="EA27" s="10"/>
      <c r="EB27" s="10"/>
      <c r="EC27" s="40"/>
      <c r="ED27" s="4">
        <v>0</v>
      </c>
      <c r="EE27" s="10"/>
      <c r="EF27" s="10"/>
      <c r="EG27" s="10"/>
      <c r="EH27" s="40"/>
      <c r="EI27" s="4">
        <v>0</v>
      </c>
      <c r="EJ27" s="10"/>
      <c r="EK27" s="10"/>
      <c r="EL27" s="10"/>
      <c r="EM27" s="40"/>
      <c r="EN27" s="4">
        <v>0</v>
      </c>
      <c r="EO27" s="10"/>
      <c r="EP27" s="10"/>
      <c r="EQ27" s="10"/>
      <c r="ER27" s="40"/>
      <c r="ES27" s="4">
        <v>0</v>
      </c>
      <c r="ET27" s="10"/>
      <c r="EU27" s="10"/>
      <c r="EV27" s="10"/>
      <c r="EW27" s="40"/>
      <c r="EX27" s="4">
        <v>0</v>
      </c>
      <c r="EY27" s="10"/>
      <c r="EZ27" s="10"/>
      <c r="FA27" s="10"/>
      <c r="FB27" s="40"/>
      <c r="FC27" s="4">
        <v>0</v>
      </c>
      <c r="FD27" s="10"/>
      <c r="FE27" s="10"/>
      <c r="FF27" s="10"/>
      <c r="FG27" s="40"/>
      <c r="FH27" s="4">
        <v>0</v>
      </c>
      <c r="FI27" s="10"/>
      <c r="FJ27" s="10"/>
      <c r="FK27" s="10"/>
      <c r="FL27" s="40"/>
      <c r="FM27" s="4">
        <v>0</v>
      </c>
      <c r="FN27" s="10"/>
      <c r="FO27" s="10"/>
      <c r="FP27" s="10"/>
      <c r="FQ27" s="40"/>
      <c r="FR27" s="4">
        <v>0</v>
      </c>
      <c r="FS27" s="10"/>
      <c r="FT27" s="10"/>
      <c r="FU27" s="10"/>
      <c r="FV27" s="40"/>
      <c r="FW27" s="4">
        <v>0</v>
      </c>
      <c r="FX27" s="10"/>
      <c r="FY27" s="10"/>
      <c r="FZ27" s="10"/>
      <c r="GA27" s="40"/>
      <c r="GB27" s="4"/>
      <c r="GC27" s="10"/>
      <c r="GD27" s="10"/>
      <c r="GE27" s="10"/>
      <c r="GF27" s="40"/>
      <c r="GG27" s="10">
        <f t="shared" si="5"/>
        <v>1</v>
      </c>
      <c r="GH27" s="10" t="str">
        <f t="shared" si="6"/>
        <v/>
      </c>
      <c r="GI27" s="37" t="str">
        <f t="shared" si="7"/>
        <v/>
      </c>
      <c r="GJ27" s="4" t="s">
        <v>82</v>
      </c>
      <c r="GK27" s="10" t="s">
        <v>82</v>
      </c>
      <c r="GL27" s="10" t="s">
        <v>82</v>
      </c>
      <c r="GM27" s="10" t="s">
        <v>82</v>
      </c>
      <c r="GN27" s="10" t="s">
        <v>82</v>
      </c>
      <c r="GO27" s="10" t="s">
        <v>82</v>
      </c>
      <c r="GP27" s="10" t="s">
        <v>82</v>
      </c>
      <c r="GQ27" s="10" t="s">
        <v>82</v>
      </c>
      <c r="GR27" s="10" t="s">
        <v>82</v>
      </c>
      <c r="GS27" s="10" t="s">
        <v>82</v>
      </c>
      <c r="GT27" s="10" t="s">
        <v>82</v>
      </c>
      <c r="GU27" s="10" t="s">
        <v>82</v>
      </c>
      <c r="GV27" s="10" t="s">
        <v>82</v>
      </c>
      <c r="GW27" s="10" t="s">
        <v>82</v>
      </c>
      <c r="GX27" s="10" t="s">
        <v>82</v>
      </c>
      <c r="GY27" s="10" t="s">
        <v>82</v>
      </c>
      <c r="GZ27" s="10" t="s">
        <v>82</v>
      </c>
      <c r="HA27" s="10" t="s">
        <v>82</v>
      </c>
      <c r="HB27" s="10" t="s">
        <v>82</v>
      </c>
      <c r="HC27" s="10" t="s">
        <v>82</v>
      </c>
      <c r="HD27" s="10">
        <v>1</v>
      </c>
      <c r="HE27" s="10" t="s">
        <v>82</v>
      </c>
      <c r="HF27" s="10" t="s">
        <v>82</v>
      </c>
      <c r="HG27" s="10" t="s">
        <v>82</v>
      </c>
      <c r="HH27" s="10" t="s">
        <v>82</v>
      </c>
      <c r="HI27" s="10" t="s">
        <v>82</v>
      </c>
      <c r="HJ27" s="10" t="s">
        <v>82</v>
      </c>
      <c r="HK27" s="10" t="s">
        <v>82</v>
      </c>
      <c r="HL27" s="10" t="s">
        <v>82</v>
      </c>
      <c r="HM27" s="40" t="s">
        <v>82</v>
      </c>
    </row>
    <row r="28" spans="1:247" ht="110.4">
      <c r="A28" s="693"/>
      <c r="B28" s="291" t="s">
        <v>107</v>
      </c>
      <c r="C28" s="687"/>
      <c r="D28" s="100" t="s">
        <v>971</v>
      </c>
      <c r="E28" s="39" t="s">
        <v>65</v>
      </c>
      <c r="F28" s="77" t="s">
        <v>124</v>
      </c>
      <c r="G28" s="77" t="s">
        <v>65</v>
      </c>
      <c r="H28" s="714"/>
      <c r="I28" s="703"/>
      <c r="J28" s="362" t="s">
        <v>265</v>
      </c>
      <c r="K28" s="608" t="s">
        <v>265</v>
      </c>
      <c r="L28" s="609" t="s">
        <v>265</v>
      </c>
      <c r="M28" s="3" t="s">
        <v>991</v>
      </c>
      <c r="N28" s="10" t="s">
        <v>265</v>
      </c>
      <c r="O28" s="10" t="s">
        <v>558</v>
      </c>
      <c r="P28" s="13" t="s">
        <v>265</v>
      </c>
      <c r="Q28" s="10" t="s">
        <v>265</v>
      </c>
      <c r="R28" s="10" t="s">
        <v>265</v>
      </c>
      <c r="S28" s="10" t="s">
        <v>265</v>
      </c>
      <c r="T28" s="10" t="s">
        <v>265</v>
      </c>
      <c r="U28" s="40" t="s">
        <v>265</v>
      </c>
      <c r="V28" s="4" t="s">
        <v>265</v>
      </c>
      <c r="W28" s="41" t="s">
        <v>265</v>
      </c>
      <c r="X28" s="41" t="s">
        <v>265</v>
      </c>
      <c r="Y28" s="41" t="s">
        <v>265</v>
      </c>
      <c r="Z28" s="41" t="str">
        <f t="shared" si="2"/>
        <v>N.S</v>
      </c>
      <c r="AA28" s="593" t="str">
        <f t="shared" si="10"/>
        <v>N.S</v>
      </c>
      <c r="AB28" s="40" t="s">
        <v>265</v>
      </c>
      <c r="AC28" s="236" t="s">
        <v>265</v>
      </c>
      <c r="AD28" s="128" t="s">
        <v>265</v>
      </c>
      <c r="AE28" s="10" t="s">
        <v>265</v>
      </c>
      <c r="AF28" s="10" t="str">
        <f t="shared" si="3"/>
        <v>N.S</v>
      </c>
      <c r="AG28" s="10" t="s">
        <v>265</v>
      </c>
      <c r="AH28" s="10" t="s">
        <v>265</v>
      </c>
      <c r="AI28" s="10" t="str">
        <f t="shared" si="8"/>
        <v>N.S</v>
      </c>
      <c r="AJ28" s="42" t="s">
        <v>265</v>
      </c>
      <c r="AK28" s="42" t="s">
        <v>265</v>
      </c>
      <c r="AL28" s="42" t="s">
        <v>265</v>
      </c>
      <c r="AM28" s="42" t="s">
        <v>265</v>
      </c>
      <c r="AN28" s="42" t="str">
        <f>IF(AL28="N.S","N.S",AL28*AQ1+IF(AM28="N.S",0,AM28*(1-AQ1)))</f>
        <v>N.S</v>
      </c>
      <c r="AO28" s="42" t="s">
        <v>265</v>
      </c>
      <c r="AP28" s="42" t="s">
        <v>265</v>
      </c>
      <c r="AQ28" s="238" t="s">
        <v>265</v>
      </c>
      <c r="AR28" s="611" t="str">
        <f t="shared" si="11"/>
        <v>N.S</v>
      </c>
      <c r="AS28" s="604" t="str">
        <f t="shared" si="9"/>
        <v>N.S</v>
      </c>
      <c r="AT28" s="22" t="s">
        <v>265</v>
      </c>
      <c r="AU28" s="291" t="s">
        <v>265</v>
      </c>
      <c r="AV28" s="291" t="s">
        <v>265</v>
      </c>
      <c r="AW28" s="291" t="s">
        <v>265</v>
      </c>
      <c r="AX28" s="291" t="s">
        <v>265</v>
      </c>
      <c r="AY28" s="291">
        <f>64+2</f>
        <v>66</v>
      </c>
      <c r="AZ28" s="291" t="s">
        <v>265</v>
      </c>
      <c r="BA28" s="65" t="s">
        <v>265</v>
      </c>
      <c r="BB28" s="619" t="s">
        <v>265</v>
      </c>
      <c r="BC28" s="606" t="s">
        <v>265</v>
      </c>
      <c r="BD28" s="37" t="s">
        <v>265</v>
      </c>
      <c r="BE28" s="3" t="s">
        <v>265</v>
      </c>
      <c r="BF28" s="65" t="s">
        <v>265</v>
      </c>
      <c r="BG28" s="4" t="s">
        <v>607</v>
      </c>
      <c r="BH28" s="13" t="s">
        <v>597</v>
      </c>
      <c r="BI28" s="10" t="s">
        <v>265</v>
      </c>
      <c r="BJ28" s="10">
        <v>1575.42</v>
      </c>
      <c r="BK28" s="10" t="s">
        <v>265</v>
      </c>
      <c r="BL28" s="10" t="s">
        <v>265</v>
      </c>
      <c r="BM28" s="40" t="s">
        <v>265</v>
      </c>
      <c r="BN28" s="301" t="s">
        <v>265</v>
      </c>
      <c r="BO28" s="41" t="s">
        <v>265</v>
      </c>
      <c r="BP28" s="129" t="s">
        <v>265</v>
      </c>
      <c r="BQ28" s="4"/>
      <c r="BR28" s="169"/>
      <c r="BS28" s="4">
        <v>1</v>
      </c>
      <c r="BT28" s="128"/>
      <c r="BU28" s="128">
        <f>LOG((BW28-BV28)/1,2)</f>
        <v>6.1292830169449672</v>
      </c>
      <c r="BV28" s="10">
        <v>-10</v>
      </c>
      <c r="BW28" s="40">
        <v>60</v>
      </c>
      <c r="BX28" s="295">
        <v>1</v>
      </c>
      <c r="BY28" s="128">
        <f>LOG((CB28-CA28)/0.03,2)</f>
        <v>11.702749878828293</v>
      </c>
      <c r="BZ28" s="128">
        <f>LOG((CB28-CA28)/7,2)</f>
        <v>3.8365012677171206</v>
      </c>
      <c r="CA28" s="10">
        <v>0</v>
      </c>
      <c r="CB28" s="40">
        <v>100</v>
      </c>
      <c r="CC28" s="4">
        <v>1</v>
      </c>
      <c r="CD28" s="10">
        <v>0</v>
      </c>
      <c r="CE28" s="128">
        <v>2</v>
      </c>
      <c r="CF28" s="128"/>
      <c r="CG28" s="128"/>
      <c r="CH28" s="128"/>
      <c r="CI28" s="128"/>
      <c r="CJ28" s="128"/>
      <c r="CK28" s="128"/>
      <c r="CL28" s="128">
        <f>LOG(2000/2,2)</f>
        <v>9.965784284662087</v>
      </c>
      <c r="CM28" s="121"/>
      <c r="CN28" s="16">
        <v>0</v>
      </c>
      <c r="CO28" s="15">
        <v>0</v>
      </c>
      <c r="CP28" s="10"/>
      <c r="CQ28" s="10"/>
      <c r="CR28" s="10"/>
      <c r="CS28" s="10"/>
      <c r="CT28" s="10"/>
      <c r="CU28" s="10"/>
      <c r="CV28" s="10"/>
      <c r="CW28" s="10"/>
      <c r="CX28" s="121"/>
      <c r="CY28" s="16">
        <v>0</v>
      </c>
      <c r="CZ28" s="15">
        <v>0</v>
      </c>
      <c r="DA28" s="10"/>
      <c r="DB28" s="10"/>
      <c r="DC28" s="10"/>
      <c r="DD28" s="10"/>
      <c r="DE28" s="10"/>
      <c r="DF28" s="10"/>
      <c r="DG28" s="10"/>
      <c r="DH28" s="10"/>
      <c r="DI28" s="121"/>
      <c r="DJ28" s="4">
        <v>0</v>
      </c>
      <c r="DK28" s="128">
        <f>LOG((DN28-DM28)/1000,2)</f>
        <v>6.3219280948873617</v>
      </c>
      <c r="DL28" s="128">
        <f>LOG(100/3,2)</f>
        <v>5.0588936890535692</v>
      </c>
      <c r="DM28" s="10">
        <v>30000</v>
      </c>
      <c r="DN28" s="40">
        <v>110000</v>
      </c>
      <c r="DO28" s="4">
        <v>0</v>
      </c>
      <c r="DP28" s="10"/>
      <c r="DQ28" s="128"/>
      <c r="DR28" s="10"/>
      <c r="DS28" s="40"/>
      <c r="DT28" s="4">
        <v>1</v>
      </c>
      <c r="DU28" s="10"/>
      <c r="DV28" s="10"/>
      <c r="DW28" s="10" t="s">
        <v>473</v>
      </c>
      <c r="DX28" s="40" t="s">
        <v>473</v>
      </c>
      <c r="DY28" s="4">
        <v>0</v>
      </c>
      <c r="DZ28" s="10"/>
      <c r="EA28" s="10"/>
      <c r="EB28" s="10"/>
      <c r="EC28" s="40"/>
      <c r="ED28" s="4">
        <v>0</v>
      </c>
      <c r="EE28" s="10"/>
      <c r="EF28" s="10"/>
      <c r="EG28" s="10"/>
      <c r="EH28" s="40"/>
      <c r="EI28" s="4">
        <v>0</v>
      </c>
      <c r="EJ28" s="10"/>
      <c r="EK28" s="10"/>
      <c r="EL28" s="10"/>
      <c r="EM28" s="40"/>
      <c r="EN28" s="4">
        <v>0</v>
      </c>
      <c r="EO28" s="10"/>
      <c r="EP28" s="10"/>
      <c r="EQ28" s="10"/>
      <c r="ER28" s="40"/>
      <c r="ES28" s="4">
        <v>0</v>
      </c>
      <c r="ET28" s="10"/>
      <c r="EU28" s="10"/>
      <c r="EV28" s="10"/>
      <c r="EW28" s="40"/>
      <c r="EX28" s="4">
        <v>0</v>
      </c>
      <c r="EY28" s="10"/>
      <c r="EZ28" s="10"/>
      <c r="FA28" s="10"/>
      <c r="FB28" s="40"/>
      <c r="FC28" s="4">
        <v>0</v>
      </c>
      <c r="FD28" s="10"/>
      <c r="FE28" s="10"/>
      <c r="FF28" s="10"/>
      <c r="FG28" s="40"/>
      <c r="FH28" s="4">
        <v>0</v>
      </c>
      <c r="FI28" s="10"/>
      <c r="FJ28" s="10"/>
      <c r="FK28" s="10"/>
      <c r="FL28" s="40"/>
      <c r="FM28" s="4">
        <v>0</v>
      </c>
      <c r="FN28" s="10"/>
      <c r="FO28" s="10"/>
      <c r="FP28" s="10"/>
      <c r="FQ28" s="40"/>
      <c r="FR28" s="4">
        <v>0</v>
      </c>
      <c r="FS28" s="10"/>
      <c r="FT28" s="10"/>
      <c r="FU28" s="10"/>
      <c r="FV28" s="40"/>
      <c r="FW28" s="4">
        <v>0</v>
      </c>
      <c r="FX28" s="10"/>
      <c r="FY28" s="10"/>
      <c r="FZ28" s="10"/>
      <c r="GA28" s="40"/>
      <c r="GB28" s="4"/>
      <c r="GC28" s="10"/>
      <c r="GD28" s="10"/>
      <c r="GE28" s="10"/>
      <c r="GF28" s="40"/>
      <c r="GG28" s="10">
        <f t="shared" si="5"/>
        <v>1</v>
      </c>
      <c r="GH28" s="10" t="str">
        <f t="shared" si="6"/>
        <v/>
      </c>
      <c r="GI28" s="37" t="str">
        <f t="shared" si="7"/>
        <v/>
      </c>
      <c r="GJ28" s="4" t="s">
        <v>82</v>
      </c>
      <c r="GK28" s="10" t="s">
        <v>82</v>
      </c>
      <c r="GL28" s="10" t="s">
        <v>82</v>
      </c>
      <c r="GM28" s="10" t="s">
        <v>82</v>
      </c>
      <c r="GN28" s="10" t="s">
        <v>82</v>
      </c>
      <c r="GO28" s="10" t="s">
        <v>82</v>
      </c>
      <c r="GP28" s="10" t="s">
        <v>82</v>
      </c>
      <c r="GQ28" s="10" t="s">
        <v>82</v>
      </c>
      <c r="GR28" s="10" t="s">
        <v>82</v>
      </c>
      <c r="GS28" s="10" t="s">
        <v>82</v>
      </c>
      <c r="GT28" s="10" t="s">
        <v>82</v>
      </c>
      <c r="GU28" s="10" t="s">
        <v>82</v>
      </c>
      <c r="GV28" s="10" t="s">
        <v>82</v>
      </c>
      <c r="GW28" s="10" t="s">
        <v>82</v>
      </c>
      <c r="GX28" s="10" t="s">
        <v>82</v>
      </c>
      <c r="GY28" s="10" t="s">
        <v>82</v>
      </c>
      <c r="GZ28" s="10" t="s">
        <v>82</v>
      </c>
      <c r="HA28" s="10" t="s">
        <v>82</v>
      </c>
      <c r="HB28" s="10" t="s">
        <v>82</v>
      </c>
      <c r="HC28" s="10" t="s">
        <v>82</v>
      </c>
      <c r="HD28" s="10" t="s">
        <v>82</v>
      </c>
      <c r="HE28" s="10" t="s">
        <v>82</v>
      </c>
      <c r="HF28" s="10" t="s">
        <v>82</v>
      </c>
      <c r="HG28" s="10" t="s">
        <v>82</v>
      </c>
      <c r="HH28" s="10" t="s">
        <v>82</v>
      </c>
      <c r="HI28" s="10" t="s">
        <v>82</v>
      </c>
      <c r="HJ28" s="10" t="s">
        <v>82</v>
      </c>
      <c r="HK28" s="10" t="s">
        <v>82</v>
      </c>
      <c r="HL28" s="10" t="s">
        <v>82</v>
      </c>
      <c r="HM28" s="40" t="s">
        <v>82</v>
      </c>
    </row>
    <row r="29" spans="1:247" ht="69">
      <c r="A29" s="693"/>
      <c r="B29" s="291" t="s">
        <v>109</v>
      </c>
      <c r="C29" s="687"/>
      <c r="D29" s="100" t="s">
        <v>971</v>
      </c>
      <c r="E29" s="77" t="s">
        <v>65</v>
      </c>
      <c r="F29" s="714" t="s">
        <v>124</v>
      </c>
      <c r="G29" s="10" t="s">
        <v>65</v>
      </c>
      <c r="H29" s="714"/>
      <c r="I29" s="703"/>
      <c r="J29" s="362" t="s">
        <v>265</v>
      </c>
      <c r="K29" s="608" t="s">
        <v>265</v>
      </c>
      <c r="L29" s="609" t="s">
        <v>265</v>
      </c>
      <c r="M29" s="3" t="s">
        <v>113</v>
      </c>
      <c r="N29" s="10" t="s">
        <v>265</v>
      </c>
      <c r="O29" s="10" t="s">
        <v>558</v>
      </c>
      <c r="P29" s="13" t="s">
        <v>265</v>
      </c>
      <c r="Q29" s="10" t="s">
        <v>265</v>
      </c>
      <c r="R29" s="10" t="s">
        <v>265</v>
      </c>
      <c r="S29" s="10" t="s">
        <v>265</v>
      </c>
      <c r="T29" s="10" t="s">
        <v>265</v>
      </c>
      <c r="U29" s="40" t="s">
        <v>265</v>
      </c>
      <c r="V29" s="4" t="s">
        <v>265</v>
      </c>
      <c r="W29" s="41" t="s">
        <v>265</v>
      </c>
      <c r="X29" s="41" t="s">
        <v>265</v>
      </c>
      <c r="Y29" s="41" t="s">
        <v>265</v>
      </c>
      <c r="Z29" s="41" t="str">
        <f t="shared" si="2"/>
        <v>N.S</v>
      </c>
      <c r="AA29" s="593" t="str">
        <f t="shared" si="10"/>
        <v>N.S</v>
      </c>
      <c r="AB29" s="40" t="s">
        <v>265</v>
      </c>
      <c r="AC29" s="236" t="s">
        <v>265</v>
      </c>
      <c r="AD29" s="128" t="s">
        <v>265</v>
      </c>
      <c r="AE29" s="10" t="s">
        <v>265</v>
      </c>
      <c r="AF29" s="10" t="str">
        <f t="shared" si="3"/>
        <v>N.S</v>
      </c>
      <c r="AG29" s="10" t="s">
        <v>265</v>
      </c>
      <c r="AH29" s="10" t="s">
        <v>265</v>
      </c>
      <c r="AI29" s="10" t="str">
        <f t="shared" si="8"/>
        <v>N.S</v>
      </c>
      <c r="AJ29" s="42" t="s">
        <v>265</v>
      </c>
      <c r="AK29" s="42" t="s">
        <v>265</v>
      </c>
      <c r="AL29" s="42" t="s">
        <v>265</v>
      </c>
      <c r="AM29" s="42" t="s">
        <v>265</v>
      </c>
      <c r="AN29" s="42" t="str">
        <f>IF(AL29="N.S","N.S",AL29*AQ1+IF(AM29="N.S",0,AM29*(1-AQ1)))</f>
        <v>N.S</v>
      </c>
      <c r="AO29" s="42" t="s">
        <v>265</v>
      </c>
      <c r="AP29" s="42" t="s">
        <v>265</v>
      </c>
      <c r="AQ29" s="238" t="s">
        <v>265</v>
      </c>
      <c r="AR29" s="611" t="str">
        <f t="shared" si="11"/>
        <v>N.S</v>
      </c>
      <c r="AS29" s="604" t="str">
        <f t="shared" si="9"/>
        <v>N.S</v>
      </c>
      <c r="AT29" s="22" t="s">
        <v>265</v>
      </c>
      <c r="AU29" s="291" t="s">
        <v>265</v>
      </c>
      <c r="AV29" s="291" t="s">
        <v>265</v>
      </c>
      <c r="AW29" s="291" t="s">
        <v>265</v>
      </c>
      <c r="AX29" s="291" t="s">
        <v>265</v>
      </c>
      <c r="AY29" s="291">
        <f>64+2</f>
        <v>66</v>
      </c>
      <c r="AZ29" s="291" t="s">
        <v>265</v>
      </c>
      <c r="BA29" s="65" t="s">
        <v>265</v>
      </c>
      <c r="BB29" s="619" t="s">
        <v>265</v>
      </c>
      <c r="BC29" s="606" t="s">
        <v>265</v>
      </c>
      <c r="BD29" s="37" t="s">
        <v>265</v>
      </c>
      <c r="BE29" s="3" t="s">
        <v>265</v>
      </c>
      <c r="BF29" s="65" t="s">
        <v>265</v>
      </c>
      <c r="BG29" s="4" t="s">
        <v>265</v>
      </c>
      <c r="BH29" s="13" t="s">
        <v>265</v>
      </c>
      <c r="BI29" s="10" t="s">
        <v>265</v>
      </c>
      <c r="BJ29" s="10" t="s">
        <v>265</v>
      </c>
      <c r="BK29" s="10" t="s">
        <v>265</v>
      </c>
      <c r="BL29" s="10" t="s">
        <v>265</v>
      </c>
      <c r="BM29" s="40" t="s">
        <v>265</v>
      </c>
      <c r="BN29" s="301" t="s">
        <v>265</v>
      </c>
      <c r="BO29" s="41" t="s">
        <v>265</v>
      </c>
      <c r="BP29" s="129" t="s">
        <v>265</v>
      </c>
      <c r="BQ29" s="3" t="s">
        <v>608</v>
      </c>
      <c r="BR29" s="297"/>
      <c r="BS29" s="4">
        <v>1</v>
      </c>
      <c r="BT29" s="128"/>
      <c r="BU29" s="128"/>
      <c r="BV29" s="10"/>
      <c r="BW29" s="40"/>
      <c r="BX29" s="295">
        <v>0</v>
      </c>
      <c r="BY29" s="128"/>
      <c r="BZ29" s="128"/>
      <c r="CA29" s="10"/>
      <c r="CB29" s="40"/>
      <c r="CC29" s="4">
        <v>1</v>
      </c>
      <c r="CD29" s="10">
        <v>0</v>
      </c>
      <c r="CE29" s="128"/>
      <c r="CF29" s="128"/>
      <c r="CG29" s="128"/>
      <c r="CH29" s="128"/>
      <c r="CI29" s="128"/>
      <c r="CJ29" s="128"/>
      <c r="CK29" s="128"/>
      <c r="CL29" s="128"/>
      <c r="CM29" s="121"/>
      <c r="CN29" s="4">
        <v>0</v>
      </c>
      <c r="CO29" s="10">
        <v>0</v>
      </c>
      <c r="CP29" s="10"/>
      <c r="CQ29" s="10"/>
      <c r="CR29" s="10"/>
      <c r="CS29" s="10"/>
      <c r="CT29" s="10"/>
      <c r="CU29" s="10"/>
      <c r="CV29" s="10"/>
      <c r="CW29" s="10"/>
      <c r="CX29" s="121"/>
      <c r="CY29" s="4">
        <v>1</v>
      </c>
      <c r="CZ29" s="10">
        <v>0</v>
      </c>
      <c r="DA29" s="10"/>
      <c r="DB29" s="10"/>
      <c r="DC29" s="10"/>
      <c r="DD29" s="10"/>
      <c r="DE29" s="10"/>
      <c r="DF29" s="10"/>
      <c r="DG29" s="10"/>
      <c r="DH29" s="10"/>
      <c r="DI29" s="121"/>
      <c r="DJ29" s="4">
        <v>0</v>
      </c>
      <c r="DK29" s="128"/>
      <c r="DL29" s="128"/>
      <c r="DM29" s="10"/>
      <c r="DN29" s="40"/>
      <c r="DO29" s="4">
        <v>0</v>
      </c>
      <c r="DP29" s="10"/>
      <c r="DQ29" s="128"/>
      <c r="DR29" s="10"/>
      <c r="DS29" s="40"/>
      <c r="DT29" s="4">
        <v>1</v>
      </c>
      <c r="DU29" s="10"/>
      <c r="DV29" s="10"/>
      <c r="DW29" s="10"/>
      <c r="DX29" s="40"/>
      <c r="DY29" s="4">
        <v>1</v>
      </c>
      <c r="DZ29" s="10"/>
      <c r="EA29" s="10"/>
      <c r="EB29" s="10"/>
      <c r="EC29" s="40"/>
      <c r="ED29" s="4">
        <v>0</v>
      </c>
      <c r="EE29" s="10"/>
      <c r="EF29" s="10"/>
      <c r="EG29" s="10"/>
      <c r="EH29" s="40"/>
      <c r="EI29" s="4">
        <v>0</v>
      </c>
      <c r="EJ29" s="10"/>
      <c r="EK29" s="10"/>
      <c r="EL29" s="10"/>
      <c r="EM29" s="40"/>
      <c r="EN29" s="4">
        <v>0</v>
      </c>
      <c r="EO29" s="10"/>
      <c r="EP29" s="10"/>
      <c r="EQ29" s="10"/>
      <c r="ER29" s="40"/>
      <c r="ES29" s="4">
        <v>0</v>
      </c>
      <c r="ET29" s="10"/>
      <c r="EU29" s="10"/>
      <c r="EV29" s="10"/>
      <c r="EW29" s="40"/>
      <c r="EX29" s="4">
        <v>0</v>
      </c>
      <c r="EY29" s="10"/>
      <c r="EZ29" s="10"/>
      <c r="FA29" s="10"/>
      <c r="FB29" s="40"/>
      <c r="FC29" s="4">
        <v>0</v>
      </c>
      <c r="FD29" s="10"/>
      <c r="FE29" s="10"/>
      <c r="FF29" s="10"/>
      <c r="FG29" s="40"/>
      <c r="FH29" s="4">
        <v>0</v>
      </c>
      <c r="FI29" s="10"/>
      <c r="FJ29" s="10"/>
      <c r="FK29" s="10"/>
      <c r="FL29" s="40"/>
      <c r="FM29" s="4">
        <v>0</v>
      </c>
      <c r="FN29" s="10"/>
      <c r="FO29" s="10"/>
      <c r="FP29" s="10"/>
      <c r="FQ29" s="40"/>
      <c r="FR29" s="4">
        <v>0</v>
      </c>
      <c r="FS29" s="10"/>
      <c r="FT29" s="10"/>
      <c r="FU29" s="10"/>
      <c r="FV29" s="40"/>
      <c r="FW29" s="4">
        <v>0</v>
      </c>
      <c r="FX29" s="10"/>
      <c r="FY29" s="10"/>
      <c r="FZ29" s="10"/>
      <c r="GA29" s="40"/>
      <c r="GB29" s="4"/>
      <c r="GC29" s="10"/>
      <c r="GD29" s="10"/>
      <c r="GE29" s="10"/>
      <c r="GF29" s="40"/>
      <c r="GG29" s="10">
        <f t="shared" si="5"/>
        <v>1</v>
      </c>
      <c r="GH29" s="10" t="str">
        <f t="shared" si="6"/>
        <v/>
      </c>
      <c r="GI29" s="37" t="str">
        <f t="shared" si="7"/>
        <v/>
      </c>
      <c r="GJ29" s="4" t="s">
        <v>82</v>
      </c>
      <c r="GK29" s="10" t="s">
        <v>82</v>
      </c>
      <c r="GL29" s="10" t="s">
        <v>82</v>
      </c>
      <c r="GM29" s="10" t="s">
        <v>82</v>
      </c>
      <c r="GN29" s="10" t="s">
        <v>82</v>
      </c>
      <c r="GO29" s="10" t="s">
        <v>82</v>
      </c>
      <c r="GP29" s="10" t="s">
        <v>82</v>
      </c>
      <c r="GQ29" s="10" t="s">
        <v>82</v>
      </c>
      <c r="GR29" s="10" t="s">
        <v>82</v>
      </c>
      <c r="GS29" s="10" t="s">
        <v>82</v>
      </c>
      <c r="GT29" s="10" t="s">
        <v>82</v>
      </c>
      <c r="GU29" s="10" t="s">
        <v>82</v>
      </c>
      <c r="GV29" s="10" t="s">
        <v>82</v>
      </c>
      <c r="GW29" s="10" t="s">
        <v>82</v>
      </c>
      <c r="GX29" s="10" t="s">
        <v>82</v>
      </c>
      <c r="GY29" s="10" t="s">
        <v>82</v>
      </c>
      <c r="GZ29" s="10" t="s">
        <v>82</v>
      </c>
      <c r="HA29" s="10" t="s">
        <v>82</v>
      </c>
      <c r="HB29" s="10" t="s">
        <v>82</v>
      </c>
      <c r="HC29" s="10" t="s">
        <v>82</v>
      </c>
      <c r="HD29" s="10" t="s">
        <v>82</v>
      </c>
      <c r="HE29" s="10" t="s">
        <v>82</v>
      </c>
      <c r="HF29" s="10" t="s">
        <v>82</v>
      </c>
      <c r="HG29" s="10" t="s">
        <v>82</v>
      </c>
      <c r="HH29" s="10" t="s">
        <v>82</v>
      </c>
      <c r="HI29" s="10" t="s">
        <v>82</v>
      </c>
      <c r="HJ29" s="10" t="s">
        <v>82</v>
      </c>
      <c r="HK29" s="10" t="s">
        <v>82</v>
      </c>
      <c r="HL29" s="10" t="s">
        <v>82</v>
      </c>
      <c r="HM29" s="40" t="s">
        <v>82</v>
      </c>
    </row>
    <row r="30" spans="1:247" ht="55.2">
      <c r="A30" s="693"/>
      <c r="B30" s="291" t="s">
        <v>110</v>
      </c>
      <c r="C30" s="687"/>
      <c r="D30" s="100" t="s">
        <v>972</v>
      </c>
      <c r="E30" s="39" t="s">
        <v>65</v>
      </c>
      <c r="F30" s="714"/>
      <c r="G30" s="10" t="s">
        <v>65</v>
      </c>
      <c r="H30" s="714"/>
      <c r="I30" s="703"/>
      <c r="J30" s="362" t="s">
        <v>265</v>
      </c>
      <c r="K30" s="608" t="s">
        <v>265</v>
      </c>
      <c r="L30" s="609" t="s">
        <v>265</v>
      </c>
      <c r="M30" s="3" t="s">
        <v>112</v>
      </c>
      <c r="N30" s="10" t="s">
        <v>265</v>
      </c>
      <c r="O30" s="10" t="s">
        <v>558</v>
      </c>
      <c r="P30" s="13" t="s">
        <v>265</v>
      </c>
      <c r="Q30" s="10" t="s">
        <v>265</v>
      </c>
      <c r="R30" s="10" t="s">
        <v>265</v>
      </c>
      <c r="S30" s="10" t="s">
        <v>265</v>
      </c>
      <c r="T30" s="10" t="s">
        <v>265</v>
      </c>
      <c r="U30" s="40" t="s">
        <v>265</v>
      </c>
      <c r="V30" s="4" t="s">
        <v>265</v>
      </c>
      <c r="W30" s="41" t="s">
        <v>265</v>
      </c>
      <c r="X30" s="41" t="s">
        <v>265</v>
      </c>
      <c r="Y30" s="41" t="s">
        <v>265</v>
      </c>
      <c r="Z30" s="41" t="str">
        <f t="shared" si="2"/>
        <v>N.S</v>
      </c>
      <c r="AA30" s="593" t="str">
        <f t="shared" si="10"/>
        <v>N.S</v>
      </c>
      <c r="AB30" s="40" t="s">
        <v>265</v>
      </c>
      <c r="AC30" s="236" t="s">
        <v>265</v>
      </c>
      <c r="AD30" s="128" t="s">
        <v>265</v>
      </c>
      <c r="AE30" s="10" t="s">
        <v>265</v>
      </c>
      <c r="AF30" s="10" t="str">
        <f t="shared" si="3"/>
        <v>N.S</v>
      </c>
      <c r="AG30" s="10" t="s">
        <v>265</v>
      </c>
      <c r="AH30" s="10" t="s">
        <v>265</v>
      </c>
      <c r="AI30" s="10" t="str">
        <f t="shared" si="8"/>
        <v>N.S</v>
      </c>
      <c r="AJ30" s="42" t="s">
        <v>265</v>
      </c>
      <c r="AK30" s="42" t="s">
        <v>265</v>
      </c>
      <c r="AL30" s="42" t="s">
        <v>265</v>
      </c>
      <c r="AM30" s="42" t="s">
        <v>265</v>
      </c>
      <c r="AN30" s="42" t="str">
        <f>IF(AL30="N.S","N.S",AL30*AQ1+IF(AM30="N.S",0,AM30*(1-AQ1)))</f>
        <v>N.S</v>
      </c>
      <c r="AO30" s="42" t="s">
        <v>265</v>
      </c>
      <c r="AP30" s="42" t="s">
        <v>265</v>
      </c>
      <c r="AQ30" s="238" t="s">
        <v>265</v>
      </c>
      <c r="AR30" s="611" t="str">
        <f t="shared" si="11"/>
        <v>N.S</v>
      </c>
      <c r="AS30" s="604" t="str">
        <f t="shared" si="9"/>
        <v>N.S</v>
      </c>
      <c r="AT30" s="22" t="s">
        <v>265</v>
      </c>
      <c r="AU30" s="291" t="s">
        <v>265</v>
      </c>
      <c r="AV30" s="291" t="s">
        <v>265</v>
      </c>
      <c r="AW30" s="291" t="s">
        <v>265</v>
      </c>
      <c r="AX30" s="291" t="s">
        <v>265</v>
      </c>
      <c r="AY30" s="291">
        <f>64+2</f>
        <v>66</v>
      </c>
      <c r="AZ30" s="291" t="s">
        <v>265</v>
      </c>
      <c r="BA30" s="65" t="s">
        <v>265</v>
      </c>
      <c r="BB30" s="619" t="s">
        <v>265</v>
      </c>
      <c r="BC30" s="606" t="s">
        <v>265</v>
      </c>
      <c r="BD30" s="37" t="s">
        <v>265</v>
      </c>
      <c r="BE30" s="3" t="s">
        <v>265</v>
      </c>
      <c r="BF30" s="65" t="s">
        <v>265</v>
      </c>
      <c r="BG30" s="4" t="s">
        <v>265</v>
      </c>
      <c r="BH30" s="13" t="s">
        <v>265</v>
      </c>
      <c r="BI30" s="10" t="s">
        <v>265</v>
      </c>
      <c r="BJ30" s="10" t="s">
        <v>265</v>
      </c>
      <c r="BK30" s="10" t="s">
        <v>265</v>
      </c>
      <c r="BL30" s="10" t="s">
        <v>265</v>
      </c>
      <c r="BM30" s="40" t="s">
        <v>265</v>
      </c>
      <c r="BN30" s="301" t="s">
        <v>265</v>
      </c>
      <c r="BO30" s="41" t="s">
        <v>265</v>
      </c>
      <c r="BP30" s="129" t="s">
        <v>265</v>
      </c>
      <c r="BQ30" s="3" t="s">
        <v>608</v>
      </c>
      <c r="BR30" s="169"/>
      <c r="BS30" s="4">
        <v>1</v>
      </c>
      <c r="BT30" s="128"/>
      <c r="BU30" s="128"/>
      <c r="BV30" s="10"/>
      <c r="BW30" s="40"/>
      <c r="BX30" s="295">
        <v>0</v>
      </c>
      <c r="BY30" s="128"/>
      <c r="BZ30" s="128"/>
      <c r="CA30" s="10"/>
      <c r="CB30" s="40"/>
      <c r="CC30" s="4">
        <v>0</v>
      </c>
      <c r="CD30" s="10">
        <v>0</v>
      </c>
      <c r="CE30" s="128"/>
      <c r="CF30" s="128"/>
      <c r="CG30" s="128"/>
      <c r="CH30" s="128"/>
      <c r="CI30" s="128"/>
      <c r="CJ30" s="128"/>
      <c r="CK30" s="128"/>
      <c r="CL30" s="128"/>
      <c r="CM30" s="121"/>
      <c r="CN30" s="4">
        <v>0</v>
      </c>
      <c r="CO30" s="10">
        <v>0</v>
      </c>
      <c r="CP30" s="10"/>
      <c r="CQ30" s="10"/>
      <c r="CR30" s="10"/>
      <c r="CS30" s="10"/>
      <c r="CT30" s="10"/>
      <c r="CU30" s="10"/>
      <c r="CV30" s="10"/>
      <c r="CW30" s="10"/>
      <c r="CX30" s="121"/>
      <c r="CY30" s="4">
        <v>0</v>
      </c>
      <c r="CZ30" s="10">
        <v>0</v>
      </c>
      <c r="DA30" s="10"/>
      <c r="DB30" s="10"/>
      <c r="DC30" s="10"/>
      <c r="DD30" s="10"/>
      <c r="DE30" s="10"/>
      <c r="DF30" s="10"/>
      <c r="DG30" s="10"/>
      <c r="DH30" s="10"/>
      <c r="DI30" s="121"/>
      <c r="DJ30" s="4">
        <v>0</v>
      </c>
      <c r="DK30" s="128"/>
      <c r="DL30" s="128"/>
      <c r="DM30" s="10"/>
      <c r="DN30" s="40"/>
      <c r="DO30" s="4">
        <v>0</v>
      </c>
      <c r="DP30" s="10"/>
      <c r="DQ30" s="128"/>
      <c r="DR30" s="10"/>
      <c r="DS30" s="40"/>
      <c r="DT30" s="4">
        <v>1</v>
      </c>
      <c r="DU30" s="10"/>
      <c r="DV30" s="10"/>
      <c r="DW30" s="10"/>
      <c r="DX30" s="40"/>
      <c r="DY30" s="4">
        <v>1</v>
      </c>
      <c r="DZ30" s="10"/>
      <c r="EA30" s="10"/>
      <c r="EB30" s="10"/>
      <c r="EC30" s="40"/>
      <c r="ED30" s="4">
        <v>0</v>
      </c>
      <c r="EE30" s="10"/>
      <c r="EF30" s="10"/>
      <c r="EG30" s="10"/>
      <c r="EH30" s="40"/>
      <c r="EI30" s="4">
        <v>0</v>
      </c>
      <c r="EJ30" s="10"/>
      <c r="EK30" s="10"/>
      <c r="EL30" s="10"/>
      <c r="EM30" s="40"/>
      <c r="EN30" s="4">
        <v>0</v>
      </c>
      <c r="EO30" s="10"/>
      <c r="EP30" s="10"/>
      <c r="EQ30" s="10"/>
      <c r="ER30" s="40"/>
      <c r="ES30" s="4">
        <v>0</v>
      </c>
      <c r="ET30" s="10"/>
      <c r="EU30" s="10"/>
      <c r="EV30" s="10"/>
      <c r="EW30" s="40"/>
      <c r="EX30" s="4">
        <v>0</v>
      </c>
      <c r="EY30" s="10"/>
      <c r="EZ30" s="10"/>
      <c r="FA30" s="10"/>
      <c r="FB30" s="40"/>
      <c r="FC30" s="4">
        <v>0</v>
      </c>
      <c r="FD30" s="10"/>
      <c r="FE30" s="10"/>
      <c r="FF30" s="10"/>
      <c r="FG30" s="40"/>
      <c r="FH30" s="4">
        <v>0</v>
      </c>
      <c r="FI30" s="10"/>
      <c r="FJ30" s="10"/>
      <c r="FK30" s="10"/>
      <c r="FL30" s="40"/>
      <c r="FM30" s="4">
        <v>0</v>
      </c>
      <c r="FN30" s="10"/>
      <c r="FO30" s="10"/>
      <c r="FP30" s="10"/>
      <c r="FQ30" s="40"/>
      <c r="FR30" s="4">
        <v>0</v>
      </c>
      <c r="FS30" s="10"/>
      <c r="FT30" s="10"/>
      <c r="FU30" s="10"/>
      <c r="FV30" s="40"/>
      <c r="FW30" s="4">
        <v>0</v>
      </c>
      <c r="FX30" s="10"/>
      <c r="FY30" s="10"/>
      <c r="FZ30" s="10"/>
      <c r="GA30" s="40"/>
      <c r="GB30" s="4"/>
      <c r="GC30" s="10"/>
      <c r="GD30" s="10"/>
      <c r="GE30" s="10"/>
      <c r="GF30" s="40"/>
      <c r="GG30" s="10">
        <f t="shared" si="5"/>
        <v>1</v>
      </c>
      <c r="GH30" s="10" t="str">
        <f t="shared" si="6"/>
        <v/>
      </c>
      <c r="GI30" s="37" t="str">
        <f t="shared" si="7"/>
        <v/>
      </c>
      <c r="GJ30" s="4" t="s">
        <v>82</v>
      </c>
      <c r="GK30" s="10" t="s">
        <v>82</v>
      </c>
      <c r="GL30" s="10" t="s">
        <v>82</v>
      </c>
      <c r="GM30" s="10" t="s">
        <v>82</v>
      </c>
      <c r="GN30" s="10" t="s">
        <v>82</v>
      </c>
      <c r="GO30" s="10" t="s">
        <v>82</v>
      </c>
      <c r="GP30" s="10" t="s">
        <v>82</v>
      </c>
      <c r="GQ30" s="10" t="s">
        <v>82</v>
      </c>
      <c r="GR30" s="10" t="s">
        <v>82</v>
      </c>
      <c r="GS30" s="10" t="s">
        <v>82</v>
      </c>
      <c r="GT30" s="10" t="s">
        <v>82</v>
      </c>
      <c r="GU30" s="10" t="s">
        <v>82</v>
      </c>
      <c r="GV30" s="10" t="s">
        <v>82</v>
      </c>
      <c r="GW30" s="10" t="s">
        <v>82</v>
      </c>
      <c r="GX30" s="10" t="s">
        <v>82</v>
      </c>
      <c r="GY30" s="10" t="s">
        <v>82</v>
      </c>
      <c r="GZ30" s="10" t="s">
        <v>82</v>
      </c>
      <c r="HA30" s="10" t="s">
        <v>82</v>
      </c>
      <c r="HB30" s="10" t="s">
        <v>82</v>
      </c>
      <c r="HC30" s="10" t="s">
        <v>82</v>
      </c>
      <c r="HD30" s="10" t="s">
        <v>82</v>
      </c>
      <c r="HE30" s="10" t="s">
        <v>82</v>
      </c>
      <c r="HF30" s="10" t="s">
        <v>82</v>
      </c>
      <c r="HG30" s="10" t="s">
        <v>82</v>
      </c>
      <c r="HH30" s="10" t="s">
        <v>82</v>
      </c>
      <c r="HI30" s="10" t="s">
        <v>82</v>
      </c>
      <c r="HJ30" s="10" t="s">
        <v>82</v>
      </c>
      <c r="HK30" s="10" t="s">
        <v>82</v>
      </c>
      <c r="HL30" s="10" t="s">
        <v>82</v>
      </c>
      <c r="HM30" s="40" t="s">
        <v>82</v>
      </c>
    </row>
    <row r="31" spans="1:247" ht="55.2">
      <c r="A31" s="693"/>
      <c r="B31" s="347" t="s">
        <v>111</v>
      </c>
      <c r="C31" s="687"/>
      <c r="D31" s="100" t="s">
        <v>973</v>
      </c>
      <c r="E31" s="39" t="s">
        <v>65</v>
      </c>
      <c r="F31" s="714"/>
      <c r="G31" s="10" t="s">
        <v>65</v>
      </c>
      <c r="H31" s="714"/>
      <c r="I31" s="703"/>
      <c r="J31" s="362" t="s">
        <v>265</v>
      </c>
      <c r="K31" s="608" t="s">
        <v>265</v>
      </c>
      <c r="L31" s="609" t="s">
        <v>265</v>
      </c>
      <c r="M31" s="3" t="s">
        <v>114</v>
      </c>
      <c r="N31" s="10" t="s">
        <v>265</v>
      </c>
      <c r="O31" s="10" t="s">
        <v>558</v>
      </c>
      <c r="P31" s="13" t="s">
        <v>265</v>
      </c>
      <c r="Q31" s="10" t="s">
        <v>265</v>
      </c>
      <c r="R31" s="10" t="s">
        <v>265</v>
      </c>
      <c r="S31" s="10" t="s">
        <v>265</v>
      </c>
      <c r="T31" s="10" t="s">
        <v>265</v>
      </c>
      <c r="U31" s="40" t="s">
        <v>265</v>
      </c>
      <c r="V31" s="4" t="s">
        <v>265</v>
      </c>
      <c r="W31" s="41" t="s">
        <v>265</v>
      </c>
      <c r="X31" s="41" t="s">
        <v>265</v>
      </c>
      <c r="Y31" s="41" t="s">
        <v>265</v>
      </c>
      <c r="Z31" s="41" t="str">
        <f t="shared" si="2"/>
        <v>N.S</v>
      </c>
      <c r="AA31" s="593" t="str">
        <f t="shared" si="10"/>
        <v>N.S</v>
      </c>
      <c r="AB31" s="40" t="s">
        <v>265</v>
      </c>
      <c r="AC31" s="236" t="s">
        <v>265</v>
      </c>
      <c r="AD31" s="128" t="s">
        <v>265</v>
      </c>
      <c r="AE31" s="10" t="s">
        <v>265</v>
      </c>
      <c r="AF31" s="10" t="str">
        <f t="shared" si="3"/>
        <v>N.S</v>
      </c>
      <c r="AG31" s="10" t="s">
        <v>265</v>
      </c>
      <c r="AH31" s="10" t="s">
        <v>265</v>
      </c>
      <c r="AI31" s="10" t="str">
        <f t="shared" si="8"/>
        <v>N.S</v>
      </c>
      <c r="AJ31" s="42" t="s">
        <v>265</v>
      </c>
      <c r="AK31" s="42" t="s">
        <v>265</v>
      </c>
      <c r="AL31" s="42" t="s">
        <v>265</v>
      </c>
      <c r="AM31" s="42" t="s">
        <v>265</v>
      </c>
      <c r="AN31" s="42" t="str">
        <f>IF(AL31="N.S","N.S",AL31*AQ1+IF(AM31="N.S",0,AM31*(1-AQ1)))</f>
        <v>N.S</v>
      </c>
      <c r="AO31" s="42" t="s">
        <v>265</v>
      </c>
      <c r="AP31" s="42" t="s">
        <v>265</v>
      </c>
      <c r="AQ31" s="238" t="s">
        <v>265</v>
      </c>
      <c r="AR31" s="611" t="str">
        <f t="shared" si="11"/>
        <v>N.S</v>
      </c>
      <c r="AS31" s="604" t="str">
        <f t="shared" si="9"/>
        <v>N.S</v>
      </c>
      <c r="AT31" s="22" t="s">
        <v>265</v>
      </c>
      <c r="AU31" s="291" t="s">
        <v>265</v>
      </c>
      <c r="AV31" s="291" t="s">
        <v>265</v>
      </c>
      <c r="AW31" s="291" t="s">
        <v>265</v>
      </c>
      <c r="AX31" s="291" t="s">
        <v>265</v>
      </c>
      <c r="AY31" s="291">
        <f>64+2</f>
        <v>66</v>
      </c>
      <c r="AZ31" s="291" t="s">
        <v>265</v>
      </c>
      <c r="BA31" s="65" t="s">
        <v>265</v>
      </c>
      <c r="BB31" s="619" t="s">
        <v>265</v>
      </c>
      <c r="BC31" s="606" t="s">
        <v>265</v>
      </c>
      <c r="BD31" s="37" t="s">
        <v>265</v>
      </c>
      <c r="BE31" s="3" t="s">
        <v>265</v>
      </c>
      <c r="BF31" s="65" t="s">
        <v>265</v>
      </c>
      <c r="BG31" s="4" t="s">
        <v>265</v>
      </c>
      <c r="BH31" s="13" t="s">
        <v>265</v>
      </c>
      <c r="BI31" s="10" t="s">
        <v>265</v>
      </c>
      <c r="BJ31" s="10" t="s">
        <v>265</v>
      </c>
      <c r="BK31" s="10" t="s">
        <v>265</v>
      </c>
      <c r="BL31" s="10" t="s">
        <v>265</v>
      </c>
      <c r="BM31" s="40" t="s">
        <v>265</v>
      </c>
      <c r="BN31" s="301" t="s">
        <v>265</v>
      </c>
      <c r="BO31" s="41" t="s">
        <v>265</v>
      </c>
      <c r="BP31" s="129" t="s">
        <v>265</v>
      </c>
      <c r="BQ31" s="3" t="s">
        <v>608</v>
      </c>
      <c r="BR31" s="169"/>
      <c r="BS31" s="4">
        <v>1</v>
      </c>
      <c r="BT31" s="128"/>
      <c r="BU31" s="128"/>
      <c r="BV31" s="10"/>
      <c r="BW31" s="40"/>
      <c r="BX31" s="295">
        <v>0</v>
      </c>
      <c r="BY31" s="128"/>
      <c r="BZ31" s="128"/>
      <c r="CA31" s="10"/>
      <c r="CB31" s="40"/>
      <c r="CC31" s="4">
        <v>0</v>
      </c>
      <c r="CD31" s="10">
        <v>0</v>
      </c>
      <c r="CE31" s="128"/>
      <c r="CF31" s="128"/>
      <c r="CG31" s="128"/>
      <c r="CH31" s="128"/>
      <c r="CI31" s="128"/>
      <c r="CJ31" s="128"/>
      <c r="CK31" s="128"/>
      <c r="CL31" s="128"/>
      <c r="CM31" s="121"/>
      <c r="CN31" s="4">
        <v>0</v>
      </c>
      <c r="CO31" s="10">
        <v>0</v>
      </c>
      <c r="CP31" s="10"/>
      <c r="CQ31" s="10"/>
      <c r="CR31" s="10"/>
      <c r="CS31" s="10"/>
      <c r="CT31" s="10"/>
      <c r="CU31" s="10"/>
      <c r="CV31" s="10"/>
      <c r="CW31" s="10"/>
      <c r="CX31" s="121"/>
      <c r="CY31" s="4">
        <v>0</v>
      </c>
      <c r="CZ31" s="10">
        <v>0</v>
      </c>
      <c r="DA31" s="10"/>
      <c r="DB31" s="10"/>
      <c r="DC31" s="10"/>
      <c r="DD31" s="10"/>
      <c r="DE31" s="10"/>
      <c r="DF31" s="10"/>
      <c r="DG31" s="10"/>
      <c r="DH31" s="10"/>
      <c r="DI31" s="121"/>
      <c r="DJ31" s="4">
        <v>0</v>
      </c>
      <c r="DK31" s="128"/>
      <c r="DL31" s="128"/>
      <c r="DM31" s="10"/>
      <c r="DN31" s="40"/>
      <c r="DO31" s="4">
        <v>0</v>
      </c>
      <c r="DP31" s="10"/>
      <c r="DQ31" s="128"/>
      <c r="DR31" s="10"/>
      <c r="DS31" s="40"/>
      <c r="DT31" s="4">
        <v>1</v>
      </c>
      <c r="DU31" s="10"/>
      <c r="DV31" s="10"/>
      <c r="DW31" s="10"/>
      <c r="DX31" s="40"/>
      <c r="DY31" s="4">
        <v>0</v>
      </c>
      <c r="DZ31" s="10"/>
      <c r="EA31" s="10"/>
      <c r="EB31" s="10"/>
      <c r="EC31" s="40"/>
      <c r="ED31" s="4">
        <v>0</v>
      </c>
      <c r="EE31" s="10"/>
      <c r="EF31" s="10"/>
      <c r="EG31" s="10"/>
      <c r="EH31" s="40"/>
      <c r="EI31" s="4">
        <v>0</v>
      </c>
      <c r="EJ31" s="10"/>
      <c r="EK31" s="10"/>
      <c r="EL31" s="10"/>
      <c r="EM31" s="40"/>
      <c r="EN31" s="4">
        <v>0</v>
      </c>
      <c r="EO31" s="10"/>
      <c r="EP31" s="10"/>
      <c r="EQ31" s="10"/>
      <c r="ER31" s="40"/>
      <c r="ES31" s="4">
        <v>0</v>
      </c>
      <c r="ET31" s="10"/>
      <c r="EU31" s="10"/>
      <c r="EV31" s="10"/>
      <c r="EW31" s="40"/>
      <c r="EX31" s="4">
        <v>0</v>
      </c>
      <c r="EY31" s="10"/>
      <c r="EZ31" s="10"/>
      <c r="FA31" s="10"/>
      <c r="FB31" s="40"/>
      <c r="FC31" s="4">
        <v>0</v>
      </c>
      <c r="FD31" s="10"/>
      <c r="FE31" s="10"/>
      <c r="FF31" s="10"/>
      <c r="FG31" s="40"/>
      <c r="FH31" s="4">
        <v>0</v>
      </c>
      <c r="FI31" s="10"/>
      <c r="FJ31" s="10"/>
      <c r="FK31" s="10"/>
      <c r="FL31" s="40"/>
      <c r="FM31" s="4">
        <v>0</v>
      </c>
      <c r="FN31" s="10"/>
      <c r="FO31" s="10"/>
      <c r="FP31" s="10"/>
      <c r="FQ31" s="40"/>
      <c r="FR31" s="4">
        <v>0</v>
      </c>
      <c r="FS31" s="10"/>
      <c r="FT31" s="10"/>
      <c r="FU31" s="10"/>
      <c r="FV31" s="40"/>
      <c r="FW31" s="4">
        <v>0</v>
      </c>
      <c r="FX31" s="10"/>
      <c r="FY31" s="10"/>
      <c r="FZ31" s="10"/>
      <c r="GA31" s="40"/>
      <c r="GB31" s="4"/>
      <c r="GC31" s="10"/>
      <c r="GD31" s="10"/>
      <c r="GE31" s="10"/>
      <c r="GF31" s="40"/>
      <c r="GG31" s="10">
        <f t="shared" si="5"/>
        <v>1</v>
      </c>
      <c r="GH31" s="10" t="str">
        <f t="shared" si="6"/>
        <v/>
      </c>
      <c r="GI31" s="37" t="str">
        <f t="shared" si="7"/>
        <v/>
      </c>
      <c r="GJ31" s="4" t="s">
        <v>82</v>
      </c>
      <c r="GK31" s="10" t="s">
        <v>82</v>
      </c>
      <c r="GL31" s="10" t="s">
        <v>82</v>
      </c>
      <c r="GM31" s="10" t="s">
        <v>82</v>
      </c>
      <c r="GN31" s="10" t="s">
        <v>82</v>
      </c>
      <c r="GO31" s="10" t="s">
        <v>82</v>
      </c>
      <c r="GP31" s="10" t="s">
        <v>82</v>
      </c>
      <c r="GQ31" s="10" t="s">
        <v>82</v>
      </c>
      <c r="GR31" s="10" t="s">
        <v>82</v>
      </c>
      <c r="GS31" s="10" t="s">
        <v>82</v>
      </c>
      <c r="GT31" s="10" t="s">
        <v>82</v>
      </c>
      <c r="GU31" s="10" t="s">
        <v>82</v>
      </c>
      <c r="GV31" s="10" t="s">
        <v>82</v>
      </c>
      <c r="GW31" s="10" t="s">
        <v>82</v>
      </c>
      <c r="GX31" s="10" t="s">
        <v>82</v>
      </c>
      <c r="GY31" s="10" t="s">
        <v>82</v>
      </c>
      <c r="GZ31" s="10" t="s">
        <v>82</v>
      </c>
      <c r="HA31" s="10" t="s">
        <v>82</v>
      </c>
      <c r="HB31" s="10" t="s">
        <v>82</v>
      </c>
      <c r="HC31" s="10" t="s">
        <v>82</v>
      </c>
      <c r="HD31" s="10" t="s">
        <v>82</v>
      </c>
      <c r="HE31" s="10" t="s">
        <v>82</v>
      </c>
      <c r="HF31" s="10" t="s">
        <v>82</v>
      </c>
      <c r="HG31" s="10" t="s">
        <v>82</v>
      </c>
      <c r="HH31" s="10" t="s">
        <v>82</v>
      </c>
      <c r="HI31" s="10" t="s">
        <v>82</v>
      </c>
      <c r="HJ31" s="10" t="s">
        <v>82</v>
      </c>
      <c r="HK31" s="10" t="s">
        <v>82</v>
      </c>
      <c r="HL31" s="10" t="s">
        <v>82</v>
      </c>
      <c r="HM31" s="40" t="s">
        <v>82</v>
      </c>
    </row>
    <row r="32" spans="1:247" ht="69">
      <c r="A32" s="693"/>
      <c r="B32" s="291" t="s">
        <v>108</v>
      </c>
      <c r="C32" s="687"/>
      <c r="D32" s="100" t="s">
        <v>974</v>
      </c>
      <c r="E32" s="39" t="s">
        <v>65</v>
      </c>
      <c r="F32" s="77" t="s">
        <v>124</v>
      </c>
      <c r="G32" s="10" t="s">
        <v>65</v>
      </c>
      <c r="H32" s="714"/>
      <c r="I32" s="703"/>
      <c r="J32" s="362" t="s">
        <v>265</v>
      </c>
      <c r="K32" s="608" t="s">
        <v>265</v>
      </c>
      <c r="L32" s="609" t="s">
        <v>265</v>
      </c>
      <c r="M32" s="3" t="s">
        <v>609</v>
      </c>
      <c r="N32" s="10" t="s">
        <v>265</v>
      </c>
      <c r="O32" s="10" t="s">
        <v>558</v>
      </c>
      <c r="P32" s="13" t="s">
        <v>84</v>
      </c>
      <c r="Q32" s="10">
        <f>7+4</f>
        <v>11</v>
      </c>
      <c r="R32" s="10">
        <v>7</v>
      </c>
      <c r="S32" s="10">
        <v>12</v>
      </c>
      <c r="T32" s="10">
        <f>7+4</f>
        <v>11</v>
      </c>
      <c r="U32" s="40">
        <f>7+4</f>
        <v>11</v>
      </c>
      <c r="V32" s="4" t="s">
        <v>265</v>
      </c>
      <c r="W32" s="41">
        <v>45.7</v>
      </c>
      <c r="X32" s="41">
        <v>57.1</v>
      </c>
      <c r="Y32" s="41">
        <v>7</v>
      </c>
      <c r="Z32" s="41">
        <f t="shared" si="2"/>
        <v>57.1</v>
      </c>
      <c r="AA32" s="593">
        <f t="shared" si="10"/>
        <v>18266.29</v>
      </c>
      <c r="AB32" s="40" t="s">
        <v>265</v>
      </c>
      <c r="AC32" s="236" t="s">
        <v>265</v>
      </c>
      <c r="AD32" s="128" t="s">
        <v>265</v>
      </c>
      <c r="AE32" s="10" t="s">
        <v>265</v>
      </c>
      <c r="AF32" s="10" t="str">
        <f t="shared" si="3"/>
        <v>N.S</v>
      </c>
      <c r="AG32" s="10" t="s">
        <v>265</v>
      </c>
      <c r="AH32" s="10" t="s">
        <v>265</v>
      </c>
      <c r="AI32" s="10" t="str">
        <f t="shared" si="8"/>
        <v>N.S</v>
      </c>
      <c r="AJ32" s="42" t="s">
        <v>265</v>
      </c>
      <c r="AK32" s="42" t="s">
        <v>265</v>
      </c>
      <c r="AL32" s="42" t="s">
        <v>265</v>
      </c>
      <c r="AM32" s="42" t="s">
        <v>265</v>
      </c>
      <c r="AN32" s="42" t="str">
        <f>IF(AL32="N.S","N.S",AL32*AQ1+IF(AM32="N.S",0,AM32*(1-AQ1)))</f>
        <v>N.S</v>
      </c>
      <c r="AO32" s="42" t="s">
        <v>265</v>
      </c>
      <c r="AP32" s="42" t="s">
        <v>265</v>
      </c>
      <c r="AQ32" s="238" t="s">
        <v>265</v>
      </c>
      <c r="AR32" s="611" t="str">
        <f t="shared" si="11"/>
        <v>N.S</v>
      </c>
      <c r="AS32" s="604" t="str">
        <f t="shared" si="9"/>
        <v>N.S</v>
      </c>
      <c r="AT32" s="22" t="s">
        <v>265</v>
      </c>
      <c r="AU32" s="291" t="s">
        <v>265</v>
      </c>
      <c r="AV32" s="291" t="s">
        <v>265</v>
      </c>
      <c r="AW32" s="291" t="s">
        <v>265</v>
      </c>
      <c r="AX32" s="291" t="s">
        <v>265</v>
      </c>
      <c r="AY32" s="291">
        <v>64</v>
      </c>
      <c r="AZ32" s="291" t="s">
        <v>265</v>
      </c>
      <c r="BA32" s="65" t="s">
        <v>265</v>
      </c>
      <c r="BB32" s="619" t="s">
        <v>265</v>
      </c>
      <c r="BC32" s="606" t="s">
        <v>265</v>
      </c>
      <c r="BD32" s="37" t="s">
        <v>577</v>
      </c>
      <c r="BE32" s="3" t="s">
        <v>588</v>
      </c>
      <c r="BF32" s="65" t="s">
        <v>265</v>
      </c>
      <c r="BG32" s="4" t="s">
        <v>265</v>
      </c>
      <c r="BH32" s="13" t="s">
        <v>265</v>
      </c>
      <c r="BI32" s="10" t="s">
        <v>265</v>
      </c>
      <c r="BJ32" s="10" t="s">
        <v>265</v>
      </c>
      <c r="BK32" s="10" t="s">
        <v>265</v>
      </c>
      <c r="BL32" s="10" t="s">
        <v>265</v>
      </c>
      <c r="BM32" s="40" t="s">
        <v>265</v>
      </c>
      <c r="BN32" s="301" t="s">
        <v>265</v>
      </c>
      <c r="BO32" s="41" t="s">
        <v>265</v>
      </c>
      <c r="BP32" s="129" t="s">
        <v>265</v>
      </c>
      <c r="BQ32" s="3" t="s">
        <v>610</v>
      </c>
      <c r="BR32" s="169"/>
      <c r="BS32" s="4">
        <v>1</v>
      </c>
      <c r="BT32" s="128"/>
      <c r="BU32" s="128"/>
      <c r="BV32" s="10"/>
      <c r="BW32" s="40"/>
      <c r="BX32" s="295">
        <v>1</v>
      </c>
      <c r="BY32" s="128"/>
      <c r="BZ32" s="128"/>
      <c r="CA32" s="10"/>
      <c r="CB32" s="40"/>
      <c r="CC32" s="4">
        <v>0</v>
      </c>
      <c r="CD32" s="10">
        <v>0</v>
      </c>
      <c r="CE32" s="128"/>
      <c r="CF32" s="128"/>
      <c r="CG32" s="128"/>
      <c r="CH32" s="128"/>
      <c r="CI32" s="128"/>
      <c r="CJ32" s="128"/>
      <c r="CK32" s="128"/>
      <c r="CL32" s="128"/>
      <c r="CM32" s="121"/>
      <c r="CN32" s="4">
        <v>0</v>
      </c>
      <c r="CO32" s="10">
        <v>0</v>
      </c>
      <c r="CP32" s="10"/>
      <c r="CQ32" s="10"/>
      <c r="CR32" s="10"/>
      <c r="CS32" s="10"/>
      <c r="CT32" s="10"/>
      <c r="CU32" s="10"/>
      <c r="CV32" s="10"/>
      <c r="CW32" s="10"/>
      <c r="CX32" s="121"/>
      <c r="CY32" s="4">
        <v>0</v>
      </c>
      <c r="CZ32" s="10">
        <v>0</v>
      </c>
      <c r="DA32" s="10"/>
      <c r="DB32" s="10"/>
      <c r="DC32" s="10"/>
      <c r="DD32" s="10"/>
      <c r="DE32" s="10"/>
      <c r="DF32" s="10"/>
      <c r="DG32" s="10"/>
      <c r="DH32" s="10"/>
      <c r="DI32" s="121"/>
      <c r="DJ32" s="4">
        <v>0</v>
      </c>
      <c r="DK32" s="128"/>
      <c r="DL32" s="128"/>
      <c r="DM32" s="10"/>
      <c r="DN32" s="40"/>
      <c r="DO32" s="4">
        <v>0</v>
      </c>
      <c r="DP32" s="10"/>
      <c r="DQ32" s="128"/>
      <c r="DR32" s="10"/>
      <c r="DS32" s="40"/>
      <c r="DT32" s="4">
        <v>0</v>
      </c>
      <c r="DU32" s="10"/>
      <c r="DV32" s="10"/>
      <c r="DW32" s="10"/>
      <c r="DX32" s="40"/>
      <c r="DY32" s="4">
        <v>0</v>
      </c>
      <c r="DZ32" s="10"/>
      <c r="EA32" s="10"/>
      <c r="EB32" s="10"/>
      <c r="EC32" s="40"/>
      <c r="ED32" s="4">
        <v>0</v>
      </c>
      <c r="EE32" s="10"/>
      <c r="EF32" s="10"/>
      <c r="EG32" s="10"/>
      <c r="EH32" s="40"/>
      <c r="EI32" s="4">
        <v>0</v>
      </c>
      <c r="EJ32" s="10"/>
      <c r="EK32" s="10"/>
      <c r="EL32" s="10"/>
      <c r="EM32" s="40"/>
      <c r="EN32" s="4">
        <v>0</v>
      </c>
      <c r="EO32" s="10"/>
      <c r="EP32" s="10"/>
      <c r="EQ32" s="10"/>
      <c r="ER32" s="40"/>
      <c r="ES32" s="4">
        <v>0</v>
      </c>
      <c r="ET32" s="10"/>
      <c r="EU32" s="10"/>
      <c r="EV32" s="10"/>
      <c r="EW32" s="40"/>
      <c r="EX32" s="4">
        <v>0</v>
      </c>
      <c r="EY32" s="10"/>
      <c r="EZ32" s="10"/>
      <c r="FA32" s="10"/>
      <c r="FB32" s="40"/>
      <c r="FC32" s="4">
        <v>0</v>
      </c>
      <c r="FD32" s="10"/>
      <c r="FE32" s="10"/>
      <c r="FF32" s="10"/>
      <c r="FG32" s="40"/>
      <c r="FH32" s="4">
        <v>0</v>
      </c>
      <c r="FI32" s="10"/>
      <c r="FJ32" s="10"/>
      <c r="FK32" s="10"/>
      <c r="FL32" s="40"/>
      <c r="FM32" s="4">
        <v>0</v>
      </c>
      <c r="FN32" s="10"/>
      <c r="FO32" s="10"/>
      <c r="FP32" s="10"/>
      <c r="FQ32" s="40"/>
      <c r="FR32" s="4">
        <v>0</v>
      </c>
      <c r="FS32" s="10"/>
      <c r="FT32" s="10"/>
      <c r="FU32" s="10"/>
      <c r="FV32" s="40"/>
      <c r="FW32" s="4">
        <v>0</v>
      </c>
      <c r="FX32" s="10"/>
      <c r="FY32" s="10"/>
      <c r="FZ32" s="10"/>
      <c r="GA32" s="40"/>
      <c r="GB32" s="4"/>
      <c r="GC32" s="10"/>
      <c r="GD32" s="10"/>
      <c r="GE32" s="10"/>
      <c r="GF32" s="40"/>
      <c r="GG32" s="10">
        <f t="shared" si="5"/>
        <v>1</v>
      </c>
      <c r="GH32" s="10" t="str">
        <f t="shared" si="6"/>
        <v/>
      </c>
      <c r="GI32" s="37" t="str">
        <f t="shared" si="7"/>
        <v/>
      </c>
      <c r="GJ32" s="4" t="s">
        <v>82</v>
      </c>
      <c r="GK32" s="10" t="s">
        <v>82</v>
      </c>
      <c r="GL32" s="10" t="s">
        <v>82</v>
      </c>
      <c r="GM32" s="10" t="s">
        <v>82</v>
      </c>
      <c r="GN32" s="10" t="s">
        <v>82</v>
      </c>
      <c r="GO32" s="10" t="s">
        <v>82</v>
      </c>
      <c r="GP32" s="10" t="s">
        <v>82</v>
      </c>
      <c r="GQ32" s="10" t="s">
        <v>82</v>
      </c>
      <c r="GR32" s="10" t="s">
        <v>82</v>
      </c>
      <c r="GS32" s="10" t="s">
        <v>82</v>
      </c>
      <c r="GT32" s="10" t="s">
        <v>82</v>
      </c>
      <c r="GU32" s="10" t="s">
        <v>82</v>
      </c>
      <c r="GV32" s="10" t="s">
        <v>82</v>
      </c>
      <c r="GW32" s="10" t="s">
        <v>82</v>
      </c>
      <c r="GX32" s="10" t="s">
        <v>82</v>
      </c>
      <c r="GY32" s="10" t="s">
        <v>82</v>
      </c>
      <c r="GZ32" s="10" t="s">
        <v>82</v>
      </c>
      <c r="HA32" s="10" t="s">
        <v>82</v>
      </c>
      <c r="HB32" s="10" t="s">
        <v>82</v>
      </c>
      <c r="HC32" s="10" t="s">
        <v>82</v>
      </c>
      <c r="HD32" s="10" t="s">
        <v>82</v>
      </c>
      <c r="HE32" s="10" t="s">
        <v>82</v>
      </c>
      <c r="HF32" s="10" t="s">
        <v>82</v>
      </c>
      <c r="HG32" s="10" t="s">
        <v>82</v>
      </c>
      <c r="HH32" s="10" t="s">
        <v>82</v>
      </c>
      <c r="HI32" s="10" t="s">
        <v>82</v>
      </c>
      <c r="HJ32" s="10" t="s">
        <v>82</v>
      </c>
      <c r="HK32" s="10" t="s">
        <v>82</v>
      </c>
      <c r="HL32" s="10" t="s">
        <v>82</v>
      </c>
      <c r="HM32" s="40" t="s">
        <v>82</v>
      </c>
    </row>
    <row r="33" spans="1:221" s="66" customFormat="1" ht="15" customHeight="1">
      <c r="A33" s="693"/>
      <c r="B33" s="10" t="s">
        <v>103</v>
      </c>
      <c r="C33" s="688"/>
      <c r="D33" s="100" t="s">
        <v>265</v>
      </c>
      <c r="E33" s="77" t="s">
        <v>65</v>
      </c>
      <c r="F33" s="10" t="s">
        <v>65</v>
      </c>
      <c r="G33" s="10" t="s">
        <v>65</v>
      </c>
      <c r="H33" s="714"/>
      <c r="I33" s="703"/>
      <c r="J33" s="362" t="s">
        <v>265</v>
      </c>
      <c r="K33" s="608" t="s">
        <v>265</v>
      </c>
      <c r="L33" s="609" t="s">
        <v>265</v>
      </c>
      <c r="M33" s="4" t="s">
        <v>265</v>
      </c>
      <c r="N33" s="10" t="s">
        <v>265</v>
      </c>
      <c r="O33" s="10" t="s">
        <v>265</v>
      </c>
      <c r="P33" s="10" t="s">
        <v>265</v>
      </c>
      <c r="Q33" s="10" t="s">
        <v>265</v>
      </c>
      <c r="R33" s="10" t="s">
        <v>265</v>
      </c>
      <c r="S33" s="10" t="s">
        <v>265</v>
      </c>
      <c r="T33" s="10" t="s">
        <v>265</v>
      </c>
      <c r="U33" s="40" t="s">
        <v>265</v>
      </c>
      <c r="V33" s="4" t="s">
        <v>265</v>
      </c>
      <c r="W33" s="41" t="s">
        <v>265</v>
      </c>
      <c r="X33" s="41" t="s">
        <v>265</v>
      </c>
      <c r="Y33" s="41" t="s">
        <v>265</v>
      </c>
      <c r="Z33" s="41" t="str">
        <f t="shared" si="2"/>
        <v>N.S</v>
      </c>
      <c r="AA33" s="593" t="str">
        <f t="shared" si="10"/>
        <v>N.S</v>
      </c>
      <c r="AB33" s="40" t="s">
        <v>265</v>
      </c>
      <c r="AC33" s="236" t="s">
        <v>265</v>
      </c>
      <c r="AD33" s="128" t="s">
        <v>265</v>
      </c>
      <c r="AE33" s="10" t="s">
        <v>265</v>
      </c>
      <c r="AF33" s="10" t="str">
        <f t="shared" si="3"/>
        <v>N.S</v>
      </c>
      <c r="AG33" s="10" t="s">
        <v>265</v>
      </c>
      <c r="AH33" s="10" t="s">
        <v>265</v>
      </c>
      <c r="AI33" s="10" t="str">
        <f t="shared" si="8"/>
        <v>N.S</v>
      </c>
      <c r="AJ33" s="42" t="s">
        <v>265</v>
      </c>
      <c r="AK33" s="42" t="s">
        <v>265</v>
      </c>
      <c r="AL33" s="42" t="s">
        <v>265</v>
      </c>
      <c r="AM33" s="42" t="s">
        <v>265</v>
      </c>
      <c r="AN33" s="42" t="str">
        <f>IF(AL33="N.S","N.S",AL33*AQ1+IF(AM33="N.S",0,AM33*(1-AQ1)))</f>
        <v>N.S</v>
      </c>
      <c r="AO33" s="42" t="s">
        <v>265</v>
      </c>
      <c r="AP33" s="42" t="s">
        <v>265</v>
      </c>
      <c r="AQ33" s="238" t="s">
        <v>265</v>
      </c>
      <c r="AR33" s="611" t="str">
        <f t="shared" si="11"/>
        <v>N.S</v>
      </c>
      <c r="AS33" s="604" t="str">
        <f t="shared" si="9"/>
        <v>N.S</v>
      </c>
      <c r="AT33" s="22" t="s">
        <v>265</v>
      </c>
      <c r="AU33" s="291" t="s">
        <v>265</v>
      </c>
      <c r="AV33" s="291" t="s">
        <v>265</v>
      </c>
      <c r="AW33" s="291" t="s">
        <v>265</v>
      </c>
      <c r="AX33" s="291" t="s">
        <v>265</v>
      </c>
      <c r="AY33" s="291">
        <v>65</v>
      </c>
      <c r="AZ33" s="291" t="s">
        <v>265</v>
      </c>
      <c r="BA33" s="65" t="s">
        <v>265</v>
      </c>
      <c r="BB33" s="619" t="s">
        <v>265</v>
      </c>
      <c r="BC33" s="606" t="s">
        <v>265</v>
      </c>
      <c r="BD33" s="385" t="s">
        <v>265</v>
      </c>
      <c r="BE33" s="24" t="s">
        <v>265</v>
      </c>
      <c r="BF33" s="385" t="s">
        <v>265</v>
      </c>
      <c r="BG33" s="4" t="s">
        <v>265</v>
      </c>
      <c r="BH33" s="13" t="s">
        <v>265</v>
      </c>
      <c r="BI33" s="10" t="s">
        <v>265</v>
      </c>
      <c r="BJ33" s="10" t="s">
        <v>265</v>
      </c>
      <c r="BK33" s="10" t="s">
        <v>265</v>
      </c>
      <c r="BL33" s="10" t="s">
        <v>265</v>
      </c>
      <c r="BM33" s="40" t="s">
        <v>265</v>
      </c>
      <c r="BN33" s="301" t="s">
        <v>265</v>
      </c>
      <c r="BO33" s="41" t="s">
        <v>265</v>
      </c>
      <c r="BP33" s="129" t="s">
        <v>265</v>
      </c>
      <c r="BQ33" s="4"/>
      <c r="BR33" s="169"/>
      <c r="BS33" s="4"/>
      <c r="BT33" s="128"/>
      <c r="BU33" s="128"/>
      <c r="BV33" s="10"/>
      <c r="BW33" s="40"/>
      <c r="BX33" s="295">
        <v>0</v>
      </c>
      <c r="BY33" s="128"/>
      <c r="BZ33" s="128"/>
      <c r="CA33" s="10"/>
      <c r="CB33" s="40"/>
      <c r="CC33" s="4">
        <v>0</v>
      </c>
      <c r="CD33" s="10">
        <v>0</v>
      </c>
      <c r="CE33" s="128"/>
      <c r="CF33" s="128"/>
      <c r="CG33" s="128"/>
      <c r="CH33" s="128"/>
      <c r="CI33" s="128"/>
      <c r="CJ33" s="128"/>
      <c r="CK33" s="128"/>
      <c r="CL33" s="128"/>
      <c r="CM33" s="121"/>
      <c r="CN33" s="4">
        <v>0</v>
      </c>
      <c r="CO33" s="10">
        <v>0</v>
      </c>
      <c r="CP33" s="10"/>
      <c r="CQ33" s="10"/>
      <c r="CR33" s="10"/>
      <c r="CS33" s="10"/>
      <c r="CT33" s="10"/>
      <c r="CU33" s="10"/>
      <c r="CV33" s="10"/>
      <c r="CW33" s="10"/>
      <c r="CX33" s="121"/>
      <c r="CY33" s="4">
        <v>0</v>
      </c>
      <c r="CZ33" s="10">
        <v>0</v>
      </c>
      <c r="DA33" s="10"/>
      <c r="DB33" s="10"/>
      <c r="DC33" s="10"/>
      <c r="DD33" s="10"/>
      <c r="DE33" s="10"/>
      <c r="DF33" s="10"/>
      <c r="DG33" s="10"/>
      <c r="DH33" s="10"/>
      <c r="DI33" s="121"/>
      <c r="DJ33" s="4">
        <v>0</v>
      </c>
      <c r="DK33" s="128"/>
      <c r="DL33" s="128"/>
      <c r="DM33" s="10"/>
      <c r="DN33" s="40"/>
      <c r="DO33" s="4">
        <v>0</v>
      </c>
      <c r="DP33" s="10"/>
      <c r="DQ33" s="128"/>
      <c r="DR33" s="10"/>
      <c r="DS33" s="40"/>
      <c r="DT33" s="4">
        <v>0</v>
      </c>
      <c r="DU33" s="10"/>
      <c r="DV33" s="10"/>
      <c r="DW33" s="10"/>
      <c r="DX33" s="40"/>
      <c r="DY33" s="4">
        <v>0</v>
      </c>
      <c r="DZ33" s="10"/>
      <c r="EA33" s="10"/>
      <c r="EB33" s="10"/>
      <c r="EC33" s="40"/>
      <c r="ED33" s="4">
        <v>0</v>
      </c>
      <c r="EE33" s="10"/>
      <c r="EF33" s="10"/>
      <c r="EG33" s="10"/>
      <c r="EH33" s="40"/>
      <c r="EI33" s="4">
        <v>0</v>
      </c>
      <c r="EJ33" s="10"/>
      <c r="EK33" s="10"/>
      <c r="EL33" s="10"/>
      <c r="EM33" s="40"/>
      <c r="EN33" s="4">
        <v>0</v>
      </c>
      <c r="EO33" s="10"/>
      <c r="EP33" s="10"/>
      <c r="EQ33" s="10"/>
      <c r="ER33" s="40"/>
      <c r="ES33" s="4">
        <v>0</v>
      </c>
      <c r="ET33" s="10"/>
      <c r="EU33" s="10"/>
      <c r="EV33" s="10"/>
      <c r="EW33" s="40"/>
      <c r="EX33" s="4">
        <v>0</v>
      </c>
      <c r="EY33" s="10"/>
      <c r="EZ33" s="10"/>
      <c r="FA33" s="10"/>
      <c r="FB33" s="40"/>
      <c r="FC33" s="4">
        <v>0</v>
      </c>
      <c r="FD33" s="10"/>
      <c r="FE33" s="10"/>
      <c r="FF33" s="10"/>
      <c r="FG33" s="40"/>
      <c r="FH33" s="4">
        <v>0</v>
      </c>
      <c r="FI33" s="10"/>
      <c r="FJ33" s="10"/>
      <c r="FK33" s="10"/>
      <c r="FL33" s="40"/>
      <c r="FM33" s="4">
        <v>0</v>
      </c>
      <c r="FN33" s="10"/>
      <c r="FO33" s="10"/>
      <c r="FP33" s="10"/>
      <c r="FQ33" s="40"/>
      <c r="FR33" s="4">
        <v>0</v>
      </c>
      <c r="FS33" s="10"/>
      <c r="FT33" s="10"/>
      <c r="FU33" s="10"/>
      <c r="FV33" s="40"/>
      <c r="FW33" s="4">
        <v>0</v>
      </c>
      <c r="FX33" s="10"/>
      <c r="FY33" s="10"/>
      <c r="FZ33" s="10"/>
      <c r="GA33" s="40"/>
      <c r="GB33" s="4"/>
      <c r="GC33" s="10"/>
      <c r="GD33" s="10"/>
      <c r="GE33" s="10"/>
      <c r="GF33" s="40"/>
      <c r="GG33" s="10" t="str">
        <f t="shared" si="5"/>
        <v/>
      </c>
      <c r="GH33" s="10" t="str">
        <f t="shared" si="6"/>
        <v/>
      </c>
      <c r="GI33" s="37">
        <f t="shared" si="7"/>
        <v>1</v>
      </c>
      <c r="GJ33" s="4" t="s">
        <v>82</v>
      </c>
      <c r="GK33" s="10" t="s">
        <v>82</v>
      </c>
      <c r="GL33" s="10" t="s">
        <v>82</v>
      </c>
      <c r="GM33" s="10" t="s">
        <v>82</v>
      </c>
      <c r="GN33" s="10" t="s">
        <v>82</v>
      </c>
      <c r="GO33" s="10" t="s">
        <v>82</v>
      </c>
      <c r="GP33" s="10" t="s">
        <v>82</v>
      </c>
      <c r="GQ33" s="10" t="s">
        <v>82</v>
      </c>
      <c r="GR33" s="10" t="s">
        <v>82</v>
      </c>
      <c r="GS33" s="10" t="s">
        <v>82</v>
      </c>
      <c r="GT33" s="10" t="s">
        <v>82</v>
      </c>
      <c r="GU33" s="10" t="s">
        <v>82</v>
      </c>
      <c r="GV33" s="10" t="s">
        <v>82</v>
      </c>
      <c r="GW33" s="10" t="s">
        <v>82</v>
      </c>
      <c r="GX33" s="10" t="s">
        <v>82</v>
      </c>
      <c r="GY33" s="10" t="s">
        <v>82</v>
      </c>
      <c r="GZ33" s="10" t="s">
        <v>82</v>
      </c>
      <c r="HA33" s="10" t="s">
        <v>82</v>
      </c>
      <c r="HB33" s="10" t="s">
        <v>82</v>
      </c>
      <c r="HC33" s="10" t="s">
        <v>82</v>
      </c>
      <c r="HD33" s="10" t="s">
        <v>82</v>
      </c>
      <c r="HE33" s="10" t="s">
        <v>82</v>
      </c>
      <c r="HF33" s="10" t="s">
        <v>82</v>
      </c>
      <c r="HG33" s="10" t="s">
        <v>82</v>
      </c>
      <c r="HH33" s="10" t="s">
        <v>82</v>
      </c>
      <c r="HI33" s="10" t="s">
        <v>82</v>
      </c>
      <c r="HJ33" s="10" t="s">
        <v>82</v>
      </c>
      <c r="HK33" s="10" t="s">
        <v>82</v>
      </c>
      <c r="HL33" s="10" t="s">
        <v>82</v>
      </c>
      <c r="HM33" s="40" t="s">
        <v>82</v>
      </c>
    </row>
    <row r="34" spans="1:221" s="57" customFormat="1" ht="27.6">
      <c r="A34" s="693"/>
      <c r="B34" s="573" t="s">
        <v>143</v>
      </c>
      <c r="C34" s="690" t="s">
        <v>141</v>
      </c>
      <c r="D34" s="478" t="s">
        <v>105</v>
      </c>
      <c r="E34" s="52" t="s">
        <v>65</v>
      </c>
      <c r="F34" s="52" t="s">
        <v>65</v>
      </c>
      <c r="G34" s="75" t="s">
        <v>65</v>
      </c>
      <c r="H34" s="35" t="s">
        <v>65</v>
      </c>
      <c r="I34" s="35" t="s">
        <v>65</v>
      </c>
      <c r="J34" s="363">
        <f>15.33*1.09068</f>
        <v>16.720124400000003</v>
      </c>
      <c r="K34" s="608" t="s">
        <v>265</v>
      </c>
      <c r="L34" s="609" t="s">
        <v>265</v>
      </c>
      <c r="M34" s="55" t="s">
        <v>82</v>
      </c>
      <c r="N34" s="35" t="s">
        <v>265</v>
      </c>
      <c r="O34" s="35" t="s">
        <v>558</v>
      </c>
      <c r="P34" s="35" t="s">
        <v>265</v>
      </c>
      <c r="Q34" s="35" t="s">
        <v>265</v>
      </c>
      <c r="R34" s="35">
        <v>8</v>
      </c>
      <c r="S34" s="35">
        <v>10</v>
      </c>
      <c r="T34" s="35">
        <v>0</v>
      </c>
      <c r="U34" s="40" t="s">
        <v>265</v>
      </c>
      <c r="V34" s="55">
        <v>25</v>
      </c>
      <c r="W34" s="479">
        <v>17.7</v>
      </c>
      <c r="X34" s="479">
        <v>30.5</v>
      </c>
      <c r="Y34" s="479" t="s">
        <v>265</v>
      </c>
      <c r="Z34" s="41">
        <f t="shared" si="2"/>
        <v>30.5</v>
      </c>
      <c r="AA34" s="593" t="str">
        <f t="shared" si="10"/>
        <v>N.S</v>
      </c>
      <c r="AB34" s="54" t="s">
        <v>148</v>
      </c>
      <c r="AC34" s="233">
        <v>2.5</v>
      </c>
      <c r="AD34" s="178">
        <v>3.6</v>
      </c>
      <c r="AE34" s="35" t="s">
        <v>265</v>
      </c>
      <c r="AF34" s="10" t="str">
        <f t="shared" si="3"/>
        <v>N.S</v>
      </c>
      <c r="AG34" s="56">
        <f>0.5*(AC34+AD34)*(25+36)/1000</f>
        <v>0.18604999999999999</v>
      </c>
      <c r="AH34" s="35" t="s">
        <v>265</v>
      </c>
      <c r="AI34" s="10" t="str">
        <f t="shared" si="8"/>
        <v>N.S</v>
      </c>
      <c r="AJ34" s="56" t="s">
        <v>265</v>
      </c>
      <c r="AK34" s="56" t="s">
        <v>265</v>
      </c>
      <c r="AL34" s="56">
        <f>IF((IF(AF34="N.S",0,AF34)+IF(AG34="N.S",0,AG34))=0,"N.S",IF(AF34="N.S",0,AF34)+IF(AG34="N.S",0,AG34))</f>
        <v>0.18604999999999999</v>
      </c>
      <c r="AM34" s="56">
        <f>0.5*(AC34*AD34)*0.001/1000</f>
        <v>4.5000000000000001E-6</v>
      </c>
      <c r="AN34" s="42">
        <f>IF(AL34="N.S",N.S.,AL34*AQ1+IF(AM34="N.S",0,AM34*(1-AQ1)))</f>
        <v>1.864955E-3</v>
      </c>
      <c r="AO34" s="42">
        <v>2.5</v>
      </c>
      <c r="AP34" s="42">
        <v>1</v>
      </c>
      <c r="AQ34" s="615" t="s">
        <v>265</v>
      </c>
      <c r="AR34" s="611" t="str">
        <f t="shared" si="11"/>
        <v>N.S</v>
      </c>
      <c r="AS34" s="604">
        <f t="shared" si="9"/>
        <v>402.15447557715873</v>
      </c>
      <c r="AT34" s="25" t="s">
        <v>142</v>
      </c>
      <c r="AU34" s="35" t="s">
        <v>265</v>
      </c>
      <c r="AV34" s="35" t="s">
        <v>265</v>
      </c>
      <c r="AW34" s="35">
        <v>2</v>
      </c>
      <c r="AX34" s="35">
        <v>32</v>
      </c>
      <c r="AY34" s="35">
        <v>1</v>
      </c>
      <c r="AZ34" s="35" t="s">
        <v>265</v>
      </c>
      <c r="BA34" s="385" t="s">
        <v>265</v>
      </c>
      <c r="BB34" s="311">
        <v>8</v>
      </c>
      <c r="BC34" s="606" t="s">
        <v>265</v>
      </c>
      <c r="BD34" s="385" t="s">
        <v>265</v>
      </c>
      <c r="BE34" s="24" t="s">
        <v>265</v>
      </c>
      <c r="BF34" s="385" t="s">
        <v>265</v>
      </c>
      <c r="BG34" s="55" t="s">
        <v>84</v>
      </c>
      <c r="BH34" s="53" t="s">
        <v>265</v>
      </c>
      <c r="BI34" s="35" t="s">
        <v>611</v>
      </c>
      <c r="BJ34" s="15" t="s">
        <v>145</v>
      </c>
      <c r="BK34" s="35" t="s">
        <v>265</v>
      </c>
      <c r="BL34" s="35" t="s">
        <v>265</v>
      </c>
      <c r="BM34" s="54">
        <v>12</v>
      </c>
      <c r="BN34" s="301" t="s">
        <v>265</v>
      </c>
      <c r="BO34" s="41" t="s">
        <v>265</v>
      </c>
      <c r="BP34" s="129" t="s">
        <v>265</v>
      </c>
      <c r="BQ34" s="55"/>
      <c r="BR34" s="171" t="s">
        <v>147</v>
      </c>
      <c r="BS34" s="55">
        <v>0</v>
      </c>
      <c r="BT34" s="178"/>
      <c r="BU34" s="178"/>
      <c r="BV34" s="35"/>
      <c r="BW34" s="54"/>
      <c r="BX34" s="36">
        <v>0</v>
      </c>
      <c r="BY34" s="178"/>
      <c r="BZ34" s="178"/>
      <c r="CA34" s="35"/>
      <c r="CB34" s="54"/>
      <c r="CC34" s="55">
        <v>0</v>
      </c>
      <c r="CD34" s="35">
        <v>0</v>
      </c>
      <c r="CE34" s="178"/>
      <c r="CF34" s="178"/>
      <c r="CG34" s="178"/>
      <c r="CH34" s="178"/>
      <c r="CI34" s="178"/>
      <c r="CJ34" s="178"/>
      <c r="CK34" s="178"/>
      <c r="CL34" s="178"/>
      <c r="CM34" s="193"/>
      <c r="CN34" s="4">
        <v>0</v>
      </c>
      <c r="CO34" s="10">
        <v>0</v>
      </c>
      <c r="CP34" s="35"/>
      <c r="CQ34" s="35"/>
      <c r="CR34" s="35"/>
      <c r="CS34" s="35"/>
      <c r="CT34" s="35"/>
      <c r="CU34" s="35"/>
      <c r="CV34" s="35"/>
      <c r="CW34" s="35"/>
      <c r="CX34" s="193"/>
      <c r="CY34" s="4">
        <v>0</v>
      </c>
      <c r="CZ34" s="10">
        <v>0</v>
      </c>
      <c r="DA34" s="35"/>
      <c r="DB34" s="35"/>
      <c r="DC34" s="35"/>
      <c r="DD34" s="35"/>
      <c r="DE34" s="35"/>
      <c r="DF34" s="35"/>
      <c r="DG34" s="35"/>
      <c r="DH34" s="35"/>
      <c r="DI34" s="193"/>
      <c r="DJ34" s="4">
        <v>0</v>
      </c>
      <c r="DK34" s="178"/>
      <c r="DL34" s="178"/>
      <c r="DM34" s="35"/>
      <c r="DN34" s="54"/>
      <c r="DO34" s="4">
        <v>0</v>
      </c>
      <c r="DP34" s="35"/>
      <c r="DQ34" s="178"/>
      <c r="DR34" s="35"/>
      <c r="DS34" s="54"/>
      <c r="DT34" s="4">
        <v>0</v>
      </c>
      <c r="DU34" s="35"/>
      <c r="DV34" s="35"/>
      <c r="DW34" s="35"/>
      <c r="DX34" s="54"/>
      <c r="DY34" s="4">
        <v>0</v>
      </c>
      <c r="DZ34" s="35"/>
      <c r="EA34" s="35"/>
      <c r="EB34" s="35"/>
      <c r="EC34" s="54"/>
      <c r="ED34" s="4">
        <v>0</v>
      </c>
      <c r="EE34" s="35"/>
      <c r="EF34" s="35"/>
      <c r="EG34" s="35"/>
      <c r="EH34" s="54"/>
      <c r="EI34" s="4">
        <v>0</v>
      </c>
      <c r="EJ34" s="35"/>
      <c r="EK34" s="35"/>
      <c r="EL34" s="35"/>
      <c r="EM34" s="54"/>
      <c r="EN34" s="4">
        <v>0</v>
      </c>
      <c r="EO34" s="35"/>
      <c r="EP34" s="35"/>
      <c r="EQ34" s="35"/>
      <c r="ER34" s="54"/>
      <c r="ES34" s="4">
        <v>0</v>
      </c>
      <c r="ET34" s="35"/>
      <c r="EU34" s="35"/>
      <c r="EV34" s="35"/>
      <c r="EW34" s="54"/>
      <c r="EX34" s="4">
        <v>0</v>
      </c>
      <c r="EY34" s="35"/>
      <c r="EZ34" s="35"/>
      <c r="FA34" s="35"/>
      <c r="FB34" s="54"/>
      <c r="FC34" s="4">
        <v>0</v>
      </c>
      <c r="FD34" s="35"/>
      <c r="FE34" s="35"/>
      <c r="FF34" s="35"/>
      <c r="FG34" s="54"/>
      <c r="FH34" s="4">
        <v>0</v>
      </c>
      <c r="FI34" s="35"/>
      <c r="FJ34" s="35"/>
      <c r="FK34" s="35"/>
      <c r="FL34" s="54"/>
      <c r="FM34" s="4">
        <v>0</v>
      </c>
      <c r="FN34" s="35"/>
      <c r="FO34" s="35"/>
      <c r="FP34" s="35"/>
      <c r="FQ34" s="54"/>
      <c r="FR34" s="4">
        <v>0</v>
      </c>
      <c r="FS34" s="35"/>
      <c r="FT34" s="35"/>
      <c r="FU34" s="35"/>
      <c r="FV34" s="54"/>
      <c r="FW34" s="4">
        <v>0</v>
      </c>
      <c r="FX34" s="35"/>
      <c r="FY34" s="35"/>
      <c r="FZ34" s="35"/>
      <c r="GA34" s="54"/>
      <c r="GB34" s="55"/>
      <c r="GC34" s="35"/>
      <c r="GD34" s="35"/>
      <c r="GE34" s="35"/>
      <c r="GF34" s="54"/>
      <c r="GG34" s="10" t="str">
        <f t="shared" si="5"/>
        <v/>
      </c>
      <c r="GH34" s="10" t="str">
        <f t="shared" si="6"/>
        <v/>
      </c>
      <c r="GI34" s="37">
        <f t="shared" si="7"/>
        <v>1</v>
      </c>
      <c r="GJ34" s="4" t="s">
        <v>82</v>
      </c>
      <c r="GK34" s="10" t="s">
        <v>82</v>
      </c>
      <c r="GL34" s="10" t="s">
        <v>82</v>
      </c>
      <c r="GM34" s="10" t="s">
        <v>82</v>
      </c>
      <c r="GN34" s="10" t="s">
        <v>82</v>
      </c>
      <c r="GO34" s="10" t="s">
        <v>82</v>
      </c>
      <c r="GP34" s="10" t="s">
        <v>82</v>
      </c>
      <c r="GQ34" s="10" t="s">
        <v>82</v>
      </c>
      <c r="GR34" s="10" t="s">
        <v>82</v>
      </c>
      <c r="GS34" s="10" t="s">
        <v>82</v>
      </c>
      <c r="GT34" s="10" t="s">
        <v>82</v>
      </c>
      <c r="GU34" s="10" t="s">
        <v>82</v>
      </c>
      <c r="GV34" s="10" t="s">
        <v>82</v>
      </c>
      <c r="GW34" s="10" t="s">
        <v>82</v>
      </c>
      <c r="GX34" s="10" t="s">
        <v>82</v>
      </c>
      <c r="GY34" s="10" t="s">
        <v>82</v>
      </c>
      <c r="GZ34" s="10" t="s">
        <v>82</v>
      </c>
      <c r="HA34" s="10" t="s">
        <v>82</v>
      </c>
      <c r="HB34" s="10" t="s">
        <v>82</v>
      </c>
      <c r="HC34" s="10" t="s">
        <v>82</v>
      </c>
      <c r="HD34" s="10" t="s">
        <v>82</v>
      </c>
      <c r="HE34" s="10" t="s">
        <v>82</v>
      </c>
      <c r="HF34" s="10" t="s">
        <v>82</v>
      </c>
      <c r="HG34" s="10" t="s">
        <v>82</v>
      </c>
      <c r="HH34" s="10" t="s">
        <v>82</v>
      </c>
      <c r="HI34" s="10" t="s">
        <v>82</v>
      </c>
      <c r="HJ34" s="10" t="s">
        <v>82</v>
      </c>
      <c r="HK34" s="10" t="s">
        <v>82</v>
      </c>
      <c r="HL34" s="10" t="s">
        <v>82</v>
      </c>
      <c r="HM34" s="40" t="s">
        <v>82</v>
      </c>
    </row>
    <row r="35" spans="1:221" s="58" customFormat="1" ht="41.4">
      <c r="A35" s="693"/>
      <c r="B35" s="574" t="s">
        <v>144</v>
      </c>
      <c r="C35" s="687"/>
      <c r="D35" s="389" t="s">
        <v>149</v>
      </c>
      <c r="E35" s="46" t="s">
        <v>65</v>
      </c>
      <c r="F35" s="390" t="s">
        <v>65</v>
      </c>
      <c r="G35" s="46" t="s">
        <v>65</v>
      </c>
      <c r="H35" s="15" t="s">
        <v>65</v>
      </c>
      <c r="I35" s="15" t="s">
        <v>65</v>
      </c>
      <c r="J35" s="364">
        <f>15.66*1.09068</f>
        <v>17.0800488</v>
      </c>
      <c r="K35" s="608" t="s">
        <v>265</v>
      </c>
      <c r="L35" s="609" t="s">
        <v>265</v>
      </c>
      <c r="M35" s="18" t="s">
        <v>406</v>
      </c>
      <c r="N35" s="17" t="s">
        <v>152</v>
      </c>
      <c r="O35" s="17" t="s">
        <v>558</v>
      </c>
      <c r="P35" s="15" t="s">
        <v>265</v>
      </c>
      <c r="Q35" s="15" t="s">
        <v>265</v>
      </c>
      <c r="R35" s="15" t="s">
        <v>265</v>
      </c>
      <c r="S35" s="15" t="s">
        <v>265</v>
      </c>
      <c r="T35" s="15" t="s">
        <v>265</v>
      </c>
      <c r="U35" s="48" t="s">
        <v>265</v>
      </c>
      <c r="V35" s="16">
        <v>25</v>
      </c>
      <c r="W35" s="49">
        <v>17.7</v>
      </c>
      <c r="X35" s="49">
        <v>30.5</v>
      </c>
      <c r="Y35" s="49" t="s">
        <v>265</v>
      </c>
      <c r="Z35" s="41">
        <f t="shared" si="2"/>
        <v>30.5</v>
      </c>
      <c r="AA35" s="593" t="str">
        <f t="shared" si="10"/>
        <v>N.S</v>
      </c>
      <c r="AB35" s="48" t="s">
        <v>148</v>
      </c>
      <c r="AC35" s="234">
        <v>2</v>
      </c>
      <c r="AD35" s="178">
        <v>3.6</v>
      </c>
      <c r="AE35" s="35" t="s">
        <v>265</v>
      </c>
      <c r="AF35" s="10" t="str">
        <f t="shared" si="3"/>
        <v>N.S</v>
      </c>
      <c r="AG35" s="15">
        <f>0.5*(AC35+AD35)*(18+36)/1000</f>
        <v>0.1512</v>
      </c>
      <c r="AH35" s="35" t="s">
        <v>265</v>
      </c>
      <c r="AI35" s="10" t="str">
        <f t="shared" si="8"/>
        <v>N.S</v>
      </c>
      <c r="AJ35" s="56" t="s">
        <v>265</v>
      </c>
      <c r="AK35" s="56" t="s">
        <v>265</v>
      </c>
      <c r="AL35" s="56">
        <f>IF((IF(AF35="N.S",0,AF35)+IF(AG35="N.S",0,AG35))=0,"N.S",IF(AF35="N.S",0,AF35)+IF(AG35="N.S",0,AG35))</f>
        <v>0.1512</v>
      </c>
      <c r="AM35" s="51">
        <f>0.5*(AC35+AD35)*0.002/1000</f>
        <v>5.5999999999999997E-6</v>
      </c>
      <c r="AN35" s="42">
        <f>IF(AL35="N.S","N.S",AL35*AQ1+IF(AM35="N.S",0,AM35*(1-AQ1)))</f>
        <v>1.517544E-3</v>
      </c>
      <c r="AO35" s="42" t="s">
        <v>265</v>
      </c>
      <c r="AP35" s="42" t="s">
        <v>265</v>
      </c>
      <c r="AQ35" s="615" t="s">
        <v>265</v>
      </c>
      <c r="AR35" s="611" t="str">
        <f t="shared" si="11"/>
        <v>N.S</v>
      </c>
      <c r="AS35" s="604">
        <f t="shared" si="9"/>
        <v>494.21960747101895</v>
      </c>
      <c r="AT35" s="20" t="s">
        <v>151</v>
      </c>
      <c r="AU35" s="15" t="s">
        <v>265</v>
      </c>
      <c r="AV35" s="15" t="s">
        <v>265</v>
      </c>
      <c r="AW35" s="15">
        <v>4</v>
      </c>
      <c r="AX35" s="15">
        <v>32</v>
      </c>
      <c r="AY35" s="15">
        <v>0</v>
      </c>
      <c r="AZ35" s="15" t="s">
        <v>265</v>
      </c>
      <c r="BA35" s="15" t="s">
        <v>265</v>
      </c>
      <c r="BB35" s="612">
        <v>24</v>
      </c>
      <c r="BC35" s="606" t="s">
        <v>265</v>
      </c>
      <c r="BD35" s="386" t="s">
        <v>613</v>
      </c>
      <c r="BE35" s="16" t="s">
        <v>265</v>
      </c>
      <c r="BF35" s="385" t="s">
        <v>265</v>
      </c>
      <c r="BG35" s="55" t="s">
        <v>84</v>
      </c>
      <c r="BH35" s="17" t="s">
        <v>265</v>
      </c>
      <c r="BI35" s="15" t="s">
        <v>265</v>
      </c>
      <c r="BJ35" s="15" t="s">
        <v>145</v>
      </c>
      <c r="BK35" s="35" t="s">
        <v>265</v>
      </c>
      <c r="BL35" s="35" t="s">
        <v>265</v>
      </c>
      <c r="BM35" s="48">
        <v>12</v>
      </c>
      <c r="BN35" s="301" t="s">
        <v>265</v>
      </c>
      <c r="BO35" s="41" t="s">
        <v>265</v>
      </c>
      <c r="BP35" s="129" t="s">
        <v>265</v>
      </c>
      <c r="BQ35" s="16"/>
      <c r="BR35" s="170" t="s">
        <v>150</v>
      </c>
      <c r="BS35" s="16">
        <v>1</v>
      </c>
      <c r="BT35" s="177"/>
      <c r="BU35" s="177"/>
      <c r="BV35" s="15"/>
      <c r="BW35" s="48"/>
      <c r="BX35" s="23">
        <v>0</v>
      </c>
      <c r="BY35" s="177"/>
      <c r="BZ35" s="177"/>
      <c r="CA35" s="15"/>
      <c r="CB35" s="48"/>
      <c r="CC35" s="16">
        <v>0</v>
      </c>
      <c r="CD35" s="15">
        <v>1</v>
      </c>
      <c r="CE35" s="177"/>
      <c r="CF35" s="177"/>
      <c r="CG35" s="177"/>
      <c r="CH35" s="177"/>
      <c r="CI35" s="177"/>
      <c r="CJ35" s="177"/>
      <c r="CK35" s="177"/>
      <c r="CL35" s="177"/>
      <c r="CM35" s="192"/>
      <c r="CN35" s="4">
        <v>0</v>
      </c>
      <c r="CO35" s="10">
        <v>0</v>
      </c>
      <c r="CP35" s="15"/>
      <c r="CQ35" s="15"/>
      <c r="CR35" s="15"/>
      <c r="CS35" s="15"/>
      <c r="CT35" s="15"/>
      <c r="CU35" s="15"/>
      <c r="CV35" s="15"/>
      <c r="CW35" s="15"/>
      <c r="CX35" s="192"/>
      <c r="CY35" s="4">
        <v>0</v>
      </c>
      <c r="CZ35" s="10">
        <v>0</v>
      </c>
      <c r="DA35" s="15"/>
      <c r="DB35" s="15"/>
      <c r="DC35" s="15"/>
      <c r="DD35" s="15"/>
      <c r="DE35" s="15"/>
      <c r="DF35" s="15"/>
      <c r="DG35" s="15"/>
      <c r="DH35" s="15"/>
      <c r="DI35" s="192"/>
      <c r="DJ35" s="4">
        <v>0</v>
      </c>
      <c r="DK35" s="177"/>
      <c r="DL35" s="177"/>
      <c r="DM35" s="15"/>
      <c r="DN35" s="48"/>
      <c r="DO35" s="4">
        <v>0</v>
      </c>
      <c r="DP35" s="15"/>
      <c r="DQ35" s="177"/>
      <c r="DR35" s="15"/>
      <c r="DS35" s="48"/>
      <c r="DT35" s="4">
        <v>0</v>
      </c>
      <c r="DU35" s="15"/>
      <c r="DV35" s="15"/>
      <c r="DW35" s="15"/>
      <c r="DX35" s="48"/>
      <c r="DY35" s="4">
        <v>0</v>
      </c>
      <c r="DZ35" s="15"/>
      <c r="EA35" s="15"/>
      <c r="EB35" s="15"/>
      <c r="EC35" s="48"/>
      <c r="ED35" s="4">
        <v>0</v>
      </c>
      <c r="EE35" s="15"/>
      <c r="EF35" s="15"/>
      <c r="EG35" s="15"/>
      <c r="EH35" s="48"/>
      <c r="EI35" s="4">
        <v>0</v>
      </c>
      <c r="EJ35" s="15"/>
      <c r="EK35" s="15"/>
      <c r="EL35" s="15"/>
      <c r="EM35" s="48"/>
      <c r="EN35" s="4">
        <v>0</v>
      </c>
      <c r="EO35" s="15"/>
      <c r="EP35" s="15"/>
      <c r="EQ35" s="15"/>
      <c r="ER35" s="48"/>
      <c r="ES35" s="4">
        <v>0</v>
      </c>
      <c r="ET35" s="15"/>
      <c r="EU35" s="15"/>
      <c r="EV35" s="15"/>
      <c r="EW35" s="48"/>
      <c r="EX35" s="4">
        <v>0</v>
      </c>
      <c r="EY35" s="15"/>
      <c r="EZ35" s="15"/>
      <c r="FA35" s="15"/>
      <c r="FB35" s="48"/>
      <c r="FC35" s="4">
        <v>0</v>
      </c>
      <c r="FD35" s="15"/>
      <c r="FE35" s="15"/>
      <c r="FF35" s="15"/>
      <c r="FG35" s="48"/>
      <c r="FH35" s="4">
        <v>0</v>
      </c>
      <c r="FI35" s="15"/>
      <c r="FJ35" s="15"/>
      <c r="FK35" s="15"/>
      <c r="FL35" s="48"/>
      <c r="FM35" s="4">
        <v>0</v>
      </c>
      <c r="FN35" s="15"/>
      <c r="FO35" s="15"/>
      <c r="FP35" s="15"/>
      <c r="FQ35" s="48"/>
      <c r="FR35" s="4">
        <v>0</v>
      </c>
      <c r="FS35" s="15"/>
      <c r="FT35" s="15"/>
      <c r="FU35" s="15"/>
      <c r="FV35" s="48"/>
      <c r="FW35" s="4">
        <v>0</v>
      </c>
      <c r="FX35" s="15"/>
      <c r="FY35" s="15"/>
      <c r="FZ35" s="15"/>
      <c r="GA35" s="48"/>
      <c r="GB35" s="16"/>
      <c r="GC35" s="15"/>
      <c r="GD35" s="15"/>
      <c r="GE35" s="15"/>
      <c r="GF35" s="48"/>
      <c r="GG35" s="10">
        <f t="shared" si="5"/>
        <v>1</v>
      </c>
      <c r="GH35" s="10" t="str">
        <f t="shared" si="6"/>
        <v/>
      </c>
      <c r="GI35" s="37" t="str">
        <f t="shared" si="7"/>
        <v/>
      </c>
      <c r="GJ35" s="4">
        <v>1</v>
      </c>
      <c r="GK35" s="10" t="s">
        <v>82</v>
      </c>
      <c r="GL35" s="10">
        <v>1</v>
      </c>
      <c r="GM35" s="10" t="s">
        <v>82</v>
      </c>
      <c r="GN35" s="10" t="s">
        <v>82</v>
      </c>
      <c r="GO35" s="10" t="s">
        <v>82</v>
      </c>
      <c r="GP35" s="10" t="s">
        <v>82</v>
      </c>
      <c r="GQ35" s="10" t="s">
        <v>82</v>
      </c>
      <c r="GR35" s="10" t="s">
        <v>82</v>
      </c>
      <c r="GS35" s="10">
        <v>1</v>
      </c>
      <c r="GT35" s="10" t="s">
        <v>82</v>
      </c>
      <c r="GU35" s="10" t="s">
        <v>82</v>
      </c>
      <c r="GV35" s="10" t="s">
        <v>82</v>
      </c>
      <c r="GW35" s="10" t="s">
        <v>82</v>
      </c>
      <c r="GX35" s="10" t="s">
        <v>82</v>
      </c>
      <c r="GY35" s="10" t="s">
        <v>82</v>
      </c>
      <c r="GZ35" s="10" t="s">
        <v>82</v>
      </c>
      <c r="HA35" s="10" t="s">
        <v>82</v>
      </c>
      <c r="HB35" s="10" t="s">
        <v>82</v>
      </c>
      <c r="HC35" s="10" t="s">
        <v>82</v>
      </c>
      <c r="HD35" s="10" t="s">
        <v>82</v>
      </c>
      <c r="HE35" s="10" t="s">
        <v>82</v>
      </c>
      <c r="HF35" s="10" t="s">
        <v>82</v>
      </c>
      <c r="HG35" s="10" t="s">
        <v>82</v>
      </c>
      <c r="HH35" s="10" t="s">
        <v>82</v>
      </c>
      <c r="HI35" s="10" t="s">
        <v>82</v>
      </c>
      <c r="HJ35" s="10" t="s">
        <v>82</v>
      </c>
      <c r="HK35" s="10" t="s">
        <v>82</v>
      </c>
      <c r="HL35" s="10" t="s">
        <v>82</v>
      </c>
      <c r="HM35" s="40" t="s">
        <v>82</v>
      </c>
    </row>
    <row r="36" spans="1:221" s="69" customFormat="1" ht="110.4">
      <c r="A36" s="693"/>
      <c r="B36" s="575" t="s">
        <v>975</v>
      </c>
      <c r="C36" s="687"/>
      <c r="D36" s="100" t="s">
        <v>153</v>
      </c>
      <c r="E36" s="77" t="s">
        <v>65</v>
      </c>
      <c r="F36" s="77" t="s">
        <v>65</v>
      </c>
      <c r="G36" s="77" t="s">
        <v>65</v>
      </c>
      <c r="H36" s="77" t="s">
        <v>65</v>
      </c>
      <c r="I36" s="10" t="s">
        <v>65</v>
      </c>
      <c r="J36" s="362">
        <f>19.8*1.09068</f>
        <v>21.595464000000003</v>
      </c>
      <c r="K36" s="608" t="s">
        <v>265</v>
      </c>
      <c r="L36" s="609" t="s">
        <v>265</v>
      </c>
      <c r="M36" s="4" t="s">
        <v>621</v>
      </c>
      <c r="N36" s="13" t="s">
        <v>615</v>
      </c>
      <c r="O36" s="13" t="s">
        <v>558</v>
      </c>
      <c r="P36" s="10" t="s">
        <v>84</v>
      </c>
      <c r="Q36" s="10" t="s">
        <v>265</v>
      </c>
      <c r="R36" s="10" t="s">
        <v>265</v>
      </c>
      <c r="S36" s="10" t="s">
        <v>265</v>
      </c>
      <c r="T36" s="10" t="s">
        <v>265</v>
      </c>
      <c r="U36" s="40" t="s">
        <v>265</v>
      </c>
      <c r="V36" s="4" t="s">
        <v>265</v>
      </c>
      <c r="W36" s="41">
        <v>25.4</v>
      </c>
      <c r="X36" s="41">
        <v>55.8</v>
      </c>
      <c r="Y36" s="41"/>
      <c r="Z36" s="41">
        <f t="shared" si="2"/>
        <v>55.8</v>
      </c>
      <c r="AA36" s="593">
        <f t="shared" si="10"/>
        <v>0</v>
      </c>
      <c r="AB36" s="48" t="s">
        <v>265</v>
      </c>
      <c r="AC36" s="236">
        <v>2</v>
      </c>
      <c r="AD36" s="128">
        <v>3.6</v>
      </c>
      <c r="AE36" s="10" t="s">
        <v>265</v>
      </c>
      <c r="AF36" s="10" t="str">
        <f t="shared" si="3"/>
        <v>N.S</v>
      </c>
      <c r="AG36" s="10" t="s">
        <v>265</v>
      </c>
      <c r="AH36" s="10" t="s">
        <v>265</v>
      </c>
      <c r="AI36" s="10" t="str">
        <f t="shared" si="8"/>
        <v>N.S</v>
      </c>
      <c r="AJ36" s="42" t="s">
        <v>265</v>
      </c>
      <c r="AK36" s="42" t="s">
        <v>84</v>
      </c>
      <c r="AL36" s="56" t="str">
        <f t="shared" ref="AL36:AL78" si="12">IF((IF(AF36="N.S",0,AF36)+IF(AG36="N.S",0,AG36))=0,"N.S",IF(AF36="N.S",0,AF36)+IF(AG36="N.S",0,AG36))</f>
        <v>N.S</v>
      </c>
      <c r="AM36" s="42" t="s">
        <v>265</v>
      </c>
      <c r="AN36" s="42" t="str">
        <f>IF(AL36="N.S","N.S",AL36*AQ1+IF(AM36="N.S",0,AM36*(1-AQ1)))</f>
        <v>N.S</v>
      </c>
      <c r="AO36" s="42" t="s">
        <v>265</v>
      </c>
      <c r="AP36" s="42" t="s">
        <v>265</v>
      </c>
      <c r="AQ36" s="238" t="s">
        <v>265</v>
      </c>
      <c r="AR36" s="611" t="str">
        <f t="shared" si="11"/>
        <v>N.S</v>
      </c>
      <c r="AS36" s="604" t="str">
        <f t="shared" si="9"/>
        <v>N.S</v>
      </c>
      <c r="AT36" s="19" t="s">
        <v>265</v>
      </c>
      <c r="AU36" s="10" t="s">
        <v>265</v>
      </c>
      <c r="AV36" s="10" t="s">
        <v>265</v>
      </c>
      <c r="AW36" s="10" t="s">
        <v>265</v>
      </c>
      <c r="AX36" s="10" t="s">
        <v>265</v>
      </c>
      <c r="AY36" s="10" t="s">
        <v>265</v>
      </c>
      <c r="AZ36" s="10" t="s">
        <v>265</v>
      </c>
      <c r="BA36" s="10" t="s">
        <v>265</v>
      </c>
      <c r="BB36" s="362" t="s">
        <v>265</v>
      </c>
      <c r="BC36" s="606" t="s">
        <v>265</v>
      </c>
      <c r="BD36" s="37" t="s">
        <v>577</v>
      </c>
      <c r="BE36" s="16" t="s">
        <v>265</v>
      </c>
      <c r="BF36" s="385" t="s">
        <v>265</v>
      </c>
      <c r="BG36" s="4" t="s">
        <v>265</v>
      </c>
      <c r="BH36" s="13" t="s">
        <v>265</v>
      </c>
      <c r="BI36" s="13" t="s">
        <v>265</v>
      </c>
      <c r="BJ36" s="13" t="s">
        <v>265</v>
      </c>
      <c r="BK36" s="13" t="s">
        <v>265</v>
      </c>
      <c r="BL36" s="13" t="s">
        <v>265</v>
      </c>
      <c r="BM36" s="40" t="s">
        <v>265</v>
      </c>
      <c r="BN36" s="301" t="s">
        <v>265</v>
      </c>
      <c r="BO36" s="41" t="s">
        <v>265</v>
      </c>
      <c r="BP36" s="129" t="s">
        <v>265</v>
      </c>
      <c r="BQ36" s="3" t="s">
        <v>614</v>
      </c>
      <c r="BR36" s="169"/>
      <c r="BS36" s="4">
        <v>0</v>
      </c>
      <c r="BT36" s="128"/>
      <c r="BU36" s="128"/>
      <c r="BV36" s="10"/>
      <c r="BW36" s="40"/>
      <c r="BX36" s="295">
        <v>0</v>
      </c>
      <c r="BY36" s="128"/>
      <c r="BZ36" s="128"/>
      <c r="CA36" s="10"/>
      <c r="CB36" s="40"/>
      <c r="CC36" s="4">
        <v>0</v>
      </c>
      <c r="CD36" s="10">
        <v>0</v>
      </c>
      <c r="CE36" s="128"/>
      <c r="CF36" s="128"/>
      <c r="CG36" s="128"/>
      <c r="CH36" s="128"/>
      <c r="CI36" s="128"/>
      <c r="CJ36" s="128"/>
      <c r="CK36" s="128"/>
      <c r="CL36" s="128"/>
      <c r="CM36" s="121"/>
      <c r="CN36" s="4">
        <v>0</v>
      </c>
      <c r="CO36" s="10">
        <v>0</v>
      </c>
      <c r="CP36" s="10"/>
      <c r="CQ36" s="10"/>
      <c r="CR36" s="10"/>
      <c r="CS36" s="10"/>
      <c r="CT36" s="10"/>
      <c r="CU36" s="10"/>
      <c r="CV36" s="10"/>
      <c r="CW36" s="10"/>
      <c r="CX36" s="121"/>
      <c r="CY36" s="4">
        <v>0</v>
      </c>
      <c r="CZ36" s="10">
        <v>0</v>
      </c>
      <c r="DA36" s="10"/>
      <c r="DB36" s="10"/>
      <c r="DC36" s="10"/>
      <c r="DD36" s="10"/>
      <c r="DE36" s="10"/>
      <c r="DF36" s="10"/>
      <c r="DG36" s="10"/>
      <c r="DH36" s="10"/>
      <c r="DI36" s="121"/>
      <c r="DJ36" s="4">
        <v>0</v>
      </c>
      <c r="DK36" s="128"/>
      <c r="DL36" s="128"/>
      <c r="DM36" s="10"/>
      <c r="DN36" s="40"/>
      <c r="DO36" s="4">
        <v>0</v>
      </c>
      <c r="DP36" s="10"/>
      <c r="DQ36" s="128"/>
      <c r="DR36" s="10"/>
      <c r="DS36" s="40"/>
      <c r="DT36" s="4">
        <v>0</v>
      </c>
      <c r="DU36" s="10"/>
      <c r="DV36" s="10"/>
      <c r="DW36" s="10"/>
      <c r="DX36" s="40"/>
      <c r="DY36" s="4">
        <v>0</v>
      </c>
      <c r="DZ36" s="10"/>
      <c r="EA36" s="10"/>
      <c r="EB36" s="10"/>
      <c r="EC36" s="40"/>
      <c r="ED36" s="4">
        <v>0</v>
      </c>
      <c r="EE36" s="10"/>
      <c r="EF36" s="10"/>
      <c r="EG36" s="10"/>
      <c r="EH36" s="40"/>
      <c r="EI36" s="4">
        <v>0</v>
      </c>
      <c r="EJ36" s="10"/>
      <c r="EK36" s="10"/>
      <c r="EL36" s="10"/>
      <c r="EM36" s="40"/>
      <c r="EN36" s="4">
        <v>0</v>
      </c>
      <c r="EO36" s="10"/>
      <c r="EP36" s="10"/>
      <c r="EQ36" s="10"/>
      <c r="ER36" s="40"/>
      <c r="ES36" s="4">
        <v>0</v>
      </c>
      <c r="ET36" s="10"/>
      <c r="EU36" s="10"/>
      <c r="EV36" s="10"/>
      <c r="EW36" s="40"/>
      <c r="EX36" s="4">
        <v>0</v>
      </c>
      <c r="EY36" s="10"/>
      <c r="EZ36" s="10"/>
      <c r="FA36" s="10"/>
      <c r="FB36" s="40"/>
      <c r="FC36" s="4">
        <v>0</v>
      </c>
      <c r="FD36" s="10"/>
      <c r="FE36" s="10"/>
      <c r="FF36" s="10"/>
      <c r="FG36" s="40"/>
      <c r="FH36" s="4">
        <v>0</v>
      </c>
      <c r="FI36" s="10"/>
      <c r="FJ36" s="10"/>
      <c r="FK36" s="10"/>
      <c r="FL36" s="40"/>
      <c r="FM36" s="4">
        <v>0</v>
      </c>
      <c r="FN36" s="10"/>
      <c r="FO36" s="10"/>
      <c r="FP36" s="10"/>
      <c r="FQ36" s="40"/>
      <c r="FR36" s="4">
        <v>0</v>
      </c>
      <c r="FS36" s="10"/>
      <c r="FT36" s="10"/>
      <c r="FU36" s="10"/>
      <c r="FV36" s="40"/>
      <c r="FW36" s="4">
        <v>0</v>
      </c>
      <c r="FX36" s="10"/>
      <c r="FY36" s="10"/>
      <c r="FZ36" s="10"/>
      <c r="GA36" s="40"/>
      <c r="GB36" s="4"/>
      <c r="GC36" s="10"/>
      <c r="GD36" s="10"/>
      <c r="GE36" s="10"/>
      <c r="GF36" s="40"/>
      <c r="GG36" s="10">
        <f t="shared" si="5"/>
        <v>1</v>
      </c>
      <c r="GH36" s="10" t="str">
        <f t="shared" si="6"/>
        <v/>
      </c>
      <c r="GI36" s="37" t="str">
        <f t="shared" si="7"/>
        <v/>
      </c>
      <c r="GJ36" s="4" t="s">
        <v>82</v>
      </c>
      <c r="GK36" s="10" t="s">
        <v>82</v>
      </c>
      <c r="GL36" s="10" t="s">
        <v>82</v>
      </c>
      <c r="GM36" s="10" t="s">
        <v>82</v>
      </c>
      <c r="GN36" s="10" t="s">
        <v>82</v>
      </c>
      <c r="GO36" s="10" t="s">
        <v>82</v>
      </c>
      <c r="GP36" s="10" t="s">
        <v>82</v>
      </c>
      <c r="GQ36" s="10">
        <v>1</v>
      </c>
      <c r="GR36" s="10" t="s">
        <v>82</v>
      </c>
      <c r="GS36" s="10" t="s">
        <v>82</v>
      </c>
      <c r="GT36" s="10" t="s">
        <v>82</v>
      </c>
      <c r="GU36" s="10" t="s">
        <v>82</v>
      </c>
      <c r="GV36" s="10" t="s">
        <v>82</v>
      </c>
      <c r="GW36" s="10" t="s">
        <v>82</v>
      </c>
      <c r="GX36" s="10" t="s">
        <v>82</v>
      </c>
      <c r="GY36" s="10" t="s">
        <v>82</v>
      </c>
      <c r="GZ36" s="10" t="s">
        <v>82</v>
      </c>
      <c r="HA36" s="10" t="s">
        <v>82</v>
      </c>
      <c r="HB36" s="10" t="s">
        <v>82</v>
      </c>
      <c r="HC36" s="10" t="s">
        <v>82</v>
      </c>
      <c r="HD36" s="10" t="s">
        <v>82</v>
      </c>
      <c r="HE36" s="10" t="s">
        <v>82</v>
      </c>
      <c r="HF36" s="10" t="s">
        <v>82</v>
      </c>
      <c r="HG36" s="10" t="s">
        <v>82</v>
      </c>
      <c r="HH36" s="10" t="s">
        <v>82</v>
      </c>
      <c r="HI36" s="10" t="s">
        <v>82</v>
      </c>
      <c r="HJ36" s="10" t="s">
        <v>82</v>
      </c>
      <c r="HK36" s="10" t="s">
        <v>82</v>
      </c>
      <c r="HL36" s="10" t="s">
        <v>82</v>
      </c>
      <c r="HM36" s="40" t="s">
        <v>82</v>
      </c>
    </row>
    <row r="37" spans="1:221" s="58" customFormat="1" ht="110.4">
      <c r="A37" s="693"/>
      <c r="B37" s="574" t="s">
        <v>155</v>
      </c>
      <c r="C37" s="690" t="s">
        <v>154</v>
      </c>
      <c r="D37" s="389" t="s">
        <v>976</v>
      </c>
      <c r="E37" s="46" t="s">
        <v>65</v>
      </c>
      <c r="F37" s="46" t="s">
        <v>65</v>
      </c>
      <c r="G37" s="15" t="s">
        <v>65</v>
      </c>
      <c r="H37" s="15" t="s">
        <v>65</v>
      </c>
      <c r="I37" s="715" t="s">
        <v>65</v>
      </c>
      <c r="J37" s="364">
        <v>34.950000000000003</v>
      </c>
      <c r="K37" s="608" t="s">
        <v>265</v>
      </c>
      <c r="L37" s="609" t="s">
        <v>265</v>
      </c>
      <c r="M37" s="18" t="s">
        <v>992</v>
      </c>
      <c r="N37" s="17" t="s">
        <v>265</v>
      </c>
      <c r="O37" s="17" t="s">
        <v>558</v>
      </c>
      <c r="P37" s="15" t="s">
        <v>265</v>
      </c>
      <c r="Q37" s="15" t="s">
        <v>265</v>
      </c>
      <c r="R37" s="15" t="s">
        <v>265</v>
      </c>
      <c r="S37" s="15" t="s">
        <v>265</v>
      </c>
      <c r="T37" s="15" t="s">
        <v>265</v>
      </c>
      <c r="U37" s="40" t="s">
        <v>265</v>
      </c>
      <c r="V37" s="16" t="s">
        <v>265</v>
      </c>
      <c r="W37" s="15">
        <v>20</v>
      </c>
      <c r="X37" s="49">
        <v>20</v>
      </c>
      <c r="Y37" s="49">
        <v>5.1100000000000003</v>
      </c>
      <c r="Z37" s="41">
        <f t="shared" si="2"/>
        <v>20</v>
      </c>
      <c r="AA37" s="593">
        <f t="shared" si="10"/>
        <v>2044.0000000000002</v>
      </c>
      <c r="AB37" s="48" t="s">
        <v>265</v>
      </c>
      <c r="AC37" s="234">
        <v>3</v>
      </c>
      <c r="AD37" s="177">
        <v>5</v>
      </c>
      <c r="AE37" s="15">
        <f>4.25</f>
        <v>4.25</v>
      </c>
      <c r="AF37" s="10">
        <f t="shared" si="3"/>
        <v>1.7000000000000001E-2</v>
      </c>
      <c r="AG37" s="15" t="s">
        <v>265</v>
      </c>
      <c r="AH37" s="15" t="s">
        <v>265</v>
      </c>
      <c r="AI37" s="10" t="str">
        <f t="shared" si="8"/>
        <v>N.S</v>
      </c>
      <c r="AJ37" s="51" t="s">
        <v>265</v>
      </c>
      <c r="AK37" s="51" t="s">
        <v>265</v>
      </c>
      <c r="AL37" s="56">
        <f t="shared" si="12"/>
        <v>1.7000000000000001E-2</v>
      </c>
      <c r="AM37" s="51">
        <f>0.5*(AC37+AD37)*0.008/1000</f>
        <v>3.1999999999999999E-5</v>
      </c>
      <c r="AN37" s="42">
        <f>IF(AL37="N.S","N.S",AL37*AQ1+IF(AM37="N.S",0,AM37*(1-AQ1)))</f>
        <v>2.0168000000000001E-4</v>
      </c>
      <c r="AO37" s="42" t="s">
        <v>265</v>
      </c>
      <c r="AP37" s="42" t="s">
        <v>265</v>
      </c>
      <c r="AQ37" s="610" t="s">
        <v>265</v>
      </c>
      <c r="AR37" s="611" t="str">
        <f t="shared" si="11"/>
        <v>N.S</v>
      </c>
      <c r="AS37" s="604">
        <f t="shared" si="9"/>
        <v>3718.7623958746526</v>
      </c>
      <c r="AT37" s="20" t="s">
        <v>265</v>
      </c>
      <c r="AU37" s="15" t="s">
        <v>265</v>
      </c>
      <c r="AV37" s="15" t="s">
        <v>265</v>
      </c>
      <c r="AW37" s="15" t="s">
        <v>265</v>
      </c>
      <c r="AX37" s="15" t="s">
        <v>265</v>
      </c>
      <c r="AY37" s="15" t="s">
        <v>265</v>
      </c>
      <c r="AZ37" s="15" t="s">
        <v>265</v>
      </c>
      <c r="BA37" s="67" t="s">
        <v>265</v>
      </c>
      <c r="BB37" s="612" t="s">
        <v>265</v>
      </c>
      <c r="BC37" s="606" t="s">
        <v>265</v>
      </c>
      <c r="BD37" s="67" t="s">
        <v>577</v>
      </c>
      <c r="BE37" s="18" t="s">
        <v>265</v>
      </c>
      <c r="BF37" s="67" t="s">
        <v>265</v>
      </c>
      <c r="BG37" s="16" t="s">
        <v>265</v>
      </c>
      <c r="BH37" s="17" t="s">
        <v>265</v>
      </c>
      <c r="BI37" s="15" t="s">
        <v>265</v>
      </c>
      <c r="BJ37" s="15" t="s">
        <v>265</v>
      </c>
      <c r="BK37" s="15" t="s">
        <v>265</v>
      </c>
      <c r="BL37" s="15" t="s">
        <v>265</v>
      </c>
      <c r="BM37" s="48" t="s">
        <v>265</v>
      </c>
      <c r="BN37" s="301" t="s">
        <v>265</v>
      </c>
      <c r="BO37" s="41" t="s">
        <v>265</v>
      </c>
      <c r="BP37" s="129" t="s">
        <v>265</v>
      </c>
      <c r="BQ37" s="18" t="s">
        <v>616</v>
      </c>
      <c r="BR37" s="299" t="s">
        <v>617</v>
      </c>
      <c r="BS37" s="16">
        <v>0</v>
      </c>
      <c r="BT37" s="177"/>
      <c r="BU37" s="177"/>
      <c r="BV37" s="15"/>
      <c r="BW37" s="48"/>
      <c r="BX37" s="23">
        <v>0</v>
      </c>
      <c r="BY37" s="177"/>
      <c r="BZ37" s="177"/>
      <c r="CA37" s="15"/>
      <c r="CB37" s="48"/>
      <c r="CC37" s="16">
        <v>0</v>
      </c>
      <c r="CD37" s="15">
        <v>1</v>
      </c>
      <c r="CE37" s="177">
        <v>2</v>
      </c>
      <c r="CF37" s="177">
        <v>4</v>
      </c>
      <c r="CG37" s="177">
        <v>8</v>
      </c>
      <c r="CH37" s="177">
        <v>16</v>
      </c>
      <c r="CI37" s="177"/>
      <c r="CJ37" s="177"/>
      <c r="CK37" s="177"/>
      <c r="CL37" s="177"/>
      <c r="CM37" s="192"/>
      <c r="CN37" s="16">
        <v>0</v>
      </c>
      <c r="CO37" s="15">
        <v>1</v>
      </c>
      <c r="CP37" s="15">
        <v>250</v>
      </c>
      <c r="CQ37" s="15">
        <v>500</v>
      </c>
      <c r="CR37" s="15">
        <v>1000</v>
      </c>
      <c r="CS37" s="15">
        <v>2000</v>
      </c>
      <c r="CT37" s="15"/>
      <c r="CU37" s="15"/>
      <c r="CV37" s="15"/>
      <c r="CW37" s="15"/>
      <c r="CX37" s="192"/>
      <c r="CY37" s="4">
        <v>0</v>
      </c>
      <c r="CZ37" s="10">
        <v>1</v>
      </c>
      <c r="DA37" s="15">
        <v>12</v>
      </c>
      <c r="DB37" s="15"/>
      <c r="DC37" s="15"/>
      <c r="DD37" s="15"/>
      <c r="DE37" s="15"/>
      <c r="DF37" s="15"/>
      <c r="DG37" s="15"/>
      <c r="DH37" s="15"/>
      <c r="DI37" s="192"/>
      <c r="DJ37" s="4">
        <v>0</v>
      </c>
      <c r="DK37" s="177"/>
      <c r="DL37" s="177"/>
      <c r="DM37" s="15"/>
      <c r="DN37" s="48"/>
      <c r="DO37" s="4">
        <v>0</v>
      </c>
      <c r="DP37" s="15"/>
      <c r="DQ37" s="177"/>
      <c r="DR37" s="15"/>
      <c r="DS37" s="48"/>
      <c r="DT37" s="4">
        <v>0</v>
      </c>
      <c r="DU37" s="15"/>
      <c r="DV37" s="15"/>
      <c r="DW37" s="15"/>
      <c r="DX37" s="48"/>
      <c r="DY37" s="4">
        <v>0</v>
      </c>
      <c r="DZ37" s="15"/>
      <c r="EA37" s="15"/>
      <c r="EB37" s="15"/>
      <c r="EC37" s="48"/>
      <c r="ED37" s="4">
        <v>0</v>
      </c>
      <c r="EE37" s="15"/>
      <c r="EF37" s="15"/>
      <c r="EG37" s="15"/>
      <c r="EH37" s="48"/>
      <c r="EI37" s="4">
        <v>0</v>
      </c>
      <c r="EJ37" s="15"/>
      <c r="EK37" s="15"/>
      <c r="EL37" s="15"/>
      <c r="EM37" s="48"/>
      <c r="EN37" s="4">
        <v>0</v>
      </c>
      <c r="EO37" s="15"/>
      <c r="EP37" s="15"/>
      <c r="EQ37" s="15"/>
      <c r="ER37" s="48"/>
      <c r="ES37" s="4">
        <v>0</v>
      </c>
      <c r="ET37" s="15"/>
      <c r="EU37" s="15"/>
      <c r="EV37" s="15"/>
      <c r="EW37" s="48"/>
      <c r="EX37" s="4">
        <v>0</v>
      </c>
      <c r="EY37" s="15"/>
      <c r="EZ37" s="15"/>
      <c r="FA37" s="15"/>
      <c r="FB37" s="48"/>
      <c r="FC37" s="4">
        <v>0</v>
      </c>
      <c r="FD37" s="15"/>
      <c r="FE37" s="15"/>
      <c r="FF37" s="15"/>
      <c r="FG37" s="48"/>
      <c r="FH37" s="4">
        <v>0</v>
      </c>
      <c r="FI37" s="15"/>
      <c r="FJ37" s="15"/>
      <c r="FK37" s="15"/>
      <c r="FL37" s="48"/>
      <c r="FM37" s="4">
        <v>0</v>
      </c>
      <c r="FN37" s="15"/>
      <c r="FO37" s="15"/>
      <c r="FP37" s="15"/>
      <c r="FQ37" s="48"/>
      <c r="FR37" s="4">
        <v>0</v>
      </c>
      <c r="FS37" s="15"/>
      <c r="FT37" s="15"/>
      <c r="FU37" s="15"/>
      <c r="FV37" s="48"/>
      <c r="FW37" s="4">
        <v>0</v>
      </c>
      <c r="FX37" s="15"/>
      <c r="FY37" s="15"/>
      <c r="FZ37" s="15"/>
      <c r="GA37" s="48"/>
      <c r="GB37" s="16"/>
      <c r="GC37" s="15"/>
      <c r="GD37" s="15"/>
      <c r="GE37" s="15"/>
      <c r="GF37" s="48"/>
      <c r="GG37" s="10">
        <f t="shared" si="5"/>
        <v>1</v>
      </c>
      <c r="GH37" s="10" t="str">
        <f t="shared" si="6"/>
        <v/>
      </c>
      <c r="GI37" s="37" t="str">
        <f t="shared" si="7"/>
        <v/>
      </c>
      <c r="GJ37" s="4" t="s">
        <v>82</v>
      </c>
      <c r="GK37" s="10" t="s">
        <v>82</v>
      </c>
      <c r="GL37" s="10" t="s">
        <v>82</v>
      </c>
      <c r="GM37" s="10" t="s">
        <v>82</v>
      </c>
      <c r="GN37" s="10" t="s">
        <v>82</v>
      </c>
      <c r="GO37" s="10" t="s">
        <v>82</v>
      </c>
      <c r="GP37" s="10" t="s">
        <v>82</v>
      </c>
      <c r="GQ37" s="10">
        <v>1</v>
      </c>
      <c r="GR37" s="10" t="s">
        <v>82</v>
      </c>
      <c r="GS37" s="10" t="s">
        <v>82</v>
      </c>
      <c r="GT37" s="10" t="s">
        <v>82</v>
      </c>
      <c r="GU37" s="10" t="s">
        <v>82</v>
      </c>
      <c r="GV37" s="10" t="s">
        <v>82</v>
      </c>
      <c r="GW37" s="10" t="s">
        <v>82</v>
      </c>
      <c r="GX37" s="10" t="s">
        <v>82</v>
      </c>
      <c r="GY37" s="10" t="s">
        <v>82</v>
      </c>
      <c r="GZ37" s="10" t="s">
        <v>82</v>
      </c>
      <c r="HA37" s="10" t="s">
        <v>82</v>
      </c>
      <c r="HB37" s="10" t="s">
        <v>82</v>
      </c>
      <c r="HC37" s="10" t="s">
        <v>82</v>
      </c>
      <c r="HD37" s="10" t="s">
        <v>82</v>
      </c>
      <c r="HE37" s="10" t="s">
        <v>82</v>
      </c>
      <c r="HF37" s="10" t="s">
        <v>82</v>
      </c>
      <c r="HG37" s="10" t="s">
        <v>82</v>
      </c>
      <c r="HH37" s="10" t="s">
        <v>82</v>
      </c>
      <c r="HI37" s="10" t="s">
        <v>82</v>
      </c>
      <c r="HJ37" s="10" t="s">
        <v>82</v>
      </c>
      <c r="HK37" s="10" t="s">
        <v>82</v>
      </c>
      <c r="HL37" s="10" t="s">
        <v>82</v>
      </c>
      <c r="HM37" s="40" t="s">
        <v>82</v>
      </c>
    </row>
    <row r="38" spans="1:221" s="58" customFormat="1" ht="55.2">
      <c r="A38" s="693"/>
      <c r="B38" s="574" t="s">
        <v>1011</v>
      </c>
      <c r="C38" s="687"/>
      <c r="D38" s="389" t="s">
        <v>157</v>
      </c>
      <c r="E38" s="46" t="s">
        <v>65</v>
      </c>
      <c r="F38" s="46" t="s">
        <v>65</v>
      </c>
      <c r="G38" s="15" t="s">
        <v>65</v>
      </c>
      <c r="H38" s="15" t="s">
        <v>65</v>
      </c>
      <c r="I38" s="715"/>
      <c r="J38" s="364">
        <v>14.95</v>
      </c>
      <c r="K38" s="608" t="s">
        <v>265</v>
      </c>
      <c r="L38" s="609" t="s">
        <v>265</v>
      </c>
      <c r="M38" s="18" t="s">
        <v>993</v>
      </c>
      <c r="N38" s="17" t="s">
        <v>82</v>
      </c>
      <c r="O38" s="17" t="s">
        <v>558</v>
      </c>
      <c r="P38" s="15" t="s">
        <v>265</v>
      </c>
      <c r="Q38" s="15" t="s">
        <v>265</v>
      </c>
      <c r="R38" s="15" t="s">
        <v>265</v>
      </c>
      <c r="S38" s="15">
        <v>10</v>
      </c>
      <c r="T38" s="15" t="s">
        <v>265</v>
      </c>
      <c r="U38" s="40" t="s">
        <v>265</v>
      </c>
      <c r="V38" s="16">
        <v>1</v>
      </c>
      <c r="W38" s="15">
        <v>20</v>
      </c>
      <c r="X38" s="49">
        <v>20</v>
      </c>
      <c r="Y38" s="49">
        <v>5.1100000000000003</v>
      </c>
      <c r="Z38" s="41">
        <f t="shared" si="2"/>
        <v>20</v>
      </c>
      <c r="AA38" s="593">
        <f t="shared" si="10"/>
        <v>2044.0000000000002</v>
      </c>
      <c r="AB38" s="48" t="s">
        <v>265</v>
      </c>
      <c r="AC38" s="234">
        <v>3</v>
      </c>
      <c r="AD38" s="177">
        <v>5</v>
      </c>
      <c r="AE38" s="15">
        <v>0.13900000000000001</v>
      </c>
      <c r="AF38" s="10">
        <f t="shared" si="3"/>
        <v>5.5600000000000007E-4</v>
      </c>
      <c r="AG38" s="15" t="s">
        <v>265</v>
      </c>
      <c r="AH38" s="15" t="s">
        <v>265</v>
      </c>
      <c r="AI38" s="10" t="str">
        <f t="shared" si="8"/>
        <v>N.S</v>
      </c>
      <c r="AJ38" s="51" t="s">
        <v>265</v>
      </c>
      <c r="AK38" s="51" t="s">
        <v>265</v>
      </c>
      <c r="AL38" s="56">
        <f t="shared" si="12"/>
        <v>5.5600000000000007E-4</v>
      </c>
      <c r="AM38" s="51" t="s">
        <v>265</v>
      </c>
      <c r="AN38" s="42">
        <f>IF(AL38="N.S","N.S",AL38*AQ1+IF(AM38="N.S",0,AM38*(1-AQ1)))</f>
        <v>5.560000000000001E-6</v>
      </c>
      <c r="AO38" s="42" t="s">
        <v>265</v>
      </c>
      <c r="AP38" s="42" t="s">
        <v>265</v>
      </c>
      <c r="AQ38" s="610" t="s">
        <v>265</v>
      </c>
      <c r="AR38" s="611" t="str">
        <f t="shared" si="11"/>
        <v>N.S</v>
      </c>
      <c r="AS38" s="604">
        <f t="shared" si="9"/>
        <v>134892.08633093524</v>
      </c>
      <c r="AT38" s="20" t="s">
        <v>265</v>
      </c>
      <c r="AU38" s="15" t="s">
        <v>265</v>
      </c>
      <c r="AV38" s="15" t="s">
        <v>265</v>
      </c>
      <c r="AW38" s="15" t="s">
        <v>265</v>
      </c>
      <c r="AX38" s="15" t="s">
        <v>265</v>
      </c>
      <c r="AY38" s="15" t="s">
        <v>265</v>
      </c>
      <c r="AZ38" s="15" t="s">
        <v>265</v>
      </c>
      <c r="BA38" s="67" t="s">
        <v>265</v>
      </c>
      <c r="BB38" s="612" t="s">
        <v>265</v>
      </c>
      <c r="BC38" s="606" t="s">
        <v>265</v>
      </c>
      <c r="BD38" s="67" t="s">
        <v>577</v>
      </c>
      <c r="BE38" s="18" t="s">
        <v>265</v>
      </c>
      <c r="BF38" s="67" t="s">
        <v>265</v>
      </c>
      <c r="BG38" s="16" t="s">
        <v>265</v>
      </c>
      <c r="BH38" s="17" t="s">
        <v>265</v>
      </c>
      <c r="BI38" s="15" t="s">
        <v>265</v>
      </c>
      <c r="BJ38" s="15" t="s">
        <v>265</v>
      </c>
      <c r="BK38" s="15" t="s">
        <v>265</v>
      </c>
      <c r="BL38" s="15" t="s">
        <v>265</v>
      </c>
      <c r="BM38" s="48" t="s">
        <v>265</v>
      </c>
      <c r="BN38" s="301" t="s">
        <v>265</v>
      </c>
      <c r="BO38" s="41" t="s">
        <v>265</v>
      </c>
      <c r="BP38" s="129" t="s">
        <v>265</v>
      </c>
      <c r="BQ38" s="16"/>
      <c r="BR38" s="170"/>
      <c r="BS38" s="16">
        <v>1</v>
      </c>
      <c r="BT38" s="177"/>
      <c r="BU38" s="177"/>
      <c r="BV38" s="15"/>
      <c r="BW38" s="48"/>
      <c r="BX38" s="23">
        <v>0</v>
      </c>
      <c r="BY38" s="177"/>
      <c r="BZ38" s="177"/>
      <c r="CA38" s="15"/>
      <c r="CB38" s="48"/>
      <c r="CC38" s="16">
        <v>0</v>
      </c>
      <c r="CD38" s="15">
        <v>1</v>
      </c>
      <c r="CE38" s="177">
        <v>2</v>
      </c>
      <c r="CF38" s="177">
        <v>4</v>
      </c>
      <c r="CG38" s="177">
        <v>8</v>
      </c>
      <c r="CH38" s="177">
        <v>16</v>
      </c>
      <c r="CI38" s="177"/>
      <c r="CJ38" s="177"/>
      <c r="CK38" s="177"/>
      <c r="CL38" s="177">
        <v>10</v>
      </c>
      <c r="CM38" s="192">
        <f>LOG(32*32,2)</f>
        <v>10</v>
      </c>
      <c r="CN38" s="16">
        <v>0</v>
      </c>
      <c r="CO38" s="15">
        <v>0</v>
      </c>
      <c r="CP38" s="15"/>
      <c r="CQ38" s="15"/>
      <c r="CR38" s="15"/>
      <c r="CS38" s="15"/>
      <c r="CT38" s="15"/>
      <c r="CU38" s="15"/>
      <c r="CV38" s="15"/>
      <c r="CW38" s="15"/>
      <c r="CX38" s="192"/>
      <c r="CY38" s="4">
        <v>0</v>
      </c>
      <c r="CZ38" s="10">
        <v>0</v>
      </c>
      <c r="DA38" s="15"/>
      <c r="DB38" s="15"/>
      <c r="DC38" s="15"/>
      <c r="DD38" s="15"/>
      <c r="DE38" s="15"/>
      <c r="DF38" s="15"/>
      <c r="DG38" s="15"/>
      <c r="DH38" s="15"/>
      <c r="DI38" s="192"/>
      <c r="DJ38" s="4">
        <v>0</v>
      </c>
      <c r="DK38" s="177"/>
      <c r="DL38" s="177"/>
      <c r="DM38" s="15"/>
      <c r="DN38" s="48"/>
      <c r="DO38" s="4">
        <v>0</v>
      </c>
      <c r="DP38" s="15"/>
      <c r="DQ38" s="177"/>
      <c r="DR38" s="15"/>
      <c r="DS38" s="48"/>
      <c r="DT38" s="4">
        <v>0</v>
      </c>
      <c r="DU38" s="15"/>
      <c r="DV38" s="15"/>
      <c r="DW38" s="15"/>
      <c r="DX38" s="48"/>
      <c r="DY38" s="4">
        <v>0</v>
      </c>
      <c r="DZ38" s="15"/>
      <c r="EA38" s="15"/>
      <c r="EB38" s="15"/>
      <c r="EC38" s="48"/>
      <c r="ED38" s="4">
        <v>0</v>
      </c>
      <c r="EE38" s="15"/>
      <c r="EF38" s="15"/>
      <c r="EG38" s="15"/>
      <c r="EH38" s="48"/>
      <c r="EI38" s="4">
        <v>0</v>
      </c>
      <c r="EJ38" s="15"/>
      <c r="EK38" s="15"/>
      <c r="EL38" s="15"/>
      <c r="EM38" s="48"/>
      <c r="EN38" s="4">
        <v>0</v>
      </c>
      <c r="EO38" s="15"/>
      <c r="EP38" s="15"/>
      <c r="EQ38" s="15"/>
      <c r="ER38" s="48"/>
      <c r="ES38" s="4">
        <v>0</v>
      </c>
      <c r="ET38" s="15"/>
      <c r="EU38" s="15"/>
      <c r="EV38" s="15"/>
      <c r="EW38" s="48"/>
      <c r="EX38" s="4">
        <v>0</v>
      </c>
      <c r="EY38" s="15"/>
      <c r="EZ38" s="15"/>
      <c r="FA38" s="15"/>
      <c r="FB38" s="48"/>
      <c r="FC38" s="4">
        <v>0</v>
      </c>
      <c r="FD38" s="15"/>
      <c r="FE38" s="15"/>
      <c r="FF38" s="15"/>
      <c r="FG38" s="48"/>
      <c r="FH38" s="4">
        <v>0</v>
      </c>
      <c r="FI38" s="15"/>
      <c r="FJ38" s="15"/>
      <c r="FK38" s="15"/>
      <c r="FL38" s="48"/>
      <c r="FM38" s="4">
        <v>0</v>
      </c>
      <c r="FN38" s="15"/>
      <c r="FO38" s="15"/>
      <c r="FP38" s="15"/>
      <c r="FQ38" s="48"/>
      <c r="FR38" s="4">
        <v>0</v>
      </c>
      <c r="FS38" s="15"/>
      <c r="FT38" s="15"/>
      <c r="FU38" s="15"/>
      <c r="FV38" s="48"/>
      <c r="FW38" s="4">
        <v>0</v>
      </c>
      <c r="FX38" s="15"/>
      <c r="FY38" s="15"/>
      <c r="FZ38" s="15"/>
      <c r="GA38" s="48"/>
      <c r="GB38" s="16"/>
      <c r="GC38" s="15"/>
      <c r="GD38" s="15"/>
      <c r="GE38" s="15"/>
      <c r="GF38" s="48"/>
      <c r="GG38" s="10">
        <f t="shared" si="5"/>
        <v>1</v>
      </c>
      <c r="GH38" s="10" t="str">
        <f t="shared" si="6"/>
        <v/>
      </c>
      <c r="GI38" s="37" t="str">
        <f t="shared" si="7"/>
        <v/>
      </c>
      <c r="GJ38" s="4" t="s">
        <v>82</v>
      </c>
      <c r="GK38" s="10" t="s">
        <v>82</v>
      </c>
      <c r="GL38" s="10" t="s">
        <v>82</v>
      </c>
      <c r="GM38" s="10" t="s">
        <v>82</v>
      </c>
      <c r="GN38" s="10" t="s">
        <v>82</v>
      </c>
      <c r="GO38" s="10" t="s">
        <v>82</v>
      </c>
      <c r="GP38" s="10" t="s">
        <v>82</v>
      </c>
      <c r="GQ38" s="10">
        <v>1</v>
      </c>
      <c r="GR38" s="10" t="s">
        <v>82</v>
      </c>
      <c r="GS38" s="10" t="s">
        <v>82</v>
      </c>
      <c r="GT38" s="10" t="s">
        <v>82</v>
      </c>
      <c r="GU38" s="10" t="s">
        <v>82</v>
      </c>
      <c r="GV38" s="10" t="s">
        <v>82</v>
      </c>
      <c r="GW38" s="10" t="s">
        <v>82</v>
      </c>
      <c r="GX38" s="10" t="s">
        <v>82</v>
      </c>
      <c r="GY38" s="10" t="s">
        <v>82</v>
      </c>
      <c r="GZ38" s="10" t="s">
        <v>82</v>
      </c>
      <c r="HA38" s="10" t="s">
        <v>82</v>
      </c>
      <c r="HB38" s="10" t="s">
        <v>82</v>
      </c>
      <c r="HC38" s="10" t="s">
        <v>82</v>
      </c>
      <c r="HD38" s="10" t="s">
        <v>82</v>
      </c>
      <c r="HE38" s="10" t="s">
        <v>82</v>
      </c>
      <c r="HF38" s="10" t="s">
        <v>82</v>
      </c>
      <c r="HG38" s="10" t="s">
        <v>82</v>
      </c>
      <c r="HH38" s="10" t="s">
        <v>82</v>
      </c>
      <c r="HI38" s="10" t="s">
        <v>82</v>
      </c>
      <c r="HJ38" s="10" t="s">
        <v>82</v>
      </c>
      <c r="HK38" s="10" t="s">
        <v>82</v>
      </c>
      <c r="HL38" s="10" t="s">
        <v>82</v>
      </c>
      <c r="HM38" s="40" t="s">
        <v>82</v>
      </c>
    </row>
    <row r="39" spans="1:221" s="57" customFormat="1" ht="55.2">
      <c r="A39" s="693"/>
      <c r="B39" s="573" t="s">
        <v>158</v>
      </c>
      <c r="C39" s="687"/>
      <c r="D39" s="478" t="s">
        <v>159</v>
      </c>
      <c r="E39" s="52" t="s">
        <v>65</v>
      </c>
      <c r="F39" s="52" t="s">
        <v>65</v>
      </c>
      <c r="G39" s="35" t="s">
        <v>65</v>
      </c>
      <c r="H39" s="35" t="s">
        <v>65</v>
      </c>
      <c r="I39" s="715"/>
      <c r="J39" s="363">
        <v>14.95</v>
      </c>
      <c r="K39" s="608" t="s">
        <v>265</v>
      </c>
      <c r="L39" s="609" t="s">
        <v>265</v>
      </c>
      <c r="M39" s="24" t="s">
        <v>618</v>
      </c>
      <c r="N39" s="53" t="s">
        <v>82</v>
      </c>
      <c r="O39" s="17" t="s">
        <v>558</v>
      </c>
      <c r="P39" s="53" t="s">
        <v>160</v>
      </c>
      <c r="Q39" s="15" t="s">
        <v>265</v>
      </c>
      <c r="R39" s="15" t="s">
        <v>265</v>
      </c>
      <c r="S39" s="35">
        <v>12</v>
      </c>
      <c r="T39" s="15" t="s">
        <v>265</v>
      </c>
      <c r="U39" s="40" t="s">
        <v>265</v>
      </c>
      <c r="V39" s="55">
        <v>0.96</v>
      </c>
      <c r="W39" s="479">
        <v>20</v>
      </c>
      <c r="X39" s="479">
        <v>20</v>
      </c>
      <c r="Y39" s="479">
        <v>5.1100000000000003</v>
      </c>
      <c r="Z39" s="41">
        <f t="shared" si="2"/>
        <v>20</v>
      </c>
      <c r="AA39" s="593">
        <f t="shared" si="10"/>
        <v>2044.0000000000002</v>
      </c>
      <c r="AB39" s="48" t="s">
        <v>265</v>
      </c>
      <c r="AC39" s="233">
        <v>3</v>
      </c>
      <c r="AD39" s="178">
        <v>5</v>
      </c>
      <c r="AE39" s="35">
        <v>0.1</v>
      </c>
      <c r="AF39" s="10">
        <f t="shared" si="3"/>
        <v>4.0000000000000002E-4</v>
      </c>
      <c r="AG39" s="15" t="s">
        <v>265</v>
      </c>
      <c r="AH39" s="15" t="s">
        <v>265</v>
      </c>
      <c r="AI39" s="10" t="str">
        <f t="shared" si="8"/>
        <v>N.S</v>
      </c>
      <c r="AJ39" s="51" t="s">
        <v>265</v>
      </c>
      <c r="AK39" s="51" t="s">
        <v>265</v>
      </c>
      <c r="AL39" s="56">
        <f t="shared" si="12"/>
        <v>4.0000000000000002E-4</v>
      </c>
      <c r="AM39" s="51" t="s">
        <v>265</v>
      </c>
      <c r="AN39" s="42">
        <f>IF(AL39="N.S","N.S",AL39*AQ1+IF(AM39="N.S",0,AM39*(1-AQ1)))</f>
        <v>4.0000000000000007E-6</v>
      </c>
      <c r="AO39" s="42" t="s">
        <v>265</v>
      </c>
      <c r="AP39" s="42" t="s">
        <v>265</v>
      </c>
      <c r="AQ39" s="610" t="s">
        <v>265</v>
      </c>
      <c r="AR39" s="611" t="str">
        <f t="shared" si="11"/>
        <v>N.S</v>
      </c>
      <c r="AS39" s="604">
        <f t="shared" si="9"/>
        <v>187499.99999999997</v>
      </c>
      <c r="AT39" s="20" t="s">
        <v>265</v>
      </c>
      <c r="AU39" s="15" t="s">
        <v>265</v>
      </c>
      <c r="AV39" s="15" t="s">
        <v>265</v>
      </c>
      <c r="AW39" s="15" t="s">
        <v>265</v>
      </c>
      <c r="AX39" s="15" t="s">
        <v>265</v>
      </c>
      <c r="AY39" s="15" t="s">
        <v>265</v>
      </c>
      <c r="AZ39" s="15" t="s">
        <v>265</v>
      </c>
      <c r="BA39" s="67" t="s">
        <v>265</v>
      </c>
      <c r="BB39" s="612" t="s">
        <v>265</v>
      </c>
      <c r="BC39" s="606" t="s">
        <v>265</v>
      </c>
      <c r="BD39" s="67" t="s">
        <v>577</v>
      </c>
      <c r="BE39" s="18" t="s">
        <v>265</v>
      </c>
      <c r="BF39" s="67" t="s">
        <v>265</v>
      </c>
      <c r="BG39" s="16" t="s">
        <v>265</v>
      </c>
      <c r="BH39" s="17" t="s">
        <v>265</v>
      </c>
      <c r="BI39" s="15" t="s">
        <v>265</v>
      </c>
      <c r="BJ39" s="15" t="s">
        <v>265</v>
      </c>
      <c r="BK39" s="15" t="s">
        <v>265</v>
      </c>
      <c r="BL39" s="15" t="s">
        <v>265</v>
      </c>
      <c r="BM39" s="48" t="s">
        <v>265</v>
      </c>
      <c r="BN39" s="301" t="s">
        <v>265</v>
      </c>
      <c r="BO39" s="41" t="s">
        <v>265</v>
      </c>
      <c r="BP39" s="129" t="s">
        <v>265</v>
      </c>
      <c r="BQ39" s="55"/>
      <c r="BR39" s="171"/>
      <c r="BS39" s="55">
        <v>0</v>
      </c>
      <c r="BT39" s="178"/>
      <c r="BU39" s="178"/>
      <c r="BV39" s="35"/>
      <c r="BW39" s="54"/>
      <c r="BX39" s="36">
        <v>0</v>
      </c>
      <c r="BY39" s="178"/>
      <c r="BZ39" s="178"/>
      <c r="CA39" s="35"/>
      <c r="CB39" s="54"/>
      <c r="CC39" s="55">
        <v>0</v>
      </c>
      <c r="CD39" s="35">
        <v>0</v>
      </c>
      <c r="CE39" s="178"/>
      <c r="CF39" s="178"/>
      <c r="CG39" s="178"/>
      <c r="CH39" s="178"/>
      <c r="CI39" s="178"/>
      <c r="CJ39" s="178"/>
      <c r="CK39" s="178"/>
      <c r="CL39" s="178"/>
      <c r="CM39" s="193"/>
      <c r="CN39" s="55">
        <v>0</v>
      </c>
      <c r="CO39" s="35">
        <v>0</v>
      </c>
      <c r="CP39" s="35"/>
      <c r="CQ39" s="35"/>
      <c r="CR39" s="35"/>
      <c r="CS39" s="35"/>
      <c r="CT39" s="35"/>
      <c r="CU39" s="35"/>
      <c r="CV39" s="35"/>
      <c r="CW39" s="35"/>
      <c r="CX39" s="193"/>
      <c r="CY39" s="4">
        <v>0</v>
      </c>
      <c r="CZ39" s="10">
        <v>1</v>
      </c>
      <c r="DA39" s="35">
        <v>8</v>
      </c>
      <c r="DB39" s="35"/>
      <c r="DC39" s="35"/>
      <c r="DD39" s="35"/>
      <c r="DE39" s="35"/>
      <c r="DF39" s="35"/>
      <c r="DG39" s="35"/>
      <c r="DH39" s="35">
        <f>LOG(16/0.002,2)</f>
        <v>12.965784284662087</v>
      </c>
      <c r="DI39" s="193"/>
      <c r="DJ39" s="4">
        <v>0</v>
      </c>
      <c r="DK39" s="178"/>
      <c r="DL39" s="178"/>
      <c r="DM39" s="35"/>
      <c r="DN39" s="54"/>
      <c r="DO39" s="4">
        <v>0</v>
      </c>
      <c r="DP39" s="35"/>
      <c r="DQ39" s="178"/>
      <c r="DR39" s="35"/>
      <c r="DS39" s="54"/>
      <c r="DT39" s="4">
        <v>0</v>
      </c>
      <c r="DU39" s="35"/>
      <c r="DV39" s="35"/>
      <c r="DW39" s="35"/>
      <c r="DX39" s="54"/>
      <c r="DY39" s="4">
        <v>0</v>
      </c>
      <c r="DZ39" s="35"/>
      <c r="EA39" s="35"/>
      <c r="EB39" s="35"/>
      <c r="EC39" s="54"/>
      <c r="ED39" s="4">
        <v>0</v>
      </c>
      <c r="EE39" s="35"/>
      <c r="EF39" s="35"/>
      <c r="EG39" s="35"/>
      <c r="EH39" s="54"/>
      <c r="EI39" s="4">
        <v>0</v>
      </c>
      <c r="EJ39" s="35"/>
      <c r="EK39" s="35"/>
      <c r="EL39" s="35"/>
      <c r="EM39" s="54"/>
      <c r="EN39" s="4">
        <v>0</v>
      </c>
      <c r="EO39" s="35"/>
      <c r="EP39" s="35"/>
      <c r="EQ39" s="35"/>
      <c r="ER39" s="54"/>
      <c r="ES39" s="4">
        <v>0</v>
      </c>
      <c r="ET39" s="35"/>
      <c r="EU39" s="35"/>
      <c r="EV39" s="35"/>
      <c r="EW39" s="54"/>
      <c r="EX39" s="4">
        <v>0</v>
      </c>
      <c r="EY39" s="35"/>
      <c r="EZ39" s="35"/>
      <c r="FA39" s="35"/>
      <c r="FB39" s="54"/>
      <c r="FC39" s="4">
        <v>0</v>
      </c>
      <c r="FD39" s="35"/>
      <c r="FE39" s="35"/>
      <c r="FF39" s="35"/>
      <c r="FG39" s="54"/>
      <c r="FH39" s="4">
        <v>0</v>
      </c>
      <c r="FI39" s="35"/>
      <c r="FJ39" s="35"/>
      <c r="FK39" s="35"/>
      <c r="FL39" s="54"/>
      <c r="FM39" s="4">
        <v>0</v>
      </c>
      <c r="FN39" s="35"/>
      <c r="FO39" s="35"/>
      <c r="FP39" s="35"/>
      <c r="FQ39" s="54"/>
      <c r="FR39" s="4">
        <v>0</v>
      </c>
      <c r="FS39" s="35"/>
      <c r="FT39" s="35"/>
      <c r="FU39" s="35"/>
      <c r="FV39" s="54"/>
      <c r="FW39" s="4">
        <v>0</v>
      </c>
      <c r="FX39" s="35"/>
      <c r="FY39" s="35"/>
      <c r="FZ39" s="35"/>
      <c r="GA39" s="54"/>
      <c r="GB39" s="55"/>
      <c r="GC39" s="35"/>
      <c r="GD39" s="35"/>
      <c r="GE39" s="35"/>
      <c r="GF39" s="54"/>
      <c r="GG39" s="10">
        <f t="shared" si="5"/>
        <v>1</v>
      </c>
      <c r="GH39" s="10" t="str">
        <f t="shared" si="6"/>
        <v/>
      </c>
      <c r="GI39" s="37" t="str">
        <f t="shared" si="7"/>
        <v/>
      </c>
      <c r="GJ39" s="4" t="s">
        <v>82</v>
      </c>
      <c r="GK39" s="10" t="s">
        <v>82</v>
      </c>
      <c r="GL39" s="10" t="s">
        <v>82</v>
      </c>
      <c r="GM39" s="10" t="s">
        <v>82</v>
      </c>
      <c r="GN39" s="10" t="s">
        <v>82</v>
      </c>
      <c r="GO39" s="10" t="s">
        <v>82</v>
      </c>
      <c r="GP39" s="10" t="s">
        <v>82</v>
      </c>
      <c r="GQ39" s="10">
        <v>1</v>
      </c>
      <c r="GR39" s="10" t="s">
        <v>82</v>
      </c>
      <c r="GS39" s="10" t="s">
        <v>82</v>
      </c>
      <c r="GT39" s="10" t="s">
        <v>82</v>
      </c>
      <c r="GU39" s="10" t="s">
        <v>82</v>
      </c>
      <c r="GV39" s="10" t="s">
        <v>82</v>
      </c>
      <c r="GW39" s="10" t="s">
        <v>82</v>
      </c>
      <c r="GX39" s="10" t="s">
        <v>82</v>
      </c>
      <c r="GY39" s="10" t="s">
        <v>82</v>
      </c>
      <c r="GZ39" s="10" t="s">
        <v>82</v>
      </c>
      <c r="HA39" s="10" t="s">
        <v>82</v>
      </c>
      <c r="HB39" s="10" t="s">
        <v>82</v>
      </c>
      <c r="HC39" s="10" t="s">
        <v>82</v>
      </c>
      <c r="HD39" s="10" t="s">
        <v>82</v>
      </c>
      <c r="HE39" s="10" t="s">
        <v>82</v>
      </c>
      <c r="HF39" s="10" t="s">
        <v>82</v>
      </c>
      <c r="HG39" s="10" t="s">
        <v>82</v>
      </c>
      <c r="HH39" s="10" t="s">
        <v>82</v>
      </c>
      <c r="HI39" s="10" t="s">
        <v>82</v>
      </c>
      <c r="HJ39" s="10" t="s">
        <v>82</v>
      </c>
      <c r="HK39" s="10" t="s">
        <v>82</v>
      </c>
      <c r="HL39" s="10" t="s">
        <v>82</v>
      </c>
      <c r="HM39" s="40" t="s">
        <v>82</v>
      </c>
    </row>
    <row r="40" spans="1:221" s="58" customFormat="1" ht="41.4">
      <c r="A40" s="693"/>
      <c r="B40" s="574" t="s">
        <v>161</v>
      </c>
      <c r="C40" s="687"/>
      <c r="D40" s="389" t="s">
        <v>162</v>
      </c>
      <c r="E40" s="46" t="s">
        <v>65</v>
      </c>
      <c r="F40" s="46" t="s">
        <v>65</v>
      </c>
      <c r="G40" s="15" t="s">
        <v>65</v>
      </c>
      <c r="H40" s="15" t="s">
        <v>65</v>
      </c>
      <c r="I40" s="715"/>
      <c r="J40" s="364">
        <v>24.95</v>
      </c>
      <c r="K40" s="608" t="s">
        <v>265</v>
      </c>
      <c r="L40" s="609" t="s">
        <v>265</v>
      </c>
      <c r="M40" s="18" t="s">
        <v>163</v>
      </c>
      <c r="N40" s="17" t="s">
        <v>82</v>
      </c>
      <c r="O40" s="17" t="s">
        <v>558</v>
      </c>
      <c r="P40" s="17" t="s">
        <v>164</v>
      </c>
      <c r="Q40" s="15" t="s">
        <v>265</v>
      </c>
      <c r="R40" s="15">
        <v>2</v>
      </c>
      <c r="S40" s="17">
        <v>8</v>
      </c>
      <c r="T40" s="15" t="s">
        <v>265</v>
      </c>
      <c r="U40" s="40" t="s">
        <v>265</v>
      </c>
      <c r="V40" s="16">
        <v>1</v>
      </c>
      <c r="W40" s="49">
        <v>20</v>
      </c>
      <c r="X40" s="49">
        <v>20</v>
      </c>
      <c r="Y40" s="49">
        <v>5.1100000000000003</v>
      </c>
      <c r="Z40" s="41">
        <f t="shared" si="2"/>
        <v>20</v>
      </c>
      <c r="AA40" s="593">
        <f t="shared" si="10"/>
        <v>2044.0000000000002</v>
      </c>
      <c r="AB40" s="48" t="s">
        <v>265</v>
      </c>
      <c r="AC40" s="234">
        <v>3</v>
      </c>
      <c r="AD40" s="177">
        <v>5</v>
      </c>
      <c r="AE40" s="15">
        <v>6.1</v>
      </c>
      <c r="AF40" s="10">
        <f t="shared" si="3"/>
        <v>2.4399999999999998E-2</v>
      </c>
      <c r="AG40" s="15" t="s">
        <v>265</v>
      </c>
      <c r="AH40" s="15" t="s">
        <v>265</v>
      </c>
      <c r="AI40" s="10" t="str">
        <f t="shared" si="8"/>
        <v>N.S</v>
      </c>
      <c r="AJ40" s="51" t="s">
        <v>265</v>
      </c>
      <c r="AK40" s="51" t="s">
        <v>265</v>
      </c>
      <c r="AL40" s="56">
        <f t="shared" si="12"/>
        <v>2.4399999999999998E-2</v>
      </c>
      <c r="AM40" s="51" t="s">
        <v>265</v>
      </c>
      <c r="AN40" s="42">
        <f>IF(AL40="N.S","N.S",AL40*AQ1+IF(AM40="N.S",0,AM40*(1-AQ1)))</f>
        <v>2.4399999999999999E-4</v>
      </c>
      <c r="AO40" s="42" t="s">
        <v>265</v>
      </c>
      <c r="AP40" s="42" t="s">
        <v>265</v>
      </c>
      <c r="AQ40" s="610" t="s">
        <v>265</v>
      </c>
      <c r="AR40" s="611" t="str">
        <f t="shared" si="11"/>
        <v>N.S</v>
      </c>
      <c r="AS40" s="604">
        <f t="shared" si="9"/>
        <v>3073.7704918032787</v>
      </c>
      <c r="AT40" s="20" t="s">
        <v>265</v>
      </c>
      <c r="AU40" s="15" t="s">
        <v>265</v>
      </c>
      <c r="AV40" s="15" t="s">
        <v>265</v>
      </c>
      <c r="AW40" s="15" t="s">
        <v>265</v>
      </c>
      <c r="AX40" s="15" t="s">
        <v>265</v>
      </c>
      <c r="AY40" s="15" t="s">
        <v>265</v>
      </c>
      <c r="AZ40" s="15" t="s">
        <v>265</v>
      </c>
      <c r="BA40" s="67" t="s">
        <v>265</v>
      </c>
      <c r="BB40" s="612" t="s">
        <v>265</v>
      </c>
      <c r="BC40" s="606" t="s">
        <v>265</v>
      </c>
      <c r="BD40" s="67" t="s">
        <v>577</v>
      </c>
      <c r="BE40" s="18" t="s">
        <v>265</v>
      </c>
      <c r="BF40" s="67" t="s">
        <v>265</v>
      </c>
      <c r="BG40" s="16" t="s">
        <v>265</v>
      </c>
      <c r="BH40" s="17" t="s">
        <v>265</v>
      </c>
      <c r="BI40" s="15" t="s">
        <v>265</v>
      </c>
      <c r="BJ40" s="15" t="s">
        <v>265</v>
      </c>
      <c r="BK40" s="15" t="s">
        <v>265</v>
      </c>
      <c r="BL40" s="15" t="s">
        <v>265</v>
      </c>
      <c r="BM40" s="48" t="s">
        <v>265</v>
      </c>
      <c r="BN40" s="301" t="s">
        <v>265</v>
      </c>
      <c r="BO40" s="41" t="s">
        <v>265</v>
      </c>
      <c r="BP40" s="129" t="s">
        <v>265</v>
      </c>
      <c r="BQ40" s="16" t="s">
        <v>620</v>
      </c>
      <c r="BR40" s="620" t="s">
        <v>619</v>
      </c>
      <c r="BS40" s="16">
        <v>1</v>
      </c>
      <c r="BT40" s="177">
        <v>8</v>
      </c>
      <c r="BU40" s="177"/>
      <c r="BV40" s="15"/>
      <c r="BW40" s="48"/>
      <c r="BX40" s="23">
        <v>0</v>
      </c>
      <c r="BY40" s="177"/>
      <c r="BZ40" s="177"/>
      <c r="CA40" s="15"/>
      <c r="CB40" s="48"/>
      <c r="CC40" s="16">
        <v>0</v>
      </c>
      <c r="CD40" s="15">
        <v>0</v>
      </c>
      <c r="CE40" s="177"/>
      <c r="CF40" s="177"/>
      <c r="CG40" s="177"/>
      <c r="CH40" s="177"/>
      <c r="CI40" s="177"/>
      <c r="CJ40" s="177"/>
      <c r="CK40" s="177"/>
      <c r="CL40" s="177"/>
      <c r="CM40" s="192"/>
      <c r="CN40" s="16">
        <v>0</v>
      </c>
      <c r="CO40" s="15">
        <v>1</v>
      </c>
      <c r="CP40" s="15">
        <v>250</v>
      </c>
      <c r="CQ40" s="15">
        <v>500</v>
      </c>
      <c r="CR40" s="15">
        <v>2000</v>
      </c>
      <c r="CS40" s="15"/>
      <c r="CT40" s="15"/>
      <c r="CU40" s="15"/>
      <c r="CV40" s="15"/>
      <c r="CW40" s="15"/>
      <c r="CX40" s="192"/>
      <c r="CY40" s="4">
        <v>0</v>
      </c>
      <c r="CZ40" s="10">
        <v>0</v>
      </c>
      <c r="DA40" s="15"/>
      <c r="DB40" s="15"/>
      <c r="DC40" s="15"/>
      <c r="DD40" s="15"/>
      <c r="DE40" s="15"/>
      <c r="DF40" s="15"/>
      <c r="DG40" s="15"/>
      <c r="DH40" s="15"/>
      <c r="DI40" s="192"/>
      <c r="DJ40" s="4">
        <v>0</v>
      </c>
      <c r="DK40" s="177"/>
      <c r="DL40" s="177"/>
      <c r="DM40" s="15"/>
      <c r="DN40" s="48"/>
      <c r="DO40" s="4">
        <v>0</v>
      </c>
      <c r="DP40" s="15"/>
      <c r="DQ40" s="177"/>
      <c r="DR40" s="15"/>
      <c r="DS40" s="48"/>
      <c r="DT40" s="4">
        <v>0</v>
      </c>
      <c r="DU40" s="15"/>
      <c r="DV40" s="15"/>
      <c r="DW40" s="15"/>
      <c r="DX40" s="48"/>
      <c r="DY40" s="4">
        <v>0</v>
      </c>
      <c r="DZ40" s="15"/>
      <c r="EA40" s="15"/>
      <c r="EB40" s="15"/>
      <c r="EC40" s="48"/>
      <c r="ED40" s="4">
        <v>0</v>
      </c>
      <c r="EE40" s="15"/>
      <c r="EF40" s="15"/>
      <c r="EG40" s="15"/>
      <c r="EH40" s="48"/>
      <c r="EI40" s="4">
        <v>0</v>
      </c>
      <c r="EJ40" s="15"/>
      <c r="EK40" s="15"/>
      <c r="EL40" s="15"/>
      <c r="EM40" s="48"/>
      <c r="EN40" s="4">
        <v>0</v>
      </c>
      <c r="EO40" s="15"/>
      <c r="EP40" s="15"/>
      <c r="EQ40" s="15"/>
      <c r="ER40" s="48"/>
      <c r="ES40" s="4">
        <v>0</v>
      </c>
      <c r="ET40" s="15"/>
      <c r="EU40" s="15"/>
      <c r="EV40" s="15"/>
      <c r="EW40" s="48"/>
      <c r="EX40" s="4">
        <v>0</v>
      </c>
      <c r="EY40" s="15"/>
      <c r="EZ40" s="15"/>
      <c r="FA40" s="15"/>
      <c r="FB40" s="48"/>
      <c r="FC40" s="4">
        <v>0</v>
      </c>
      <c r="FD40" s="15"/>
      <c r="FE40" s="15"/>
      <c r="FF40" s="15"/>
      <c r="FG40" s="48"/>
      <c r="FH40" s="4">
        <v>0</v>
      </c>
      <c r="FI40" s="15"/>
      <c r="FJ40" s="15"/>
      <c r="FK40" s="15"/>
      <c r="FL40" s="48"/>
      <c r="FM40" s="4">
        <v>0</v>
      </c>
      <c r="FN40" s="15"/>
      <c r="FO40" s="15"/>
      <c r="FP40" s="15"/>
      <c r="FQ40" s="48"/>
      <c r="FR40" s="4">
        <v>0</v>
      </c>
      <c r="FS40" s="15"/>
      <c r="FT40" s="15"/>
      <c r="FU40" s="15"/>
      <c r="FV40" s="48"/>
      <c r="FW40" s="4">
        <v>0</v>
      </c>
      <c r="FX40" s="15"/>
      <c r="FY40" s="15"/>
      <c r="FZ40" s="15"/>
      <c r="GA40" s="48"/>
      <c r="GB40" s="16"/>
      <c r="GC40" s="15"/>
      <c r="GD40" s="15"/>
      <c r="GE40" s="15"/>
      <c r="GF40" s="48"/>
      <c r="GG40" s="10">
        <f t="shared" si="5"/>
        <v>1</v>
      </c>
      <c r="GH40" s="10" t="str">
        <f t="shared" si="6"/>
        <v/>
      </c>
      <c r="GI40" s="37" t="str">
        <f t="shared" si="7"/>
        <v/>
      </c>
      <c r="GJ40" s="4" t="s">
        <v>82</v>
      </c>
      <c r="GK40" s="10" t="s">
        <v>82</v>
      </c>
      <c r="GL40" s="10" t="s">
        <v>82</v>
      </c>
      <c r="GM40" s="10" t="s">
        <v>82</v>
      </c>
      <c r="GN40" s="10" t="s">
        <v>82</v>
      </c>
      <c r="GO40" s="10" t="s">
        <v>82</v>
      </c>
      <c r="GP40" s="10" t="s">
        <v>82</v>
      </c>
      <c r="GQ40" s="10">
        <v>1</v>
      </c>
      <c r="GR40" s="10" t="s">
        <v>82</v>
      </c>
      <c r="GS40" s="10" t="s">
        <v>82</v>
      </c>
      <c r="GT40" s="10" t="s">
        <v>82</v>
      </c>
      <c r="GU40" s="10" t="s">
        <v>82</v>
      </c>
      <c r="GV40" s="10" t="s">
        <v>82</v>
      </c>
      <c r="GW40" s="10" t="s">
        <v>82</v>
      </c>
      <c r="GX40" s="10" t="s">
        <v>82</v>
      </c>
      <c r="GY40" s="10" t="s">
        <v>82</v>
      </c>
      <c r="GZ40" s="10" t="s">
        <v>82</v>
      </c>
      <c r="HA40" s="10" t="s">
        <v>82</v>
      </c>
      <c r="HB40" s="10" t="s">
        <v>82</v>
      </c>
      <c r="HC40" s="10" t="s">
        <v>82</v>
      </c>
      <c r="HD40" s="10" t="s">
        <v>82</v>
      </c>
      <c r="HE40" s="10" t="s">
        <v>82</v>
      </c>
      <c r="HF40" s="10" t="s">
        <v>82</v>
      </c>
      <c r="HG40" s="10" t="s">
        <v>82</v>
      </c>
      <c r="HH40" s="10" t="s">
        <v>82</v>
      </c>
      <c r="HI40" s="10" t="s">
        <v>82</v>
      </c>
      <c r="HJ40" s="10" t="s">
        <v>82</v>
      </c>
      <c r="HK40" s="10" t="s">
        <v>82</v>
      </c>
      <c r="HL40" s="10" t="s">
        <v>82</v>
      </c>
      <c r="HM40" s="40" t="s">
        <v>82</v>
      </c>
    </row>
    <row r="41" spans="1:221" s="58" customFormat="1" ht="114" customHeight="1">
      <c r="A41" s="693"/>
      <c r="B41" s="574" t="s">
        <v>165</v>
      </c>
      <c r="C41" s="687"/>
      <c r="D41" s="389" t="s">
        <v>167</v>
      </c>
      <c r="E41" s="46" t="s">
        <v>65</v>
      </c>
      <c r="F41" s="46" t="s">
        <v>65</v>
      </c>
      <c r="G41" s="46" t="s">
        <v>65</v>
      </c>
      <c r="H41" s="15" t="s">
        <v>65</v>
      </c>
      <c r="I41" s="715"/>
      <c r="J41" s="364">
        <v>14.95</v>
      </c>
      <c r="K41" s="608" t="s">
        <v>265</v>
      </c>
      <c r="L41" s="609" t="s">
        <v>265</v>
      </c>
      <c r="M41" s="18" t="s">
        <v>481</v>
      </c>
      <c r="N41" s="17" t="s">
        <v>82</v>
      </c>
      <c r="O41" s="17" t="s">
        <v>558</v>
      </c>
      <c r="P41" s="15" t="s">
        <v>166</v>
      </c>
      <c r="Q41" s="15" t="s">
        <v>265</v>
      </c>
      <c r="R41" s="15">
        <v>2</v>
      </c>
      <c r="S41" s="15">
        <v>16</v>
      </c>
      <c r="T41" s="15" t="s">
        <v>265</v>
      </c>
      <c r="U41" s="40" t="s">
        <v>265</v>
      </c>
      <c r="V41" s="16">
        <v>0.96</v>
      </c>
      <c r="W41" s="49">
        <v>20</v>
      </c>
      <c r="X41" s="49">
        <v>20</v>
      </c>
      <c r="Y41" s="49">
        <v>5.1100000000000003</v>
      </c>
      <c r="Z41" s="41">
        <f t="shared" si="2"/>
        <v>20</v>
      </c>
      <c r="AA41" s="593">
        <f t="shared" si="10"/>
        <v>2044.0000000000002</v>
      </c>
      <c r="AB41" s="48" t="s">
        <v>265</v>
      </c>
      <c r="AC41" s="234">
        <v>3</v>
      </c>
      <c r="AD41" s="177">
        <v>5</v>
      </c>
      <c r="AE41" s="15">
        <v>0.2</v>
      </c>
      <c r="AF41" s="10">
        <f t="shared" si="3"/>
        <v>8.0000000000000004E-4</v>
      </c>
      <c r="AG41" s="15" t="s">
        <v>265</v>
      </c>
      <c r="AH41" s="15" t="s">
        <v>265</v>
      </c>
      <c r="AI41" s="10" t="str">
        <f t="shared" si="8"/>
        <v>N.S</v>
      </c>
      <c r="AJ41" s="51" t="s">
        <v>265</v>
      </c>
      <c r="AK41" s="51" t="s">
        <v>265</v>
      </c>
      <c r="AL41" s="56">
        <f t="shared" si="12"/>
        <v>8.0000000000000004E-4</v>
      </c>
      <c r="AM41" s="51">
        <f>0.5*(AC41+AD41)*0.0022/1000</f>
        <v>8.8000000000000004E-6</v>
      </c>
      <c r="AN41" s="42">
        <f>IF(AL41="N.S",N.S.,AL41*AQ1+IF(AM41="N.S",0,AM41*(1-AQ1)))</f>
        <v>1.6712000000000002E-5</v>
      </c>
      <c r="AO41" s="42" t="s">
        <v>265</v>
      </c>
      <c r="AP41" s="42" t="s">
        <v>265</v>
      </c>
      <c r="AQ41" s="610" t="s">
        <v>265</v>
      </c>
      <c r="AR41" s="611" t="str">
        <f t="shared" si="11"/>
        <v>N.S</v>
      </c>
      <c r="AS41" s="604">
        <f t="shared" si="9"/>
        <v>44877.932024892289</v>
      </c>
      <c r="AT41" s="20" t="s">
        <v>265</v>
      </c>
      <c r="AU41" s="15" t="s">
        <v>265</v>
      </c>
      <c r="AV41" s="15" t="s">
        <v>265</v>
      </c>
      <c r="AW41" s="15" t="s">
        <v>265</v>
      </c>
      <c r="AX41" s="15" t="s">
        <v>265</v>
      </c>
      <c r="AY41" s="15" t="s">
        <v>265</v>
      </c>
      <c r="AZ41" s="15" t="s">
        <v>265</v>
      </c>
      <c r="BA41" s="67" t="s">
        <v>265</v>
      </c>
      <c r="BB41" s="612" t="s">
        <v>265</v>
      </c>
      <c r="BC41" s="606" t="s">
        <v>265</v>
      </c>
      <c r="BD41" s="67" t="s">
        <v>577</v>
      </c>
      <c r="BE41" s="18" t="s">
        <v>265</v>
      </c>
      <c r="BF41" s="67" t="s">
        <v>265</v>
      </c>
      <c r="BG41" s="16" t="s">
        <v>265</v>
      </c>
      <c r="BH41" s="17" t="s">
        <v>265</v>
      </c>
      <c r="BI41" s="15" t="s">
        <v>265</v>
      </c>
      <c r="BJ41" s="15" t="s">
        <v>265</v>
      </c>
      <c r="BK41" s="15" t="s">
        <v>265</v>
      </c>
      <c r="BL41" s="15" t="s">
        <v>265</v>
      </c>
      <c r="BM41" s="48" t="s">
        <v>265</v>
      </c>
      <c r="BN41" s="301" t="s">
        <v>265</v>
      </c>
      <c r="BO41" s="41" t="s">
        <v>265</v>
      </c>
      <c r="BP41" s="129" t="s">
        <v>265</v>
      </c>
      <c r="BQ41" s="18" t="s">
        <v>622</v>
      </c>
      <c r="BR41" s="620" t="s">
        <v>623</v>
      </c>
      <c r="BS41" s="16">
        <v>0</v>
      </c>
      <c r="BT41" s="177"/>
      <c r="BU41" s="177"/>
      <c r="BV41" s="15"/>
      <c r="BW41" s="48"/>
      <c r="BX41" s="23">
        <v>0</v>
      </c>
      <c r="BY41" s="177"/>
      <c r="BZ41" s="177"/>
      <c r="CA41" s="15"/>
      <c r="CB41" s="48"/>
      <c r="CC41" s="16">
        <v>0</v>
      </c>
      <c r="CD41" s="15">
        <v>0</v>
      </c>
      <c r="CE41" s="177"/>
      <c r="CF41" s="177"/>
      <c r="CG41" s="177"/>
      <c r="CH41" s="177"/>
      <c r="CI41" s="177"/>
      <c r="CJ41" s="177"/>
      <c r="CK41" s="177"/>
      <c r="CL41" s="177"/>
      <c r="CM41" s="192"/>
      <c r="CN41" s="16">
        <v>0</v>
      </c>
      <c r="CO41" s="15">
        <v>0</v>
      </c>
      <c r="CP41" s="15"/>
      <c r="CQ41" s="15"/>
      <c r="CR41" s="15"/>
      <c r="CS41" s="15"/>
      <c r="CT41" s="15"/>
      <c r="CU41" s="15"/>
      <c r="CV41" s="15"/>
      <c r="CW41" s="15"/>
      <c r="CX41" s="192"/>
      <c r="CY41" s="4">
        <v>0</v>
      </c>
      <c r="CZ41" s="10">
        <v>0</v>
      </c>
      <c r="DA41" s="15"/>
      <c r="DB41" s="15"/>
      <c r="DC41" s="15"/>
      <c r="DD41" s="15"/>
      <c r="DE41" s="15"/>
      <c r="DF41" s="15"/>
      <c r="DG41" s="15"/>
      <c r="DH41" s="15"/>
      <c r="DI41" s="192"/>
      <c r="DJ41" s="4">
        <v>0</v>
      </c>
      <c r="DK41" s="177"/>
      <c r="DL41" s="177"/>
      <c r="DM41" s="15"/>
      <c r="DN41" s="48"/>
      <c r="DO41" s="4">
        <v>0</v>
      </c>
      <c r="DP41" s="15"/>
      <c r="DQ41" s="177"/>
      <c r="DR41" s="15"/>
      <c r="DS41" s="48"/>
      <c r="DT41" s="4">
        <v>0</v>
      </c>
      <c r="DU41" s="15"/>
      <c r="DV41" s="15"/>
      <c r="DW41" s="15"/>
      <c r="DX41" s="48"/>
      <c r="DY41" s="4">
        <v>0</v>
      </c>
      <c r="DZ41" s="15"/>
      <c r="EA41" s="15"/>
      <c r="EB41" s="15"/>
      <c r="EC41" s="48"/>
      <c r="ED41" s="4">
        <v>0</v>
      </c>
      <c r="EE41" s="15"/>
      <c r="EF41" s="15"/>
      <c r="EG41" s="15"/>
      <c r="EH41" s="48"/>
      <c r="EI41" s="4">
        <v>0</v>
      </c>
      <c r="EJ41" s="15"/>
      <c r="EK41" s="15"/>
      <c r="EL41" s="15"/>
      <c r="EM41" s="48"/>
      <c r="EN41" s="4">
        <v>0</v>
      </c>
      <c r="EO41" s="15"/>
      <c r="EP41" s="15"/>
      <c r="EQ41" s="15"/>
      <c r="ER41" s="48"/>
      <c r="ES41" s="4">
        <v>0</v>
      </c>
      <c r="ET41" s="15"/>
      <c r="EU41" s="15"/>
      <c r="EV41" s="15"/>
      <c r="EW41" s="48"/>
      <c r="EX41" s="4">
        <v>0</v>
      </c>
      <c r="EY41" s="15"/>
      <c r="EZ41" s="15"/>
      <c r="FA41" s="15"/>
      <c r="FB41" s="48"/>
      <c r="FC41" s="4">
        <v>0</v>
      </c>
      <c r="FD41" s="15"/>
      <c r="FE41" s="15"/>
      <c r="FF41" s="15"/>
      <c r="FG41" s="48"/>
      <c r="FH41" s="4">
        <v>0</v>
      </c>
      <c r="FI41" s="15"/>
      <c r="FJ41" s="15"/>
      <c r="FK41" s="15"/>
      <c r="FL41" s="48"/>
      <c r="FM41" s="4">
        <v>0</v>
      </c>
      <c r="FN41" s="15"/>
      <c r="FO41" s="15"/>
      <c r="FP41" s="15"/>
      <c r="FQ41" s="48"/>
      <c r="FR41" s="4">
        <v>0</v>
      </c>
      <c r="FS41" s="15"/>
      <c r="FT41" s="15"/>
      <c r="FU41" s="15"/>
      <c r="FV41" s="48"/>
      <c r="FW41" s="4">
        <v>0</v>
      </c>
      <c r="FX41" s="15"/>
      <c r="FY41" s="15"/>
      <c r="FZ41" s="15"/>
      <c r="GA41" s="48"/>
      <c r="GB41" s="16"/>
      <c r="GC41" s="15"/>
      <c r="GD41" s="15"/>
      <c r="GE41" s="15"/>
      <c r="GF41" s="48"/>
      <c r="GG41" s="10">
        <f t="shared" si="5"/>
        <v>1</v>
      </c>
      <c r="GH41" s="10" t="str">
        <f t="shared" si="6"/>
        <v/>
      </c>
      <c r="GI41" s="37" t="str">
        <f t="shared" si="7"/>
        <v/>
      </c>
      <c r="GJ41" s="4" t="s">
        <v>82</v>
      </c>
      <c r="GK41" s="10" t="s">
        <v>82</v>
      </c>
      <c r="GL41" s="10" t="s">
        <v>82</v>
      </c>
      <c r="GM41" s="10" t="s">
        <v>82</v>
      </c>
      <c r="GN41" s="10" t="s">
        <v>82</v>
      </c>
      <c r="GO41" s="10" t="s">
        <v>82</v>
      </c>
      <c r="GP41" s="10" t="s">
        <v>82</v>
      </c>
      <c r="GQ41" s="10">
        <v>1</v>
      </c>
      <c r="GR41" s="10" t="s">
        <v>82</v>
      </c>
      <c r="GS41" s="10" t="s">
        <v>82</v>
      </c>
      <c r="GT41" s="10" t="s">
        <v>82</v>
      </c>
      <c r="GU41" s="10" t="s">
        <v>82</v>
      </c>
      <c r="GV41" s="10" t="s">
        <v>82</v>
      </c>
      <c r="GW41" s="10" t="s">
        <v>82</v>
      </c>
      <c r="GX41" s="10" t="s">
        <v>82</v>
      </c>
      <c r="GY41" s="10" t="s">
        <v>82</v>
      </c>
      <c r="GZ41" s="10" t="s">
        <v>82</v>
      </c>
      <c r="HA41" s="10" t="s">
        <v>82</v>
      </c>
      <c r="HB41" s="10" t="s">
        <v>82</v>
      </c>
      <c r="HC41" s="10" t="s">
        <v>82</v>
      </c>
      <c r="HD41" s="10" t="s">
        <v>82</v>
      </c>
      <c r="HE41" s="10" t="s">
        <v>82</v>
      </c>
      <c r="HF41" s="10" t="s">
        <v>82</v>
      </c>
      <c r="HG41" s="10" t="s">
        <v>82</v>
      </c>
      <c r="HH41" s="10" t="s">
        <v>82</v>
      </c>
      <c r="HI41" s="10" t="s">
        <v>82</v>
      </c>
      <c r="HJ41" s="10" t="s">
        <v>82</v>
      </c>
      <c r="HK41" s="10" t="s">
        <v>82</v>
      </c>
      <c r="HL41" s="10" t="s">
        <v>82</v>
      </c>
      <c r="HM41" s="40" t="s">
        <v>82</v>
      </c>
    </row>
    <row r="42" spans="1:221" s="58" customFormat="1" ht="97.2">
      <c r="A42" s="693"/>
      <c r="B42" s="576" t="s">
        <v>168</v>
      </c>
      <c r="C42" s="386" t="s">
        <v>168</v>
      </c>
      <c r="D42" s="389" t="s">
        <v>977</v>
      </c>
      <c r="E42" s="46" t="s">
        <v>65</v>
      </c>
      <c r="F42" s="46" t="s">
        <v>124</v>
      </c>
      <c r="G42" s="46" t="s">
        <v>65</v>
      </c>
      <c r="H42" s="15" t="s">
        <v>65</v>
      </c>
      <c r="I42" s="15" t="s">
        <v>65</v>
      </c>
      <c r="J42" s="364">
        <v>39</v>
      </c>
      <c r="K42" s="608" t="s">
        <v>265</v>
      </c>
      <c r="L42" s="609" t="s">
        <v>265</v>
      </c>
      <c r="M42" s="16" t="s">
        <v>169</v>
      </c>
      <c r="N42" s="17" t="s">
        <v>265</v>
      </c>
      <c r="O42" s="17" t="s">
        <v>558</v>
      </c>
      <c r="P42" s="15" t="s">
        <v>84</v>
      </c>
      <c r="Q42" s="15" t="s">
        <v>265</v>
      </c>
      <c r="R42" s="15">
        <v>8</v>
      </c>
      <c r="S42" s="15">
        <v>10</v>
      </c>
      <c r="T42" s="15" t="s">
        <v>265</v>
      </c>
      <c r="U42" s="48" t="s">
        <v>265</v>
      </c>
      <c r="V42" s="16" t="s">
        <v>265</v>
      </c>
      <c r="W42" s="49">
        <v>68</v>
      </c>
      <c r="X42" s="49">
        <v>91</v>
      </c>
      <c r="Y42" s="49" t="s">
        <v>265</v>
      </c>
      <c r="Z42" s="41">
        <f t="shared" si="2"/>
        <v>91</v>
      </c>
      <c r="AA42" s="593" t="str">
        <f t="shared" si="10"/>
        <v>N.S</v>
      </c>
      <c r="AB42" s="48" t="s">
        <v>265</v>
      </c>
      <c r="AC42" s="234">
        <v>3.3</v>
      </c>
      <c r="AD42" s="177">
        <v>3.3</v>
      </c>
      <c r="AE42" s="15" t="s">
        <v>265</v>
      </c>
      <c r="AF42" s="10" t="str">
        <f t="shared" si="3"/>
        <v>N.S</v>
      </c>
      <c r="AG42" s="15" t="s">
        <v>265</v>
      </c>
      <c r="AH42" s="15" t="s">
        <v>82</v>
      </c>
      <c r="AI42" s="10" t="e">
        <f t="shared" si="8"/>
        <v>#VALUE!</v>
      </c>
      <c r="AJ42" s="51" t="s">
        <v>265</v>
      </c>
      <c r="AK42" s="51" t="s">
        <v>265</v>
      </c>
      <c r="AL42" s="56" t="str">
        <f t="shared" si="12"/>
        <v>N.S</v>
      </c>
      <c r="AM42" s="51" t="s">
        <v>265</v>
      </c>
      <c r="AN42" s="42" t="str">
        <f>IF(AL42="N.S","N.S",AL42*AQ1+IF(AM42="N.S",0,AM42*(1-AQ1)))</f>
        <v>N.S</v>
      </c>
      <c r="AO42" s="42" t="s">
        <v>265</v>
      </c>
      <c r="AP42" s="42" t="s">
        <v>265</v>
      </c>
      <c r="AQ42" s="610" t="s">
        <v>265</v>
      </c>
      <c r="AR42" s="611" t="str">
        <f t="shared" si="11"/>
        <v>N.S</v>
      </c>
      <c r="AS42" s="604" t="str">
        <f t="shared" si="9"/>
        <v>N.S</v>
      </c>
      <c r="AT42" s="20" t="s">
        <v>625</v>
      </c>
      <c r="AU42" s="15" t="s">
        <v>265</v>
      </c>
      <c r="AV42" s="15" t="s">
        <v>265</v>
      </c>
      <c r="AW42" s="15">
        <v>64000</v>
      </c>
      <c r="AX42" s="15">
        <v>16000</v>
      </c>
      <c r="AY42" s="15" t="s">
        <v>265</v>
      </c>
      <c r="AZ42" s="15" t="s">
        <v>265</v>
      </c>
      <c r="BA42" s="67" t="s">
        <v>565</v>
      </c>
      <c r="BB42" s="612">
        <v>400</v>
      </c>
      <c r="BC42" s="606" t="s">
        <v>265</v>
      </c>
      <c r="BD42" s="386" t="s">
        <v>994</v>
      </c>
      <c r="BE42" s="18" t="s">
        <v>630</v>
      </c>
      <c r="BF42" s="386" t="s">
        <v>629</v>
      </c>
      <c r="BG42" s="16" t="s">
        <v>84</v>
      </c>
      <c r="BH42" s="17" t="s">
        <v>627</v>
      </c>
      <c r="BI42" s="15" t="s">
        <v>633</v>
      </c>
      <c r="BJ42" s="15">
        <v>2400</v>
      </c>
      <c r="BK42" s="15" t="s">
        <v>265</v>
      </c>
      <c r="BL42" s="15" t="s">
        <v>265</v>
      </c>
      <c r="BM42" s="48" t="s">
        <v>265</v>
      </c>
      <c r="BN42" s="301" t="s">
        <v>265</v>
      </c>
      <c r="BO42" s="41" t="s">
        <v>265</v>
      </c>
      <c r="BP42" s="129" t="s">
        <v>265</v>
      </c>
      <c r="BQ42" s="16" t="s">
        <v>626</v>
      </c>
      <c r="BR42" s="299" t="s">
        <v>628</v>
      </c>
      <c r="BS42" s="16">
        <v>1</v>
      </c>
      <c r="BT42" s="177"/>
      <c r="BU42" s="177"/>
      <c r="BV42" s="15"/>
      <c r="BW42" s="48"/>
      <c r="BX42" s="23">
        <v>0</v>
      </c>
      <c r="BY42" s="177"/>
      <c r="BZ42" s="177"/>
      <c r="CA42" s="15"/>
      <c r="CB42" s="48"/>
      <c r="CC42" s="16">
        <v>0</v>
      </c>
      <c r="CD42" s="15">
        <v>0</v>
      </c>
      <c r="CE42" s="177"/>
      <c r="CF42" s="177"/>
      <c r="CG42" s="177"/>
      <c r="CH42" s="177"/>
      <c r="CI42" s="177"/>
      <c r="CJ42" s="177"/>
      <c r="CK42" s="177"/>
      <c r="CL42" s="177"/>
      <c r="CM42" s="192"/>
      <c r="CN42" s="16">
        <v>0</v>
      </c>
      <c r="CO42" s="15">
        <v>0</v>
      </c>
      <c r="CP42" s="15"/>
      <c r="CQ42" s="15"/>
      <c r="CR42" s="15"/>
      <c r="CS42" s="15"/>
      <c r="CT42" s="15"/>
      <c r="CU42" s="15"/>
      <c r="CV42" s="15"/>
      <c r="CW42" s="15"/>
      <c r="CX42" s="192"/>
      <c r="CY42" s="4">
        <v>0</v>
      </c>
      <c r="CZ42" s="10">
        <v>0</v>
      </c>
      <c r="DA42" s="15"/>
      <c r="DB42" s="15"/>
      <c r="DC42" s="15"/>
      <c r="DD42" s="15"/>
      <c r="DE42" s="15"/>
      <c r="DF42" s="15"/>
      <c r="DG42" s="15"/>
      <c r="DH42" s="15"/>
      <c r="DI42" s="192"/>
      <c r="DJ42" s="4">
        <v>0</v>
      </c>
      <c r="DK42" s="177"/>
      <c r="DL42" s="177"/>
      <c r="DM42" s="15"/>
      <c r="DN42" s="48"/>
      <c r="DO42" s="4">
        <v>0</v>
      </c>
      <c r="DP42" s="15"/>
      <c r="DQ42" s="177"/>
      <c r="DR42" s="15"/>
      <c r="DS42" s="48"/>
      <c r="DT42" s="4">
        <v>0</v>
      </c>
      <c r="DU42" s="15"/>
      <c r="DV42" s="15"/>
      <c r="DW42" s="15"/>
      <c r="DX42" s="48"/>
      <c r="DY42" s="4">
        <v>0</v>
      </c>
      <c r="DZ42" s="15"/>
      <c r="EA42" s="15"/>
      <c r="EB42" s="15"/>
      <c r="EC42" s="48"/>
      <c r="ED42" s="4">
        <v>0</v>
      </c>
      <c r="EE42" s="15"/>
      <c r="EF42" s="15"/>
      <c r="EG42" s="15"/>
      <c r="EH42" s="48"/>
      <c r="EI42" s="4">
        <v>0</v>
      </c>
      <c r="EJ42" s="15"/>
      <c r="EK42" s="15"/>
      <c r="EL42" s="15"/>
      <c r="EM42" s="48"/>
      <c r="EN42" s="4">
        <v>0</v>
      </c>
      <c r="EO42" s="15"/>
      <c r="EP42" s="15"/>
      <c r="EQ42" s="15"/>
      <c r="ER42" s="48"/>
      <c r="ES42" s="4">
        <v>0</v>
      </c>
      <c r="ET42" s="15"/>
      <c r="EU42" s="15"/>
      <c r="EV42" s="15"/>
      <c r="EW42" s="48"/>
      <c r="EX42" s="4">
        <v>0</v>
      </c>
      <c r="EY42" s="15"/>
      <c r="EZ42" s="15"/>
      <c r="FA42" s="15"/>
      <c r="FB42" s="48"/>
      <c r="FC42" s="4">
        <v>0</v>
      </c>
      <c r="FD42" s="15"/>
      <c r="FE42" s="15"/>
      <c r="FF42" s="15"/>
      <c r="FG42" s="48"/>
      <c r="FH42" s="4">
        <v>0</v>
      </c>
      <c r="FI42" s="15"/>
      <c r="FJ42" s="15"/>
      <c r="FK42" s="15"/>
      <c r="FL42" s="48"/>
      <c r="FM42" s="4">
        <v>0</v>
      </c>
      <c r="FN42" s="15"/>
      <c r="FO42" s="15"/>
      <c r="FP42" s="15"/>
      <c r="FQ42" s="48"/>
      <c r="FR42" s="4">
        <v>0</v>
      </c>
      <c r="FS42" s="15"/>
      <c r="FT42" s="15"/>
      <c r="FU42" s="15"/>
      <c r="FV42" s="48"/>
      <c r="FW42" s="4">
        <v>0</v>
      </c>
      <c r="FX42" s="15"/>
      <c r="FY42" s="15"/>
      <c r="FZ42" s="15"/>
      <c r="GA42" s="48"/>
      <c r="GB42" s="16"/>
      <c r="GC42" s="15"/>
      <c r="GD42" s="15"/>
      <c r="GE42" s="15"/>
      <c r="GF42" s="48"/>
      <c r="GG42" s="10">
        <f t="shared" si="5"/>
        <v>1</v>
      </c>
      <c r="GH42" s="10" t="str">
        <f t="shared" si="6"/>
        <v/>
      </c>
      <c r="GI42" s="37" t="str">
        <f t="shared" si="7"/>
        <v/>
      </c>
      <c r="GJ42" s="4">
        <v>1</v>
      </c>
      <c r="GK42" s="10" t="s">
        <v>82</v>
      </c>
      <c r="GL42" s="10">
        <v>1</v>
      </c>
      <c r="GM42" s="10" t="s">
        <v>82</v>
      </c>
      <c r="GN42" s="10" t="s">
        <v>82</v>
      </c>
      <c r="GO42" s="10" t="s">
        <v>82</v>
      </c>
      <c r="GP42" s="10">
        <v>1</v>
      </c>
      <c r="GQ42" s="10">
        <v>1</v>
      </c>
      <c r="GR42" s="10" t="s">
        <v>82</v>
      </c>
      <c r="GS42" s="10">
        <v>1</v>
      </c>
      <c r="GT42" s="10">
        <v>1</v>
      </c>
      <c r="GU42" s="10" t="s">
        <v>82</v>
      </c>
      <c r="GV42" s="10" t="s">
        <v>82</v>
      </c>
      <c r="GW42" s="10" t="s">
        <v>82</v>
      </c>
      <c r="GX42" s="10">
        <v>1</v>
      </c>
      <c r="GY42" s="10" t="s">
        <v>82</v>
      </c>
      <c r="GZ42" s="10" t="s">
        <v>82</v>
      </c>
      <c r="HA42" s="10" t="s">
        <v>82</v>
      </c>
      <c r="HB42" s="10" t="s">
        <v>82</v>
      </c>
      <c r="HC42" s="10" t="s">
        <v>82</v>
      </c>
      <c r="HD42" s="10" t="s">
        <v>82</v>
      </c>
      <c r="HE42" s="10" t="s">
        <v>82</v>
      </c>
      <c r="HF42" s="10" t="s">
        <v>82</v>
      </c>
      <c r="HG42" s="10" t="s">
        <v>82</v>
      </c>
      <c r="HH42" s="10" t="s">
        <v>82</v>
      </c>
      <c r="HI42" s="10" t="s">
        <v>82</v>
      </c>
      <c r="HJ42" s="10" t="s">
        <v>82</v>
      </c>
      <c r="HK42" s="10" t="s">
        <v>82</v>
      </c>
      <c r="HL42" s="10" t="s">
        <v>82</v>
      </c>
      <c r="HM42" s="40" t="s">
        <v>82</v>
      </c>
    </row>
    <row r="43" spans="1:221" s="58" customFormat="1" ht="242.25" customHeight="1">
      <c r="A43" s="693"/>
      <c r="B43" s="576" t="s">
        <v>170</v>
      </c>
      <c r="C43" s="386" t="s">
        <v>171</v>
      </c>
      <c r="D43" s="389" t="s">
        <v>172</v>
      </c>
      <c r="E43" s="46" t="s">
        <v>124</v>
      </c>
      <c r="F43" s="46" t="s">
        <v>65</v>
      </c>
      <c r="G43" s="46" t="s">
        <v>65</v>
      </c>
      <c r="H43" s="391" t="s">
        <v>174</v>
      </c>
      <c r="I43" s="35" t="s">
        <v>65</v>
      </c>
      <c r="J43" s="364">
        <v>108</v>
      </c>
      <c r="K43" s="608">
        <v>9</v>
      </c>
      <c r="L43" s="609">
        <v>2014</v>
      </c>
      <c r="M43" s="16" t="s">
        <v>265</v>
      </c>
      <c r="N43" s="17" t="s">
        <v>995</v>
      </c>
      <c r="O43" s="17" t="s">
        <v>558</v>
      </c>
      <c r="P43" s="15" t="s">
        <v>265</v>
      </c>
      <c r="Q43" s="15" t="s">
        <v>265</v>
      </c>
      <c r="R43" s="15" t="s">
        <v>265</v>
      </c>
      <c r="S43" s="15" t="s">
        <v>265</v>
      </c>
      <c r="T43" s="15" t="s">
        <v>265</v>
      </c>
      <c r="U43" s="48" t="s">
        <v>265</v>
      </c>
      <c r="V43" s="16" t="s">
        <v>265</v>
      </c>
      <c r="W43" s="49" t="s">
        <v>265</v>
      </c>
      <c r="X43" s="49" t="s">
        <v>265</v>
      </c>
      <c r="Y43" s="49" t="s">
        <v>265</v>
      </c>
      <c r="Z43" s="41" t="str">
        <f t="shared" si="2"/>
        <v>N.S</v>
      </c>
      <c r="AA43" s="593" t="str">
        <f t="shared" si="10"/>
        <v>N.S</v>
      </c>
      <c r="AB43" s="48" t="s">
        <v>265</v>
      </c>
      <c r="AC43" s="237">
        <v>3.3</v>
      </c>
      <c r="AD43" s="396">
        <v>3.3</v>
      </c>
      <c r="AE43" s="15" t="s">
        <v>265</v>
      </c>
      <c r="AF43" s="10" t="str">
        <f t="shared" si="3"/>
        <v>N.S</v>
      </c>
      <c r="AG43" s="15" t="s">
        <v>265</v>
      </c>
      <c r="AH43" s="17">
        <v>0.8</v>
      </c>
      <c r="AI43" s="10">
        <f t="shared" si="8"/>
        <v>9504</v>
      </c>
      <c r="AJ43" s="70" t="s">
        <v>175</v>
      </c>
      <c r="AK43" s="51" t="s">
        <v>265</v>
      </c>
      <c r="AL43" s="56" t="str">
        <f t="shared" si="12"/>
        <v>N.S</v>
      </c>
      <c r="AM43" s="51" t="s">
        <v>265</v>
      </c>
      <c r="AN43" s="42" t="str">
        <f>IF(AL43="N.S","N.S",AL43*AQ1+IF(AM43="N.S",0,AM43*(1-AQ1)))</f>
        <v>N.S</v>
      </c>
      <c r="AO43" s="42" t="s">
        <v>265</v>
      </c>
      <c r="AP43" s="42" t="s">
        <v>265</v>
      </c>
      <c r="AQ43" s="610" t="s">
        <v>265</v>
      </c>
      <c r="AR43" s="611" t="str">
        <f t="shared" si="11"/>
        <v>N.S</v>
      </c>
      <c r="AS43" s="604" t="str">
        <f t="shared" si="9"/>
        <v>N.S</v>
      </c>
      <c r="AT43" s="20" t="s">
        <v>996</v>
      </c>
      <c r="AU43" s="15" t="s">
        <v>265</v>
      </c>
      <c r="AV43" s="15" t="s">
        <v>265</v>
      </c>
      <c r="AW43" s="15">
        <f>16/8</f>
        <v>2</v>
      </c>
      <c r="AX43" s="17">
        <f>2000+128/8</f>
        <v>2016</v>
      </c>
      <c r="AY43" s="15" t="s">
        <v>265</v>
      </c>
      <c r="AZ43" s="15" t="s">
        <v>265</v>
      </c>
      <c r="BA43" s="67" t="s">
        <v>265</v>
      </c>
      <c r="BB43" s="612">
        <v>48</v>
      </c>
      <c r="BC43" s="67" t="s">
        <v>265</v>
      </c>
      <c r="BD43" s="386" t="s">
        <v>634</v>
      </c>
      <c r="BE43" s="18" t="s">
        <v>265</v>
      </c>
      <c r="BF43" s="67" t="s">
        <v>265</v>
      </c>
      <c r="BG43" s="16" t="s">
        <v>84</v>
      </c>
      <c r="BH43" s="17" t="s">
        <v>997</v>
      </c>
      <c r="BI43" s="71" t="s">
        <v>173</v>
      </c>
      <c r="BJ43" s="15" t="s">
        <v>265</v>
      </c>
      <c r="BK43" s="15" t="s">
        <v>265</v>
      </c>
      <c r="BL43" s="15" t="s">
        <v>265</v>
      </c>
      <c r="BM43" s="48" t="s">
        <v>265</v>
      </c>
      <c r="BN43" s="301" t="s">
        <v>265</v>
      </c>
      <c r="BO43" s="41" t="s">
        <v>265</v>
      </c>
      <c r="BP43" s="129" t="s">
        <v>265</v>
      </c>
      <c r="BQ43" s="18" t="s">
        <v>635</v>
      </c>
      <c r="BR43" s="299" t="s">
        <v>998</v>
      </c>
      <c r="BS43" s="16">
        <v>1</v>
      </c>
      <c r="BT43" s="177"/>
      <c r="BU43" s="177"/>
      <c r="BV43" s="15"/>
      <c r="BW43" s="48"/>
      <c r="BX43" s="23">
        <v>0</v>
      </c>
      <c r="BY43" s="177"/>
      <c r="BZ43" s="177"/>
      <c r="CA43" s="15"/>
      <c r="CB43" s="48"/>
      <c r="CC43" s="16">
        <v>0</v>
      </c>
      <c r="CD43" s="15">
        <v>1</v>
      </c>
      <c r="CE43" s="177"/>
      <c r="CF43" s="177"/>
      <c r="CG43" s="177"/>
      <c r="CH43" s="177"/>
      <c r="CI43" s="177"/>
      <c r="CJ43" s="177"/>
      <c r="CK43" s="177"/>
      <c r="CL43" s="177"/>
      <c r="CM43" s="192"/>
      <c r="CN43" s="16">
        <v>0</v>
      </c>
      <c r="CO43" s="15">
        <v>0</v>
      </c>
      <c r="CP43" s="15"/>
      <c r="CQ43" s="15"/>
      <c r="CR43" s="15"/>
      <c r="CS43" s="15"/>
      <c r="CT43" s="15"/>
      <c r="CU43" s="15"/>
      <c r="CV43" s="15"/>
      <c r="CW43" s="15"/>
      <c r="CX43" s="192"/>
      <c r="CY43" s="4">
        <v>0</v>
      </c>
      <c r="CZ43" s="10">
        <v>0</v>
      </c>
      <c r="DA43" s="15"/>
      <c r="DB43" s="15"/>
      <c r="DC43" s="15"/>
      <c r="DD43" s="15"/>
      <c r="DE43" s="15"/>
      <c r="DF43" s="15"/>
      <c r="DG43" s="15"/>
      <c r="DH43" s="15"/>
      <c r="DI43" s="192"/>
      <c r="DJ43" s="4">
        <v>0</v>
      </c>
      <c r="DK43" s="177"/>
      <c r="DL43" s="177"/>
      <c r="DM43" s="15"/>
      <c r="DN43" s="48"/>
      <c r="DO43" s="4">
        <v>0</v>
      </c>
      <c r="DP43" s="15"/>
      <c r="DQ43" s="177"/>
      <c r="DR43" s="15"/>
      <c r="DS43" s="48"/>
      <c r="DT43" s="4">
        <v>0</v>
      </c>
      <c r="DU43" s="15"/>
      <c r="DV43" s="15"/>
      <c r="DW43" s="15"/>
      <c r="DX43" s="48"/>
      <c r="DY43" s="4">
        <v>0</v>
      </c>
      <c r="DZ43" s="15"/>
      <c r="EA43" s="15"/>
      <c r="EB43" s="15"/>
      <c r="EC43" s="48"/>
      <c r="ED43" s="4">
        <v>0</v>
      </c>
      <c r="EE43" s="15"/>
      <c r="EF43" s="15"/>
      <c r="EG43" s="15"/>
      <c r="EH43" s="48"/>
      <c r="EI43" s="4">
        <v>0</v>
      </c>
      <c r="EJ43" s="15"/>
      <c r="EK43" s="15"/>
      <c r="EL43" s="15"/>
      <c r="EM43" s="48"/>
      <c r="EN43" s="4">
        <v>0</v>
      </c>
      <c r="EO43" s="15"/>
      <c r="EP43" s="15"/>
      <c r="EQ43" s="15"/>
      <c r="ER43" s="48"/>
      <c r="ES43" s="4">
        <v>0</v>
      </c>
      <c r="ET43" s="15"/>
      <c r="EU43" s="15"/>
      <c r="EV43" s="15"/>
      <c r="EW43" s="48"/>
      <c r="EX43" s="4">
        <v>0</v>
      </c>
      <c r="EY43" s="15"/>
      <c r="EZ43" s="15"/>
      <c r="FA43" s="15"/>
      <c r="FB43" s="48"/>
      <c r="FC43" s="4">
        <v>0</v>
      </c>
      <c r="FD43" s="15"/>
      <c r="FE43" s="15"/>
      <c r="FF43" s="15"/>
      <c r="FG43" s="48"/>
      <c r="FH43" s="4">
        <v>0</v>
      </c>
      <c r="FI43" s="15"/>
      <c r="FJ43" s="15"/>
      <c r="FK43" s="15"/>
      <c r="FL43" s="48"/>
      <c r="FM43" s="4">
        <v>0</v>
      </c>
      <c r="FN43" s="15"/>
      <c r="FO43" s="15"/>
      <c r="FP43" s="15"/>
      <c r="FQ43" s="48"/>
      <c r="FR43" s="4">
        <v>0</v>
      </c>
      <c r="FS43" s="15"/>
      <c r="FT43" s="15"/>
      <c r="FU43" s="15"/>
      <c r="FV43" s="48"/>
      <c r="FW43" s="4">
        <v>0</v>
      </c>
      <c r="FX43" s="15"/>
      <c r="FY43" s="15"/>
      <c r="FZ43" s="15"/>
      <c r="GA43" s="48"/>
      <c r="GB43" s="16"/>
      <c r="GC43" s="15"/>
      <c r="GD43" s="15"/>
      <c r="GE43" s="15"/>
      <c r="GF43" s="48"/>
      <c r="GG43" s="10">
        <f t="shared" si="5"/>
        <v>1</v>
      </c>
      <c r="GH43" s="10" t="str">
        <f t="shared" si="6"/>
        <v/>
      </c>
      <c r="GI43" s="37" t="str">
        <f t="shared" si="7"/>
        <v/>
      </c>
      <c r="GJ43" s="4" t="s">
        <v>82</v>
      </c>
      <c r="GK43" s="10" t="s">
        <v>82</v>
      </c>
      <c r="GL43" s="10" t="s">
        <v>82</v>
      </c>
      <c r="GM43" s="10" t="s">
        <v>82</v>
      </c>
      <c r="GN43" s="10" t="s">
        <v>82</v>
      </c>
      <c r="GO43" s="10" t="s">
        <v>82</v>
      </c>
      <c r="GP43" s="10">
        <v>1</v>
      </c>
      <c r="GQ43" s="10" t="s">
        <v>82</v>
      </c>
      <c r="GR43" s="10" t="s">
        <v>82</v>
      </c>
      <c r="GS43" s="10" t="s">
        <v>82</v>
      </c>
      <c r="GT43" s="10" t="s">
        <v>82</v>
      </c>
      <c r="GU43" s="10" t="s">
        <v>82</v>
      </c>
      <c r="GV43" s="10" t="s">
        <v>82</v>
      </c>
      <c r="GW43" s="10" t="s">
        <v>82</v>
      </c>
      <c r="GX43" s="10" t="s">
        <v>82</v>
      </c>
      <c r="GY43" s="10">
        <v>1</v>
      </c>
      <c r="GZ43" s="10" t="s">
        <v>82</v>
      </c>
      <c r="HA43" s="10" t="s">
        <v>82</v>
      </c>
      <c r="HB43" s="10" t="s">
        <v>82</v>
      </c>
      <c r="HC43" s="10" t="s">
        <v>82</v>
      </c>
      <c r="HD43" s="10" t="s">
        <v>82</v>
      </c>
      <c r="HE43" s="10" t="s">
        <v>82</v>
      </c>
      <c r="HF43" s="10" t="s">
        <v>82</v>
      </c>
      <c r="HG43" s="10" t="s">
        <v>82</v>
      </c>
      <c r="HH43" s="10" t="s">
        <v>82</v>
      </c>
      <c r="HI43" s="10" t="s">
        <v>82</v>
      </c>
      <c r="HJ43" s="10" t="s">
        <v>82</v>
      </c>
      <c r="HK43" s="10" t="s">
        <v>82</v>
      </c>
      <c r="HL43" s="10" t="s">
        <v>82</v>
      </c>
      <c r="HM43" s="40" t="s">
        <v>82</v>
      </c>
    </row>
    <row r="44" spans="1:221" s="57" customFormat="1" ht="151.80000000000001">
      <c r="A44" s="693"/>
      <c r="B44" s="577" t="s">
        <v>180</v>
      </c>
      <c r="C44" s="695" t="s">
        <v>181</v>
      </c>
      <c r="D44" s="478" t="s">
        <v>186</v>
      </c>
      <c r="E44" s="75" t="s">
        <v>65</v>
      </c>
      <c r="F44" s="75" t="s">
        <v>124</v>
      </c>
      <c r="G44" s="35" t="s">
        <v>65</v>
      </c>
      <c r="H44" s="35" t="s">
        <v>65</v>
      </c>
      <c r="I44" s="35" t="s">
        <v>65</v>
      </c>
      <c r="J44" s="363">
        <v>35</v>
      </c>
      <c r="K44" s="608"/>
      <c r="L44" s="609"/>
      <c r="M44" s="24" t="s">
        <v>183</v>
      </c>
      <c r="N44" s="53" t="s">
        <v>265</v>
      </c>
      <c r="O44" s="53" t="s">
        <v>558</v>
      </c>
      <c r="P44" s="35" t="s">
        <v>265</v>
      </c>
      <c r="Q44" s="35" t="s">
        <v>265</v>
      </c>
      <c r="R44" s="35" t="s">
        <v>265</v>
      </c>
      <c r="S44" s="35">
        <v>16</v>
      </c>
      <c r="T44" s="35">
        <v>1</v>
      </c>
      <c r="U44" s="54">
        <v>12</v>
      </c>
      <c r="V44" s="55" t="s">
        <v>265</v>
      </c>
      <c r="W44" s="479" t="s">
        <v>265</v>
      </c>
      <c r="X44" s="479" t="s">
        <v>265</v>
      </c>
      <c r="Y44" s="479" t="s">
        <v>265</v>
      </c>
      <c r="Z44" s="41" t="str">
        <f t="shared" si="2"/>
        <v>N.S</v>
      </c>
      <c r="AA44" s="593" t="str">
        <f t="shared" si="10"/>
        <v>N.S</v>
      </c>
      <c r="AB44" s="54" t="s">
        <v>265</v>
      </c>
      <c r="AC44" s="233">
        <v>3.3</v>
      </c>
      <c r="AD44" s="178">
        <v>3.3</v>
      </c>
      <c r="AE44" s="35" t="s">
        <v>265</v>
      </c>
      <c r="AF44" s="10" t="str">
        <f t="shared" si="3"/>
        <v>N.S</v>
      </c>
      <c r="AG44" s="35" t="s">
        <v>265</v>
      </c>
      <c r="AH44" s="35" t="s">
        <v>82</v>
      </c>
      <c r="AI44" s="10" t="e">
        <f t="shared" si="8"/>
        <v>#VALUE!</v>
      </c>
      <c r="AJ44" s="56" t="s">
        <v>265</v>
      </c>
      <c r="AK44" s="56" t="s">
        <v>265</v>
      </c>
      <c r="AL44" s="56" t="str">
        <f t="shared" si="12"/>
        <v>N.S</v>
      </c>
      <c r="AM44" s="56" t="s">
        <v>265</v>
      </c>
      <c r="AN44" s="42" t="str">
        <f>IF(AL44="N.S","N.S",AL44*AQ1+IF(AM44="N.S",0,AM44*(1-AQ1)))</f>
        <v>N.S</v>
      </c>
      <c r="AO44" s="42" t="s">
        <v>265</v>
      </c>
      <c r="AP44" s="42" t="s">
        <v>265</v>
      </c>
      <c r="AQ44" s="615" t="s">
        <v>265</v>
      </c>
      <c r="AR44" s="611" t="str">
        <f t="shared" si="11"/>
        <v>N.S</v>
      </c>
      <c r="AS44" s="604" t="str">
        <f t="shared" si="9"/>
        <v>N.S</v>
      </c>
      <c r="AT44" s="25" t="s">
        <v>639</v>
      </c>
      <c r="AU44" s="35" t="s">
        <v>265</v>
      </c>
      <c r="AV44" s="35" t="s">
        <v>265</v>
      </c>
      <c r="AW44" s="35">
        <v>256</v>
      </c>
      <c r="AX44" s="35">
        <v>1024</v>
      </c>
      <c r="AY44" s="35" t="s">
        <v>265</v>
      </c>
      <c r="AZ44" s="35">
        <v>32</v>
      </c>
      <c r="BA44" s="385" t="s">
        <v>565</v>
      </c>
      <c r="BB44" s="311">
        <v>120</v>
      </c>
      <c r="BC44" s="616">
        <v>100000000</v>
      </c>
      <c r="BD44" s="387" t="s">
        <v>641</v>
      </c>
      <c r="BE44" s="24" t="s">
        <v>265</v>
      </c>
      <c r="BF44" s="387" t="s">
        <v>638</v>
      </c>
      <c r="BG44" s="55" t="s">
        <v>84</v>
      </c>
      <c r="BH44" s="53" t="s">
        <v>636</v>
      </c>
      <c r="BI44" s="53" t="s">
        <v>637</v>
      </c>
      <c r="BJ44" s="35">
        <v>2400</v>
      </c>
      <c r="BK44" s="35" t="s">
        <v>265</v>
      </c>
      <c r="BL44" s="35" t="s">
        <v>265</v>
      </c>
      <c r="BM44" s="54" t="s">
        <v>265</v>
      </c>
      <c r="BN44" s="301" t="s">
        <v>265</v>
      </c>
      <c r="BO44" s="41" t="s">
        <v>265</v>
      </c>
      <c r="BP44" s="129" t="s">
        <v>265</v>
      </c>
      <c r="BQ44" s="24" t="s">
        <v>640</v>
      </c>
      <c r="BR44" s="174" t="s">
        <v>642</v>
      </c>
      <c r="BS44" s="55">
        <v>0</v>
      </c>
      <c r="BT44" s="178"/>
      <c r="BU44" s="178"/>
      <c r="BV44" s="35"/>
      <c r="BW44" s="54"/>
      <c r="BX44" s="36">
        <v>0</v>
      </c>
      <c r="BY44" s="178"/>
      <c r="BZ44" s="178"/>
      <c r="CA44" s="35"/>
      <c r="CB44" s="54"/>
      <c r="CC44" s="55">
        <v>0</v>
      </c>
      <c r="CD44" s="35">
        <v>1</v>
      </c>
      <c r="CE44" s="178"/>
      <c r="CF44" s="178"/>
      <c r="CG44" s="178"/>
      <c r="CH44" s="178"/>
      <c r="CI44" s="178"/>
      <c r="CJ44" s="178"/>
      <c r="CK44" s="178"/>
      <c r="CL44" s="178"/>
      <c r="CM44" s="193"/>
      <c r="CN44" s="55">
        <v>0</v>
      </c>
      <c r="CO44" s="35">
        <v>1</v>
      </c>
      <c r="CP44" s="35"/>
      <c r="CQ44" s="35"/>
      <c r="CR44" s="35"/>
      <c r="CS44" s="35"/>
      <c r="CT44" s="35"/>
      <c r="CU44" s="35"/>
      <c r="CV44" s="35"/>
      <c r="CW44" s="35"/>
      <c r="CX44" s="193"/>
      <c r="CY44" s="4">
        <v>0</v>
      </c>
      <c r="CZ44" s="10">
        <v>0</v>
      </c>
      <c r="DA44" s="35"/>
      <c r="DB44" s="35"/>
      <c r="DC44" s="35"/>
      <c r="DD44" s="35"/>
      <c r="DE44" s="35"/>
      <c r="DF44" s="35"/>
      <c r="DG44" s="35"/>
      <c r="DH44" s="35"/>
      <c r="DI44" s="193"/>
      <c r="DJ44" s="4">
        <v>0</v>
      </c>
      <c r="DK44" s="178"/>
      <c r="DL44" s="178"/>
      <c r="DM44" s="35"/>
      <c r="DN44" s="54"/>
      <c r="DO44" s="4">
        <v>0</v>
      </c>
      <c r="DP44" s="35"/>
      <c r="DQ44" s="178"/>
      <c r="DR44" s="35"/>
      <c r="DS44" s="54"/>
      <c r="DT44" s="4">
        <v>0</v>
      </c>
      <c r="DU44" s="35"/>
      <c r="DV44" s="35"/>
      <c r="DW44" s="35"/>
      <c r="DX44" s="54"/>
      <c r="DY44" s="4">
        <v>0</v>
      </c>
      <c r="DZ44" s="35"/>
      <c r="EA44" s="35"/>
      <c r="EB44" s="35"/>
      <c r="EC44" s="54"/>
      <c r="ED44" s="4">
        <v>0</v>
      </c>
      <c r="EE44" s="35"/>
      <c r="EF44" s="35"/>
      <c r="EG44" s="35"/>
      <c r="EH44" s="54"/>
      <c r="EI44" s="4">
        <v>0</v>
      </c>
      <c r="EJ44" s="35"/>
      <c r="EK44" s="35"/>
      <c r="EL44" s="35"/>
      <c r="EM44" s="54"/>
      <c r="EN44" s="4">
        <v>0</v>
      </c>
      <c r="EO44" s="35"/>
      <c r="EP44" s="35"/>
      <c r="EQ44" s="35"/>
      <c r="ER44" s="54"/>
      <c r="ES44" s="4">
        <v>0</v>
      </c>
      <c r="ET44" s="35"/>
      <c r="EU44" s="35"/>
      <c r="EV44" s="35"/>
      <c r="EW44" s="54"/>
      <c r="EX44" s="4">
        <v>0</v>
      </c>
      <c r="EY44" s="35"/>
      <c r="EZ44" s="35"/>
      <c r="FA44" s="35"/>
      <c r="FB44" s="54"/>
      <c r="FC44" s="4">
        <v>0</v>
      </c>
      <c r="FD44" s="35"/>
      <c r="FE44" s="35"/>
      <c r="FF44" s="35"/>
      <c r="FG44" s="54"/>
      <c r="FH44" s="4">
        <v>0</v>
      </c>
      <c r="FI44" s="35"/>
      <c r="FJ44" s="35"/>
      <c r="FK44" s="35"/>
      <c r="FL44" s="54"/>
      <c r="FM44" s="4">
        <v>0</v>
      </c>
      <c r="FN44" s="35"/>
      <c r="FO44" s="35"/>
      <c r="FP44" s="35"/>
      <c r="FQ44" s="54"/>
      <c r="FR44" s="4">
        <v>0</v>
      </c>
      <c r="FS44" s="35"/>
      <c r="FT44" s="35"/>
      <c r="FU44" s="35"/>
      <c r="FV44" s="54"/>
      <c r="FW44" s="4">
        <v>0</v>
      </c>
      <c r="FX44" s="35"/>
      <c r="FY44" s="35"/>
      <c r="FZ44" s="35"/>
      <c r="GA44" s="54"/>
      <c r="GB44" s="55"/>
      <c r="GC44" s="35"/>
      <c r="GD44" s="35"/>
      <c r="GE44" s="35"/>
      <c r="GF44" s="54"/>
      <c r="GG44" s="10">
        <f t="shared" si="5"/>
        <v>1</v>
      </c>
      <c r="GH44" s="10" t="str">
        <f t="shared" si="6"/>
        <v/>
      </c>
      <c r="GI44" s="37" t="str">
        <f t="shared" si="7"/>
        <v/>
      </c>
      <c r="GJ44" s="4">
        <v>1</v>
      </c>
      <c r="GK44" s="10" t="s">
        <v>82</v>
      </c>
      <c r="GL44" s="10">
        <v>1</v>
      </c>
      <c r="GM44" s="10" t="s">
        <v>82</v>
      </c>
      <c r="GN44" s="10" t="s">
        <v>82</v>
      </c>
      <c r="GO44" s="10" t="s">
        <v>82</v>
      </c>
      <c r="GP44" s="10">
        <v>1</v>
      </c>
      <c r="GQ44" s="10">
        <v>1</v>
      </c>
      <c r="GR44" s="10">
        <v>1</v>
      </c>
      <c r="GS44" s="10" t="s">
        <v>82</v>
      </c>
      <c r="GT44" s="10" t="s">
        <v>82</v>
      </c>
      <c r="GU44" s="10" t="s">
        <v>82</v>
      </c>
      <c r="GV44" s="10" t="s">
        <v>82</v>
      </c>
      <c r="GW44" s="10">
        <v>1</v>
      </c>
      <c r="GX44" s="10">
        <v>1</v>
      </c>
      <c r="GY44" s="10" t="s">
        <v>82</v>
      </c>
      <c r="GZ44" s="10" t="s">
        <v>82</v>
      </c>
      <c r="HA44" s="10">
        <v>1</v>
      </c>
      <c r="HB44" s="10">
        <v>1</v>
      </c>
      <c r="HC44" s="10">
        <v>1</v>
      </c>
      <c r="HD44" s="10" t="s">
        <v>82</v>
      </c>
      <c r="HE44" s="10" t="s">
        <v>82</v>
      </c>
      <c r="HF44" s="10" t="s">
        <v>82</v>
      </c>
      <c r="HG44" s="10" t="s">
        <v>82</v>
      </c>
      <c r="HH44" s="10" t="s">
        <v>82</v>
      </c>
      <c r="HI44" s="10" t="s">
        <v>82</v>
      </c>
      <c r="HJ44" s="10" t="s">
        <v>82</v>
      </c>
      <c r="HK44" s="10" t="s">
        <v>82</v>
      </c>
      <c r="HL44" s="10" t="s">
        <v>82</v>
      </c>
      <c r="HM44" s="40" t="s">
        <v>82</v>
      </c>
    </row>
    <row r="45" spans="1:221" s="57" customFormat="1" ht="15" customHeight="1">
      <c r="A45" s="693"/>
      <c r="B45" s="577" t="s">
        <v>103</v>
      </c>
      <c r="C45" s="700"/>
      <c r="D45" s="478"/>
      <c r="E45" s="77" t="s">
        <v>65</v>
      </c>
      <c r="F45" s="10" t="s">
        <v>65</v>
      </c>
      <c r="G45" s="10" t="s">
        <v>65</v>
      </c>
      <c r="H45" s="10" t="s">
        <v>65</v>
      </c>
      <c r="I45" s="10" t="s">
        <v>65</v>
      </c>
      <c r="J45" s="363"/>
      <c r="K45" s="608"/>
      <c r="L45" s="609"/>
      <c r="M45" s="24"/>
      <c r="N45" s="53"/>
      <c r="O45" s="53"/>
      <c r="P45" s="35"/>
      <c r="Q45" s="35"/>
      <c r="R45" s="35"/>
      <c r="S45" s="35"/>
      <c r="T45" s="35"/>
      <c r="U45" s="54"/>
      <c r="V45" s="55" t="s">
        <v>265</v>
      </c>
      <c r="W45" s="479"/>
      <c r="X45" s="479"/>
      <c r="Y45" s="479"/>
      <c r="Z45" s="41" t="str">
        <f t="shared" si="2"/>
        <v>N.S</v>
      </c>
      <c r="AA45" s="593">
        <f t="shared" si="10"/>
        <v>0</v>
      </c>
      <c r="AB45" s="54" t="s">
        <v>265</v>
      </c>
      <c r="AC45" s="233"/>
      <c r="AD45" s="178"/>
      <c r="AE45" s="35"/>
      <c r="AF45" s="10">
        <f t="shared" si="3"/>
        <v>0</v>
      </c>
      <c r="AG45" s="35"/>
      <c r="AH45" s="35"/>
      <c r="AI45" s="10">
        <f t="shared" si="8"/>
        <v>0</v>
      </c>
      <c r="AJ45" s="56"/>
      <c r="AK45" s="56"/>
      <c r="AL45" s="56" t="str">
        <f t="shared" si="12"/>
        <v>N.S</v>
      </c>
      <c r="AM45" s="56"/>
      <c r="AN45" s="42" t="str">
        <f>IF(AL45="N.S","N.S",AL45*AQ1+IF(AM45="N.S",0,AM45*(1-AQ1)))</f>
        <v>N.S</v>
      </c>
      <c r="AO45" s="42" t="s">
        <v>265</v>
      </c>
      <c r="AP45" s="42" t="s">
        <v>265</v>
      </c>
      <c r="AQ45" s="615"/>
      <c r="AR45" s="611" t="str">
        <f t="shared" si="11"/>
        <v>N.S</v>
      </c>
      <c r="AS45" s="604" t="str">
        <f t="shared" si="9"/>
        <v>N.S</v>
      </c>
      <c r="AT45" s="25"/>
      <c r="AU45" s="35"/>
      <c r="AV45" s="35"/>
      <c r="AW45" s="35"/>
      <c r="AX45" s="35"/>
      <c r="AY45" s="35"/>
      <c r="AZ45" s="35"/>
      <c r="BA45" s="385"/>
      <c r="BB45" s="311"/>
      <c r="BC45" s="385"/>
      <c r="BD45" s="385"/>
      <c r="BE45" s="24"/>
      <c r="BF45" s="385"/>
      <c r="BG45" s="55"/>
      <c r="BH45" s="53"/>
      <c r="BI45" s="35"/>
      <c r="BJ45" s="35"/>
      <c r="BK45" s="35"/>
      <c r="BL45" s="35"/>
      <c r="BM45" s="54"/>
      <c r="BN45" s="301" t="s">
        <v>265</v>
      </c>
      <c r="BO45" s="41" t="s">
        <v>265</v>
      </c>
      <c r="BP45" s="129" t="s">
        <v>265</v>
      </c>
      <c r="BQ45" s="55"/>
      <c r="BR45" s="171"/>
      <c r="BS45" s="55">
        <v>0</v>
      </c>
      <c r="BT45" s="178"/>
      <c r="BU45" s="178"/>
      <c r="BV45" s="35"/>
      <c r="BW45" s="54"/>
      <c r="BX45" s="36">
        <v>0</v>
      </c>
      <c r="BY45" s="178"/>
      <c r="BZ45" s="178"/>
      <c r="CA45" s="35"/>
      <c r="CB45" s="54"/>
      <c r="CC45" s="55">
        <v>0</v>
      </c>
      <c r="CD45" s="35">
        <v>0</v>
      </c>
      <c r="CE45" s="178"/>
      <c r="CF45" s="178"/>
      <c r="CG45" s="178"/>
      <c r="CH45" s="178"/>
      <c r="CI45" s="178"/>
      <c r="CJ45" s="178"/>
      <c r="CK45" s="178"/>
      <c r="CL45" s="178"/>
      <c r="CM45" s="193"/>
      <c r="CN45" s="55">
        <v>0</v>
      </c>
      <c r="CO45" s="35">
        <v>0</v>
      </c>
      <c r="CP45" s="35"/>
      <c r="CQ45" s="35"/>
      <c r="CR45" s="35"/>
      <c r="CS45" s="35"/>
      <c r="CT45" s="35"/>
      <c r="CU45" s="35"/>
      <c r="CV45" s="35"/>
      <c r="CW45" s="35"/>
      <c r="CX45" s="193"/>
      <c r="CY45" s="4">
        <v>0</v>
      </c>
      <c r="CZ45" s="10">
        <v>0</v>
      </c>
      <c r="DA45" s="35"/>
      <c r="DB45" s="35"/>
      <c r="DC45" s="35"/>
      <c r="DD45" s="35"/>
      <c r="DE45" s="35"/>
      <c r="DF45" s="35"/>
      <c r="DG45" s="35"/>
      <c r="DH45" s="35"/>
      <c r="DI45" s="193"/>
      <c r="DJ45" s="4">
        <v>0</v>
      </c>
      <c r="DK45" s="178"/>
      <c r="DL45" s="178"/>
      <c r="DM45" s="35"/>
      <c r="DN45" s="54"/>
      <c r="DO45" s="4">
        <v>0</v>
      </c>
      <c r="DP45" s="35"/>
      <c r="DQ45" s="178"/>
      <c r="DR45" s="35"/>
      <c r="DS45" s="54"/>
      <c r="DT45" s="4">
        <v>0</v>
      </c>
      <c r="DU45" s="35"/>
      <c r="DV45" s="35"/>
      <c r="DW45" s="35"/>
      <c r="DX45" s="54"/>
      <c r="DY45" s="4">
        <v>0</v>
      </c>
      <c r="DZ45" s="35"/>
      <c r="EA45" s="35"/>
      <c r="EB45" s="35"/>
      <c r="EC45" s="54"/>
      <c r="ED45" s="4">
        <v>0</v>
      </c>
      <c r="EE45" s="35"/>
      <c r="EF45" s="35"/>
      <c r="EG45" s="35"/>
      <c r="EH45" s="54"/>
      <c r="EI45" s="4">
        <v>0</v>
      </c>
      <c r="EJ45" s="35"/>
      <c r="EK45" s="35"/>
      <c r="EL45" s="35"/>
      <c r="EM45" s="54"/>
      <c r="EN45" s="4">
        <v>0</v>
      </c>
      <c r="EO45" s="35"/>
      <c r="EP45" s="35"/>
      <c r="EQ45" s="35"/>
      <c r="ER45" s="54"/>
      <c r="ES45" s="4">
        <v>0</v>
      </c>
      <c r="ET45" s="35"/>
      <c r="EU45" s="35"/>
      <c r="EV45" s="35"/>
      <c r="EW45" s="54"/>
      <c r="EX45" s="4">
        <v>0</v>
      </c>
      <c r="EY45" s="35"/>
      <c r="EZ45" s="35"/>
      <c r="FA45" s="35"/>
      <c r="FB45" s="54"/>
      <c r="FC45" s="4">
        <v>0</v>
      </c>
      <c r="FD45" s="35"/>
      <c r="FE45" s="35"/>
      <c r="FF45" s="35"/>
      <c r="FG45" s="54"/>
      <c r="FH45" s="4">
        <v>0</v>
      </c>
      <c r="FI45" s="35"/>
      <c r="FJ45" s="35"/>
      <c r="FK45" s="35"/>
      <c r="FL45" s="54"/>
      <c r="FM45" s="4">
        <v>0</v>
      </c>
      <c r="FN45" s="35"/>
      <c r="FO45" s="35"/>
      <c r="FP45" s="35"/>
      <c r="FQ45" s="54"/>
      <c r="FR45" s="4">
        <v>0</v>
      </c>
      <c r="FS45" s="35"/>
      <c r="FT45" s="35"/>
      <c r="FU45" s="35"/>
      <c r="FV45" s="54"/>
      <c r="FW45" s="4">
        <v>0</v>
      </c>
      <c r="FX45" s="35"/>
      <c r="FY45" s="35"/>
      <c r="FZ45" s="35"/>
      <c r="GA45" s="54"/>
      <c r="GB45" s="55"/>
      <c r="GC45" s="35"/>
      <c r="GD45" s="35"/>
      <c r="GE45" s="35"/>
      <c r="GF45" s="54"/>
      <c r="GG45" s="10">
        <f t="shared" si="5"/>
        <v>1</v>
      </c>
      <c r="GH45" s="10" t="str">
        <f t="shared" si="6"/>
        <v/>
      </c>
      <c r="GI45" s="37" t="str">
        <f t="shared" si="7"/>
        <v/>
      </c>
      <c r="GJ45" s="4" t="s">
        <v>82</v>
      </c>
      <c r="GK45" s="10" t="s">
        <v>82</v>
      </c>
      <c r="GL45" s="10" t="s">
        <v>82</v>
      </c>
      <c r="GM45" s="10" t="s">
        <v>82</v>
      </c>
      <c r="GN45" s="10" t="s">
        <v>82</v>
      </c>
      <c r="GO45" s="10" t="s">
        <v>82</v>
      </c>
      <c r="GP45" s="10" t="s">
        <v>82</v>
      </c>
      <c r="GQ45" s="10" t="s">
        <v>82</v>
      </c>
      <c r="GR45" s="10" t="s">
        <v>82</v>
      </c>
      <c r="GS45" s="10" t="s">
        <v>82</v>
      </c>
      <c r="GT45" s="10" t="s">
        <v>82</v>
      </c>
      <c r="GU45" s="10" t="s">
        <v>82</v>
      </c>
      <c r="GV45" s="10" t="s">
        <v>82</v>
      </c>
      <c r="GW45" s="10" t="s">
        <v>82</v>
      </c>
      <c r="GX45" s="10" t="s">
        <v>82</v>
      </c>
      <c r="GY45" s="10" t="s">
        <v>82</v>
      </c>
      <c r="GZ45" s="10" t="s">
        <v>82</v>
      </c>
      <c r="HA45" s="10" t="s">
        <v>82</v>
      </c>
      <c r="HB45" s="10" t="s">
        <v>82</v>
      </c>
      <c r="HC45" s="10" t="s">
        <v>82</v>
      </c>
      <c r="HD45" s="10" t="s">
        <v>82</v>
      </c>
      <c r="HE45" s="10" t="s">
        <v>82</v>
      </c>
      <c r="HF45" s="10" t="s">
        <v>82</v>
      </c>
      <c r="HG45" s="10" t="s">
        <v>82</v>
      </c>
      <c r="HH45" s="10" t="s">
        <v>82</v>
      </c>
      <c r="HI45" s="10" t="s">
        <v>82</v>
      </c>
      <c r="HJ45" s="10" t="s">
        <v>82</v>
      </c>
      <c r="HK45" s="10" t="s">
        <v>82</v>
      </c>
      <c r="HL45" s="10" t="s">
        <v>82</v>
      </c>
      <c r="HM45" s="40" t="s">
        <v>82</v>
      </c>
    </row>
    <row r="46" spans="1:221" s="57" customFormat="1" ht="216.75" customHeight="1">
      <c r="A46" s="693"/>
      <c r="B46" s="577" t="s">
        <v>184</v>
      </c>
      <c r="C46" s="387" t="s">
        <v>185</v>
      </c>
      <c r="D46" s="478" t="s">
        <v>186</v>
      </c>
      <c r="E46" s="75" t="s">
        <v>65</v>
      </c>
      <c r="F46" s="75" t="s">
        <v>124</v>
      </c>
      <c r="G46" s="75" t="s">
        <v>65</v>
      </c>
      <c r="H46" s="35" t="s">
        <v>65</v>
      </c>
      <c r="I46" s="35" t="s">
        <v>65</v>
      </c>
      <c r="J46" s="363">
        <f>95*1.09068</f>
        <v>103.61460000000001</v>
      </c>
      <c r="K46" s="608">
        <v>1</v>
      </c>
      <c r="L46" s="609">
        <v>2010</v>
      </c>
      <c r="M46" s="24" t="s">
        <v>464</v>
      </c>
      <c r="N46" s="53" t="s">
        <v>999</v>
      </c>
      <c r="O46" s="53" t="s">
        <v>558</v>
      </c>
      <c r="P46" s="35" t="s">
        <v>84</v>
      </c>
      <c r="Q46" s="35" t="s">
        <v>265</v>
      </c>
      <c r="R46" s="35">
        <v>8</v>
      </c>
      <c r="S46" s="35">
        <v>12</v>
      </c>
      <c r="T46" s="35">
        <v>2</v>
      </c>
      <c r="U46" s="54">
        <v>12</v>
      </c>
      <c r="V46" s="55" t="s">
        <v>265</v>
      </c>
      <c r="W46" s="479">
        <v>56.8</v>
      </c>
      <c r="X46" s="479">
        <v>34.5</v>
      </c>
      <c r="Y46" s="479" t="s">
        <v>265</v>
      </c>
      <c r="Z46" s="41">
        <f t="shared" si="2"/>
        <v>56.8</v>
      </c>
      <c r="AA46" s="593" t="str">
        <f t="shared" si="10"/>
        <v>N.S</v>
      </c>
      <c r="AB46" s="54" t="s">
        <v>265</v>
      </c>
      <c r="AC46" s="233">
        <v>2.1</v>
      </c>
      <c r="AD46" s="178">
        <v>3.6</v>
      </c>
      <c r="AE46" s="35">
        <f>0.365*16+0.001*(92.5+9.5+15)</f>
        <v>5.9569999999999999</v>
      </c>
      <c r="AF46" s="10">
        <f t="shared" si="3"/>
        <v>1.6977450000000002E-2</v>
      </c>
      <c r="AG46" s="35">
        <f>0.5*(AC46+AD46)*(19.7+17.4)/1000</f>
        <v>0.10573499999999998</v>
      </c>
      <c r="AH46" s="35">
        <v>4.2</v>
      </c>
      <c r="AI46" s="10">
        <f t="shared" si="8"/>
        <v>43092</v>
      </c>
      <c r="AJ46" s="56" t="s">
        <v>265</v>
      </c>
      <c r="AK46" s="56" t="s">
        <v>84</v>
      </c>
      <c r="AL46" s="56">
        <f t="shared" si="12"/>
        <v>0.12271244999999999</v>
      </c>
      <c r="AM46" s="56">
        <f>0.5*(AC46+AD46)*(0.5+20)/1000000</f>
        <v>5.8425000000000004E-5</v>
      </c>
      <c r="AN46" s="42">
        <f>IF(AL46="N.S","N.S",AL46*AQ1+IF(AM46="N.S",0,AM46*(1-AQ1)))</f>
        <v>1.28496525E-3</v>
      </c>
      <c r="AO46" s="42" t="s">
        <v>265</v>
      </c>
      <c r="AP46" s="42" t="s">
        <v>265</v>
      </c>
      <c r="AQ46" s="615" t="s">
        <v>265</v>
      </c>
      <c r="AR46" s="611">
        <f t="shared" si="11"/>
        <v>9315.4270125203766</v>
      </c>
      <c r="AS46" s="604">
        <f t="shared" si="9"/>
        <v>583.67337171180316</v>
      </c>
      <c r="AT46" s="621" t="s">
        <v>643</v>
      </c>
      <c r="AU46" s="35">
        <v>16</v>
      </c>
      <c r="AV46" s="35" t="s">
        <v>265</v>
      </c>
      <c r="AW46" s="35">
        <v>8</v>
      </c>
      <c r="AX46" s="35">
        <v>92</v>
      </c>
      <c r="AY46" s="35" t="s">
        <v>265</v>
      </c>
      <c r="AZ46" s="35">
        <v>16</v>
      </c>
      <c r="BA46" s="385" t="s">
        <v>265</v>
      </c>
      <c r="BB46" s="311">
        <v>16</v>
      </c>
      <c r="BC46" s="385" t="s">
        <v>265</v>
      </c>
      <c r="BD46" s="387" t="s">
        <v>648</v>
      </c>
      <c r="BE46" s="24" t="s">
        <v>646</v>
      </c>
      <c r="BF46" s="385" t="s">
        <v>645</v>
      </c>
      <c r="BG46" s="55" t="s">
        <v>84</v>
      </c>
      <c r="BH46" s="53" t="s">
        <v>647</v>
      </c>
      <c r="BI46" s="35" t="s">
        <v>644</v>
      </c>
      <c r="BJ46" s="35">
        <v>2400</v>
      </c>
      <c r="BK46" s="35" t="s">
        <v>265</v>
      </c>
      <c r="BL46" s="35" t="s">
        <v>265</v>
      </c>
      <c r="BM46" s="54">
        <v>0</v>
      </c>
      <c r="BN46" s="301" t="s">
        <v>265</v>
      </c>
      <c r="BO46" s="41" t="s">
        <v>265</v>
      </c>
      <c r="BP46" s="129" t="s">
        <v>265</v>
      </c>
      <c r="BQ46" s="55"/>
      <c r="BR46" s="174" t="s">
        <v>1000</v>
      </c>
      <c r="BS46" s="55">
        <v>1</v>
      </c>
      <c r="BT46" s="178">
        <f>LOG((BW46-BV46)/0.0625,2)</f>
        <v>11.366322214245816</v>
      </c>
      <c r="BU46" s="178">
        <f>LOG((BW46-BV46)/1,2)</f>
        <v>7.3663222142458151</v>
      </c>
      <c r="BV46" s="35">
        <v>-40</v>
      </c>
      <c r="BW46" s="54">
        <v>125</v>
      </c>
      <c r="BX46" s="36">
        <v>0</v>
      </c>
      <c r="BY46" s="178"/>
      <c r="BZ46" s="178"/>
      <c r="CA46" s="35"/>
      <c r="CB46" s="54"/>
      <c r="CC46" s="55">
        <v>0</v>
      </c>
      <c r="CD46" s="35">
        <v>1</v>
      </c>
      <c r="CE46" s="178">
        <v>2</v>
      </c>
      <c r="CF46" s="178">
        <v>4</v>
      </c>
      <c r="CG46" s="178">
        <v>8</v>
      </c>
      <c r="CH46" s="178">
        <v>16</v>
      </c>
      <c r="CI46" s="178"/>
      <c r="CJ46" s="178"/>
      <c r="CK46" s="178"/>
      <c r="CL46" s="178">
        <v>13</v>
      </c>
      <c r="CM46" s="193"/>
      <c r="CN46" s="55">
        <v>0</v>
      </c>
      <c r="CO46" s="35">
        <v>0</v>
      </c>
      <c r="CP46" s="35"/>
      <c r="CQ46" s="35"/>
      <c r="CR46" s="35"/>
      <c r="CS46" s="35"/>
      <c r="CT46" s="35"/>
      <c r="CU46" s="35"/>
      <c r="CV46" s="35"/>
      <c r="CW46" s="35"/>
      <c r="CX46" s="193"/>
      <c r="CY46" s="4">
        <v>0</v>
      </c>
      <c r="CZ46" s="10">
        <v>0</v>
      </c>
      <c r="DA46" s="35"/>
      <c r="DB46" s="35"/>
      <c r="DC46" s="35"/>
      <c r="DD46" s="35"/>
      <c r="DE46" s="35"/>
      <c r="DF46" s="35"/>
      <c r="DG46" s="35"/>
      <c r="DH46" s="35"/>
      <c r="DI46" s="193"/>
      <c r="DJ46" s="4">
        <v>0</v>
      </c>
      <c r="DK46" s="178"/>
      <c r="DL46" s="178"/>
      <c r="DM46" s="35"/>
      <c r="DN46" s="54"/>
      <c r="DO46" s="4">
        <v>0</v>
      </c>
      <c r="DP46" s="35"/>
      <c r="DQ46" s="178"/>
      <c r="DR46" s="35"/>
      <c r="DS46" s="54"/>
      <c r="DT46" s="4">
        <v>0</v>
      </c>
      <c r="DU46" s="35"/>
      <c r="DV46" s="35"/>
      <c r="DW46" s="35"/>
      <c r="DX46" s="54"/>
      <c r="DY46" s="4">
        <v>0</v>
      </c>
      <c r="DZ46" s="35"/>
      <c r="EA46" s="35"/>
      <c r="EB46" s="35"/>
      <c r="EC46" s="54"/>
      <c r="ED46" s="4">
        <v>0</v>
      </c>
      <c r="EE46" s="35"/>
      <c r="EF46" s="35"/>
      <c r="EG46" s="35"/>
      <c r="EH46" s="54"/>
      <c r="EI46" s="4">
        <v>0</v>
      </c>
      <c r="EJ46" s="35"/>
      <c r="EK46" s="35"/>
      <c r="EL46" s="35"/>
      <c r="EM46" s="54"/>
      <c r="EN46" s="4">
        <v>0</v>
      </c>
      <c r="EO46" s="35"/>
      <c r="EP46" s="35"/>
      <c r="EQ46" s="35"/>
      <c r="ER46" s="54"/>
      <c r="ES46" s="4">
        <v>0</v>
      </c>
      <c r="ET46" s="35"/>
      <c r="EU46" s="35"/>
      <c r="EV46" s="35"/>
      <c r="EW46" s="54"/>
      <c r="EX46" s="4">
        <v>0</v>
      </c>
      <c r="EY46" s="35"/>
      <c r="EZ46" s="35"/>
      <c r="FA46" s="35"/>
      <c r="FB46" s="54"/>
      <c r="FC46" s="4">
        <v>0</v>
      </c>
      <c r="FD46" s="35"/>
      <c r="FE46" s="35"/>
      <c r="FF46" s="35"/>
      <c r="FG46" s="54"/>
      <c r="FH46" s="4">
        <v>0</v>
      </c>
      <c r="FI46" s="35"/>
      <c r="FJ46" s="35"/>
      <c r="FK46" s="35"/>
      <c r="FL46" s="54"/>
      <c r="FM46" s="4">
        <v>0</v>
      </c>
      <c r="FN46" s="35"/>
      <c r="FO46" s="35"/>
      <c r="FP46" s="35"/>
      <c r="FQ46" s="54"/>
      <c r="FR46" s="4">
        <v>0</v>
      </c>
      <c r="FS46" s="35"/>
      <c r="FT46" s="35"/>
      <c r="FU46" s="35"/>
      <c r="FV46" s="54"/>
      <c r="FW46" s="4">
        <v>0</v>
      </c>
      <c r="FX46" s="35"/>
      <c r="FY46" s="35"/>
      <c r="FZ46" s="35"/>
      <c r="GA46" s="54"/>
      <c r="GB46" s="55"/>
      <c r="GC46" s="35"/>
      <c r="GD46" s="35"/>
      <c r="GE46" s="35"/>
      <c r="GF46" s="54"/>
      <c r="GG46" s="10">
        <f t="shared" si="5"/>
        <v>1</v>
      </c>
      <c r="GH46" s="10" t="str">
        <f t="shared" si="6"/>
        <v/>
      </c>
      <c r="GI46" s="37" t="str">
        <f t="shared" si="7"/>
        <v/>
      </c>
      <c r="GJ46" s="4">
        <v>1</v>
      </c>
      <c r="GK46" s="10" t="s">
        <v>82</v>
      </c>
      <c r="GL46" s="10">
        <v>1</v>
      </c>
      <c r="GM46" s="10" t="s">
        <v>82</v>
      </c>
      <c r="GN46" s="10" t="s">
        <v>82</v>
      </c>
      <c r="GO46" s="10" t="s">
        <v>82</v>
      </c>
      <c r="GP46" s="10">
        <v>1</v>
      </c>
      <c r="GQ46" s="10">
        <v>1</v>
      </c>
      <c r="GR46" s="10" t="s">
        <v>82</v>
      </c>
      <c r="GS46" s="10">
        <v>1</v>
      </c>
      <c r="GT46" s="10" t="s">
        <v>82</v>
      </c>
      <c r="GU46" s="10" t="s">
        <v>82</v>
      </c>
      <c r="GV46" s="10" t="s">
        <v>82</v>
      </c>
      <c r="GW46" s="10" t="s">
        <v>82</v>
      </c>
      <c r="GX46" s="10" t="s">
        <v>82</v>
      </c>
      <c r="GY46" s="10" t="s">
        <v>82</v>
      </c>
      <c r="GZ46" s="10" t="s">
        <v>82</v>
      </c>
      <c r="HA46" s="10" t="s">
        <v>82</v>
      </c>
      <c r="HB46" s="10" t="s">
        <v>82</v>
      </c>
      <c r="HC46" s="10" t="s">
        <v>82</v>
      </c>
      <c r="HD46" s="10" t="s">
        <v>82</v>
      </c>
      <c r="HE46" s="10" t="s">
        <v>82</v>
      </c>
      <c r="HF46" s="10" t="s">
        <v>82</v>
      </c>
      <c r="HG46" s="10" t="s">
        <v>82</v>
      </c>
      <c r="HH46" s="10" t="s">
        <v>82</v>
      </c>
      <c r="HI46" s="10" t="s">
        <v>82</v>
      </c>
      <c r="HJ46" s="10" t="s">
        <v>82</v>
      </c>
      <c r="HK46" s="10">
        <v>1</v>
      </c>
      <c r="HL46" s="10" t="s">
        <v>82</v>
      </c>
      <c r="HM46" s="40" t="s">
        <v>82</v>
      </c>
    </row>
    <row r="47" spans="1:221" s="57" customFormat="1" ht="69">
      <c r="A47" s="693"/>
      <c r="B47" s="577" t="s">
        <v>191</v>
      </c>
      <c r="C47" s="387" t="s">
        <v>191</v>
      </c>
      <c r="D47" s="478" t="s">
        <v>838</v>
      </c>
      <c r="E47" s="75" t="s">
        <v>65</v>
      </c>
      <c r="F47" s="75" t="s">
        <v>65</v>
      </c>
      <c r="G47" s="75" t="s">
        <v>65</v>
      </c>
      <c r="H47" s="35" t="s">
        <v>65</v>
      </c>
      <c r="I47" s="35" t="s">
        <v>65</v>
      </c>
      <c r="J47" s="363">
        <v>39</v>
      </c>
      <c r="K47" s="608" t="s">
        <v>265</v>
      </c>
      <c r="L47" s="609" t="s">
        <v>265</v>
      </c>
      <c r="M47" s="24" t="s">
        <v>192</v>
      </c>
      <c r="N47" s="53" t="s">
        <v>265</v>
      </c>
      <c r="O47" s="53" t="s">
        <v>558</v>
      </c>
      <c r="P47" s="35" t="s">
        <v>265</v>
      </c>
      <c r="Q47" s="35" t="s">
        <v>265</v>
      </c>
      <c r="R47" s="35" t="s">
        <v>265</v>
      </c>
      <c r="S47" s="35" t="s">
        <v>265</v>
      </c>
      <c r="T47" s="35" t="s">
        <v>265</v>
      </c>
      <c r="U47" s="54" t="s">
        <v>265</v>
      </c>
      <c r="V47" s="55">
        <v>25</v>
      </c>
      <c r="W47" s="479">
        <v>30</v>
      </c>
      <c r="X47" s="479">
        <v>30</v>
      </c>
      <c r="Y47" s="479">
        <v>8</v>
      </c>
      <c r="Z47" s="41">
        <f t="shared" si="2"/>
        <v>30</v>
      </c>
      <c r="AA47" s="593">
        <f t="shared" si="10"/>
        <v>7200</v>
      </c>
      <c r="AB47" s="54" t="s">
        <v>265</v>
      </c>
      <c r="AC47" s="233" t="s">
        <v>265</v>
      </c>
      <c r="AD47" s="178" t="s">
        <v>265</v>
      </c>
      <c r="AE47" s="35" t="s">
        <v>265</v>
      </c>
      <c r="AF47" s="10" t="str">
        <f>IF(AC47="N.S", "N.S", IF(AE47="N.S", "N.S", 0.5*(AC47+AD47)*AE47/1000))</f>
        <v>N.S</v>
      </c>
      <c r="AG47" s="35" t="s">
        <v>265</v>
      </c>
      <c r="AH47" s="35" t="s">
        <v>265</v>
      </c>
      <c r="AI47" s="10" t="str">
        <f t="shared" si="8"/>
        <v>N.S</v>
      </c>
      <c r="AJ47" s="56" t="s">
        <v>265</v>
      </c>
      <c r="AK47" s="56" t="s">
        <v>265</v>
      </c>
      <c r="AL47" s="56" t="str">
        <f t="shared" si="12"/>
        <v>N.S</v>
      </c>
      <c r="AM47" s="56" t="s">
        <v>265</v>
      </c>
      <c r="AN47" s="42" t="str">
        <f>IF(AL47="N.S","N.S",AL47*AQ1+IF(AM47="N.S",0,AM47*(1-AQ1)))</f>
        <v>N.S</v>
      </c>
      <c r="AO47" s="42" t="s">
        <v>265</v>
      </c>
      <c r="AP47" s="42" t="s">
        <v>265</v>
      </c>
      <c r="AQ47" s="622">
        <f>365*24</f>
        <v>8760</v>
      </c>
      <c r="AR47" s="611" t="str">
        <f t="shared" si="11"/>
        <v>N.S</v>
      </c>
      <c r="AS47" s="604" t="str">
        <f t="shared" si="9"/>
        <v>N.S</v>
      </c>
      <c r="AT47" s="25" t="s">
        <v>265</v>
      </c>
      <c r="AU47" s="35" t="s">
        <v>265</v>
      </c>
      <c r="AV47" s="35" t="s">
        <v>265</v>
      </c>
      <c r="AW47" s="35" t="s">
        <v>265</v>
      </c>
      <c r="AX47" s="35" t="s">
        <v>265</v>
      </c>
      <c r="AY47" s="35" t="s">
        <v>265</v>
      </c>
      <c r="AZ47" s="35" t="s">
        <v>265</v>
      </c>
      <c r="BA47" s="385" t="s">
        <v>265</v>
      </c>
      <c r="BB47" s="311" t="s">
        <v>265</v>
      </c>
      <c r="BC47" s="385" t="s">
        <v>265</v>
      </c>
      <c r="BD47" s="385" t="s">
        <v>265</v>
      </c>
      <c r="BE47" s="24" t="s">
        <v>265</v>
      </c>
      <c r="BF47" s="385" t="s">
        <v>265</v>
      </c>
      <c r="BG47" s="55" t="s">
        <v>84</v>
      </c>
      <c r="BH47" s="53" t="s">
        <v>650</v>
      </c>
      <c r="BI47" s="35" t="s">
        <v>265</v>
      </c>
      <c r="BJ47" s="35" t="s">
        <v>265</v>
      </c>
      <c r="BK47" s="35" t="s">
        <v>265</v>
      </c>
      <c r="BL47" s="35" t="s">
        <v>265</v>
      </c>
      <c r="BM47" s="54" t="s">
        <v>265</v>
      </c>
      <c r="BN47" s="301" t="s">
        <v>265</v>
      </c>
      <c r="BO47" s="41" t="s">
        <v>265</v>
      </c>
      <c r="BP47" s="129" t="s">
        <v>265</v>
      </c>
      <c r="BQ47" s="55"/>
      <c r="BR47" s="174" t="s">
        <v>1001</v>
      </c>
      <c r="BS47" s="55">
        <v>1</v>
      </c>
      <c r="BT47" s="178"/>
      <c r="BU47" s="178">
        <f>LOG((BW47-BV47)/0.6,2)</f>
        <v>7.5183253076908665</v>
      </c>
      <c r="BV47" s="35">
        <v>-25</v>
      </c>
      <c r="BW47" s="54">
        <v>85</v>
      </c>
      <c r="BX47" s="36">
        <v>1</v>
      </c>
      <c r="BY47" s="178"/>
      <c r="BZ47" s="178">
        <f>LOG((CB47-CA47)/4,2)</f>
        <v>4.6438561897747244</v>
      </c>
      <c r="CA47" s="35">
        <v>0</v>
      </c>
      <c r="CB47" s="54">
        <v>100</v>
      </c>
      <c r="CC47" s="55">
        <v>0</v>
      </c>
      <c r="CD47" s="35">
        <v>0</v>
      </c>
      <c r="CE47" s="178"/>
      <c r="CF47" s="178"/>
      <c r="CG47" s="178"/>
      <c r="CH47" s="178"/>
      <c r="CI47" s="178"/>
      <c r="CJ47" s="178"/>
      <c r="CK47" s="178"/>
      <c r="CL47" s="178"/>
      <c r="CM47" s="193"/>
      <c r="CN47" s="55">
        <v>0</v>
      </c>
      <c r="CO47" s="35">
        <v>0</v>
      </c>
      <c r="CP47" s="35"/>
      <c r="CQ47" s="35"/>
      <c r="CR47" s="35"/>
      <c r="CS47" s="35"/>
      <c r="CT47" s="35"/>
      <c r="CU47" s="35"/>
      <c r="CV47" s="35"/>
      <c r="CW47" s="35"/>
      <c r="CX47" s="193"/>
      <c r="CY47" s="4">
        <v>0</v>
      </c>
      <c r="CZ47" s="10">
        <v>0</v>
      </c>
      <c r="DA47" s="35"/>
      <c r="DB47" s="35"/>
      <c r="DC47" s="35"/>
      <c r="DD47" s="35"/>
      <c r="DE47" s="35"/>
      <c r="DF47" s="35"/>
      <c r="DG47" s="35"/>
      <c r="DH47" s="35"/>
      <c r="DI47" s="193"/>
      <c r="DJ47" s="4">
        <v>0</v>
      </c>
      <c r="DK47" s="178"/>
      <c r="DL47" s="178"/>
      <c r="DM47" s="35"/>
      <c r="DN47" s="54"/>
      <c r="DO47" s="4">
        <v>0</v>
      </c>
      <c r="DP47" s="35"/>
      <c r="DQ47" s="178"/>
      <c r="DR47" s="35"/>
      <c r="DS47" s="54"/>
      <c r="DT47" s="4">
        <v>0</v>
      </c>
      <c r="DU47" s="35"/>
      <c r="DV47" s="35"/>
      <c r="DW47" s="35"/>
      <c r="DX47" s="54"/>
      <c r="DY47" s="4">
        <v>0</v>
      </c>
      <c r="DZ47" s="35"/>
      <c r="EA47" s="35"/>
      <c r="EB47" s="35"/>
      <c r="EC47" s="54"/>
      <c r="ED47" s="4">
        <v>0</v>
      </c>
      <c r="EE47" s="35"/>
      <c r="EF47" s="35"/>
      <c r="EG47" s="35"/>
      <c r="EH47" s="54"/>
      <c r="EI47" s="4">
        <v>0</v>
      </c>
      <c r="EJ47" s="35"/>
      <c r="EK47" s="35"/>
      <c r="EL47" s="35"/>
      <c r="EM47" s="54"/>
      <c r="EN47" s="4">
        <v>0</v>
      </c>
      <c r="EO47" s="35"/>
      <c r="EP47" s="35"/>
      <c r="EQ47" s="35"/>
      <c r="ER47" s="54"/>
      <c r="ES47" s="4">
        <v>0</v>
      </c>
      <c r="ET47" s="35"/>
      <c r="EU47" s="35"/>
      <c r="EV47" s="35"/>
      <c r="EW47" s="54"/>
      <c r="EX47" s="4">
        <v>0</v>
      </c>
      <c r="EY47" s="35"/>
      <c r="EZ47" s="35"/>
      <c r="FA47" s="35"/>
      <c r="FB47" s="54"/>
      <c r="FC47" s="4">
        <v>0</v>
      </c>
      <c r="FD47" s="35"/>
      <c r="FE47" s="35"/>
      <c r="FF47" s="35"/>
      <c r="FG47" s="54"/>
      <c r="FH47" s="4">
        <v>0</v>
      </c>
      <c r="FI47" s="35"/>
      <c r="FJ47" s="35"/>
      <c r="FK47" s="35"/>
      <c r="FL47" s="54"/>
      <c r="FM47" s="4">
        <v>0</v>
      </c>
      <c r="FN47" s="35"/>
      <c r="FO47" s="35"/>
      <c r="FP47" s="35"/>
      <c r="FQ47" s="54"/>
      <c r="FR47" s="4">
        <v>0</v>
      </c>
      <c r="FS47" s="35"/>
      <c r="FT47" s="35"/>
      <c r="FU47" s="35"/>
      <c r="FV47" s="54"/>
      <c r="FW47" s="4">
        <v>0</v>
      </c>
      <c r="FX47" s="35"/>
      <c r="FY47" s="35"/>
      <c r="FZ47" s="35"/>
      <c r="GA47" s="54"/>
      <c r="GB47" s="55"/>
      <c r="GC47" s="35"/>
      <c r="GD47" s="35"/>
      <c r="GE47" s="35"/>
      <c r="GF47" s="54"/>
      <c r="GG47" s="10">
        <f t="shared" si="5"/>
        <v>1</v>
      </c>
      <c r="GH47" s="10" t="str">
        <f t="shared" si="6"/>
        <v/>
      </c>
      <c r="GI47" s="37" t="str">
        <f t="shared" si="7"/>
        <v/>
      </c>
      <c r="GJ47" s="4" t="s">
        <v>82</v>
      </c>
      <c r="GK47" s="10" t="s">
        <v>82</v>
      </c>
      <c r="GL47" s="10" t="s">
        <v>82</v>
      </c>
      <c r="GM47" s="10" t="s">
        <v>82</v>
      </c>
      <c r="GN47" s="10" t="s">
        <v>82</v>
      </c>
      <c r="GO47" s="10" t="s">
        <v>82</v>
      </c>
      <c r="GP47" s="10" t="s">
        <v>82</v>
      </c>
      <c r="GQ47" s="10" t="s">
        <v>82</v>
      </c>
      <c r="GR47" s="10" t="s">
        <v>82</v>
      </c>
      <c r="GS47" s="10" t="s">
        <v>82</v>
      </c>
      <c r="GT47" s="10" t="s">
        <v>82</v>
      </c>
      <c r="GU47" s="10" t="s">
        <v>82</v>
      </c>
      <c r="GV47" s="10" t="s">
        <v>82</v>
      </c>
      <c r="GW47" s="10" t="s">
        <v>82</v>
      </c>
      <c r="GX47" s="10" t="s">
        <v>82</v>
      </c>
      <c r="GY47" s="10" t="s">
        <v>82</v>
      </c>
      <c r="GZ47" s="10" t="s">
        <v>82</v>
      </c>
      <c r="HA47" s="10" t="s">
        <v>82</v>
      </c>
      <c r="HB47" s="10" t="s">
        <v>82</v>
      </c>
      <c r="HC47" s="10" t="s">
        <v>82</v>
      </c>
      <c r="HD47" s="10" t="s">
        <v>82</v>
      </c>
      <c r="HE47" s="10" t="s">
        <v>82</v>
      </c>
      <c r="HF47" s="10" t="s">
        <v>82</v>
      </c>
      <c r="HG47" s="10" t="s">
        <v>82</v>
      </c>
      <c r="HH47" s="10" t="s">
        <v>82</v>
      </c>
      <c r="HI47" s="10" t="s">
        <v>82</v>
      </c>
      <c r="HJ47" s="10" t="s">
        <v>82</v>
      </c>
      <c r="HK47" s="10" t="s">
        <v>82</v>
      </c>
      <c r="HL47" s="10" t="s">
        <v>82</v>
      </c>
      <c r="HM47" s="40" t="s">
        <v>82</v>
      </c>
    </row>
    <row r="48" spans="1:221" s="57" customFormat="1" ht="27.6">
      <c r="A48" s="693"/>
      <c r="B48" s="577" t="s">
        <v>195</v>
      </c>
      <c r="C48" s="387" t="s">
        <v>197</v>
      </c>
      <c r="D48" s="478" t="s">
        <v>653</v>
      </c>
      <c r="E48" s="52" t="s">
        <v>65</v>
      </c>
      <c r="F48" s="52" t="s">
        <v>65</v>
      </c>
      <c r="G48" s="75" t="s">
        <v>65</v>
      </c>
      <c r="H48" s="75" t="s">
        <v>65</v>
      </c>
      <c r="I48" s="35" t="s">
        <v>65</v>
      </c>
      <c r="J48" s="363">
        <f>49.99*1.44</f>
        <v>71.985600000000005</v>
      </c>
      <c r="K48" s="608" t="s">
        <v>265</v>
      </c>
      <c r="L48" s="609" t="s">
        <v>265</v>
      </c>
      <c r="M48" s="24" t="s">
        <v>196</v>
      </c>
      <c r="N48" s="53" t="s">
        <v>265</v>
      </c>
      <c r="O48" s="53" t="s">
        <v>548</v>
      </c>
      <c r="P48" s="35" t="s">
        <v>265</v>
      </c>
      <c r="Q48" s="35" t="s">
        <v>265</v>
      </c>
      <c r="R48" s="35" t="s">
        <v>265</v>
      </c>
      <c r="S48" s="35" t="s">
        <v>265</v>
      </c>
      <c r="T48" s="35" t="s">
        <v>265</v>
      </c>
      <c r="U48" s="54" t="s">
        <v>265</v>
      </c>
      <c r="V48" s="55" t="s">
        <v>265</v>
      </c>
      <c r="W48" s="479" t="s">
        <v>265</v>
      </c>
      <c r="X48" s="479" t="s">
        <v>265</v>
      </c>
      <c r="Y48" s="479" t="s">
        <v>265</v>
      </c>
      <c r="Z48" s="41" t="str">
        <f t="shared" si="2"/>
        <v>N.S</v>
      </c>
      <c r="AA48" s="593" t="str">
        <f t="shared" si="10"/>
        <v>N.S</v>
      </c>
      <c r="AB48" s="54" t="s">
        <v>265</v>
      </c>
      <c r="AC48" s="233" t="s">
        <v>265</v>
      </c>
      <c r="AD48" s="178" t="s">
        <v>265</v>
      </c>
      <c r="AE48" s="35" t="s">
        <v>265</v>
      </c>
      <c r="AF48" s="10" t="str">
        <f t="shared" si="3"/>
        <v>N.S</v>
      </c>
      <c r="AG48" s="35" t="s">
        <v>265</v>
      </c>
      <c r="AH48" s="35" t="s">
        <v>265</v>
      </c>
      <c r="AI48" s="10" t="str">
        <f t="shared" si="8"/>
        <v>N.S</v>
      </c>
      <c r="AJ48" s="56" t="s">
        <v>265</v>
      </c>
      <c r="AK48" s="56" t="s">
        <v>265</v>
      </c>
      <c r="AL48" s="56" t="str">
        <f t="shared" si="12"/>
        <v>N.S</v>
      </c>
      <c r="AM48" s="56" t="s">
        <v>265</v>
      </c>
      <c r="AN48" s="42" t="str">
        <f>IF(AL48="N.S","N.S",AL48*AQ1+IF(AM48="N.S",0,AM48*(1-AQ1)))</f>
        <v>N.S</v>
      </c>
      <c r="AO48" s="42" t="s">
        <v>265</v>
      </c>
      <c r="AP48" s="42" t="s">
        <v>265</v>
      </c>
      <c r="AQ48" s="615" t="s">
        <v>265</v>
      </c>
      <c r="AR48" s="611" t="str">
        <f t="shared" si="11"/>
        <v>N.S</v>
      </c>
      <c r="AS48" s="604" t="str">
        <f t="shared" si="9"/>
        <v>N.S</v>
      </c>
      <c r="AT48" s="25" t="s">
        <v>265</v>
      </c>
      <c r="AU48" s="35" t="s">
        <v>265</v>
      </c>
      <c r="AV48" s="35" t="s">
        <v>265</v>
      </c>
      <c r="AW48" s="35" t="s">
        <v>265</v>
      </c>
      <c r="AX48" s="35" t="s">
        <v>265</v>
      </c>
      <c r="AY48" s="35" t="s">
        <v>265</v>
      </c>
      <c r="AZ48" s="35" t="s">
        <v>265</v>
      </c>
      <c r="BA48" s="385" t="s">
        <v>590</v>
      </c>
      <c r="BB48" s="311" t="s">
        <v>265</v>
      </c>
      <c r="BC48" s="385" t="s">
        <v>265</v>
      </c>
      <c r="BD48" s="385" t="s">
        <v>265</v>
      </c>
      <c r="BE48" s="24" t="s">
        <v>265</v>
      </c>
      <c r="BF48" s="385" t="s">
        <v>265</v>
      </c>
      <c r="BG48" s="55" t="s">
        <v>84</v>
      </c>
      <c r="BH48" s="53" t="s">
        <v>265</v>
      </c>
      <c r="BI48" s="35" t="s">
        <v>652</v>
      </c>
      <c r="BJ48" s="35" t="s">
        <v>265</v>
      </c>
      <c r="BK48" s="35" t="s">
        <v>265</v>
      </c>
      <c r="BL48" s="35" t="s">
        <v>265</v>
      </c>
      <c r="BM48" s="54" t="s">
        <v>265</v>
      </c>
      <c r="BN48" s="301" t="s">
        <v>265</v>
      </c>
      <c r="BO48" s="41" t="s">
        <v>265</v>
      </c>
      <c r="BP48" s="129" t="s">
        <v>265</v>
      </c>
      <c r="BQ48" s="55"/>
      <c r="BR48" s="171" t="s">
        <v>651</v>
      </c>
      <c r="BS48" s="55">
        <v>1</v>
      </c>
      <c r="BT48" s="178"/>
      <c r="BU48" s="178"/>
      <c r="BV48" s="35"/>
      <c r="BW48" s="54"/>
      <c r="BX48" s="36">
        <v>0</v>
      </c>
      <c r="BY48" s="178"/>
      <c r="BZ48" s="178"/>
      <c r="CA48" s="35"/>
      <c r="CB48" s="54"/>
      <c r="CC48" s="55">
        <v>0</v>
      </c>
      <c r="CD48" s="35">
        <v>0</v>
      </c>
      <c r="CE48" s="178"/>
      <c r="CF48" s="178"/>
      <c r="CG48" s="178"/>
      <c r="CH48" s="178"/>
      <c r="CI48" s="178"/>
      <c r="CJ48" s="178"/>
      <c r="CK48" s="178"/>
      <c r="CL48" s="178"/>
      <c r="CM48" s="193"/>
      <c r="CN48" s="55">
        <v>0</v>
      </c>
      <c r="CO48" s="35">
        <v>0</v>
      </c>
      <c r="CP48" s="35"/>
      <c r="CQ48" s="35"/>
      <c r="CR48" s="35"/>
      <c r="CS48" s="35"/>
      <c r="CT48" s="35"/>
      <c r="CU48" s="35"/>
      <c r="CV48" s="35"/>
      <c r="CW48" s="35"/>
      <c r="CX48" s="193"/>
      <c r="CY48" s="4">
        <v>0</v>
      </c>
      <c r="CZ48" s="10">
        <v>0</v>
      </c>
      <c r="DA48" s="35"/>
      <c r="DB48" s="35"/>
      <c r="DC48" s="35"/>
      <c r="DD48" s="35"/>
      <c r="DE48" s="35"/>
      <c r="DF48" s="35"/>
      <c r="DG48" s="35"/>
      <c r="DH48" s="35"/>
      <c r="DI48" s="193"/>
      <c r="DJ48" s="4">
        <v>0</v>
      </c>
      <c r="DK48" s="178"/>
      <c r="DL48" s="178"/>
      <c r="DM48" s="35"/>
      <c r="DN48" s="54"/>
      <c r="DO48" s="4">
        <v>0</v>
      </c>
      <c r="DP48" s="35"/>
      <c r="DQ48" s="178"/>
      <c r="DR48" s="35"/>
      <c r="DS48" s="54"/>
      <c r="DT48" s="4">
        <v>0</v>
      </c>
      <c r="DU48" s="35"/>
      <c r="DV48" s="35"/>
      <c r="DW48" s="35"/>
      <c r="DX48" s="54"/>
      <c r="DY48" s="4">
        <v>0</v>
      </c>
      <c r="DZ48" s="35"/>
      <c r="EA48" s="35"/>
      <c r="EB48" s="35"/>
      <c r="EC48" s="54"/>
      <c r="ED48" s="4">
        <v>0</v>
      </c>
      <c r="EE48" s="35"/>
      <c r="EF48" s="35"/>
      <c r="EG48" s="35"/>
      <c r="EH48" s="54"/>
      <c r="EI48" s="4">
        <v>0</v>
      </c>
      <c r="EJ48" s="35"/>
      <c r="EK48" s="35"/>
      <c r="EL48" s="35"/>
      <c r="EM48" s="54"/>
      <c r="EN48" s="4">
        <v>0</v>
      </c>
      <c r="EO48" s="35"/>
      <c r="EP48" s="35"/>
      <c r="EQ48" s="35"/>
      <c r="ER48" s="54"/>
      <c r="ES48" s="4">
        <v>0</v>
      </c>
      <c r="ET48" s="35"/>
      <c r="EU48" s="35"/>
      <c r="EV48" s="35"/>
      <c r="EW48" s="54"/>
      <c r="EX48" s="4">
        <v>0</v>
      </c>
      <c r="EY48" s="35"/>
      <c r="EZ48" s="35"/>
      <c r="FA48" s="35"/>
      <c r="FB48" s="54"/>
      <c r="FC48" s="4">
        <v>0</v>
      </c>
      <c r="FD48" s="35"/>
      <c r="FE48" s="35"/>
      <c r="FF48" s="35"/>
      <c r="FG48" s="54"/>
      <c r="FH48" s="4">
        <v>0</v>
      </c>
      <c r="FI48" s="35"/>
      <c r="FJ48" s="35"/>
      <c r="FK48" s="35"/>
      <c r="FL48" s="54"/>
      <c r="FM48" s="4">
        <v>0</v>
      </c>
      <c r="FN48" s="35"/>
      <c r="FO48" s="35"/>
      <c r="FP48" s="35"/>
      <c r="FQ48" s="54"/>
      <c r="FR48" s="4">
        <v>0</v>
      </c>
      <c r="FS48" s="35"/>
      <c r="FT48" s="35"/>
      <c r="FU48" s="35"/>
      <c r="FV48" s="54"/>
      <c r="FW48" s="4">
        <v>0</v>
      </c>
      <c r="FX48" s="35"/>
      <c r="FY48" s="35"/>
      <c r="FZ48" s="35"/>
      <c r="GA48" s="54"/>
      <c r="GB48" s="55"/>
      <c r="GC48" s="35"/>
      <c r="GD48" s="35"/>
      <c r="GE48" s="35"/>
      <c r="GF48" s="54"/>
      <c r="GG48" s="10">
        <f t="shared" si="5"/>
        <v>1</v>
      </c>
      <c r="GH48" s="10" t="str">
        <f t="shared" si="6"/>
        <v/>
      </c>
      <c r="GI48" s="37" t="str">
        <f t="shared" si="7"/>
        <v/>
      </c>
      <c r="GJ48" s="4" t="s">
        <v>82</v>
      </c>
      <c r="GK48" s="10" t="s">
        <v>82</v>
      </c>
      <c r="GL48" s="10" t="s">
        <v>82</v>
      </c>
      <c r="GM48" s="10" t="s">
        <v>82</v>
      </c>
      <c r="GN48" s="10" t="s">
        <v>82</v>
      </c>
      <c r="GO48" s="10" t="s">
        <v>82</v>
      </c>
      <c r="GP48" s="10" t="s">
        <v>82</v>
      </c>
      <c r="GQ48" s="10" t="s">
        <v>82</v>
      </c>
      <c r="GR48" s="10" t="s">
        <v>82</v>
      </c>
      <c r="GS48" s="10" t="s">
        <v>82</v>
      </c>
      <c r="GT48" s="10" t="s">
        <v>82</v>
      </c>
      <c r="GU48" s="10" t="s">
        <v>82</v>
      </c>
      <c r="GV48" s="10" t="s">
        <v>82</v>
      </c>
      <c r="GW48" s="10" t="s">
        <v>82</v>
      </c>
      <c r="GX48" s="10" t="s">
        <v>82</v>
      </c>
      <c r="GY48" s="10" t="s">
        <v>82</v>
      </c>
      <c r="GZ48" s="10" t="s">
        <v>82</v>
      </c>
      <c r="HA48" s="10" t="s">
        <v>82</v>
      </c>
      <c r="HB48" s="10" t="s">
        <v>82</v>
      </c>
      <c r="HC48" s="10" t="s">
        <v>82</v>
      </c>
      <c r="HD48" s="10" t="s">
        <v>82</v>
      </c>
      <c r="HE48" s="10" t="s">
        <v>82</v>
      </c>
      <c r="HF48" s="10" t="s">
        <v>82</v>
      </c>
      <c r="HG48" s="10" t="s">
        <v>82</v>
      </c>
      <c r="HH48" s="10" t="s">
        <v>82</v>
      </c>
      <c r="HI48" s="10" t="s">
        <v>82</v>
      </c>
      <c r="HJ48" s="10" t="s">
        <v>82</v>
      </c>
      <c r="HK48" s="10" t="s">
        <v>82</v>
      </c>
      <c r="HL48" s="10" t="s">
        <v>82</v>
      </c>
      <c r="HM48" s="40" t="s">
        <v>82</v>
      </c>
    </row>
    <row r="49" spans="1:221" s="69" customFormat="1" ht="248.4">
      <c r="A49" s="693"/>
      <c r="B49" s="104" t="s">
        <v>199</v>
      </c>
      <c r="C49" s="388" t="s">
        <v>199</v>
      </c>
      <c r="D49" s="100" t="s">
        <v>200</v>
      </c>
      <c r="E49" s="39" t="s">
        <v>65</v>
      </c>
      <c r="F49" s="39" t="s">
        <v>65</v>
      </c>
      <c r="G49" s="77" t="s">
        <v>65</v>
      </c>
      <c r="H49" s="10" t="s">
        <v>65</v>
      </c>
      <c r="I49" s="10" t="s">
        <v>65</v>
      </c>
      <c r="J49" s="362">
        <v>25</v>
      </c>
      <c r="K49" s="608" t="s">
        <v>265</v>
      </c>
      <c r="L49" s="609" t="s">
        <v>265</v>
      </c>
      <c r="M49" s="4" t="s">
        <v>82</v>
      </c>
      <c r="N49" s="13" t="s">
        <v>201</v>
      </c>
      <c r="O49" s="13" t="s">
        <v>558</v>
      </c>
      <c r="P49" s="10" t="s">
        <v>265</v>
      </c>
      <c r="Q49" s="10" t="s">
        <v>265</v>
      </c>
      <c r="R49" s="10">
        <v>16</v>
      </c>
      <c r="S49" s="10">
        <v>12</v>
      </c>
      <c r="T49" s="10">
        <v>2</v>
      </c>
      <c r="U49" s="40" t="s">
        <v>265</v>
      </c>
      <c r="V49" s="4" t="s">
        <v>265</v>
      </c>
      <c r="W49" s="41">
        <v>54</v>
      </c>
      <c r="X49" s="41">
        <v>41</v>
      </c>
      <c r="Y49" s="41" t="s">
        <v>265</v>
      </c>
      <c r="Z49" s="41">
        <f t="shared" si="2"/>
        <v>54</v>
      </c>
      <c r="AA49" s="593" t="str">
        <f t="shared" si="10"/>
        <v>N.S</v>
      </c>
      <c r="AB49" s="40" t="s">
        <v>265</v>
      </c>
      <c r="AC49" s="236">
        <v>3.7</v>
      </c>
      <c r="AD49" s="128">
        <v>3.7</v>
      </c>
      <c r="AE49" s="10" t="s">
        <v>265</v>
      </c>
      <c r="AF49" s="10" t="str">
        <f t="shared" si="3"/>
        <v>N.S</v>
      </c>
      <c r="AG49" s="10" t="s">
        <v>265</v>
      </c>
      <c r="AH49" s="10">
        <v>1.4</v>
      </c>
      <c r="AI49" s="10">
        <f t="shared" si="8"/>
        <v>18648</v>
      </c>
      <c r="AJ49" s="42" t="s">
        <v>84</v>
      </c>
      <c r="AK49" s="42" t="s">
        <v>84</v>
      </c>
      <c r="AL49" s="56" t="str">
        <f t="shared" si="12"/>
        <v>N.S</v>
      </c>
      <c r="AM49" s="42" t="s">
        <v>265</v>
      </c>
      <c r="AN49" s="42" t="str">
        <f>IF(AL49="N.S","N.S",AL49*AQ1+IF(AM49="N.S",0,AM49*(1-AQ1)))</f>
        <v>N.S</v>
      </c>
      <c r="AO49" s="42" t="s">
        <v>265</v>
      </c>
      <c r="AP49" s="42" t="s">
        <v>265</v>
      </c>
      <c r="AQ49" s="238" t="s">
        <v>265</v>
      </c>
      <c r="AR49" s="611" t="str">
        <f t="shared" si="11"/>
        <v>N.S</v>
      </c>
      <c r="AS49" s="604" t="str">
        <f t="shared" si="9"/>
        <v>N.S</v>
      </c>
      <c r="AT49" s="19" t="s">
        <v>656</v>
      </c>
      <c r="AU49" s="10">
        <v>32</v>
      </c>
      <c r="AV49" s="10" t="s">
        <v>265</v>
      </c>
      <c r="AW49" s="10">
        <v>48</v>
      </c>
      <c r="AX49" s="10">
        <v>256</v>
      </c>
      <c r="AY49" s="10" t="s">
        <v>265</v>
      </c>
      <c r="AZ49" s="10" t="s">
        <v>265</v>
      </c>
      <c r="BA49" s="37" t="s">
        <v>590</v>
      </c>
      <c r="BB49" s="605">
        <v>72</v>
      </c>
      <c r="BC49" s="37" t="s">
        <v>265</v>
      </c>
      <c r="BD49" s="388" t="s">
        <v>658</v>
      </c>
      <c r="BE49" s="3" t="s">
        <v>265</v>
      </c>
      <c r="BF49" s="37" t="s">
        <v>654</v>
      </c>
      <c r="BG49" s="4" t="s">
        <v>137</v>
      </c>
      <c r="BH49" s="13" t="s">
        <v>649</v>
      </c>
      <c r="BI49" s="10" t="s">
        <v>657</v>
      </c>
      <c r="BJ49" s="10" t="s">
        <v>265</v>
      </c>
      <c r="BK49" s="10" t="s">
        <v>265</v>
      </c>
      <c r="BL49" s="10" t="s">
        <v>265</v>
      </c>
      <c r="BM49" s="40" t="s">
        <v>265</v>
      </c>
      <c r="BN49" s="301" t="s">
        <v>265</v>
      </c>
      <c r="BO49" s="41" t="s">
        <v>265</v>
      </c>
      <c r="BP49" s="129" t="s">
        <v>265</v>
      </c>
      <c r="BQ49" s="4" t="s">
        <v>655</v>
      </c>
      <c r="BR49" s="169"/>
      <c r="BS49" s="4">
        <v>0</v>
      </c>
      <c r="BT49" s="128"/>
      <c r="BU49" s="128"/>
      <c r="BV49" s="10"/>
      <c r="BW49" s="40"/>
      <c r="BX49" s="295">
        <v>0</v>
      </c>
      <c r="BY49" s="128"/>
      <c r="BZ49" s="128"/>
      <c r="CA49" s="10"/>
      <c r="CB49" s="40"/>
      <c r="CC49" s="4">
        <v>0</v>
      </c>
      <c r="CD49" s="10">
        <v>0</v>
      </c>
      <c r="CE49" s="128"/>
      <c r="CF49" s="128"/>
      <c r="CG49" s="128"/>
      <c r="CH49" s="128"/>
      <c r="CI49" s="128"/>
      <c r="CJ49" s="128"/>
      <c r="CK49" s="128"/>
      <c r="CL49" s="128"/>
      <c r="CM49" s="121"/>
      <c r="CN49" s="4">
        <v>0</v>
      </c>
      <c r="CO49" s="10">
        <v>0</v>
      </c>
      <c r="CP49" s="10"/>
      <c r="CQ49" s="10"/>
      <c r="CR49" s="10"/>
      <c r="CS49" s="10"/>
      <c r="CT49" s="10"/>
      <c r="CU49" s="10"/>
      <c r="CV49" s="10"/>
      <c r="CW49" s="10"/>
      <c r="CX49" s="121"/>
      <c r="CY49" s="4">
        <v>0</v>
      </c>
      <c r="CZ49" s="10">
        <v>0</v>
      </c>
      <c r="DA49" s="10"/>
      <c r="DB49" s="10"/>
      <c r="DC49" s="10"/>
      <c r="DD49" s="10"/>
      <c r="DE49" s="10"/>
      <c r="DF49" s="10"/>
      <c r="DG49" s="10"/>
      <c r="DH49" s="10"/>
      <c r="DI49" s="121"/>
      <c r="DJ49" s="4">
        <v>0</v>
      </c>
      <c r="DK49" s="128"/>
      <c r="DL49" s="128"/>
      <c r="DM49" s="10"/>
      <c r="DN49" s="40"/>
      <c r="DO49" s="4">
        <v>0</v>
      </c>
      <c r="DP49" s="10"/>
      <c r="DQ49" s="128"/>
      <c r="DR49" s="10"/>
      <c r="DS49" s="40"/>
      <c r="DT49" s="4">
        <v>0</v>
      </c>
      <c r="DU49" s="10"/>
      <c r="DV49" s="10"/>
      <c r="DW49" s="10"/>
      <c r="DX49" s="40"/>
      <c r="DY49" s="4">
        <v>0</v>
      </c>
      <c r="DZ49" s="10"/>
      <c r="EA49" s="10"/>
      <c r="EB49" s="10"/>
      <c r="EC49" s="40"/>
      <c r="ED49" s="4">
        <v>0</v>
      </c>
      <c r="EE49" s="10"/>
      <c r="EF49" s="10"/>
      <c r="EG49" s="10"/>
      <c r="EH49" s="40"/>
      <c r="EI49" s="4">
        <v>0</v>
      </c>
      <c r="EJ49" s="10"/>
      <c r="EK49" s="10"/>
      <c r="EL49" s="10"/>
      <c r="EM49" s="40"/>
      <c r="EN49" s="4">
        <v>0</v>
      </c>
      <c r="EO49" s="10"/>
      <c r="EP49" s="10"/>
      <c r="EQ49" s="10"/>
      <c r="ER49" s="40"/>
      <c r="ES49" s="4">
        <v>0</v>
      </c>
      <c r="ET49" s="10"/>
      <c r="EU49" s="10"/>
      <c r="EV49" s="10"/>
      <c r="EW49" s="40"/>
      <c r="EX49" s="4">
        <v>0</v>
      </c>
      <c r="EY49" s="10"/>
      <c r="EZ49" s="10"/>
      <c r="FA49" s="10"/>
      <c r="FB49" s="40"/>
      <c r="FC49" s="4">
        <v>0</v>
      </c>
      <c r="FD49" s="10"/>
      <c r="FE49" s="10"/>
      <c r="FF49" s="10"/>
      <c r="FG49" s="40"/>
      <c r="FH49" s="4">
        <v>0</v>
      </c>
      <c r="FI49" s="10"/>
      <c r="FJ49" s="10"/>
      <c r="FK49" s="10"/>
      <c r="FL49" s="40"/>
      <c r="FM49" s="4">
        <v>0</v>
      </c>
      <c r="FN49" s="10"/>
      <c r="FO49" s="10"/>
      <c r="FP49" s="10"/>
      <c r="FQ49" s="40"/>
      <c r="FR49" s="4">
        <v>0</v>
      </c>
      <c r="FS49" s="10"/>
      <c r="FT49" s="10"/>
      <c r="FU49" s="10"/>
      <c r="FV49" s="40"/>
      <c r="FW49" s="4">
        <v>0</v>
      </c>
      <c r="FX49" s="10"/>
      <c r="FY49" s="10"/>
      <c r="FZ49" s="10"/>
      <c r="GA49" s="40"/>
      <c r="GB49" s="4"/>
      <c r="GC49" s="10"/>
      <c r="GD49" s="10"/>
      <c r="GE49" s="10"/>
      <c r="GF49" s="40"/>
      <c r="GG49" s="10">
        <f t="shared" si="5"/>
        <v>1</v>
      </c>
      <c r="GH49" s="10" t="str">
        <f t="shared" si="6"/>
        <v/>
      </c>
      <c r="GI49" s="37" t="str">
        <f t="shared" si="7"/>
        <v/>
      </c>
      <c r="GJ49" s="4" t="s">
        <v>82</v>
      </c>
      <c r="GK49" s="10" t="s">
        <v>82</v>
      </c>
      <c r="GL49" s="10" t="s">
        <v>82</v>
      </c>
      <c r="GM49" s="10" t="s">
        <v>82</v>
      </c>
      <c r="GN49" s="10" t="s">
        <v>82</v>
      </c>
      <c r="GO49" s="10">
        <v>1</v>
      </c>
      <c r="GP49" s="10">
        <v>1</v>
      </c>
      <c r="GQ49" s="10">
        <v>1</v>
      </c>
      <c r="GR49" s="10" t="s">
        <v>82</v>
      </c>
      <c r="GS49" s="10" t="s">
        <v>82</v>
      </c>
      <c r="GT49" s="10" t="s">
        <v>82</v>
      </c>
      <c r="GU49" s="10" t="s">
        <v>82</v>
      </c>
      <c r="GV49" s="10">
        <v>1</v>
      </c>
      <c r="GW49" s="10" t="s">
        <v>82</v>
      </c>
      <c r="GX49" s="10" t="s">
        <v>82</v>
      </c>
      <c r="GY49" s="10" t="s">
        <v>82</v>
      </c>
      <c r="GZ49" s="10" t="s">
        <v>82</v>
      </c>
      <c r="HA49" s="10" t="s">
        <v>82</v>
      </c>
      <c r="HB49" s="10" t="s">
        <v>82</v>
      </c>
      <c r="HC49" s="10" t="s">
        <v>82</v>
      </c>
      <c r="HD49" s="10" t="s">
        <v>82</v>
      </c>
      <c r="HE49" s="10" t="s">
        <v>82</v>
      </c>
      <c r="HF49" s="10" t="s">
        <v>82</v>
      </c>
      <c r="HG49" s="10" t="s">
        <v>82</v>
      </c>
      <c r="HH49" s="10" t="s">
        <v>82</v>
      </c>
      <c r="HI49" s="10" t="s">
        <v>82</v>
      </c>
      <c r="HJ49" s="10" t="s">
        <v>82</v>
      </c>
      <c r="HK49" s="10" t="s">
        <v>82</v>
      </c>
      <c r="HL49" s="10" t="s">
        <v>82</v>
      </c>
      <c r="HM49" s="40" t="s">
        <v>82</v>
      </c>
    </row>
    <row r="50" spans="1:221" s="57" customFormat="1" ht="276">
      <c r="A50" s="693"/>
      <c r="B50" s="576" t="s">
        <v>202</v>
      </c>
      <c r="C50" s="387" t="s">
        <v>203</v>
      </c>
      <c r="D50" s="478" t="s">
        <v>204</v>
      </c>
      <c r="E50" s="52" t="s">
        <v>65</v>
      </c>
      <c r="F50" s="52" t="s">
        <v>65</v>
      </c>
      <c r="G50" s="75" t="s">
        <v>65</v>
      </c>
      <c r="H50" s="35" t="s">
        <v>65</v>
      </c>
      <c r="I50" s="35" t="s">
        <v>65</v>
      </c>
      <c r="J50" s="363">
        <v>35</v>
      </c>
      <c r="K50" s="608" t="s">
        <v>265</v>
      </c>
      <c r="L50" s="609" t="s">
        <v>265</v>
      </c>
      <c r="M50" s="55" t="s">
        <v>265</v>
      </c>
      <c r="N50" s="53" t="s">
        <v>663</v>
      </c>
      <c r="O50" s="53" t="s">
        <v>548</v>
      </c>
      <c r="P50" s="35" t="s">
        <v>265</v>
      </c>
      <c r="Q50" s="35" t="s">
        <v>265</v>
      </c>
      <c r="R50" s="35" t="s">
        <v>265</v>
      </c>
      <c r="S50" s="35" t="s">
        <v>265</v>
      </c>
      <c r="T50" s="35" t="s">
        <v>265</v>
      </c>
      <c r="U50" s="54" t="s">
        <v>265</v>
      </c>
      <c r="V50" s="55" t="s">
        <v>265</v>
      </c>
      <c r="W50" s="35" t="s">
        <v>265</v>
      </c>
      <c r="X50" s="479" t="s">
        <v>265</v>
      </c>
      <c r="Y50" s="479" t="s">
        <v>265</v>
      </c>
      <c r="Z50" s="41" t="str">
        <f t="shared" si="2"/>
        <v>N.S</v>
      </c>
      <c r="AA50" s="593" t="str">
        <f t="shared" si="10"/>
        <v>N.S</v>
      </c>
      <c r="AB50" s="54" t="s">
        <v>265</v>
      </c>
      <c r="AC50" s="233" t="s">
        <v>265</v>
      </c>
      <c r="AD50" s="178" t="s">
        <v>265</v>
      </c>
      <c r="AE50" s="35" t="s">
        <v>265</v>
      </c>
      <c r="AF50" s="10" t="str">
        <f t="shared" si="3"/>
        <v>N.S</v>
      </c>
      <c r="AG50" s="35" t="s">
        <v>265</v>
      </c>
      <c r="AH50" s="35" t="s">
        <v>265</v>
      </c>
      <c r="AI50" s="10" t="str">
        <f t="shared" si="8"/>
        <v>N.S</v>
      </c>
      <c r="AJ50" s="56" t="s">
        <v>265</v>
      </c>
      <c r="AK50" s="56" t="s">
        <v>265</v>
      </c>
      <c r="AL50" s="56" t="str">
        <f t="shared" si="12"/>
        <v>N.S</v>
      </c>
      <c r="AM50" s="56" t="s">
        <v>265</v>
      </c>
      <c r="AN50" s="42" t="str">
        <f>IF(AL50="N.S","N.S",AL50*AQ1+IF(AM50="N.S",0,AM50*(1-AQ1)))</f>
        <v>N.S</v>
      </c>
      <c r="AO50" s="42" t="s">
        <v>265</v>
      </c>
      <c r="AP50" s="42" t="s">
        <v>265</v>
      </c>
      <c r="AQ50" s="615" t="s">
        <v>265</v>
      </c>
      <c r="AR50" s="611" t="str">
        <f t="shared" si="11"/>
        <v>N.S</v>
      </c>
      <c r="AS50" s="604" t="str">
        <f t="shared" si="9"/>
        <v>N.S</v>
      </c>
      <c r="AT50" s="25" t="s">
        <v>659</v>
      </c>
      <c r="AU50" s="35" t="s">
        <v>265</v>
      </c>
      <c r="AV50" s="35" t="s">
        <v>265</v>
      </c>
      <c r="AW50" s="35">
        <v>64000</v>
      </c>
      <c r="AX50" s="35">
        <v>32000</v>
      </c>
      <c r="AY50" s="35" t="s">
        <v>265</v>
      </c>
      <c r="AZ50" s="35" t="s">
        <v>265</v>
      </c>
      <c r="BA50" s="385" t="s">
        <v>265</v>
      </c>
      <c r="BB50" s="311">
        <v>580</v>
      </c>
      <c r="BC50" s="616">
        <v>100000000</v>
      </c>
      <c r="BD50" s="387" t="s">
        <v>661</v>
      </c>
      <c r="BE50" s="24" t="s">
        <v>265</v>
      </c>
      <c r="BF50" s="387" t="s">
        <v>662</v>
      </c>
      <c r="BG50" s="55" t="s">
        <v>84</v>
      </c>
      <c r="BH50" s="53" t="s">
        <v>660</v>
      </c>
      <c r="BI50" s="35" t="s">
        <v>265</v>
      </c>
      <c r="BJ50" s="35" t="s">
        <v>265</v>
      </c>
      <c r="BK50" s="35" t="s">
        <v>265</v>
      </c>
      <c r="BL50" s="35" t="s">
        <v>265</v>
      </c>
      <c r="BM50" s="54" t="s">
        <v>265</v>
      </c>
      <c r="BN50" s="301" t="s">
        <v>265</v>
      </c>
      <c r="BO50" s="41" t="s">
        <v>265</v>
      </c>
      <c r="BP50" s="129" t="s">
        <v>265</v>
      </c>
      <c r="BQ50" s="24"/>
      <c r="BR50" s="174" t="s">
        <v>1002</v>
      </c>
      <c r="BS50" s="55">
        <v>0</v>
      </c>
      <c r="BT50" s="178"/>
      <c r="BU50" s="178"/>
      <c r="BV50" s="35"/>
      <c r="BW50" s="54"/>
      <c r="BX50" s="36">
        <v>0</v>
      </c>
      <c r="BY50" s="178"/>
      <c r="BZ50" s="178"/>
      <c r="CA50" s="35"/>
      <c r="CB50" s="54"/>
      <c r="CC50" s="55">
        <v>0</v>
      </c>
      <c r="CD50" s="35">
        <v>0</v>
      </c>
      <c r="CE50" s="178"/>
      <c r="CF50" s="178"/>
      <c r="CG50" s="178"/>
      <c r="CH50" s="178"/>
      <c r="CI50" s="178"/>
      <c r="CJ50" s="178"/>
      <c r="CK50" s="178"/>
      <c r="CL50" s="178"/>
      <c r="CM50" s="193"/>
      <c r="CN50" s="55">
        <v>0</v>
      </c>
      <c r="CO50" s="35">
        <v>0</v>
      </c>
      <c r="CP50" s="35"/>
      <c r="CQ50" s="35"/>
      <c r="CR50" s="35"/>
      <c r="CS50" s="35"/>
      <c r="CT50" s="35"/>
      <c r="CU50" s="35"/>
      <c r="CV50" s="35"/>
      <c r="CW50" s="35"/>
      <c r="CX50" s="193"/>
      <c r="CY50" s="4">
        <v>0</v>
      </c>
      <c r="CZ50" s="10">
        <v>0</v>
      </c>
      <c r="DA50" s="35"/>
      <c r="DB50" s="35"/>
      <c r="DC50" s="35"/>
      <c r="DD50" s="35"/>
      <c r="DE50" s="35"/>
      <c r="DF50" s="35"/>
      <c r="DG50" s="35"/>
      <c r="DH50" s="35"/>
      <c r="DI50" s="193"/>
      <c r="DJ50" s="4">
        <v>0</v>
      </c>
      <c r="DK50" s="178"/>
      <c r="DL50" s="178"/>
      <c r="DM50" s="35"/>
      <c r="DN50" s="54"/>
      <c r="DO50" s="4">
        <v>0</v>
      </c>
      <c r="DP50" s="35"/>
      <c r="DQ50" s="178"/>
      <c r="DR50" s="35"/>
      <c r="DS50" s="54"/>
      <c r="DT50" s="4">
        <v>0</v>
      </c>
      <c r="DU50" s="35"/>
      <c r="DV50" s="35"/>
      <c r="DW50" s="35"/>
      <c r="DX50" s="54"/>
      <c r="DY50" s="4">
        <v>0</v>
      </c>
      <c r="DZ50" s="35"/>
      <c r="EA50" s="35"/>
      <c r="EB50" s="35"/>
      <c r="EC50" s="54"/>
      <c r="ED50" s="4">
        <v>0</v>
      </c>
      <c r="EE50" s="35"/>
      <c r="EF50" s="35"/>
      <c r="EG50" s="35"/>
      <c r="EH50" s="54"/>
      <c r="EI50" s="4">
        <v>0</v>
      </c>
      <c r="EJ50" s="35"/>
      <c r="EK50" s="35"/>
      <c r="EL50" s="35"/>
      <c r="EM50" s="54"/>
      <c r="EN50" s="4">
        <v>0</v>
      </c>
      <c r="EO50" s="35"/>
      <c r="EP50" s="35"/>
      <c r="EQ50" s="35"/>
      <c r="ER50" s="54"/>
      <c r="ES50" s="4">
        <v>0</v>
      </c>
      <c r="ET50" s="35"/>
      <c r="EU50" s="35"/>
      <c r="EV50" s="35"/>
      <c r="EW50" s="54"/>
      <c r="EX50" s="4">
        <v>0</v>
      </c>
      <c r="EY50" s="35"/>
      <c r="EZ50" s="35"/>
      <c r="FA50" s="35"/>
      <c r="FB50" s="54"/>
      <c r="FC50" s="4">
        <v>0</v>
      </c>
      <c r="FD50" s="35"/>
      <c r="FE50" s="35"/>
      <c r="FF50" s="35"/>
      <c r="FG50" s="54"/>
      <c r="FH50" s="4">
        <v>0</v>
      </c>
      <c r="FI50" s="35"/>
      <c r="FJ50" s="35"/>
      <c r="FK50" s="35"/>
      <c r="FL50" s="54"/>
      <c r="FM50" s="4">
        <v>0</v>
      </c>
      <c r="FN50" s="35"/>
      <c r="FO50" s="35"/>
      <c r="FP50" s="35"/>
      <c r="FQ50" s="54"/>
      <c r="FR50" s="4">
        <v>0</v>
      </c>
      <c r="FS50" s="35"/>
      <c r="FT50" s="35"/>
      <c r="FU50" s="35"/>
      <c r="FV50" s="54"/>
      <c r="FW50" s="4">
        <v>0</v>
      </c>
      <c r="FX50" s="35"/>
      <c r="FY50" s="35"/>
      <c r="FZ50" s="35"/>
      <c r="GA50" s="54"/>
      <c r="GB50" s="55"/>
      <c r="GC50" s="35"/>
      <c r="GD50" s="35"/>
      <c r="GE50" s="35"/>
      <c r="GF50" s="54"/>
      <c r="GG50" s="10">
        <f t="shared" si="5"/>
        <v>1</v>
      </c>
      <c r="GH50" s="10" t="str">
        <f t="shared" si="6"/>
        <v/>
      </c>
      <c r="GI50" s="37" t="str">
        <f t="shared" si="7"/>
        <v/>
      </c>
      <c r="GJ50" s="4" t="s">
        <v>82</v>
      </c>
      <c r="GK50" s="10" t="s">
        <v>82</v>
      </c>
      <c r="GL50" s="10" t="s">
        <v>82</v>
      </c>
      <c r="GM50" s="10" t="s">
        <v>82</v>
      </c>
      <c r="GN50" s="10" t="s">
        <v>82</v>
      </c>
      <c r="GO50" s="10" t="s">
        <v>82</v>
      </c>
      <c r="GP50" s="10" t="s">
        <v>82</v>
      </c>
      <c r="GQ50" s="10" t="s">
        <v>82</v>
      </c>
      <c r="GR50" s="10" t="s">
        <v>82</v>
      </c>
      <c r="GS50" s="10">
        <v>1</v>
      </c>
      <c r="GT50" s="10" t="s">
        <v>82</v>
      </c>
      <c r="GU50" s="10" t="s">
        <v>82</v>
      </c>
      <c r="GV50" s="10">
        <v>1</v>
      </c>
      <c r="GW50" s="10" t="s">
        <v>82</v>
      </c>
      <c r="GX50" s="10">
        <v>1</v>
      </c>
      <c r="GY50" s="10" t="s">
        <v>82</v>
      </c>
      <c r="GZ50" s="10" t="s">
        <v>82</v>
      </c>
      <c r="HA50" s="10" t="s">
        <v>82</v>
      </c>
      <c r="HB50" s="10" t="s">
        <v>82</v>
      </c>
      <c r="HC50" s="10" t="s">
        <v>82</v>
      </c>
      <c r="HD50" s="10" t="s">
        <v>82</v>
      </c>
      <c r="HE50" s="10" t="s">
        <v>82</v>
      </c>
      <c r="HF50" s="10" t="s">
        <v>82</v>
      </c>
      <c r="HG50" s="10" t="s">
        <v>82</v>
      </c>
      <c r="HH50" s="10" t="s">
        <v>82</v>
      </c>
      <c r="HI50" s="10" t="s">
        <v>82</v>
      </c>
      <c r="HJ50" s="10" t="s">
        <v>82</v>
      </c>
      <c r="HK50" s="10" t="s">
        <v>82</v>
      </c>
      <c r="HL50" s="10" t="s">
        <v>82</v>
      </c>
      <c r="HM50" s="40" t="s">
        <v>82</v>
      </c>
    </row>
    <row r="51" spans="1:221" s="57" customFormat="1" ht="82.8">
      <c r="A51" s="693"/>
      <c r="B51" s="577" t="s">
        <v>667</v>
      </c>
      <c r="C51" s="695" t="s">
        <v>205</v>
      </c>
      <c r="D51" s="708" t="s">
        <v>664</v>
      </c>
      <c r="E51" s="52" t="s">
        <v>65</v>
      </c>
      <c r="F51" s="52" t="s">
        <v>124</v>
      </c>
      <c r="G51" s="35" t="s">
        <v>65</v>
      </c>
      <c r="H51" s="35" t="s">
        <v>65</v>
      </c>
      <c r="I51" s="35" t="s">
        <v>65</v>
      </c>
      <c r="J51" s="363" t="s">
        <v>265</v>
      </c>
      <c r="K51" s="608" t="s">
        <v>265</v>
      </c>
      <c r="L51" s="609" t="s">
        <v>265</v>
      </c>
      <c r="M51" s="24" t="s">
        <v>666</v>
      </c>
      <c r="N51" s="53" t="s">
        <v>265</v>
      </c>
      <c r="O51" s="53" t="s">
        <v>558</v>
      </c>
      <c r="P51" s="35" t="s">
        <v>265</v>
      </c>
      <c r="Q51" s="35" t="s">
        <v>265</v>
      </c>
      <c r="R51" s="35" t="s">
        <v>265</v>
      </c>
      <c r="S51" s="35">
        <v>16</v>
      </c>
      <c r="T51" s="35" t="s">
        <v>265</v>
      </c>
      <c r="U51" s="54" t="s">
        <v>265</v>
      </c>
      <c r="V51" s="55" t="s">
        <v>265</v>
      </c>
      <c r="W51" s="479">
        <v>110.7</v>
      </c>
      <c r="X51" s="479">
        <v>142.1</v>
      </c>
      <c r="Y51" s="479" t="s">
        <v>265</v>
      </c>
      <c r="Z51" s="41">
        <f t="shared" si="2"/>
        <v>142.1</v>
      </c>
      <c r="AA51" s="593" t="str">
        <f t="shared" si="10"/>
        <v>N.S</v>
      </c>
      <c r="AB51" s="54" t="s">
        <v>265</v>
      </c>
      <c r="AC51" s="233" t="s">
        <v>265</v>
      </c>
      <c r="AD51" s="178" t="s">
        <v>265</v>
      </c>
      <c r="AE51" s="35" t="s">
        <v>265</v>
      </c>
      <c r="AF51" s="10" t="str">
        <f t="shared" si="3"/>
        <v>N.S</v>
      </c>
      <c r="AG51" s="35" t="s">
        <v>265</v>
      </c>
      <c r="AH51" s="35" t="s">
        <v>265</v>
      </c>
      <c r="AI51" s="10" t="str">
        <f t="shared" si="8"/>
        <v>N.S</v>
      </c>
      <c r="AJ51" s="56" t="s">
        <v>265</v>
      </c>
      <c r="AK51" s="56" t="s">
        <v>265</v>
      </c>
      <c r="AL51" s="56" t="str">
        <f t="shared" si="12"/>
        <v>N.S</v>
      </c>
      <c r="AM51" s="56" t="s">
        <v>265</v>
      </c>
      <c r="AN51" s="42" t="str">
        <f>IF(AL51="N.S","N.S",AL51*AQ1+IF(AM51="N.S",0,AM51*(1-AQ1)))</f>
        <v>N.S</v>
      </c>
      <c r="AO51" s="42" t="s">
        <v>265</v>
      </c>
      <c r="AP51" s="42" t="s">
        <v>265</v>
      </c>
      <c r="AQ51" s="615" t="s">
        <v>265</v>
      </c>
      <c r="AR51" s="611" t="str">
        <f t="shared" si="11"/>
        <v>N.S</v>
      </c>
      <c r="AS51" s="604" t="str">
        <f t="shared" si="9"/>
        <v>N.S</v>
      </c>
      <c r="AT51" s="25" t="s">
        <v>265</v>
      </c>
      <c r="AU51" s="35" t="s">
        <v>265</v>
      </c>
      <c r="AV51" s="35" t="s">
        <v>265</v>
      </c>
      <c r="AW51" s="35" t="s">
        <v>265</v>
      </c>
      <c r="AX51" s="35">
        <v>4000</v>
      </c>
      <c r="AY51" s="35" t="s">
        <v>265</v>
      </c>
      <c r="AZ51" s="35" t="s">
        <v>265</v>
      </c>
      <c r="BA51" s="385" t="s">
        <v>265</v>
      </c>
      <c r="BB51" s="311" t="s">
        <v>265</v>
      </c>
      <c r="BC51" s="385">
        <v>40000000</v>
      </c>
      <c r="BD51" s="387" t="s">
        <v>668</v>
      </c>
      <c r="BE51" s="24" t="s">
        <v>265</v>
      </c>
      <c r="BF51" s="385" t="s">
        <v>265</v>
      </c>
      <c r="BG51" s="55" t="s">
        <v>84</v>
      </c>
      <c r="BH51" s="53" t="s">
        <v>665</v>
      </c>
      <c r="BI51" s="35" t="s">
        <v>265</v>
      </c>
      <c r="BJ51" s="35">
        <v>2400</v>
      </c>
      <c r="BK51" s="35" t="s">
        <v>265</v>
      </c>
      <c r="BL51" s="35" t="s">
        <v>265</v>
      </c>
      <c r="BM51" s="54" t="s">
        <v>265</v>
      </c>
      <c r="BN51" s="301" t="s">
        <v>265</v>
      </c>
      <c r="BO51" s="41" t="s">
        <v>265</v>
      </c>
      <c r="BP51" s="129" t="s">
        <v>265</v>
      </c>
      <c r="BQ51" s="55"/>
      <c r="BR51" s="171" t="s">
        <v>669</v>
      </c>
      <c r="BS51" s="55">
        <v>1</v>
      </c>
      <c r="BT51" s="178"/>
      <c r="BU51" s="178"/>
      <c r="BV51" s="35"/>
      <c r="BW51" s="54"/>
      <c r="BX51" s="36">
        <v>0</v>
      </c>
      <c r="BY51" s="178"/>
      <c r="BZ51" s="178"/>
      <c r="CA51" s="35"/>
      <c r="CB51" s="54"/>
      <c r="CC51" s="55">
        <v>0</v>
      </c>
      <c r="CD51" s="35">
        <v>0</v>
      </c>
      <c r="CE51" s="178"/>
      <c r="CF51" s="178"/>
      <c r="CG51" s="178"/>
      <c r="CH51" s="178"/>
      <c r="CI51" s="178"/>
      <c r="CJ51" s="178"/>
      <c r="CK51" s="178"/>
      <c r="CL51" s="178"/>
      <c r="CM51" s="193"/>
      <c r="CN51" s="55">
        <v>0</v>
      </c>
      <c r="CO51" s="35">
        <v>0</v>
      </c>
      <c r="CP51" s="35"/>
      <c r="CQ51" s="35"/>
      <c r="CR51" s="35"/>
      <c r="CS51" s="35"/>
      <c r="CT51" s="35"/>
      <c r="CU51" s="35"/>
      <c r="CV51" s="35"/>
      <c r="CW51" s="35"/>
      <c r="CX51" s="193"/>
      <c r="CY51" s="4">
        <v>0</v>
      </c>
      <c r="CZ51" s="10">
        <v>0</v>
      </c>
      <c r="DA51" s="35"/>
      <c r="DB51" s="35"/>
      <c r="DC51" s="35"/>
      <c r="DD51" s="35"/>
      <c r="DE51" s="35"/>
      <c r="DF51" s="35"/>
      <c r="DG51" s="35"/>
      <c r="DH51" s="35"/>
      <c r="DI51" s="193"/>
      <c r="DJ51" s="4">
        <v>0</v>
      </c>
      <c r="DK51" s="178"/>
      <c r="DL51" s="178"/>
      <c r="DM51" s="35"/>
      <c r="DN51" s="54"/>
      <c r="DO51" s="4">
        <v>0</v>
      </c>
      <c r="DP51" s="35"/>
      <c r="DQ51" s="178"/>
      <c r="DR51" s="35"/>
      <c r="DS51" s="54"/>
      <c r="DT51" s="4">
        <v>0</v>
      </c>
      <c r="DU51" s="35"/>
      <c r="DV51" s="35"/>
      <c r="DW51" s="35"/>
      <c r="DX51" s="54"/>
      <c r="DY51" s="4">
        <v>0</v>
      </c>
      <c r="DZ51" s="35"/>
      <c r="EA51" s="35"/>
      <c r="EB51" s="35"/>
      <c r="EC51" s="54"/>
      <c r="ED51" s="4">
        <v>0</v>
      </c>
      <c r="EE51" s="35"/>
      <c r="EF51" s="35"/>
      <c r="EG51" s="35"/>
      <c r="EH51" s="54"/>
      <c r="EI51" s="4">
        <v>0</v>
      </c>
      <c r="EJ51" s="35"/>
      <c r="EK51" s="35"/>
      <c r="EL51" s="35"/>
      <c r="EM51" s="54"/>
      <c r="EN51" s="4">
        <v>0</v>
      </c>
      <c r="EO51" s="35"/>
      <c r="EP51" s="35"/>
      <c r="EQ51" s="35"/>
      <c r="ER51" s="54"/>
      <c r="ES51" s="4">
        <v>0</v>
      </c>
      <c r="ET51" s="35"/>
      <c r="EU51" s="35"/>
      <c r="EV51" s="35"/>
      <c r="EW51" s="54"/>
      <c r="EX51" s="4">
        <v>0</v>
      </c>
      <c r="EY51" s="35"/>
      <c r="EZ51" s="35"/>
      <c r="FA51" s="35"/>
      <c r="FB51" s="54"/>
      <c r="FC51" s="4">
        <v>0</v>
      </c>
      <c r="FD51" s="35"/>
      <c r="FE51" s="35"/>
      <c r="FF51" s="35"/>
      <c r="FG51" s="54"/>
      <c r="FH51" s="4">
        <v>0</v>
      </c>
      <c r="FI51" s="35"/>
      <c r="FJ51" s="35"/>
      <c r="FK51" s="35"/>
      <c r="FL51" s="54"/>
      <c r="FM51" s="4">
        <v>0</v>
      </c>
      <c r="FN51" s="35"/>
      <c r="FO51" s="35"/>
      <c r="FP51" s="35"/>
      <c r="FQ51" s="54"/>
      <c r="FR51" s="4">
        <v>0</v>
      </c>
      <c r="FS51" s="35"/>
      <c r="FT51" s="35"/>
      <c r="FU51" s="35"/>
      <c r="FV51" s="54"/>
      <c r="FW51" s="4">
        <v>0</v>
      </c>
      <c r="FX51" s="35"/>
      <c r="FY51" s="35"/>
      <c r="FZ51" s="35"/>
      <c r="GA51" s="54"/>
      <c r="GB51" s="55"/>
      <c r="GC51" s="35"/>
      <c r="GD51" s="35"/>
      <c r="GE51" s="35"/>
      <c r="GF51" s="54"/>
      <c r="GG51" s="10">
        <f t="shared" si="5"/>
        <v>1</v>
      </c>
      <c r="GH51" s="10" t="str">
        <f t="shared" si="6"/>
        <v/>
      </c>
      <c r="GI51" s="37" t="str">
        <f t="shared" si="7"/>
        <v/>
      </c>
      <c r="GJ51" s="4">
        <v>1</v>
      </c>
      <c r="GK51" s="10" t="s">
        <v>82</v>
      </c>
      <c r="GL51" s="10">
        <v>1</v>
      </c>
      <c r="GM51" s="10" t="s">
        <v>82</v>
      </c>
      <c r="GN51" s="10" t="s">
        <v>82</v>
      </c>
      <c r="GO51" s="10" t="s">
        <v>82</v>
      </c>
      <c r="GP51" s="10">
        <v>1</v>
      </c>
      <c r="GQ51" s="10">
        <v>1</v>
      </c>
      <c r="GR51" s="10" t="s">
        <v>82</v>
      </c>
      <c r="GS51" s="10">
        <v>1</v>
      </c>
      <c r="GT51" s="10" t="s">
        <v>82</v>
      </c>
      <c r="GU51" s="10" t="s">
        <v>82</v>
      </c>
      <c r="GV51" s="10" t="s">
        <v>82</v>
      </c>
      <c r="GW51" s="10" t="s">
        <v>82</v>
      </c>
      <c r="GX51" s="10" t="s">
        <v>82</v>
      </c>
      <c r="GY51" s="10" t="s">
        <v>82</v>
      </c>
      <c r="GZ51" s="10" t="s">
        <v>82</v>
      </c>
      <c r="HA51" s="10" t="s">
        <v>82</v>
      </c>
      <c r="HB51" s="10" t="s">
        <v>82</v>
      </c>
      <c r="HC51" s="10" t="s">
        <v>82</v>
      </c>
      <c r="HD51" s="10" t="s">
        <v>82</v>
      </c>
      <c r="HE51" s="10" t="s">
        <v>82</v>
      </c>
      <c r="HF51" s="10" t="s">
        <v>82</v>
      </c>
      <c r="HG51" s="10" t="s">
        <v>82</v>
      </c>
      <c r="HH51" s="10" t="s">
        <v>82</v>
      </c>
      <c r="HI51" s="10" t="s">
        <v>82</v>
      </c>
      <c r="HJ51" s="10">
        <v>1</v>
      </c>
      <c r="HK51" s="10" t="s">
        <v>82</v>
      </c>
      <c r="HL51" s="10" t="s">
        <v>82</v>
      </c>
      <c r="HM51" s="40" t="s">
        <v>82</v>
      </c>
    </row>
    <row r="52" spans="1:221" s="57" customFormat="1" ht="45" customHeight="1">
      <c r="A52" s="693"/>
      <c r="B52" s="577" t="s">
        <v>206</v>
      </c>
      <c r="C52" s="700"/>
      <c r="D52" s="708"/>
      <c r="E52" s="75" t="s">
        <v>65</v>
      </c>
      <c r="F52" s="75" t="s">
        <v>124</v>
      </c>
      <c r="G52" s="35" t="s">
        <v>65</v>
      </c>
      <c r="H52" s="35" t="s">
        <v>65</v>
      </c>
      <c r="I52" s="35" t="s">
        <v>65</v>
      </c>
      <c r="J52" s="363" t="s">
        <v>265</v>
      </c>
      <c r="K52" s="608" t="s">
        <v>265</v>
      </c>
      <c r="L52" s="609" t="s">
        <v>265</v>
      </c>
      <c r="M52" s="24" t="s">
        <v>666</v>
      </c>
      <c r="N52" s="53" t="s">
        <v>265</v>
      </c>
      <c r="O52" s="53" t="s">
        <v>558</v>
      </c>
      <c r="P52" s="35" t="s">
        <v>265</v>
      </c>
      <c r="Q52" s="35" t="s">
        <v>265</v>
      </c>
      <c r="R52" s="35" t="s">
        <v>265</v>
      </c>
      <c r="S52" s="35" t="s">
        <v>265</v>
      </c>
      <c r="T52" s="35" t="s">
        <v>265</v>
      </c>
      <c r="U52" s="54" t="s">
        <v>265</v>
      </c>
      <c r="V52" s="55" t="s">
        <v>265</v>
      </c>
      <c r="W52" s="479">
        <v>37</v>
      </c>
      <c r="X52" s="479">
        <v>23</v>
      </c>
      <c r="Y52" s="479" t="s">
        <v>265</v>
      </c>
      <c r="Z52" s="41">
        <f t="shared" si="2"/>
        <v>37</v>
      </c>
      <c r="AA52" s="593" t="str">
        <f t="shared" si="10"/>
        <v>N.S</v>
      </c>
      <c r="AB52" s="54" t="s">
        <v>265</v>
      </c>
      <c r="AC52" s="233">
        <v>3.3</v>
      </c>
      <c r="AD52" s="178">
        <v>3.3</v>
      </c>
      <c r="AE52" s="35" t="s">
        <v>265</v>
      </c>
      <c r="AF52" s="10" t="str">
        <f t="shared" si="3"/>
        <v>N.S</v>
      </c>
      <c r="AG52" s="35" t="s">
        <v>265</v>
      </c>
      <c r="AH52" s="35" t="s">
        <v>265</v>
      </c>
      <c r="AI52" s="10" t="str">
        <f t="shared" si="8"/>
        <v>N.S</v>
      </c>
      <c r="AJ52" s="56" t="s">
        <v>265</v>
      </c>
      <c r="AK52" s="56" t="s">
        <v>265</v>
      </c>
      <c r="AL52" s="56" t="str">
        <f t="shared" si="12"/>
        <v>N.S</v>
      </c>
      <c r="AM52" s="56" t="s">
        <v>265</v>
      </c>
      <c r="AN52" s="42" t="str">
        <f>IF(AL52="N.S","N.S",AL52*AQ1+IF(AM52="N.S",0,AM52*(1-AQ1)))</f>
        <v>N.S</v>
      </c>
      <c r="AO52" s="42" t="s">
        <v>265</v>
      </c>
      <c r="AP52" s="42" t="s">
        <v>265</v>
      </c>
      <c r="AQ52" s="615" t="s">
        <v>265</v>
      </c>
      <c r="AR52" s="611" t="str">
        <f t="shared" si="11"/>
        <v>N.S</v>
      </c>
      <c r="AS52" s="604" t="str">
        <f t="shared" si="9"/>
        <v>N.S</v>
      </c>
      <c r="AT52" s="25" t="s">
        <v>265</v>
      </c>
      <c r="AU52" s="35" t="s">
        <v>265</v>
      </c>
      <c r="AV52" s="35" t="s">
        <v>265</v>
      </c>
      <c r="AW52" s="35" t="s">
        <v>265</v>
      </c>
      <c r="AX52" s="35">
        <v>4001</v>
      </c>
      <c r="AY52" s="35" t="s">
        <v>265</v>
      </c>
      <c r="AZ52" s="35" t="s">
        <v>265</v>
      </c>
      <c r="BA52" s="385" t="s">
        <v>265</v>
      </c>
      <c r="BB52" s="311" t="s">
        <v>265</v>
      </c>
      <c r="BC52" s="385" t="s">
        <v>265</v>
      </c>
      <c r="BD52" s="387" t="s">
        <v>671</v>
      </c>
      <c r="BE52" s="24" t="s">
        <v>265</v>
      </c>
      <c r="BF52" s="385" t="s">
        <v>265</v>
      </c>
      <c r="BG52" s="55" t="s">
        <v>84</v>
      </c>
      <c r="BH52" s="53" t="s">
        <v>670</v>
      </c>
      <c r="BI52" s="35" t="s">
        <v>265</v>
      </c>
      <c r="BJ52" s="35">
        <v>2448</v>
      </c>
      <c r="BK52" s="35" t="s">
        <v>265</v>
      </c>
      <c r="BL52" s="35" t="s">
        <v>265</v>
      </c>
      <c r="BM52" s="54">
        <v>14</v>
      </c>
      <c r="BN52" s="301" t="s">
        <v>265</v>
      </c>
      <c r="BO52" s="41" t="s">
        <v>265</v>
      </c>
      <c r="BP52" s="129" t="s">
        <v>265</v>
      </c>
      <c r="BQ52" s="55"/>
      <c r="BR52" s="171" t="s">
        <v>672</v>
      </c>
      <c r="BS52" s="55">
        <v>1</v>
      </c>
      <c r="BT52" s="178"/>
      <c r="BU52" s="178"/>
      <c r="BV52" s="35"/>
      <c r="BW52" s="54"/>
      <c r="BX52" s="36">
        <v>0</v>
      </c>
      <c r="BY52" s="178"/>
      <c r="BZ52" s="178"/>
      <c r="CA52" s="35"/>
      <c r="CB52" s="54"/>
      <c r="CC52" s="55">
        <v>0</v>
      </c>
      <c r="CD52" s="35">
        <v>0</v>
      </c>
      <c r="CE52" s="178"/>
      <c r="CF52" s="178"/>
      <c r="CG52" s="178"/>
      <c r="CH52" s="178"/>
      <c r="CI52" s="178"/>
      <c r="CJ52" s="178"/>
      <c r="CK52" s="178"/>
      <c r="CL52" s="178"/>
      <c r="CM52" s="193"/>
      <c r="CN52" s="55">
        <v>0</v>
      </c>
      <c r="CO52" s="35">
        <v>0</v>
      </c>
      <c r="CP52" s="35"/>
      <c r="CQ52" s="35"/>
      <c r="CR52" s="35"/>
      <c r="CS52" s="35"/>
      <c r="CT52" s="35"/>
      <c r="CU52" s="35"/>
      <c r="CV52" s="35"/>
      <c r="CW52" s="35"/>
      <c r="CX52" s="193"/>
      <c r="CY52" s="4">
        <v>0</v>
      </c>
      <c r="CZ52" s="10">
        <v>0</v>
      </c>
      <c r="DA52" s="35"/>
      <c r="DB52" s="35"/>
      <c r="DC52" s="35"/>
      <c r="DD52" s="35"/>
      <c r="DE52" s="35"/>
      <c r="DF52" s="35"/>
      <c r="DG52" s="35"/>
      <c r="DH52" s="35"/>
      <c r="DI52" s="193"/>
      <c r="DJ52" s="4">
        <v>0</v>
      </c>
      <c r="DK52" s="178"/>
      <c r="DL52" s="178"/>
      <c r="DM52" s="35"/>
      <c r="DN52" s="54"/>
      <c r="DO52" s="4">
        <v>0</v>
      </c>
      <c r="DP52" s="35"/>
      <c r="DQ52" s="178"/>
      <c r="DR52" s="35"/>
      <c r="DS52" s="54"/>
      <c r="DT52" s="4">
        <v>0</v>
      </c>
      <c r="DU52" s="35"/>
      <c r="DV52" s="35"/>
      <c r="DW52" s="35"/>
      <c r="DX52" s="54"/>
      <c r="DY52" s="4">
        <v>0</v>
      </c>
      <c r="DZ52" s="35"/>
      <c r="EA52" s="35"/>
      <c r="EB52" s="35"/>
      <c r="EC52" s="54"/>
      <c r="ED52" s="4">
        <v>0</v>
      </c>
      <c r="EE52" s="35"/>
      <c r="EF52" s="35"/>
      <c r="EG52" s="35"/>
      <c r="EH52" s="54"/>
      <c r="EI52" s="4">
        <v>0</v>
      </c>
      <c r="EJ52" s="35"/>
      <c r="EK52" s="35"/>
      <c r="EL52" s="35"/>
      <c r="EM52" s="54"/>
      <c r="EN52" s="4">
        <v>0</v>
      </c>
      <c r="EO52" s="35"/>
      <c r="EP52" s="35"/>
      <c r="EQ52" s="35"/>
      <c r="ER52" s="54"/>
      <c r="ES52" s="4">
        <v>0</v>
      </c>
      <c r="ET52" s="35"/>
      <c r="EU52" s="35"/>
      <c r="EV52" s="35"/>
      <c r="EW52" s="54"/>
      <c r="EX52" s="4">
        <v>0</v>
      </c>
      <c r="EY52" s="35"/>
      <c r="EZ52" s="35"/>
      <c r="FA52" s="35"/>
      <c r="FB52" s="54"/>
      <c r="FC52" s="4">
        <v>0</v>
      </c>
      <c r="FD52" s="35"/>
      <c r="FE52" s="35"/>
      <c r="FF52" s="35"/>
      <c r="FG52" s="54"/>
      <c r="FH52" s="4">
        <v>0</v>
      </c>
      <c r="FI52" s="35"/>
      <c r="FJ52" s="35"/>
      <c r="FK52" s="35"/>
      <c r="FL52" s="54"/>
      <c r="FM52" s="4">
        <v>0</v>
      </c>
      <c r="FN52" s="35"/>
      <c r="FO52" s="35"/>
      <c r="FP52" s="35"/>
      <c r="FQ52" s="54"/>
      <c r="FR52" s="4">
        <v>0</v>
      </c>
      <c r="FS52" s="35"/>
      <c r="FT52" s="35"/>
      <c r="FU52" s="35"/>
      <c r="FV52" s="54"/>
      <c r="FW52" s="4">
        <v>0</v>
      </c>
      <c r="FX52" s="35"/>
      <c r="FY52" s="35"/>
      <c r="FZ52" s="35"/>
      <c r="GA52" s="54"/>
      <c r="GB52" s="55"/>
      <c r="GC52" s="35"/>
      <c r="GD52" s="35"/>
      <c r="GE52" s="35"/>
      <c r="GF52" s="54"/>
      <c r="GG52" s="10">
        <f t="shared" si="5"/>
        <v>1</v>
      </c>
      <c r="GH52" s="10" t="str">
        <f t="shared" si="6"/>
        <v/>
      </c>
      <c r="GI52" s="37" t="str">
        <f t="shared" si="7"/>
        <v/>
      </c>
      <c r="GJ52" s="4" t="s">
        <v>82</v>
      </c>
      <c r="GK52" s="10" t="s">
        <v>82</v>
      </c>
      <c r="GL52" s="10">
        <v>1</v>
      </c>
      <c r="GM52" s="10" t="s">
        <v>82</v>
      </c>
      <c r="GN52" s="10" t="s">
        <v>82</v>
      </c>
      <c r="GO52" s="10" t="s">
        <v>82</v>
      </c>
      <c r="GP52" s="10">
        <v>1</v>
      </c>
      <c r="GQ52" s="10" t="s">
        <v>82</v>
      </c>
      <c r="GR52" s="10" t="s">
        <v>82</v>
      </c>
      <c r="GS52" s="10" t="s">
        <v>82</v>
      </c>
      <c r="GT52" s="10" t="s">
        <v>82</v>
      </c>
      <c r="GU52" s="10" t="s">
        <v>82</v>
      </c>
      <c r="GV52" s="10" t="s">
        <v>82</v>
      </c>
      <c r="GW52" s="10" t="s">
        <v>82</v>
      </c>
      <c r="GX52" s="10" t="s">
        <v>82</v>
      </c>
      <c r="GY52" s="10" t="s">
        <v>82</v>
      </c>
      <c r="GZ52" s="10" t="s">
        <v>82</v>
      </c>
      <c r="HA52" s="10" t="s">
        <v>82</v>
      </c>
      <c r="HB52" s="10" t="s">
        <v>82</v>
      </c>
      <c r="HC52" s="10" t="s">
        <v>82</v>
      </c>
      <c r="HD52" s="10" t="s">
        <v>82</v>
      </c>
      <c r="HE52" s="10" t="s">
        <v>82</v>
      </c>
      <c r="HF52" s="10" t="s">
        <v>82</v>
      </c>
      <c r="HG52" s="10" t="s">
        <v>82</v>
      </c>
      <c r="HH52" s="10" t="s">
        <v>82</v>
      </c>
      <c r="HI52" s="10" t="s">
        <v>82</v>
      </c>
      <c r="HJ52" s="10" t="s">
        <v>82</v>
      </c>
      <c r="HK52" s="10" t="s">
        <v>82</v>
      </c>
      <c r="HL52" s="10" t="s">
        <v>82</v>
      </c>
      <c r="HM52" s="40" t="s">
        <v>82</v>
      </c>
    </row>
    <row r="53" spans="1:221" s="69" customFormat="1" ht="14.25" customHeight="1">
      <c r="A53" s="693"/>
      <c r="B53" s="104"/>
      <c r="C53" s="388"/>
      <c r="D53" s="100"/>
      <c r="E53" s="10" t="s">
        <v>65</v>
      </c>
      <c r="F53" s="10" t="s">
        <v>65</v>
      </c>
      <c r="G53" s="10" t="s">
        <v>65</v>
      </c>
      <c r="H53" s="10" t="s">
        <v>65</v>
      </c>
      <c r="I53" s="10" t="s">
        <v>65</v>
      </c>
      <c r="J53" s="362"/>
      <c r="K53" s="608" t="s">
        <v>265</v>
      </c>
      <c r="L53" s="609" t="s">
        <v>265</v>
      </c>
      <c r="M53" s="4"/>
      <c r="N53" s="13"/>
      <c r="O53" s="13"/>
      <c r="P53" s="10"/>
      <c r="Q53" s="10"/>
      <c r="R53" s="10"/>
      <c r="S53" s="10"/>
      <c r="T53" s="10"/>
      <c r="U53" s="40"/>
      <c r="V53" s="55" t="s">
        <v>265</v>
      </c>
      <c r="W53" s="41"/>
      <c r="X53" s="41"/>
      <c r="Y53" s="41"/>
      <c r="Z53" s="41" t="str">
        <f t="shared" si="2"/>
        <v>N.S</v>
      </c>
      <c r="AA53" s="593">
        <f t="shared" si="10"/>
        <v>0</v>
      </c>
      <c r="AB53" s="40" t="s">
        <v>265</v>
      </c>
      <c r="AC53" s="236"/>
      <c r="AD53" s="128"/>
      <c r="AE53" s="10"/>
      <c r="AF53" s="10">
        <f t="shared" si="3"/>
        <v>0</v>
      </c>
      <c r="AG53" s="10"/>
      <c r="AH53" s="10"/>
      <c r="AI53" s="10">
        <f t="shared" si="8"/>
        <v>0</v>
      </c>
      <c r="AJ53" s="42"/>
      <c r="AK53" s="42"/>
      <c r="AL53" s="56" t="str">
        <f t="shared" si="12"/>
        <v>N.S</v>
      </c>
      <c r="AM53" s="42"/>
      <c r="AN53" s="42" t="str">
        <f>IF(AL53="N.S","N.S",AL53*AQ1+IF(AM53="N.S",0,AM53*(1-AQ1)))</f>
        <v>N.S</v>
      </c>
      <c r="AO53" s="42" t="s">
        <v>265</v>
      </c>
      <c r="AP53" s="42" t="s">
        <v>265</v>
      </c>
      <c r="AQ53" s="238"/>
      <c r="AR53" s="611" t="str">
        <f t="shared" si="11"/>
        <v>N.S</v>
      </c>
      <c r="AS53" s="604" t="str">
        <f t="shared" si="9"/>
        <v>N.S</v>
      </c>
      <c r="AT53" s="19"/>
      <c r="AU53" s="10"/>
      <c r="AV53" s="10"/>
      <c r="AW53" s="10"/>
      <c r="AX53" s="10"/>
      <c r="AY53" s="10"/>
      <c r="AZ53" s="10"/>
      <c r="BA53" s="37"/>
      <c r="BB53" s="605"/>
      <c r="BC53" s="37"/>
      <c r="BD53" s="37"/>
      <c r="BE53" s="3"/>
      <c r="BF53" s="37"/>
      <c r="BG53" s="4"/>
      <c r="BH53" s="13"/>
      <c r="BI53" s="10"/>
      <c r="BJ53" s="10"/>
      <c r="BK53" s="10"/>
      <c r="BL53" s="10"/>
      <c r="BM53" s="40"/>
      <c r="BN53" s="301" t="s">
        <v>265</v>
      </c>
      <c r="BO53" s="41" t="s">
        <v>265</v>
      </c>
      <c r="BP53" s="129" t="s">
        <v>265</v>
      </c>
      <c r="BQ53" s="4"/>
      <c r="BR53" s="169"/>
      <c r="BS53" s="4"/>
      <c r="BT53" s="128"/>
      <c r="BU53" s="128"/>
      <c r="BV53" s="10"/>
      <c r="BW53" s="40"/>
      <c r="BX53" s="295">
        <v>0</v>
      </c>
      <c r="BY53" s="128"/>
      <c r="BZ53" s="128"/>
      <c r="CA53" s="10"/>
      <c r="CB53" s="40"/>
      <c r="CC53" s="55">
        <v>0</v>
      </c>
      <c r="CD53" s="35">
        <v>0</v>
      </c>
      <c r="CE53" s="128"/>
      <c r="CF53" s="128"/>
      <c r="CG53" s="128"/>
      <c r="CH53" s="128"/>
      <c r="CI53" s="128"/>
      <c r="CJ53" s="128"/>
      <c r="CK53" s="128"/>
      <c r="CL53" s="128"/>
      <c r="CM53" s="121"/>
      <c r="CN53" s="55">
        <v>0</v>
      </c>
      <c r="CO53" s="35">
        <v>0</v>
      </c>
      <c r="CP53" s="10"/>
      <c r="CQ53" s="10"/>
      <c r="CR53" s="10"/>
      <c r="CS53" s="10"/>
      <c r="CT53" s="10"/>
      <c r="CU53" s="10"/>
      <c r="CV53" s="10"/>
      <c r="CW53" s="10"/>
      <c r="CX53" s="121"/>
      <c r="CY53" s="4">
        <v>0</v>
      </c>
      <c r="CZ53" s="10">
        <v>0</v>
      </c>
      <c r="DA53" s="10"/>
      <c r="DB53" s="10"/>
      <c r="DC53" s="10"/>
      <c r="DD53" s="10"/>
      <c r="DE53" s="10"/>
      <c r="DF53" s="10"/>
      <c r="DG53" s="10"/>
      <c r="DH53" s="10"/>
      <c r="DI53" s="121"/>
      <c r="DJ53" s="4">
        <v>0</v>
      </c>
      <c r="DK53" s="128"/>
      <c r="DL53" s="128"/>
      <c r="DM53" s="10"/>
      <c r="DN53" s="40"/>
      <c r="DO53" s="4">
        <v>0</v>
      </c>
      <c r="DP53" s="10"/>
      <c r="DQ53" s="128"/>
      <c r="DR53" s="10"/>
      <c r="DS53" s="40"/>
      <c r="DT53" s="4">
        <v>0</v>
      </c>
      <c r="DU53" s="10"/>
      <c r="DV53" s="10"/>
      <c r="DW53" s="10"/>
      <c r="DX53" s="40"/>
      <c r="DY53" s="4">
        <v>0</v>
      </c>
      <c r="DZ53" s="10"/>
      <c r="EA53" s="10"/>
      <c r="EB53" s="10"/>
      <c r="EC53" s="40"/>
      <c r="ED53" s="4">
        <v>0</v>
      </c>
      <c r="EE53" s="10"/>
      <c r="EF53" s="10"/>
      <c r="EG53" s="10"/>
      <c r="EH53" s="40"/>
      <c r="EI53" s="4">
        <v>0</v>
      </c>
      <c r="EJ53" s="10"/>
      <c r="EK53" s="10"/>
      <c r="EL53" s="10"/>
      <c r="EM53" s="40"/>
      <c r="EN53" s="4">
        <v>0</v>
      </c>
      <c r="EO53" s="10"/>
      <c r="EP53" s="10"/>
      <c r="EQ53" s="10"/>
      <c r="ER53" s="40"/>
      <c r="ES53" s="4">
        <v>0</v>
      </c>
      <c r="ET53" s="10"/>
      <c r="EU53" s="10"/>
      <c r="EV53" s="10"/>
      <c r="EW53" s="40"/>
      <c r="EX53" s="4">
        <v>0</v>
      </c>
      <c r="EY53" s="10"/>
      <c r="EZ53" s="10"/>
      <c r="FA53" s="10"/>
      <c r="FB53" s="40"/>
      <c r="FC53" s="4">
        <v>0</v>
      </c>
      <c r="FD53" s="10"/>
      <c r="FE53" s="10"/>
      <c r="FF53" s="10"/>
      <c r="FG53" s="40"/>
      <c r="FH53" s="4">
        <v>0</v>
      </c>
      <c r="FI53" s="10"/>
      <c r="FJ53" s="10"/>
      <c r="FK53" s="10"/>
      <c r="FL53" s="40"/>
      <c r="FM53" s="4">
        <v>0</v>
      </c>
      <c r="FN53" s="10"/>
      <c r="FO53" s="10"/>
      <c r="FP53" s="10"/>
      <c r="FQ53" s="40"/>
      <c r="FR53" s="4">
        <v>0</v>
      </c>
      <c r="FS53" s="10"/>
      <c r="FT53" s="10"/>
      <c r="FU53" s="10"/>
      <c r="FV53" s="40"/>
      <c r="FW53" s="4">
        <v>0</v>
      </c>
      <c r="FX53" s="10"/>
      <c r="FY53" s="10"/>
      <c r="FZ53" s="10"/>
      <c r="GA53" s="40"/>
      <c r="GB53" s="4"/>
      <c r="GC53" s="10"/>
      <c r="GD53" s="10"/>
      <c r="GE53" s="10"/>
      <c r="GF53" s="40"/>
      <c r="GG53" s="10">
        <f t="shared" si="5"/>
        <v>1</v>
      </c>
      <c r="GH53" s="10" t="str">
        <f t="shared" si="6"/>
        <v/>
      </c>
      <c r="GI53" s="37" t="str">
        <f t="shared" si="7"/>
        <v/>
      </c>
      <c r="GJ53" s="4" t="s">
        <v>82</v>
      </c>
      <c r="GK53" s="10" t="s">
        <v>82</v>
      </c>
      <c r="GL53" s="10" t="s">
        <v>82</v>
      </c>
      <c r="GM53" s="10" t="s">
        <v>82</v>
      </c>
      <c r="GN53" s="10" t="s">
        <v>82</v>
      </c>
      <c r="GO53" s="10" t="s">
        <v>82</v>
      </c>
      <c r="GP53" s="10" t="s">
        <v>82</v>
      </c>
      <c r="GQ53" s="10" t="s">
        <v>82</v>
      </c>
      <c r="GR53" s="10" t="s">
        <v>82</v>
      </c>
      <c r="GS53" s="10" t="s">
        <v>82</v>
      </c>
      <c r="GT53" s="10" t="s">
        <v>82</v>
      </c>
      <c r="GU53" s="10" t="s">
        <v>82</v>
      </c>
      <c r="GV53" s="10" t="s">
        <v>82</v>
      </c>
      <c r="GW53" s="10" t="s">
        <v>82</v>
      </c>
      <c r="GX53" s="10" t="s">
        <v>82</v>
      </c>
      <c r="GY53" s="10" t="s">
        <v>82</v>
      </c>
      <c r="GZ53" s="10" t="s">
        <v>82</v>
      </c>
      <c r="HA53" s="10" t="s">
        <v>82</v>
      </c>
      <c r="HB53" s="10" t="s">
        <v>82</v>
      </c>
      <c r="HC53" s="10" t="s">
        <v>82</v>
      </c>
      <c r="HD53" s="10" t="s">
        <v>82</v>
      </c>
      <c r="HE53" s="10" t="s">
        <v>82</v>
      </c>
      <c r="HF53" s="10" t="s">
        <v>82</v>
      </c>
      <c r="HG53" s="10" t="s">
        <v>82</v>
      </c>
      <c r="HH53" s="10" t="s">
        <v>82</v>
      </c>
      <c r="HI53" s="10" t="s">
        <v>82</v>
      </c>
      <c r="HJ53" s="10" t="s">
        <v>82</v>
      </c>
      <c r="HK53" s="10" t="s">
        <v>82</v>
      </c>
      <c r="HL53" s="10" t="s">
        <v>82</v>
      </c>
      <c r="HM53" s="40" t="s">
        <v>82</v>
      </c>
    </row>
    <row r="54" spans="1:221" ht="82.8">
      <c r="A54" s="693"/>
      <c r="B54" s="575" t="s">
        <v>69</v>
      </c>
      <c r="C54" s="388" t="s">
        <v>93</v>
      </c>
      <c r="D54" s="41" t="s">
        <v>116</v>
      </c>
      <c r="E54" s="77" t="s">
        <v>65</v>
      </c>
      <c r="F54" s="77" t="s">
        <v>124</v>
      </c>
      <c r="G54" s="77" t="s">
        <v>65</v>
      </c>
      <c r="H54" s="10" t="s">
        <v>65</v>
      </c>
      <c r="I54" s="10" t="s">
        <v>65</v>
      </c>
      <c r="J54" s="362">
        <f>90*1.1</f>
        <v>99.000000000000014</v>
      </c>
      <c r="K54" s="608" t="s">
        <v>265</v>
      </c>
      <c r="L54" s="609" t="s">
        <v>265</v>
      </c>
      <c r="M54" s="3" t="s">
        <v>674</v>
      </c>
      <c r="N54" s="13" t="s">
        <v>120</v>
      </c>
      <c r="O54" s="10" t="s">
        <v>558</v>
      </c>
      <c r="P54" s="13" t="s">
        <v>265</v>
      </c>
      <c r="Q54" s="10" t="s">
        <v>265</v>
      </c>
      <c r="R54" s="10">
        <v>8</v>
      </c>
      <c r="S54" s="10">
        <v>12</v>
      </c>
      <c r="T54" s="10">
        <v>2</v>
      </c>
      <c r="U54" s="40">
        <v>12</v>
      </c>
      <c r="V54" s="4">
        <v>17.7</v>
      </c>
      <c r="W54" s="41">
        <f>2.55*25.4</f>
        <v>64.77</v>
      </c>
      <c r="X54" s="41">
        <f>1.24*25.4</f>
        <v>31.495999999999999</v>
      </c>
      <c r="Y54" s="41">
        <f>0.24*25.4</f>
        <v>6.0959999999999992</v>
      </c>
      <c r="Z54" s="41">
        <f t="shared" si="2"/>
        <v>64.77</v>
      </c>
      <c r="AA54" s="593">
        <f t="shared" si="10"/>
        <v>12435.815128319997</v>
      </c>
      <c r="AB54" s="40" t="s">
        <v>265</v>
      </c>
      <c r="AC54" s="236">
        <v>2.1</v>
      </c>
      <c r="AD54" s="128">
        <v>3.6</v>
      </c>
      <c r="AE54" s="10">
        <f>1.8</f>
        <v>1.8</v>
      </c>
      <c r="AF54" s="10">
        <f t="shared" si="3"/>
        <v>5.13E-3</v>
      </c>
      <c r="AG54" s="10">
        <f>0.5*(AC54+AD54)*(18.8+17.4)/1000</f>
        <v>0.10317000000000001</v>
      </c>
      <c r="AH54" s="10">
        <f>2*2.1</f>
        <v>4.2</v>
      </c>
      <c r="AI54" s="10">
        <f t="shared" si="8"/>
        <v>43092</v>
      </c>
      <c r="AJ54" s="42" t="s">
        <v>265</v>
      </c>
      <c r="AK54" s="42" t="s">
        <v>84</v>
      </c>
      <c r="AL54" s="56">
        <f t="shared" si="12"/>
        <v>0.10830000000000001</v>
      </c>
      <c r="AM54" s="42">
        <f>0.5*(AC54+AD54)*(5.1+1)/1000000</f>
        <v>1.7384999999999997E-5</v>
      </c>
      <c r="AN54" s="42">
        <f>IF(AL54="N.S","N.S",AL54*AQ1+IF(AM54="N.S",0,AM54*(1-AQ1)))</f>
        <v>1.1002111500000003E-3</v>
      </c>
      <c r="AO54" s="42" t="s">
        <v>265</v>
      </c>
      <c r="AP54" s="42" t="s">
        <v>265</v>
      </c>
      <c r="AQ54" s="238" t="s">
        <v>265</v>
      </c>
      <c r="AR54" s="611">
        <f t="shared" si="11"/>
        <v>10879.729768235849</v>
      </c>
      <c r="AS54" s="604">
        <f t="shared" si="9"/>
        <v>681.68732883683265</v>
      </c>
      <c r="AT54" s="19" t="s">
        <v>676</v>
      </c>
      <c r="AU54" s="10">
        <v>16</v>
      </c>
      <c r="AV54" s="10" t="s">
        <v>265</v>
      </c>
      <c r="AW54" s="10">
        <v>10</v>
      </c>
      <c r="AX54" s="10">
        <v>48</v>
      </c>
      <c r="AY54" s="10">
        <v>16</v>
      </c>
      <c r="AZ54" s="10" t="s">
        <v>265</v>
      </c>
      <c r="BA54" s="388" t="s">
        <v>679</v>
      </c>
      <c r="BB54" s="605">
        <v>8</v>
      </c>
      <c r="BC54" s="37" t="s">
        <v>265</v>
      </c>
      <c r="BD54" s="388" t="s">
        <v>675</v>
      </c>
      <c r="BE54" s="3" t="s">
        <v>677</v>
      </c>
      <c r="BF54" s="37" t="s">
        <v>265</v>
      </c>
      <c r="BG54" s="4" t="s">
        <v>84</v>
      </c>
      <c r="BH54" s="13" t="s">
        <v>673</v>
      </c>
      <c r="BI54" s="10" t="s">
        <v>644</v>
      </c>
      <c r="BJ54" s="10">
        <v>2442</v>
      </c>
      <c r="BK54" s="10" t="s">
        <v>265</v>
      </c>
      <c r="BL54" s="10">
        <v>-94</v>
      </c>
      <c r="BM54" s="40">
        <v>0</v>
      </c>
      <c r="BN54" s="301" t="s">
        <v>265</v>
      </c>
      <c r="BO54" s="41" t="s">
        <v>265</v>
      </c>
      <c r="BP54" s="129" t="s">
        <v>265</v>
      </c>
      <c r="BQ54" s="4"/>
      <c r="BR54" s="297" t="s">
        <v>678</v>
      </c>
      <c r="BS54" s="4">
        <v>1</v>
      </c>
      <c r="BT54" s="128">
        <f>LOG((BW54-BV54)/0.01,2)</f>
        <v>13.99964773652837</v>
      </c>
      <c r="BU54" s="128">
        <f>LOG((BW54-BV54)/1,2)</f>
        <v>7.3557915467536468</v>
      </c>
      <c r="BV54" s="10">
        <v>-40</v>
      </c>
      <c r="BW54" s="40">
        <v>123.8</v>
      </c>
      <c r="BX54" s="295">
        <v>1</v>
      </c>
      <c r="BY54" s="128">
        <f>LOG((CB54-CA54)/0.03,2)</f>
        <v>11.702749878828293</v>
      </c>
      <c r="BZ54" s="128">
        <f>LOG((CB54-CA54)/7,2)</f>
        <v>3.8365012677171206</v>
      </c>
      <c r="CA54" s="10">
        <v>0</v>
      </c>
      <c r="CB54" s="40">
        <v>100</v>
      </c>
      <c r="CC54" s="55">
        <v>0</v>
      </c>
      <c r="CD54" s="35">
        <v>0</v>
      </c>
      <c r="CE54" s="128"/>
      <c r="CF54" s="128"/>
      <c r="CG54" s="128"/>
      <c r="CH54" s="128"/>
      <c r="CI54" s="128"/>
      <c r="CJ54" s="128"/>
      <c r="CK54" s="128"/>
      <c r="CL54" s="128"/>
      <c r="CM54" s="121"/>
      <c r="CN54" s="55">
        <v>0</v>
      </c>
      <c r="CO54" s="35">
        <v>0</v>
      </c>
      <c r="CP54" s="10"/>
      <c r="CQ54" s="10"/>
      <c r="CR54" s="10"/>
      <c r="CS54" s="10"/>
      <c r="CT54" s="10"/>
      <c r="CU54" s="10"/>
      <c r="CV54" s="10"/>
      <c r="CW54" s="10"/>
      <c r="CX54" s="121"/>
      <c r="CY54" s="4">
        <v>0</v>
      </c>
      <c r="CZ54" s="10">
        <v>0</v>
      </c>
      <c r="DA54" s="10"/>
      <c r="DB54" s="10"/>
      <c r="DC54" s="10"/>
      <c r="DD54" s="10"/>
      <c r="DE54" s="10"/>
      <c r="DF54" s="10"/>
      <c r="DG54" s="10"/>
      <c r="DH54" s="10"/>
      <c r="DI54" s="121"/>
      <c r="DJ54" s="4">
        <v>0</v>
      </c>
      <c r="DK54" s="128"/>
      <c r="DL54" s="128"/>
      <c r="DM54" s="10"/>
      <c r="DN54" s="40"/>
      <c r="DO54" s="4">
        <v>0</v>
      </c>
      <c r="DP54" s="10"/>
      <c r="DQ54" s="128"/>
      <c r="DR54" s="10"/>
      <c r="DS54" s="40"/>
      <c r="DT54" s="4">
        <v>0</v>
      </c>
      <c r="DU54" s="10"/>
      <c r="DV54" s="10"/>
      <c r="DW54" s="10"/>
      <c r="DX54" s="40"/>
      <c r="DY54" s="4">
        <v>0</v>
      </c>
      <c r="DZ54" s="10"/>
      <c r="EA54" s="10"/>
      <c r="EB54" s="10"/>
      <c r="EC54" s="40"/>
      <c r="ED54" s="4">
        <v>0</v>
      </c>
      <c r="EE54" s="10"/>
      <c r="EF54" s="10"/>
      <c r="EG54" s="10"/>
      <c r="EH54" s="40"/>
      <c r="EI54" s="4">
        <v>0</v>
      </c>
      <c r="EJ54" s="10"/>
      <c r="EK54" s="10"/>
      <c r="EL54" s="10"/>
      <c r="EM54" s="40"/>
      <c r="EN54" s="4">
        <v>0</v>
      </c>
      <c r="EO54" s="10"/>
      <c r="EP54" s="10"/>
      <c r="EQ54" s="10"/>
      <c r="ER54" s="40"/>
      <c r="ES54" s="4">
        <v>0</v>
      </c>
      <c r="ET54" s="10"/>
      <c r="EU54" s="10"/>
      <c r="EV54" s="10"/>
      <c r="EW54" s="40"/>
      <c r="EX54" s="4">
        <v>0</v>
      </c>
      <c r="EY54" s="10"/>
      <c r="EZ54" s="10"/>
      <c r="FA54" s="10"/>
      <c r="FB54" s="40"/>
      <c r="FC54" s="4">
        <v>0</v>
      </c>
      <c r="FD54" s="10"/>
      <c r="FE54" s="10"/>
      <c r="FF54" s="10"/>
      <c r="FG54" s="40"/>
      <c r="FH54" s="4">
        <v>0</v>
      </c>
      <c r="FI54" s="10"/>
      <c r="FJ54" s="10"/>
      <c r="FK54" s="10"/>
      <c r="FL54" s="40"/>
      <c r="FM54" s="4">
        <v>0</v>
      </c>
      <c r="FN54" s="10"/>
      <c r="FO54" s="10"/>
      <c r="FP54" s="10"/>
      <c r="FQ54" s="40"/>
      <c r="FR54" s="4">
        <v>0</v>
      </c>
      <c r="FS54" s="10"/>
      <c r="FT54" s="10"/>
      <c r="FU54" s="10"/>
      <c r="FV54" s="40"/>
      <c r="FW54" s="4">
        <v>0</v>
      </c>
      <c r="FX54" s="10"/>
      <c r="FY54" s="10"/>
      <c r="FZ54" s="10"/>
      <c r="GA54" s="40"/>
      <c r="GB54" s="4"/>
      <c r="GC54" s="10"/>
      <c r="GD54" s="10"/>
      <c r="GE54" s="10"/>
      <c r="GF54" s="40"/>
      <c r="GG54" s="10">
        <f t="shared" si="5"/>
        <v>1</v>
      </c>
      <c r="GH54" s="10" t="str">
        <f t="shared" si="6"/>
        <v/>
      </c>
      <c r="GI54" s="37" t="str">
        <f t="shared" si="7"/>
        <v/>
      </c>
      <c r="GJ54" s="4" t="s">
        <v>82</v>
      </c>
      <c r="GK54" s="10" t="s">
        <v>82</v>
      </c>
      <c r="GL54" s="10">
        <v>1</v>
      </c>
      <c r="GM54" s="10" t="s">
        <v>82</v>
      </c>
      <c r="GN54" s="10" t="s">
        <v>82</v>
      </c>
      <c r="GO54" s="10" t="s">
        <v>82</v>
      </c>
      <c r="GP54" s="10">
        <v>1</v>
      </c>
      <c r="GQ54" s="10">
        <v>1</v>
      </c>
      <c r="GR54" s="10" t="s">
        <v>82</v>
      </c>
      <c r="GS54" s="10">
        <v>1</v>
      </c>
      <c r="GT54" s="10" t="s">
        <v>82</v>
      </c>
      <c r="GU54" s="10" t="s">
        <v>82</v>
      </c>
      <c r="GV54" s="10" t="s">
        <v>82</v>
      </c>
      <c r="GW54" s="10" t="s">
        <v>82</v>
      </c>
      <c r="GX54" s="10" t="s">
        <v>82</v>
      </c>
      <c r="GY54" s="10" t="s">
        <v>82</v>
      </c>
      <c r="GZ54" s="10" t="s">
        <v>82</v>
      </c>
      <c r="HA54" s="10" t="s">
        <v>82</v>
      </c>
      <c r="HB54" s="10" t="s">
        <v>82</v>
      </c>
      <c r="HC54" s="10" t="s">
        <v>82</v>
      </c>
      <c r="HD54" s="10" t="s">
        <v>82</v>
      </c>
      <c r="HE54" s="10" t="s">
        <v>82</v>
      </c>
      <c r="HF54" s="10" t="s">
        <v>82</v>
      </c>
      <c r="HG54" s="10" t="s">
        <v>82</v>
      </c>
      <c r="HH54" s="10" t="s">
        <v>82</v>
      </c>
      <c r="HI54" s="10" t="s">
        <v>82</v>
      </c>
      <c r="HJ54" s="10" t="s">
        <v>82</v>
      </c>
      <c r="HK54" s="10" t="s">
        <v>82</v>
      </c>
      <c r="HL54" s="10" t="s">
        <v>82</v>
      </c>
      <c r="HM54" s="40" t="s">
        <v>82</v>
      </c>
    </row>
    <row r="55" spans="1:221" s="57" customFormat="1" ht="55.2">
      <c r="A55" s="693"/>
      <c r="B55" s="577" t="s">
        <v>187</v>
      </c>
      <c r="C55" s="387" t="s">
        <v>265</v>
      </c>
      <c r="D55" s="478" t="s">
        <v>188</v>
      </c>
      <c r="E55" s="75" t="s">
        <v>65</v>
      </c>
      <c r="F55" s="75" t="s">
        <v>65</v>
      </c>
      <c r="G55" s="35" t="s">
        <v>65</v>
      </c>
      <c r="H55" s="35" t="s">
        <v>65</v>
      </c>
      <c r="I55" s="35" t="s">
        <v>65</v>
      </c>
      <c r="J55" s="363">
        <f>95*1.09068</f>
        <v>103.61460000000001</v>
      </c>
      <c r="K55" s="608" t="s">
        <v>265</v>
      </c>
      <c r="L55" s="609" t="s">
        <v>265</v>
      </c>
      <c r="M55" s="24" t="s">
        <v>189</v>
      </c>
      <c r="N55" s="53" t="s">
        <v>265</v>
      </c>
      <c r="O55" s="53" t="s">
        <v>558</v>
      </c>
      <c r="P55" s="35" t="s">
        <v>265</v>
      </c>
      <c r="Q55" s="35" t="s">
        <v>265</v>
      </c>
      <c r="R55" s="35">
        <v>8</v>
      </c>
      <c r="S55" s="35">
        <v>12</v>
      </c>
      <c r="T55" s="35" t="s">
        <v>265</v>
      </c>
      <c r="U55" s="54" t="s">
        <v>265</v>
      </c>
      <c r="V55" s="55">
        <v>17.7</v>
      </c>
      <c r="W55" s="479">
        <v>81.900000000000006</v>
      </c>
      <c r="X55" s="479">
        <v>23.5</v>
      </c>
      <c r="Y55" s="479">
        <v>6.55</v>
      </c>
      <c r="Z55" s="41">
        <f t="shared" si="2"/>
        <v>81.900000000000006</v>
      </c>
      <c r="AA55" s="593">
        <f t="shared" si="10"/>
        <v>12606.4575</v>
      </c>
      <c r="AB55" s="54" t="s">
        <v>265</v>
      </c>
      <c r="AC55" s="236">
        <v>2.1</v>
      </c>
      <c r="AD55" s="128">
        <v>3.6</v>
      </c>
      <c r="AE55" s="35" t="s">
        <v>265</v>
      </c>
      <c r="AF55" s="10" t="str">
        <f t="shared" si="3"/>
        <v>N.S</v>
      </c>
      <c r="AG55" s="10">
        <f>0.5*(AC55+AD55)*(18.8+17.4)/1000</f>
        <v>0.10317000000000001</v>
      </c>
      <c r="AH55" s="10">
        <f>2*2.1</f>
        <v>4.2</v>
      </c>
      <c r="AI55" s="10">
        <f t="shared" si="8"/>
        <v>43092</v>
      </c>
      <c r="AJ55" s="56" t="s">
        <v>265</v>
      </c>
      <c r="AK55" s="56" t="s">
        <v>265</v>
      </c>
      <c r="AL55" s="56">
        <f t="shared" si="12"/>
        <v>0.10317000000000001</v>
      </c>
      <c r="AM55" s="56" t="s">
        <v>265</v>
      </c>
      <c r="AN55" s="42">
        <f>IF(AL55="N.S","N.S",AL55*AQ1+IF(AM55="N.S",0,AM55*(1-AQ1)))</f>
        <v>1.0317000000000002E-3</v>
      </c>
      <c r="AO55" s="42" t="s">
        <v>265</v>
      </c>
      <c r="AP55" s="42" t="s">
        <v>265</v>
      </c>
      <c r="AQ55" s="615" t="s">
        <v>265</v>
      </c>
      <c r="AR55" s="611">
        <f t="shared" si="11"/>
        <v>11602.209944751379</v>
      </c>
      <c r="AS55" s="604">
        <f t="shared" si="9"/>
        <v>726.95551032276808</v>
      </c>
      <c r="AT55" s="19" t="s">
        <v>680</v>
      </c>
      <c r="AU55" s="35" t="s">
        <v>265</v>
      </c>
      <c r="AV55" s="35" t="s">
        <v>265</v>
      </c>
      <c r="AW55" s="35">
        <v>8</v>
      </c>
      <c r="AX55" s="35">
        <v>116</v>
      </c>
      <c r="AY55" s="35" t="s">
        <v>265</v>
      </c>
      <c r="AZ55" s="35" t="s">
        <v>265</v>
      </c>
      <c r="BA55" s="388" t="s">
        <v>679</v>
      </c>
      <c r="BB55" s="311" t="s">
        <v>265</v>
      </c>
      <c r="BC55" s="385" t="s">
        <v>265</v>
      </c>
      <c r="BD55" s="388" t="s">
        <v>675</v>
      </c>
      <c r="BE55" s="3" t="s">
        <v>677</v>
      </c>
      <c r="BF55" s="37" t="s">
        <v>265</v>
      </c>
      <c r="BG55" s="4" t="s">
        <v>84</v>
      </c>
      <c r="BH55" s="13" t="s">
        <v>673</v>
      </c>
      <c r="BI55" s="10" t="s">
        <v>644</v>
      </c>
      <c r="BJ55" s="10">
        <v>2442</v>
      </c>
      <c r="BK55" s="10" t="s">
        <v>265</v>
      </c>
      <c r="BL55" s="10">
        <v>-94</v>
      </c>
      <c r="BM55" s="40">
        <v>0</v>
      </c>
      <c r="BN55" s="301" t="s">
        <v>265</v>
      </c>
      <c r="BO55" s="41" t="s">
        <v>265</v>
      </c>
      <c r="BP55" s="129" t="s">
        <v>265</v>
      </c>
      <c r="BQ55" s="55" t="s">
        <v>190</v>
      </c>
      <c r="BR55" s="171"/>
      <c r="BS55" s="55">
        <v>1</v>
      </c>
      <c r="BT55" s="178">
        <f>LOG((BW55-BV55)/0.02,2)</f>
        <v>12.707790495528824</v>
      </c>
      <c r="BU55" s="178">
        <f>LOG((BW55-BV55)/0.8,2)</f>
        <v>7.3858624006414617</v>
      </c>
      <c r="BV55" s="35">
        <v>-10</v>
      </c>
      <c r="BW55" s="54">
        <v>123.8</v>
      </c>
      <c r="BX55" s="295">
        <v>1</v>
      </c>
      <c r="BY55" s="128">
        <f>LOG((CB55-CA55)/0.05,2)</f>
        <v>10.965784284662087</v>
      </c>
      <c r="BZ55" s="128">
        <f>LOG((CB55-CA55)/6,2)</f>
        <v>4.0588936890535683</v>
      </c>
      <c r="CA55" s="10">
        <v>0</v>
      </c>
      <c r="CB55" s="40">
        <v>100</v>
      </c>
      <c r="CC55" s="55">
        <v>0</v>
      </c>
      <c r="CD55" s="35">
        <v>0</v>
      </c>
      <c r="CE55" s="178"/>
      <c r="CF55" s="178"/>
      <c r="CG55" s="178"/>
      <c r="CH55" s="178"/>
      <c r="CI55" s="178"/>
      <c r="CJ55" s="178"/>
      <c r="CK55" s="178"/>
      <c r="CL55" s="178"/>
      <c r="CM55" s="193"/>
      <c r="CN55" s="55">
        <v>0</v>
      </c>
      <c r="CO55" s="35">
        <v>0</v>
      </c>
      <c r="CP55" s="35"/>
      <c r="CQ55" s="35"/>
      <c r="CR55" s="35"/>
      <c r="CS55" s="35"/>
      <c r="CT55" s="35"/>
      <c r="CU55" s="35"/>
      <c r="CV55" s="35"/>
      <c r="CW55" s="35"/>
      <c r="CX55" s="193"/>
      <c r="CY55" s="4">
        <v>0</v>
      </c>
      <c r="CZ55" s="10">
        <v>0</v>
      </c>
      <c r="DA55" s="35"/>
      <c r="DB55" s="35"/>
      <c r="DC55" s="35"/>
      <c r="DD55" s="35"/>
      <c r="DE55" s="35"/>
      <c r="DF55" s="35"/>
      <c r="DG55" s="35"/>
      <c r="DH55" s="35"/>
      <c r="DI55" s="193"/>
      <c r="DJ55" s="4">
        <v>0</v>
      </c>
      <c r="DK55" s="178"/>
      <c r="DL55" s="178"/>
      <c r="DM55" s="35"/>
      <c r="DN55" s="54"/>
      <c r="DO55" s="4">
        <v>0</v>
      </c>
      <c r="DP55" s="35"/>
      <c r="DQ55" s="178"/>
      <c r="DR55" s="35"/>
      <c r="DS55" s="54"/>
      <c r="DT55" s="4">
        <v>0</v>
      </c>
      <c r="DU55" s="35"/>
      <c r="DV55" s="35"/>
      <c r="DW55" s="35"/>
      <c r="DX55" s="54"/>
      <c r="DY55" s="4">
        <v>0</v>
      </c>
      <c r="DZ55" s="35"/>
      <c r="EA55" s="35"/>
      <c r="EB55" s="35"/>
      <c r="EC55" s="54"/>
      <c r="ED55" s="4">
        <v>0</v>
      </c>
      <c r="EE55" s="35"/>
      <c r="EF55" s="35"/>
      <c r="EG55" s="35"/>
      <c r="EH55" s="54"/>
      <c r="EI55" s="4">
        <v>0</v>
      </c>
      <c r="EJ55" s="35"/>
      <c r="EK55" s="35"/>
      <c r="EL55" s="35"/>
      <c r="EM55" s="54"/>
      <c r="EN55" s="4">
        <v>0</v>
      </c>
      <c r="EO55" s="35"/>
      <c r="EP55" s="35"/>
      <c r="EQ55" s="35"/>
      <c r="ER55" s="54"/>
      <c r="ES55" s="4">
        <v>0</v>
      </c>
      <c r="ET55" s="35"/>
      <c r="EU55" s="35"/>
      <c r="EV55" s="35"/>
      <c r="EW55" s="54"/>
      <c r="EX55" s="4">
        <v>0</v>
      </c>
      <c r="EY55" s="35"/>
      <c r="EZ55" s="35"/>
      <c r="FA55" s="35"/>
      <c r="FB55" s="54"/>
      <c r="FC55" s="4">
        <v>0</v>
      </c>
      <c r="FD55" s="35"/>
      <c r="FE55" s="35"/>
      <c r="FF55" s="35"/>
      <c r="FG55" s="54"/>
      <c r="FH55" s="4">
        <v>0</v>
      </c>
      <c r="FI55" s="35"/>
      <c r="FJ55" s="35"/>
      <c r="FK55" s="35"/>
      <c r="FL55" s="54"/>
      <c r="FM55" s="4">
        <v>0</v>
      </c>
      <c r="FN55" s="35"/>
      <c r="FO55" s="35"/>
      <c r="FP55" s="35"/>
      <c r="FQ55" s="54"/>
      <c r="FR55" s="4">
        <v>0</v>
      </c>
      <c r="FS55" s="35"/>
      <c r="FT55" s="35"/>
      <c r="FU55" s="35"/>
      <c r="FV55" s="54"/>
      <c r="FW55" s="4">
        <v>0</v>
      </c>
      <c r="FX55" s="35"/>
      <c r="FY55" s="35"/>
      <c r="FZ55" s="35"/>
      <c r="GA55" s="54"/>
      <c r="GB55" s="55"/>
      <c r="GC55" s="35"/>
      <c r="GD55" s="35"/>
      <c r="GE55" s="35"/>
      <c r="GF55" s="54"/>
      <c r="GG55" s="10">
        <f t="shared" si="5"/>
        <v>1</v>
      </c>
      <c r="GH55" s="10" t="str">
        <f t="shared" si="6"/>
        <v/>
      </c>
      <c r="GI55" s="37" t="str">
        <f t="shared" si="7"/>
        <v/>
      </c>
      <c r="GJ55" s="4" t="s">
        <v>82</v>
      </c>
      <c r="GK55" s="10" t="s">
        <v>82</v>
      </c>
      <c r="GL55" s="10">
        <v>1</v>
      </c>
      <c r="GM55" s="10" t="s">
        <v>82</v>
      </c>
      <c r="GN55" s="10" t="s">
        <v>82</v>
      </c>
      <c r="GO55" s="10" t="s">
        <v>82</v>
      </c>
      <c r="GP55" s="10">
        <v>1</v>
      </c>
      <c r="GQ55" s="10">
        <v>1</v>
      </c>
      <c r="GR55" s="10" t="s">
        <v>82</v>
      </c>
      <c r="GS55" s="10" t="s">
        <v>82</v>
      </c>
      <c r="GT55" s="10" t="s">
        <v>82</v>
      </c>
      <c r="GU55" s="10" t="s">
        <v>82</v>
      </c>
      <c r="GV55" s="10" t="s">
        <v>82</v>
      </c>
      <c r="GW55" s="10" t="s">
        <v>82</v>
      </c>
      <c r="GX55" s="10" t="s">
        <v>82</v>
      </c>
      <c r="GY55" s="10" t="s">
        <v>82</v>
      </c>
      <c r="GZ55" s="10" t="s">
        <v>82</v>
      </c>
      <c r="HA55" s="10" t="s">
        <v>82</v>
      </c>
      <c r="HB55" s="10" t="s">
        <v>82</v>
      </c>
      <c r="HC55" s="10" t="s">
        <v>82</v>
      </c>
      <c r="HD55" s="10" t="s">
        <v>82</v>
      </c>
      <c r="HE55" s="10" t="s">
        <v>82</v>
      </c>
      <c r="HF55" s="10" t="s">
        <v>82</v>
      </c>
      <c r="HG55" s="10" t="s">
        <v>82</v>
      </c>
      <c r="HH55" s="10" t="s">
        <v>82</v>
      </c>
      <c r="HI55" s="10" t="s">
        <v>82</v>
      </c>
      <c r="HJ55" s="10" t="s">
        <v>82</v>
      </c>
      <c r="HK55" s="10" t="s">
        <v>82</v>
      </c>
      <c r="HL55" s="10" t="s">
        <v>82</v>
      </c>
      <c r="HM55" s="40" t="s">
        <v>82</v>
      </c>
    </row>
    <row r="56" spans="1:221" s="73" customFormat="1" ht="82.8">
      <c r="A56" s="693"/>
      <c r="B56" s="35" t="s">
        <v>2</v>
      </c>
      <c r="C56" s="385" t="s">
        <v>3</v>
      </c>
      <c r="D56" s="479" t="s">
        <v>182</v>
      </c>
      <c r="E56" s="52" t="s">
        <v>65</v>
      </c>
      <c r="F56" s="35" t="s">
        <v>65</v>
      </c>
      <c r="G56" s="35" t="s">
        <v>65</v>
      </c>
      <c r="H56" s="35" t="s">
        <v>65</v>
      </c>
      <c r="I56" s="35" t="s">
        <v>65</v>
      </c>
      <c r="J56" s="363">
        <v>399</v>
      </c>
      <c r="K56" s="608" t="s">
        <v>265</v>
      </c>
      <c r="L56" s="609" t="s">
        <v>265</v>
      </c>
      <c r="M56" s="24" t="s">
        <v>1003</v>
      </c>
      <c r="N56" s="35" t="s">
        <v>265</v>
      </c>
      <c r="O56" s="35" t="s">
        <v>558</v>
      </c>
      <c r="P56" s="35" t="s">
        <v>265</v>
      </c>
      <c r="Q56" s="35">
        <v>6</v>
      </c>
      <c r="R56" s="35" t="s">
        <v>265</v>
      </c>
      <c r="S56" s="35">
        <v>10</v>
      </c>
      <c r="T56" s="35" t="s">
        <v>265</v>
      </c>
      <c r="U56" s="54" t="s">
        <v>265</v>
      </c>
      <c r="V56" s="55">
        <v>54</v>
      </c>
      <c r="W56" s="479">
        <v>70</v>
      </c>
      <c r="X56" s="479">
        <v>41</v>
      </c>
      <c r="Y56" s="479">
        <v>23</v>
      </c>
      <c r="Z56" s="41">
        <f t="shared" si="2"/>
        <v>70</v>
      </c>
      <c r="AA56" s="593">
        <f t="shared" si="10"/>
        <v>66010</v>
      </c>
      <c r="AB56" s="54" t="s">
        <v>265</v>
      </c>
      <c r="AC56" s="233">
        <v>3.7</v>
      </c>
      <c r="AD56" s="178">
        <v>3.7</v>
      </c>
      <c r="AE56" s="56">
        <v>100</v>
      </c>
      <c r="AF56" s="10">
        <f t="shared" si="3"/>
        <v>0.37</v>
      </c>
      <c r="AG56" s="56" t="s">
        <v>265</v>
      </c>
      <c r="AH56" s="35">
        <v>0.77</v>
      </c>
      <c r="AI56" s="10">
        <f t="shared" si="8"/>
        <v>10256.400000000001</v>
      </c>
      <c r="AJ56" s="56" t="s">
        <v>265</v>
      </c>
      <c r="AK56" s="56" t="s">
        <v>265</v>
      </c>
      <c r="AL56" s="56">
        <f t="shared" si="12"/>
        <v>0.37</v>
      </c>
      <c r="AM56" s="56">
        <f>0.5*(AC56+AD56)*0.00065</f>
        <v>2.405E-3</v>
      </c>
      <c r="AN56" s="42">
        <f>IF(AL56="N.S","N.S",AL56*AQ1+IF(AM56="N.S",0,AM56*(1-AQ1)))</f>
        <v>6.0809499999999999E-3</v>
      </c>
      <c r="AO56" s="42" t="s">
        <v>265</v>
      </c>
      <c r="AP56" s="42" t="s">
        <v>265</v>
      </c>
      <c r="AQ56" s="615" t="s">
        <v>265</v>
      </c>
      <c r="AR56" s="611">
        <f t="shared" ref="AR56:AR78" si="13">IF(AN56="N.S","N.S",IF(AI56="N.S","N.S",AI56/(AN56*3600)))</f>
        <v>468.51232126559177</v>
      </c>
      <c r="AS56" s="604">
        <f t="shared" si="9"/>
        <v>123.33599190915893</v>
      </c>
      <c r="AT56" s="25" t="s">
        <v>682</v>
      </c>
      <c r="AU56" s="35">
        <v>32</v>
      </c>
      <c r="AV56" s="35" t="s">
        <v>265</v>
      </c>
      <c r="AW56" s="35">
        <f>1000/8</f>
        <v>125</v>
      </c>
      <c r="AX56" s="35">
        <f>8000/8</f>
        <v>1000</v>
      </c>
      <c r="AY56" s="35" t="s">
        <v>265</v>
      </c>
      <c r="AZ56" s="35" t="s">
        <v>265</v>
      </c>
      <c r="BA56" s="385" t="s">
        <v>590</v>
      </c>
      <c r="BB56" s="311">
        <v>400</v>
      </c>
      <c r="BC56" s="385" t="s">
        <v>265</v>
      </c>
      <c r="BD56" s="387" t="s">
        <v>683</v>
      </c>
      <c r="BE56" s="24" t="s">
        <v>265</v>
      </c>
      <c r="BF56" s="385" t="s">
        <v>654</v>
      </c>
      <c r="BG56" s="55" t="s">
        <v>84</v>
      </c>
      <c r="BH56" s="53" t="s">
        <v>681</v>
      </c>
      <c r="BI56" s="35" t="s">
        <v>644</v>
      </c>
      <c r="BJ56" s="35">
        <v>2400</v>
      </c>
      <c r="BK56" s="35" t="s">
        <v>265</v>
      </c>
      <c r="BL56" s="10">
        <v>-94</v>
      </c>
      <c r="BM56" s="40">
        <v>0</v>
      </c>
      <c r="BN56" s="301" t="s">
        <v>265</v>
      </c>
      <c r="BO56" s="41" t="s">
        <v>265</v>
      </c>
      <c r="BP56" s="129" t="s">
        <v>265</v>
      </c>
      <c r="BQ56" s="55"/>
      <c r="BR56" s="174" t="s">
        <v>684</v>
      </c>
      <c r="BS56" s="55">
        <v>0</v>
      </c>
      <c r="BT56" s="178"/>
      <c r="BU56" s="178"/>
      <c r="BV56" s="35"/>
      <c r="BW56" s="54"/>
      <c r="BX56" s="36">
        <v>0</v>
      </c>
      <c r="BY56" s="178"/>
      <c r="BZ56" s="178"/>
      <c r="CA56" s="35"/>
      <c r="CB56" s="54"/>
      <c r="CC56" s="55">
        <v>0</v>
      </c>
      <c r="CD56" s="35">
        <v>1</v>
      </c>
      <c r="CE56" s="178">
        <v>2</v>
      </c>
      <c r="CF56" s="178">
        <v>4</v>
      </c>
      <c r="CG56" s="178">
        <v>8</v>
      </c>
      <c r="CH56" s="178"/>
      <c r="CI56" s="178"/>
      <c r="CJ56" s="178"/>
      <c r="CK56" s="178"/>
      <c r="CL56" s="178"/>
      <c r="CM56" s="193"/>
      <c r="CN56" s="55">
        <v>0</v>
      </c>
      <c r="CO56" s="35">
        <v>0</v>
      </c>
      <c r="CP56" s="35"/>
      <c r="CQ56" s="35"/>
      <c r="CR56" s="35"/>
      <c r="CS56" s="35"/>
      <c r="CT56" s="35"/>
      <c r="CU56" s="35"/>
      <c r="CV56" s="35"/>
      <c r="CW56" s="35"/>
      <c r="CX56" s="193"/>
      <c r="CY56" s="4">
        <v>0</v>
      </c>
      <c r="CZ56" s="10">
        <v>0</v>
      </c>
      <c r="DA56" s="35"/>
      <c r="DB56" s="35"/>
      <c r="DC56" s="35"/>
      <c r="DD56" s="35"/>
      <c r="DE56" s="35"/>
      <c r="DF56" s="35"/>
      <c r="DG56" s="35"/>
      <c r="DH56" s="35"/>
      <c r="DI56" s="193"/>
      <c r="DJ56" s="4">
        <v>0</v>
      </c>
      <c r="DK56" s="178"/>
      <c r="DL56" s="178"/>
      <c r="DM56" s="35"/>
      <c r="DN56" s="54"/>
      <c r="DO56" s="4">
        <v>0</v>
      </c>
      <c r="DP56" s="35"/>
      <c r="DQ56" s="178"/>
      <c r="DR56" s="35"/>
      <c r="DS56" s="54"/>
      <c r="DT56" s="4">
        <v>0</v>
      </c>
      <c r="DU56" s="35"/>
      <c r="DV56" s="35"/>
      <c r="DW56" s="35"/>
      <c r="DX56" s="54"/>
      <c r="DY56" s="4">
        <v>0</v>
      </c>
      <c r="DZ56" s="35"/>
      <c r="EA56" s="35"/>
      <c r="EB56" s="35"/>
      <c r="EC56" s="54"/>
      <c r="ED56" s="4">
        <v>0</v>
      </c>
      <c r="EE56" s="35"/>
      <c r="EF56" s="35"/>
      <c r="EG56" s="35"/>
      <c r="EH56" s="54"/>
      <c r="EI56" s="4">
        <v>0</v>
      </c>
      <c r="EJ56" s="35"/>
      <c r="EK56" s="35"/>
      <c r="EL56" s="35"/>
      <c r="EM56" s="54"/>
      <c r="EN56" s="4">
        <v>0</v>
      </c>
      <c r="EO56" s="35"/>
      <c r="EP56" s="35"/>
      <c r="EQ56" s="35"/>
      <c r="ER56" s="54"/>
      <c r="ES56" s="4">
        <v>0</v>
      </c>
      <c r="ET56" s="35"/>
      <c r="EU56" s="35"/>
      <c r="EV56" s="35"/>
      <c r="EW56" s="54"/>
      <c r="EX56" s="4">
        <v>0</v>
      </c>
      <c r="EY56" s="35"/>
      <c r="EZ56" s="35"/>
      <c r="FA56" s="35"/>
      <c r="FB56" s="54"/>
      <c r="FC56" s="4">
        <v>0</v>
      </c>
      <c r="FD56" s="35"/>
      <c r="FE56" s="35"/>
      <c r="FF56" s="35"/>
      <c r="FG56" s="54"/>
      <c r="FH56" s="4">
        <v>0</v>
      </c>
      <c r="FI56" s="35"/>
      <c r="FJ56" s="35"/>
      <c r="FK56" s="35"/>
      <c r="FL56" s="54"/>
      <c r="FM56" s="4">
        <v>0</v>
      </c>
      <c r="FN56" s="35"/>
      <c r="FO56" s="35"/>
      <c r="FP56" s="35"/>
      <c r="FQ56" s="54"/>
      <c r="FR56" s="4">
        <v>0</v>
      </c>
      <c r="FS56" s="35"/>
      <c r="FT56" s="35"/>
      <c r="FU56" s="35"/>
      <c r="FV56" s="54"/>
      <c r="FW56" s="4">
        <v>0</v>
      </c>
      <c r="FX56" s="35"/>
      <c r="FY56" s="35"/>
      <c r="FZ56" s="35"/>
      <c r="GA56" s="54"/>
      <c r="GB56" s="55"/>
      <c r="GC56" s="35"/>
      <c r="GD56" s="35"/>
      <c r="GE56" s="35"/>
      <c r="GF56" s="54"/>
      <c r="GG56" s="10">
        <f t="shared" si="5"/>
        <v>1</v>
      </c>
      <c r="GH56" s="10" t="str">
        <f t="shared" si="6"/>
        <v/>
      </c>
      <c r="GI56" s="37" t="str">
        <f t="shared" si="7"/>
        <v/>
      </c>
      <c r="GJ56" s="4" t="s">
        <v>82</v>
      </c>
      <c r="GK56" s="10" t="s">
        <v>82</v>
      </c>
      <c r="GL56" s="10" t="s">
        <v>82</v>
      </c>
      <c r="GM56" s="10" t="s">
        <v>82</v>
      </c>
      <c r="GN56" s="10" t="s">
        <v>82</v>
      </c>
      <c r="GO56" s="10">
        <v>1</v>
      </c>
      <c r="GP56" s="10">
        <v>1</v>
      </c>
      <c r="GQ56" s="10">
        <v>1</v>
      </c>
      <c r="GR56" s="10" t="s">
        <v>82</v>
      </c>
      <c r="GS56" s="10">
        <v>1</v>
      </c>
      <c r="GT56" s="10" t="s">
        <v>82</v>
      </c>
      <c r="GU56" s="10" t="s">
        <v>82</v>
      </c>
      <c r="GV56" s="10" t="s">
        <v>82</v>
      </c>
      <c r="GW56" s="10" t="s">
        <v>82</v>
      </c>
      <c r="GX56" s="10" t="s">
        <v>82</v>
      </c>
      <c r="GY56" s="10" t="s">
        <v>82</v>
      </c>
      <c r="GZ56" s="10" t="s">
        <v>82</v>
      </c>
      <c r="HA56" s="10" t="s">
        <v>82</v>
      </c>
      <c r="HB56" s="10" t="s">
        <v>82</v>
      </c>
      <c r="HC56" s="10" t="s">
        <v>82</v>
      </c>
      <c r="HD56" s="10" t="s">
        <v>82</v>
      </c>
      <c r="HE56" s="10" t="s">
        <v>82</v>
      </c>
      <c r="HF56" s="10" t="s">
        <v>82</v>
      </c>
      <c r="HG56" s="10" t="s">
        <v>82</v>
      </c>
      <c r="HH56" s="10" t="s">
        <v>82</v>
      </c>
      <c r="HI56" s="10" t="s">
        <v>82</v>
      </c>
      <c r="HJ56" s="10" t="s">
        <v>82</v>
      </c>
      <c r="HK56" s="10" t="s">
        <v>82</v>
      </c>
      <c r="HL56" s="10" t="s">
        <v>82</v>
      </c>
      <c r="HM56" s="40" t="s">
        <v>82</v>
      </c>
    </row>
    <row r="57" spans="1:221" s="73" customFormat="1" ht="27.6">
      <c r="A57" s="693"/>
      <c r="B57" s="35" t="s">
        <v>4</v>
      </c>
      <c r="C57" s="701" t="s">
        <v>226</v>
      </c>
      <c r="D57" s="708" t="s">
        <v>978</v>
      </c>
      <c r="E57" s="52" t="s">
        <v>65</v>
      </c>
      <c r="F57" s="52" t="s">
        <v>124</v>
      </c>
      <c r="G57" s="35" t="s">
        <v>65</v>
      </c>
      <c r="H57" s="35" t="s">
        <v>65</v>
      </c>
      <c r="I57" s="35" t="s">
        <v>65</v>
      </c>
      <c r="J57" s="623">
        <v>58</v>
      </c>
      <c r="K57" s="608">
        <v>3</v>
      </c>
      <c r="L57" s="609">
        <v>2008</v>
      </c>
      <c r="M57" s="55" t="s">
        <v>207</v>
      </c>
      <c r="N57" s="35" t="s">
        <v>265</v>
      </c>
      <c r="O57" s="35" t="s">
        <v>558</v>
      </c>
      <c r="P57" s="35" t="s">
        <v>265</v>
      </c>
      <c r="Q57" s="35" t="s">
        <v>265</v>
      </c>
      <c r="R57" s="35" t="s">
        <v>265</v>
      </c>
      <c r="S57" s="35" t="s">
        <v>265</v>
      </c>
      <c r="T57" s="35" t="s">
        <v>265</v>
      </c>
      <c r="U57" s="54" t="s">
        <v>265</v>
      </c>
      <c r="V57" s="55">
        <v>31</v>
      </c>
      <c r="W57" s="479">
        <f>1.16*25.4</f>
        <v>29.463999999999995</v>
      </c>
      <c r="X57" s="479">
        <f>3.17*25.4</f>
        <v>80.518000000000001</v>
      </c>
      <c r="Y57" s="479">
        <f>0.43*25.4</f>
        <v>10.921999999999999</v>
      </c>
      <c r="Z57" s="41">
        <f t="shared" si="2"/>
        <v>80.518000000000001</v>
      </c>
      <c r="AA57" s="593">
        <f t="shared" si="10"/>
        <v>25911.160048543992</v>
      </c>
      <c r="AB57" s="54" t="s">
        <v>265</v>
      </c>
      <c r="AC57" s="233">
        <v>3</v>
      </c>
      <c r="AD57" s="178">
        <v>3</v>
      </c>
      <c r="AE57" s="56" t="s">
        <v>265</v>
      </c>
      <c r="AF57" s="10" t="str">
        <f t="shared" si="3"/>
        <v>N.S</v>
      </c>
      <c r="AG57" s="56" t="s">
        <v>265</v>
      </c>
      <c r="AH57" s="35">
        <f>2*3</f>
        <v>6</v>
      </c>
      <c r="AI57" s="10">
        <f t="shared" si="8"/>
        <v>64800</v>
      </c>
      <c r="AJ57" s="56" t="s">
        <v>265</v>
      </c>
      <c r="AK57" s="56" t="s">
        <v>84</v>
      </c>
      <c r="AL57" s="56" t="str">
        <f t="shared" si="12"/>
        <v>N.S</v>
      </c>
      <c r="AM57" s="56">
        <f>AC57*0.0000007</f>
        <v>2.0999999999999998E-6</v>
      </c>
      <c r="AN57" s="42" t="str">
        <f>IF(AL57="N.S","N.S",AL57*AQ1+IF(AM57="N.S",0,AM57*(1-AQ1)))</f>
        <v>N.S</v>
      </c>
      <c r="AO57" s="42" t="s">
        <v>265</v>
      </c>
      <c r="AP57" s="42" t="s">
        <v>265</v>
      </c>
      <c r="AQ57" s="615" t="s">
        <v>265</v>
      </c>
      <c r="AR57" s="611" t="str">
        <f t="shared" si="13"/>
        <v>N.S</v>
      </c>
      <c r="AS57" s="604" t="str">
        <f t="shared" si="9"/>
        <v>N.S</v>
      </c>
      <c r="AT57" s="25" t="s">
        <v>570</v>
      </c>
      <c r="AU57" s="35" t="s">
        <v>265</v>
      </c>
      <c r="AV57" s="35" t="s">
        <v>265</v>
      </c>
      <c r="AW57" s="35" t="s">
        <v>265</v>
      </c>
      <c r="AX57" s="35" t="s">
        <v>265</v>
      </c>
      <c r="AY57" s="35" t="s">
        <v>265</v>
      </c>
      <c r="AZ57" s="35" t="s">
        <v>265</v>
      </c>
      <c r="BA57" s="385" t="s">
        <v>265</v>
      </c>
      <c r="BB57" s="311" t="s">
        <v>265</v>
      </c>
      <c r="BC57" s="385" t="s">
        <v>265</v>
      </c>
      <c r="BD57" s="387" t="s">
        <v>840</v>
      </c>
      <c r="BE57" s="24" t="s">
        <v>265</v>
      </c>
      <c r="BF57" s="385" t="s">
        <v>265</v>
      </c>
      <c r="BG57" s="55" t="s">
        <v>84</v>
      </c>
      <c r="BH57" s="53" t="s">
        <v>703</v>
      </c>
      <c r="BI57" s="35" t="s">
        <v>839</v>
      </c>
      <c r="BJ57" s="35">
        <v>2400</v>
      </c>
      <c r="BK57" s="35" t="s">
        <v>265</v>
      </c>
      <c r="BL57" s="35" t="s">
        <v>265</v>
      </c>
      <c r="BM57" s="54" t="s">
        <v>265</v>
      </c>
      <c r="BN57" s="301" t="s">
        <v>265</v>
      </c>
      <c r="BO57" s="41" t="s">
        <v>265</v>
      </c>
      <c r="BP57" s="129" t="s">
        <v>265</v>
      </c>
      <c r="BQ57" s="55"/>
      <c r="BR57" s="171"/>
      <c r="BS57" s="55">
        <v>1</v>
      </c>
      <c r="BT57" s="178"/>
      <c r="BU57" s="178"/>
      <c r="BV57" s="35"/>
      <c r="BW57" s="54"/>
      <c r="BX57" s="36">
        <v>0</v>
      </c>
      <c r="BY57" s="178"/>
      <c r="BZ57" s="178"/>
      <c r="CA57" s="35"/>
      <c r="CB57" s="54"/>
      <c r="CC57" s="55">
        <v>0</v>
      </c>
      <c r="CD57" s="35">
        <v>0</v>
      </c>
      <c r="CE57" s="178"/>
      <c r="CF57" s="178"/>
      <c r="CG57" s="178"/>
      <c r="CH57" s="178"/>
      <c r="CI57" s="178"/>
      <c r="CJ57" s="178"/>
      <c r="CK57" s="178"/>
      <c r="CL57" s="178"/>
      <c r="CM57" s="193"/>
      <c r="CN57" s="55">
        <v>0</v>
      </c>
      <c r="CO57" s="35">
        <v>0</v>
      </c>
      <c r="CP57" s="35"/>
      <c r="CQ57" s="35"/>
      <c r="CR57" s="35"/>
      <c r="CS57" s="35"/>
      <c r="CT57" s="35"/>
      <c r="CU57" s="35"/>
      <c r="CV57" s="35"/>
      <c r="CW57" s="35"/>
      <c r="CX57" s="193"/>
      <c r="CY57" s="4">
        <v>0</v>
      </c>
      <c r="CZ57" s="10">
        <v>0</v>
      </c>
      <c r="DA57" s="35"/>
      <c r="DB57" s="35"/>
      <c r="DC57" s="35"/>
      <c r="DD57" s="35"/>
      <c r="DE57" s="35"/>
      <c r="DF57" s="35"/>
      <c r="DG57" s="35"/>
      <c r="DH57" s="35"/>
      <c r="DI57" s="193"/>
      <c r="DJ57" s="4">
        <v>0</v>
      </c>
      <c r="DK57" s="178"/>
      <c r="DL57" s="178"/>
      <c r="DM57" s="35"/>
      <c r="DN57" s="54"/>
      <c r="DO57" s="4">
        <v>0</v>
      </c>
      <c r="DP57" s="35"/>
      <c r="DQ57" s="178"/>
      <c r="DR57" s="35"/>
      <c r="DS57" s="54"/>
      <c r="DT57" s="4">
        <v>0</v>
      </c>
      <c r="DU57" s="35"/>
      <c r="DV57" s="35"/>
      <c r="DW57" s="35"/>
      <c r="DX57" s="54"/>
      <c r="DY57" s="4">
        <v>0</v>
      </c>
      <c r="DZ57" s="35"/>
      <c r="EA57" s="35"/>
      <c r="EB57" s="35"/>
      <c r="EC57" s="54"/>
      <c r="ED57" s="4">
        <v>0</v>
      </c>
      <c r="EE57" s="35"/>
      <c r="EF57" s="35"/>
      <c r="EG57" s="35"/>
      <c r="EH57" s="54"/>
      <c r="EI57" s="4">
        <v>1</v>
      </c>
      <c r="EJ57" s="35"/>
      <c r="EK57" s="35"/>
      <c r="EL57" s="35"/>
      <c r="EM57" s="54"/>
      <c r="EN57" s="4">
        <v>0</v>
      </c>
      <c r="EO57" s="35"/>
      <c r="EP57" s="35"/>
      <c r="EQ57" s="35"/>
      <c r="ER57" s="54"/>
      <c r="ES57" s="4">
        <v>0</v>
      </c>
      <c r="ET57" s="35"/>
      <c r="EU57" s="35"/>
      <c r="EV57" s="35"/>
      <c r="EW57" s="54"/>
      <c r="EX57" s="4">
        <v>0</v>
      </c>
      <c r="EY57" s="35"/>
      <c r="EZ57" s="35"/>
      <c r="FA57" s="35"/>
      <c r="FB57" s="54"/>
      <c r="FC57" s="4">
        <v>0</v>
      </c>
      <c r="FD57" s="35"/>
      <c r="FE57" s="35"/>
      <c r="FF57" s="35"/>
      <c r="FG57" s="54"/>
      <c r="FH57" s="4">
        <v>0</v>
      </c>
      <c r="FI57" s="35"/>
      <c r="FJ57" s="35"/>
      <c r="FK57" s="35"/>
      <c r="FL57" s="54"/>
      <c r="FM57" s="4">
        <v>0</v>
      </c>
      <c r="FN57" s="35"/>
      <c r="FO57" s="35"/>
      <c r="FP57" s="35"/>
      <c r="FQ57" s="54"/>
      <c r="FR57" s="4">
        <v>0</v>
      </c>
      <c r="FS57" s="35"/>
      <c r="FT57" s="35"/>
      <c r="FU57" s="35"/>
      <c r="FV57" s="54"/>
      <c r="FW57" s="4">
        <v>0</v>
      </c>
      <c r="FX57" s="35"/>
      <c r="FY57" s="35"/>
      <c r="FZ57" s="35"/>
      <c r="GA57" s="54"/>
      <c r="GB57" s="55"/>
      <c r="GC57" s="35"/>
      <c r="GD57" s="35"/>
      <c r="GE57" s="35"/>
      <c r="GF57" s="54"/>
      <c r="GG57" s="10">
        <f t="shared" si="5"/>
        <v>1</v>
      </c>
      <c r="GH57" s="10" t="str">
        <f t="shared" si="6"/>
        <v/>
      </c>
      <c r="GI57" s="37" t="str">
        <f t="shared" si="7"/>
        <v/>
      </c>
      <c r="GJ57" s="4" t="s">
        <v>82</v>
      </c>
      <c r="GK57" s="10" t="s">
        <v>82</v>
      </c>
      <c r="GL57" s="10" t="s">
        <v>82</v>
      </c>
      <c r="GM57" s="10" t="s">
        <v>82</v>
      </c>
      <c r="GN57" s="10" t="s">
        <v>82</v>
      </c>
      <c r="GO57" s="10" t="s">
        <v>82</v>
      </c>
      <c r="GP57" s="10">
        <v>1</v>
      </c>
      <c r="GQ57" s="10" t="s">
        <v>82</v>
      </c>
      <c r="GR57" s="10" t="s">
        <v>82</v>
      </c>
      <c r="GS57" s="10">
        <v>1</v>
      </c>
      <c r="GT57" s="10" t="s">
        <v>82</v>
      </c>
      <c r="GU57" s="10" t="s">
        <v>82</v>
      </c>
      <c r="GV57" s="10" t="s">
        <v>82</v>
      </c>
      <c r="GW57" s="10" t="s">
        <v>82</v>
      </c>
      <c r="GX57" s="10" t="s">
        <v>82</v>
      </c>
      <c r="GY57" s="10" t="s">
        <v>82</v>
      </c>
      <c r="GZ57" s="10" t="s">
        <v>82</v>
      </c>
      <c r="HA57" s="10" t="s">
        <v>82</v>
      </c>
      <c r="HB57" s="10" t="s">
        <v>82</v>
      </c>
      <c r="HC57" s="10" t="s">
        <v>82</v>
      </c>
      <c r="HD57" s="10" t="s">
        <v>82</v>
      </c>
      <c r="HE57" s="10" t="s">
        <v>82</v>
      </c>
      <c r="HF57" s="10" t="s">
        <v>82</v>
      </c>
      <c r="HG57" s="10" t="s">
        <v>82</v>
      </c>
      <c r="HH57" s="10" t="s">
        <v>82</v>
      </c>
      <c r="HI57" s="10" t="s">
        <v>82</v>
      </c>
      <c r="HJ57" s="10" t="s">
        <v>82</v>
      </c>
      <c r="HK57" s="10" t="s">
        <v>82</v>
      </c>
      <c r="HL57" s="10" t="s">
        <v>82</v>
      </c>
      <c r="HM57" s="40" t="s">
        <v>82</v>
      </c>
    </row>
    <row r="58" spans="1:221" s="73" customFormat="1" ht="15" customHeight="1">
      <c r="A58" s="693"/>
      <c r="B58" s="35" t="s">
        <v>5</v>
      </c>
      <c r="C58" s="702"/>
      <c r="D58" s="709"/>
      <c r="E58" s="75" t="s">
        <v>65</v>
      </c>
      <c r="F58" s="75" t="s">
        <v>124</v>
      </c>
      <c r="G58" s="35" t="s">
        <v>65</v>
      </c>
      <c r="H58" s="35" t="s">
        <v>65</v>
      </c>
      <c r="I58" s="35" t="s">
        <v>65</v>
      </c>
      <c r="J58" s="363">
        <v>58</v>
      </c>
      <c r="K58" s="608">
        <v>9</v>
      </c>
      <c r="L58" s="609">
        <v>2007</v>
      </c>
      <c r="M58" s="55" t="s">
        <v>106</v>
      </c>
      <c r="N58" s="35" t="s">
        <v>265</v>
      </c>
      <c r="O58" s="35" t="s">
        <v>558</v>
      </c>
      <c r="P58" s="35" t="s">
        <v>265</v>
      </c>
      <c r="Q58" s="35" t="s">
        <v>265</v>
      </c>
      <c r="R58" s="35">
        <v>1</v>
      </c>
      <c r="S58" s="35">
        <v>10</v>
      </c>
      <c r="T58" s="35" t="s">
        <v>265</v>
      </c>
      <c r="U58" s="54" t="s">
        <v>265</v>
      </c>
      <c r="V58" s="55">
        <v>31</v>
      </c>
      <c r="W58" s="479">
        <f>1.16*25.4</f>
        <v>29.463999999999995</v>
      </c>
      <c r="X58" s="479">
        <f>3.17*25.4</f>
        <v>80.518000000000001</v>
      </c>
      <c r="Y58" s="479">
        <f>0.43*25.4</f>
        <v>10.921999999999999</v>
      </c>
      <c r="Z58" s="41">
        <f t="shared" si="2"/>
        <v>80.518000000000001</v>
      </c>
      <c r="AA58" s="593">
        <f t="shared" si="10"/>
        <v>25911.160048543992</v>
      </c>
      <c r="AB58" s="54" t="s">
        <v>265</v>
      </c>
      <c r="AC58" s="233">
        <v>1.8</v>
      </c>
      <c r="AD58" s="178">
        <v>3.6</v>
      </c>
      <c r="AE58" s="56">
        <v>0.39</v>
      </c>
      <c r="AF58" s="10">
        <f t="shared" si="3"/>
        <v>1.0530000000000001E-3</v>
      </c>
      <c r="AG58" s="56">
        <f>37.8*0.001*(AC58+AD58)/2</f>
        <v>0.10206000000000001</v>
      </c>
      <c r="AH58" s="35">
        <f>2*3</f>
        <v>6</v>
      </c>
      <c r="AI58" s="10">
        <f t="shared" si="8"/>
        <v>58320.000000000007</v>
      </c>
      <c r="AJ58" s="56" t="s">
        <v>265</v>
      </c>
      <c r="AK58" s="56" t="s">
        <v>84</v>
      </c>
      <c r="AL58" s="56">
        <f t="shared" si="12"/>
        <v>0.10311300000000001</v>
      </c>
      <c r="AM58" s="56">
        <f>AC58*0.0000007</f>
        <v>1.26E-6</v>
      </c>
      <c r="AN58" s="42">
        <f>IF(AL58="N.S","N.S",AL58*AQ1+IF(AM58="N.S",0,AM58*(1-AQ1)))</f>
        <v>1.0323774E-3</v>
      </c>
      <c r="AO58" s="42" t="s">
        <v>265</v>
      </c>
      <c r="AP58" s="42" t="s">
        <v>265</v>
      </c>
      <c r="AQ58" s="615" t="s">
        <v>265</v>
      </c>
      <c r="AR58" s="611">
        <f t="shared" si="13"/>
        <v>15691.935914133728</v>
      </c>
      <c r="AS58" s="604">
        <f t="shared" si="9"/>
        <v>726.47851454322802</v>
      </c>
      <c r="AT58" s="25" t="s">
        <v>841</v>
      </c>
      <c r="AU58" s="35" t="s">
        <v>265</v>
      </c>
      <c r="AV58" s="35" t="s">
        <v>265</v>
      </c>
      <c r="AW58" s="35" t="s">
        <v>265</v>
      </c>
      <c r="AX58" s="35" t="s">
        <v>265</v>
      </c>
      <c r="AY58" s="35" t="s">
        <v>265</v>
      </c>
      <c r="AZ58" s="35">
        <v>16</v>
      </c>
      <c r="BA58" s="385" t="s">
        <v>265</v>
      </c>
      <c r="BB58" s="311" t="s">
        <v>265</v>
      </c>
      <c r="BC58" s="385" t="s">
        <v>265</v>
      </c>
      <c r="BD58" s="387" t="s">
        <v>556</v>
      </c>
      <c r="BE58" s="24" t="s">
        <v>265</v>
      </c>
      <c r="BF58" s="385" t="s">
        <v>265</v>
      </c>
      <c r="BG58" s="55" t="s">
        <v>84</v>
      </c>
      <c r="BH58" s="53" t="s">
        <v>265</v>
      </c>
      <c r="BI58" s="35" t="s">
        <v>842</v>
      </c>
      <c r="BJ58" s="35">
        <v>2400</v>
      </c>
      <c r="BK58" s="35" t="s">
        <v>265</v>
      </c>
      <c r="BL58" s="35">
        <v>-101</v>
      </c>
      <c r="BM58" s="54">
        <v>0</v>
      </c>
      <c r="BN58" s="301" t="s">
        <v>265</v>
      </c>
      <c r="BO58" s="41" t="s">
        <v>265</v>
      </c>
      <c r="BP58" s="129" t="s">
        <v>265</v>
      </c>
      <c r="BQ58" s="55"/>
      <c r="BR58" s="171"/>
      <c r="BS58" s="55">
        <v>0</v>
      </c>
      <c r="BT58" s="178"/>
      <c r="BU58" s="178"/>
      <c r="BV58" s="35"/>
      <c r="BW58" s="54"/>
      <c r="BX58" s="36">
        <v>0</v>
      </c>
      <c r="BY58" s="178"/>
      <c r="BZ58" s="178"/>
      <c r="CA58" s="35"/>
      <c r="CB58" s="54"/>
      <c r="CC58" s="55">
        <v>0</v>
      </c>
      <c r="CD58" s="35">
        <v>0</v>
      </c>
      <c r="CE58" s="178"/>
      <c r="CF58" s="178"/>
      <c r="CG58" s="178"/>
      <c r="CH58" s="178"/>
      <c r="CI58" s="178"/>
      <c r="CJ58" s="178"/>
      <c r="CK58" s="178"/>
      <c r="CL58" s="178"/>
      <c r="CM58" s="193"/>
      <c r="CN58" s="55">
        <v>0</v>
      </c>
      <c r="CO58" s="35">
        <v>0</v>
      </c>
      <c r="CP58" s="35"/>
      <c r="CQ58" s="35"/>
      <c r="CR58" s="35"/>
      <c r="CS58" s="35"/>
      <c r="CT58" s="35"/>
      <c r="CU58" s="35"/>
      <c r="CV58" s="35"/>
      <c r="CW58" s="35"/>
      <c r="CX58" s="193"/>
      <c r="CY58" s="4">
        <v>0</v>
      </c>
      <c r="CZ58" s="10">
        <v>0</v>
      </c>
      <c r="DA58" s="35"/>
      <c r="DB58" s="35"/>
      <c r="DC58" s="35"/>
      <c r="DD58" s="35"/>
      <c r="DE58" s="35"/>
      <c r="DF58" s="35"/>
      <c r="DG58" s="35"/>
      <c r="DH58" s="35"/>
      <c r="DI58" s="193"/>
      <c r="DJ58" s="4">
        <v>0</v>
      </c>
      <c r="DK58" s="178"/>
      <c r="DL58" s="178"/>
      <c r="DM58" s="35"/>
      <c r="DN58" s="54"/>
      <c r="DO58" s="4">
        <v>0</v>
      </c>
      <c r="DP58" s="35"/>
      <c r="DQ58" s="178"/>
      <c r="DR58" s="35"/>
      <c r="DS58" s="54"/>
      <c r="DT58" s="4">
        <v>0</v>
      </c>
      <c r="DU58" s="35"/>
      <c r="DV58" s="35"/>
      <c r="DW58" s="35"/>
      <c r="DX58" s="54"/>
      <c r="DY58" s="4">
        <v>0</v>
      </c>
      <c r="DZ58" s="35"/>
      <c r="EA58" s="35"/>
      <c r="EB58" s="35"/>
      <c r="EC58" s="54"/>
      <c r="ED58" s="4">
        <v>0</v>
      </c>
      <c r="EE58" s="35"/>
      <c r="EF58" s="35"/>
      <c r="EG58" s="35"/>
      <c r="EH58" s="54"/>
      <c r="EI58" s="4">
        <v>0</v>
      </c>
      <c r="EJ58" s="35"/>
      <c r="EK58" s="35"/>
      <c r="EL58" s="35"/>
      <c r="EM58" s="54"/>
      <c r="EN58" s="4">
        <v>0</v>
      </c>
      <c r="EO58" s="35"/>
      <c r="EP58" s="35"/>
      <c r="EQ58" s="35"/>
      <c r="ER58" s="54"/>
      <c r="ES58" s="4">
        <v>0</v>
      </c>
      <c r="ET58" s="35"/>
      <c r="EU58" s="35"/>
      <c r="EV58" s="35"/>
      <c r="EW58" s="54"/>
      <c r="EX58" s="4">
        <v>0</v>
      </c>
      <c r="EY58" s="35"/>
      <c r="EZ58" s="35"/>
      <c r="FA58" s="35"/>
      <c r="FB58" s="54"/>
      <c r="FC58" s="4">
        <v>0</v>
      </c>
      <c r="FD58" s="35"/>
      <c r="FE58" s="35"/>
      <c r="FF58" s="35"/>
      <c r="FG58" s="54"/>
      <c r="FH58" s="4">
        <v>0</v>
      </c>
      <c r="FI58" s="35"/>
      <c r="FJ58" s="35"/>
      <c r="FK58" s="35"/>
      <c r="FL58" s="54"/>
      <c r="FM58" s="4">
        <v>0</v>
      </c>
      <c r="FN58" s="35"/>
      <c r="FO58" s="35"/>
      <c r="FP58" s="35"/>
      <c r="FQ58" s="54"/>
      <c r="FR58" s="4">
        <v>0</v>
      </c>
      <c r="FS58" s="35"/>
      <c r="FT58" s="35"/>
      <c r="FU58" s="35"/>
      <c r="FV58" s="54"/>
      <c r="FW58" s="4">
        <v>0</v>
      </c>
      <c r="FX58" s="35"/>
      <c r="FY58" s="35"/>
      <c r="FZ58" s="35"/>
      <c r="GA58" s="54"/>
      <c r="GB58" s="55"/>
      <c r="GC58" s="35"/>
      <c r="GD58" s="35"/>
      <c r="GE58" s="35"/>
      <c r="GF58" s="54"/>
      <c r="GG58" s="10">
        <f t="shared" si="5"/>
        <v>1</v>
      </c>
      <c r="GH58" s="10" t="str">
        <f t="shared" si="6"/>
        <v/>
      </c>
      <c r="GI58" s="37" t="str">
        <f t="shared" si="7"/>
        <v/>
      </c>
      <c r="GJ58" s="4" t="s">
        <v>82</v>
      </c>
      <c r="GK58" s="10" t="s">
        <v>82</v>
      </c>
      <c r="GL58" s="10" t="s">
        <v>82</v>
      </c>
      <c r="GM58" s="10" t="s">
        <v>82</v>
      </c>
      <c r="GN58" s="10" t="s">
        <v>82</v>
      </c>
      <c r="GO58" s="10" t="s">
        <v>82</v>
      </c>
      <c r="GP58" s="10" t="s">
        <v>82</v>
      </c>
      <c r="GQ58" s="10" t="s">
        <v>82</v>
      </c>
      <c r="GR58" s="10" t="s">
        <v>82</v>
      </c>
      <c r="GS58" s="10">
        <v>1</v>
      </c>
      <c r="GT58" s="10" t="s">
        <v>82</v>
      </c>
      <c r="GU58" s="10" t="s">
        <v>82</v>
      </c>
      <c r="GV58" s="10" t="s">
        <v>82</v>
      </c>
      <c r="GW58" s="10" t="s">
        <v>82</v>
      </c>
      <c r="GX58" s="10" t="s">
        <v>82</v>
      </c>
      <c r="GY58" s="10" t="s">
        <v>82</v>
      </c>
      <c r="GZ58" s="10" t="s">
        <v>82</v>
      </c>
      <c r="HA58" s="10" t="s">
        <v>82</v>
      </c>
      <c r="HB58" s="10" t="s">
        <v>82</v>
      </c>
      <c r="HC58" s="10" t="s">
        <v>82</v>
      </c>
      <c r="HD58" s="10" t="s">
        <v>82</v>
      </c>
      <c r="HE58" s="10" t="s">
        <v>82</v>
      </c>
      <c r="HF58" s="10" t="s">
        <v>82</v>
      </c>
      <c r="HG58" s="10" t="s">
        <v>82</v>
      </c>
      <c r="HH58" s="10" t="s">
        <v>82</v>
      </c>
      <c r="HI58" s="10" t="s">
        <v>82</v>
      </c>
      <c r="HJ58" s="10" t="s">
        <v>82</v>
      </c>
      <c r="HK58" s="10" t="s">
        <v>82</v>
      </c>
      <c r="HL58" s="10" t="s">
        <v>82</v>
      </c>
      <c r="HM58" s="40" t="s">
        <v>82</v>
      </c>
    </row>
    <row r="59" spans="1:221" s="73" customFormat="1" ht="331.2">
      <c r="A59" s="693"/>
      <c r="B59" s="35" t="s">
        <v>6</v>
      </c>
      <c r="C59" s="387" t="s">
        <v>95</v>
      </c>
      <c r="D59" s="478" t="s">
        <v>76</v>
      </c>
      <c r="E59" s="75" t="s">
        <v>65</v>
      </c>
      <c r="F59" s="75" t="s">
        <v>65</v>
      </c>
      <c r="G59" s="75" t="s">
        <v>65</v>
      </c>
      <c r="H59" s="75" t="s">
        <v>176</v>
      </c>
      <c r="I59" s="75" t="s">
        <v>124</v>
      </c>
      <c r="J59" s="601">
        <f>199*1.09068</f>
        <v>217.04532000000003</v>
      </c>
      <c r="K59" s="608" t="s">
        <v>265</v>
      </c>
      <c r="L59" s="609" t="s">
        <v>265</v>
      </c>
      <c r="M59" s="24" t="s">
        <v>177</v>
      </c>
      <c r="N59" s="53" t="s">
        <v>178</v>
      </c>
      <c r="O59" s="53" t="s">
        <v>558</v>
      </c>
      <c r="P59" s="35" t="s">
        <v>265</v>
      </c>
      <c r="Q59" s="35" t="s">
        <v>265</v>
      </c>
      <c r="R59" s="35">
        <v>7</v>
      </c>
      <c r="S59" s="35">
        <v>10</v>
      </c>
      <c r="T59" s="35" t="s">
        <v>265</v>
      </c>
      <c r="U59" s="54" t="s">
        <v>265</v>
      </c>
      <c r="V59" s="55">
        <v>20</v>
      </c>
      <c r="W59" s="479">
        <v>73.5</v>
      </c>
      <c r="X59" s="479">
        <v>51</v>
      </c>
      <c r="Y59" s="479">
        <v>13</v>
      </c>
      <c r="Z59" s="41">
        <f t="shared" si="2"/>
        <v>73.5</v>
      </c>
      <c r="AA59" s="593">
        <f t="shared" si="10"/>
        <v>48730.5</v>
      </c>
      <c r="AB59" s="54" t="s">
        <v>265</v>
      </c>
      <c r="AC59" s="233">
        <v>3.3</v>
      </c>
      <c r="AD59" s="178">
        <v>4.2</v>
      </c>
      <c r="AE59" s="56">
        <v>15</v>
      </c>
      <c r="AF59" s="10">
        <f t="shared" si="3"/>
        <v>5.6250000000000001E-2</v>
      </c>
      <c r="AG59" s="56">
        <f>0.05</f>
        <v>0.05</v>
      </c>
      <c r="AH59" s="35">
        <v>1.1499999999999999</v>
      </c>
      <c r="AI59" s="10">
        <f t="shared" si="8"/>
        <v>15525</v>
      </c>
      <c r="AJ59" s="72" t="s">
        <v>179</v>
      </c>
      <c r="AK59" s="56" t="s">
        <v>84</v>
      </c>
      <c r="AL59" s="56">
        <f t="shared" si="12"/>
        <v>0.10625000000000001</v>
      </c>
      <c r="AM59" s="56">
        <f>0.5*(AC59+AD59)*55/1000000</f>
        <v>2.0625E-4</v>
      </c>
      <c r="AN59" s="42">
        <f>IF(AL59="N.S","N.S",AL59*AQ1+IF(AM59="N.S",0,AM59*(1-AQ1)))</f>
        <v>1.2666875E-3</v>
      </c>
      <c r="AO59" s="42" t="s">
        <v>265</v>
      </c>
      <c r="AP59" s="42" t="s">
        <v>265</v>
      </c>
      <c r="AQ59" s="615">
        <f>365*24</f>
        <v>8760</v>
      </c>
      <c r="AR59" s="611">
        <f t="shared" si="13"/>
        <v>3404.5492672817877</v>
      </c>
      <c r="AS59" s="604">
        <f t="shared" si="9"/>
        <v>592.09552474465875</v>
      </c>
      <c r="AT59" s="25" t="s">
        <v>685</v>
      </c>
      <c r="AU59" s="35" t="s">
        <v>265</v>
      </c>
      <c r="AV59" s="35" t="s">
        <v>265</v>
      </c>
      <c r="AW59" s="35">
        <v>8</v>
      </c>
      <c r="AX59" s="35">
        <v>128</v>
      </c>
      <c r="AY59" s="35">
        <v>4</v>
      </c>
      <c r="AZ59" s="35" t="s">
        <v>265</v>
      </c>
      <c r="BA59" s="385" t="s">
        <v>590</v>
      </c>
      <c r="BB59" s="311">
        <v>14</v>
      </c>
      <c r="BC59" s="385">
        <v>32000</v>
      </c>
      <c r="BD59" s="387" t="s">
        <v>857</v>
      </c>
      <c r="BE59" s="24" t="s">
        <v>265</v>
      </c>
      <c r="BF59" s="387" t="s">
        <v>687</v>
      </c>
      <c r="BG59" s="55" t="s">
        <v>84</v>
      </c>
      <c r="BH59" s="53" t="s">
        <v>686</v>
      </c>
      <c r="BI59" s="35" t="s">
        <v>265</v>
      </c>
      <c r="BJ59" s="35" t="s">
        <v>265</v>
      </c>
      <c r="BK59" s="35" t="s">
        <v>265</v>
      </c>
      <c r="BL59" s="35" t="s">
        <v>265</v>
      </c>
      <c r="BM59" s="54" t="s">
        <v>265</v>
      </c>
      <c r="BN59" s="301" t="s">
        <v>265</v>
      </c>
      <c r="BO59" s="41" t="s">
        <v>265</v>
      </c>
      <c r="BP59" s="129" t="s">
        <v>265</v>
      </c>
      <c r="BQ59" s="24" t="s">
        <v>198</v>
      </c>
      <c r="BR59" s="174" t="s">
        <v>688</v>
      </c>
      <c r="BS59" s="55">
        <v>1</v>
      </c>
      <c r="BT59" s="178"/>
      <c r="BU59" s="178">
        <f>LOG((BW59-BV59)/0.25,2)</f>
        <v>8.965784284662087</v>
      </c>
      <c r="BV59" s="35">
        <v>-40</v>
      </c>
      <c r="BW59" s="54">
        <v>85</v>
      </c>
      <c r="BX59" s="36">
        <v>0</v>
      </c>
      <c r="BY59" s="178"/>
      <c r="BZ59" s="178"/>
      <c r="CA59" s="35"/>
      <c r="CB59" s="54"/>
      <c r="CC59" s="55">
        <v>0</v>
      </c>
      <c r="CD59" s="35">
        <v>1</v>
      </c>
      <c r="CE59" s="178">
        <v>2</v>
      </c>
      <c r="CF59" s="178">
        <v>4</v>
      </c>
      <c r="CG59" s="178">
        <v>8</v>
      </c>
      <c r="CH59" s="178"/>
      <c r="CI59" s="178"/>
      <c r="CJ59" s="178"/>
      <c r="CK59" s="178"/>
      <c r="CL59" s="178"/>
      <c r="CM59" s="193"/>
      <c r="CN59" s="55">
        <v>0</v>
      </c>
      <c r="CO59" s="35">
        <v>0</v>
      </c>
      <c r="CP59" s="35"/>
      <c r="CQ59" s="35"/>
      <c r="CR59" s="35"/>
      <c r="CS59" s="35"/>
      <c r="CT59" s="35"/>
      <c r="CU59" s="35"/>
      <c r="CV59" s="35"/>
      <c r="CW59" s="35"/>
      <c r="CX59" s="193"/>
      <c r="CY59" s="4">
        <v>0</v>
      </c>
      <c r="CZ59" s="10">
        <v>0</v>
      </c>
      <c r="DA59" s="35"/>
      <c r="DB59" s="35"/>
      <c r="DC59" s="35"/>
      <c r="DD59" s="35"/>
      <c r="DE59" s="35"/>
      <c r="DF59" s="35"/>
      <c r="DG59" s="35"/>
      <c r="DH59" s="35"/>
      <c r="DI59" s="193"/>
      <c r="DJ59" s="4">
        <v>0</v>
      </c>
      <c r="DK59" s="178"/>
      <c r="DL59" s="178"/>
      <c r="DM59" s="35"/>
      <c r="DN59" s="54"/>
      <c r="DO59" s="4">
        <v>0</v>
      </c>
      <c r="DP59" s="35"/>
      <c r="DQ59" s="178"/>
      <c r="DR59" s="35"/>
      <c r="DS59" s="54"/>
      <c r="DT59" s="4">
        <v>0</v>
      </c>
      <c r="DU59" s="35"/>
      <c r="DV59" s="35"/>
      <c r="DW59" s="35"/>
      <c r="DX59" s="54"/>
      <c r="DY59" s="4">
        <v>0</v>
      </c>
      <c r="DZ59" s="35"/>
      <c r="EA59" s="35"/>
      <c r="EB59" s="35"/>
      <c r="EC59" s="54"/>
      <c r="ED59" s="4">
        <v>0</v>
      </c>
      <c r="EE59" s="35"/>
      <c r="EF59" s="35"/>
      <c r="EG59" s="35"/>
      <c r="EH59" s="54"/>
      <c r="EI59" s="4">
        <v>0</v>
      </c>
      <c r="EJ59" s="35"/>
      <c r="EK59" s="35"/>
      <c r="EL59" s="35"/>
      <c r="EM59" s="54"/>
      <c r="EN59" s="4">
        <v>0</v>
      </c>
      <c r="EO59" s="35"/>
      <c r="EP59" s="35"/>
      <c r="EQ59" s="35"/>
      <c r="ER59" s="54"/>
      <c r="ES59" s="4">
        <v>0</v>
      </c>
      <c r="ET59" s="35"/>
      <c r="EU59" s="35"/>
      <c r="EV59" s="35"/>
      <c r="EW59" s="54"/>
      <c r="EX59" s="4">
        <v>0</v>
      </c>
      <c r="EY59" s="35"/>
      <c r="EZ59" s="35"/>
      <c r="FA59" s="35"/>
      <c r="FB59" s="54"/>
      <c r="FC59" s="4">
        <v>0</v>
      </c>
      <c r="FD59" s="35"/>
      <c r="FE59" s="35"/>
      <c r="FF59" s="35"/>
      <c r="FG59" s="54"/>
      <c r="FH59" s="4">
        <v>0</v>
      </c>
      <c r="FI59" s="35"/>
      <c r="FJ59" s="35"/>
      <c r="FK59" s="35"/>
      <c r="FL59" s="54"/>
      <c r="FM59" s="4">
        <v>0</v>
      </c>
      <c r="FN59" s="35"/>
      <c r="FO59" s="35"/>
      <c r="FP59" s="35"/>
      <c r="FQ59" s="54"/>
      <c r="FR59" s="4">
        <v>0</v>
      </c>
      <c r="FS59" s="35"/>
      <c r="FT59" s="35"/>
      <c r="FU59" s="35"/>
      <c r="FV59" s="54"/>
      <c r="FW59" s="4">
        <v>0</v>
      </c>
      <c r="FX59" s="35"/>
      <c r="FY59" s="35"/>
      <c r="FZ59" s="35"/>
      <c r="GA59" s="54"/>
      <c r="GB59" s="55"/>
      <c r="GC59" s="35"/>
      <c r="GD59" s="35"/>
      <c r="GE59" s="35"/>
      <c r="GF59" s="54"/>
      <c r="GG59" s="10">
        <f t="shared" si="5"/>
        <v>1</v>
      </c>
      <c r="GH59" s="10" t="str">
        <f t="shared" si="6"/>
        <v/>
      </c>
      <c r="GI59" s="37" t="str">
        <f t="shared" si="7"/>
        <v/>
      </c>
      <c r="GJ59" s="4" t="s">
        <v>82</v>
      </c>
      <c r="GK59" s="10" t="s">
        <v>82</v>
      </c>
      <c r="GL59" s="10">
        <v>1</v>
      </c>
      <c r="GM59" s="10" t="s">
        <v>82</v>
      </c>
      <c r="GN59" s="10" t="s">
        <v>82</v>
      </c>
      <c r="GO59" s="10" t="s">
        <v>82</v>
      </c>
      <c r="GP59" s="10">
        <v>1</v>
      </c>
      <c r="GQ59" s="10">
        <v>1</v>
      </c>
      <c r="GR59" s="10" t="s">
        <v>82</v>
      </c>
      <c r="GS59" s="10">
        <v>1</v>
      </c>
      <c r="GT59" s="10" t="s">
        <v>82</v>
      </c>
      <c r="GU59" s="10" t="s">
        <v>82</v>
      </c>
      <c r="GV59" s="10" t="s">
        <v>82</v>
      </c>
      <c r="GW59" s="10" t="s">
        <v>82</v>
      </c>
      <c r="GX59" s="10" t="s">
        <v>82</v>
      </c>
      <c r="GY59" s="10" t="s">
        <v>82</v>
      </c>
      <c r="GZ59" s="10" t="s">
        <v>82</v>
      </c>
      <c r="HA59" s="10" t="s">
        <v>82</v>
      </c>
      <c r="HB59" s="10" t="s">
        <v>82</v>
      </c>
      <c r="HC59" s="10" t="s">
        <v>82</v>
      </c>
      <c r="HD59" s="10">
        <v>1</v>
      </c>
      <c r="HE59" s="10">
        <v>1</v>
      </c>
      <c r="HF59" s="10">
        <v>1</v>
      </c>
      <c r="HG59" s="10">
        <v>1</v>
      </c>
      <c r="HH59" s="10" t="s">
        <v>82</v>
      </c>
      <c r="HI59" s="10" t="s">
        <v>82</v>
      </c>
      <c r="HJ59" s="10" t="s">
        <v>82</v>
      </c>
      <c r="HK59" s="10" t="s">
        <v>82</v>
      </c>
      <c r="HL59" s="10" t="s">
        <v>82</v>
      </c>
      <c r="HM59" s="40" t="s">
        <v>82</v>
      </c>
    </row>
    <row r="60" spans="1:221" s="57" customFormat="1" ht="96.6">
      <c r="A60" s="693"/>
      <c r="B60" s="573" t="s">
        <v>193</v>
      </c>
      <c r="C60" s="387" t="s">
        <v>194</v>
      </c>
      <c r="D60" s="478" t="s">
        <v>692</v>
      </c>
      <c r="E60" s="52" t="s">
        <v>65</v>
      </c>
      <c r="F60" s="52" t="s">
        <v>124</v>
      </c>
      <c r="G60" s="52" t="s">
        <v>65</v>
      </c>
      <c r="H60" s="35" t="s">
        <v>65</v>
      </c>
      <c r="I60" s="35" t="s">
        <v>65</v>
      </c>
      <c r="J60" s="363">
        <f>425*1.09068</f>
        <v>463.53900000000004</v>
      </c>
      <c r="K60" s="608" t="s">
        <v>265</v>
      </c>
      <c r="L60" s="609" t="s">
        <v>265</v>
      </c>
      <c r="M60" s="24" t="s">
        <v>1004</v>
      </c>
      <c r="N60" s="53" t="s">
        <v>178</v>
      </c>
      <c r="O60" s="53" t="s">
        <v>558</v>
      </c>
      <c r="P60" s="35" t="s">
        <v>265</v>
      </c>
      <c r="Q60" s="35">
        <v>7</v>
      </c>
      <c r="R60" s="35" t="s">
        <v>265</v>
      </c>
      <c r="S60" s="35" t="s">
        <v>265</v>
      </c>
      <c r="T60" s="35" t="s">
        <v>265</v>
      </c>
      <c r="U60" s="54" t="s">
        <v>265</v>
      </c>
      <c r="V60" s="55">
        <v>20</v>
      </c>
      <c r="W60" s="479">
        <v>73.5</v>
      </c>
      <c r="X60" s="479">
        <v>51</v>
      </c>
      <c r="Y60" s="479">
        <v>13</v>
      </c>
      <c r="Z60" s="41">
        <f t="shared" si="2"/>
        <v>73.5</v>
      </c>
      <c r="AA60" s="593">
        <f t="shared" si="10"/>
        <v>48730.5</v>
      </c>
      <c r="AB60" s="54" t="s">
        <v>265</v>
      </c>
      <c r="AC60" s="233">
        <v>3.3</v>
      </c>
      <c r="AD60" s="178">
        <v>4.2</v>
      </c>
      <c r="AE60" s="56">
        <v>15</v>
      </c>
      <c r="AF60" s="10">
        <f t="shared" si="3"/>
        <v>5.6250000000000001E-2</v>
      </c>
      <c r="AG60" s="35">
        <f>0.05</f>
        <v>0.05</v>
      </c>
      <c r="AH60" s="35">
        <v>6.6</v>
      </c>
      <c r="AI60" s="10">
        <f t="shared" si="8"/>
        <v>89100</v>
      </c>
      <c r="AJ60" s="56" t="s">
        <v>84</v>
      </c>
      <c r="AK60" s="56" t="s">
        <v>84</v>
      </c>
      <c r="AL60" s="56">
        <f t="shared" si="12"/>
        <v>0.10625000000000001</v>
      </c>
      <c r="AM60" s="56">
        <f>0.5*(AC60+AD60)*55/1000000</f>
        <v>2.0625E-4</v>
      </c>
      <c r="AN60" s="42">
        <f>IF(AL60="N.S","N.S",AL60*AQ1+IF(AM60="N.S",0,AM60*(1-AQ1)))</f>
        <v>1.2666875E-3</v>
      </c>
      <c r="AO60" s="615" t="s">
        <v>265</v>
      </c>
      <c r="AP60" s="615" t="s">
        <v>265</v>
      </c>
      <c r="AQ60" s="615" t="s">
        <v>265</v>
      </c>
      <c r="AR60" s="611">
        <f t="shared" si="13"/>
        <v>19539.152316573738</v>
      </c>
      <c r="AS60" s="604">
        <f t="shared" si="9"/>
        <v>592.09552474465875</v>
      </c>
      <c r="AT60" s="25" t="s">
        <v>685</v>
      </c>
      <c r="AU60" s="35" t="s">
        <v>265</v>
      </c>
      <c r="AV60" s="35" t="s">
        <v>265</v>
      </c>
      <c r="AW60" s="35">
        <v>8</v>
      </c>
      <c r="AX60" s="35">
        <v>128</v>
      </c>
      <c r="AY60" s="35">
        <v>4</v>
      </c>
      <c r="AZ60" s="35" t="s">
        <v>265</v>
      </c>
      <c r="BA60" s="385" t="s">
        <v>82</v>
      </c>
      <c r="BB60" s="311">
        <v>14</v>
      </c>
      <c r="BC60" s="385">
        <v>32000</v>
      </c>
      <c r="BD60" s="387" t="s">
        <v>690</v>
      </c>
      <c r="BE60" s="24" t="s">
        <v>265</v>
      </c>
      <c r="BF60" s="387" t="s">
        <v>689</v>
      </c>
      <c r="BG60" s="55" t="s">
        <v>84</v>
      </c>
      <c r="BH60" s="53" t="s">
        <v>681</v>
      </c>
      <c r="BI60" s="53" t="s">
        <v>691</v>
      </c>
      <c r="BJ60" s="35">
        <v>2400</v>
      </c>
      <c r="BK60" s="35" t="s">
        <v>265</v>
      </c>
      <c r="BL60" s="35">
        <v>-101</v>
      </c>
      <c r="BM60" s="54">
        <v>3</v>
      </c>
      <c r="BN60" s="301" t="s">
        <v>265</v>
      </c>
      <c r="BO60" s="41" t="s">
        <v>265</v>
      </c>
      <c r="BP60" s="129" t="s">
        <v>265</v>
      </c>
      <c r="BQ60" s="55"/>
      <c r="BR60" s="171" t="s">
        <v>693</v>
      </c>
      <c r="BS60" s="55">
        <v>1</v>
      </c>
      <c r="BT60" s="178">
        <f>LOG((BW60-BV60)/0.25,2)</f>
        <v>8.965784284662087</v>
      </c>
      <c r="BU60" s="178"/>
      <c r="BV60" s="35">
        <v>-40</v>
      </c>
      <c r="BW60" s="54">
        <v>85</v>
      </c>
      <c r="BX60" s="36">
        <v>0</v>
      </c>
      <c r="BY60" s="178"/>
      <c r="BZ60" s="178"/>
      <c r="CA60" s="35"/>
      <c r="CB60" s="54"/>
      <c r="CC60" s="55">
        <v>0</v>
      </c>
      <c r="CD60" s="35">
        <v>1</v>
      </c>
      <c r="CE60" s="178">
        <v>2</v>
      </c>
      <c r="CF60" s="178">
        <v>4</v>
      </c>
      <c r="CG60" s="178">
        <v>8</v>
      </c>
      <c r="CH60" s="178"/>
      <c r="CI60" s="178"/>
      <c r="CJ60" s="178"/>
      <c r="CK60" s="178"/>
      <c r="CL60" s="178"/>
      <c r="CM60" s="193"/>
      <c r="CN60" s="55">
        <v>0</v>
      </c>
      <c r="CO60" s="35">
        <v>0</v>
      </c>
      <c r="CP60" s="35"/>
      <c r="CQ60" s="35"/>
      <c r="CR60" s="35"/>
      <c r="CS60" s="35"/>
      <c r="CT60" s="35"/>
      <c r="CU60" s="35"/>
      <c r="CV60" s="35"/>
      <c r="CW60" s="35"/>
      <c r="CX60" s="193"/>
      <c r="CY60" s="4">
        <v>0</v>
      </c>
      <c r="CZ60" s="10">
        <v>0</v>
      </c>
      <c r="DA60" s="35"/>
      <c r="DB60" s="35"/>
      <c r="DC60" s="35"/>
      <c r="DD60" s="35"/>
      <c r="DE60" s="35"/>
      <c r="DF60" s="35"/>
      <c r="DG60" s="35"/>
      <c r="DH60" s="35"/>
      <c r="DI60" s="193"/>
      <c r="DJ60" s="4">
        <v>0</v>
      </c>
      <c r="DK60" s="178"/>
      <c r="DL60" s="178"/>
      <c r="DM60" s="35"/>
      <c r="DN60" s="54"/>
      <c r="DO60" s="4">
        <v>0</v>
      </c>
      <c r="DP60" s="35"/>
      <c r="DQ60" s="178"/>
      <c r="DR60" s="35"/>
      <c r="DS60" s="54"/>
      <c r="DT60" s="4">
        <v>0</v>
      </c>
      <c r="DU60" s="35"/>
      <c r="DV60" s="35"/>
      <c r="DW60" s="35"/>
      <c r="DX60" s="54"/>
      <c r="DY60" s="4">
        <v>0</v>
      </c>
      <c r="DZ60" s="35"/>
      <c r="EA60" s="35"/>
      <c r="EB60" s="35"/>
      <c r="EC60" s="54"/>
      <c r="ED60" s="4">
        <v>0</v>
      </c>
      <c r="EE60" s="35"/>
      <c r="EF60" s="35"/>
      <c r="EG60" s="35"/>
      <c r="EH60" s="54"/>
      <c r="EI60" s="4">
        <v>0</v>
      </c>
      <c r="EJ60" s="35"/>
      <c r="EK60" s="35"/>
      <c r="EL60" s="35"/>
      <c r="EM60" s="54"/>
      <c r="EN60" s="4">
        <v>0</v>
      </c>
      <c r="EO60" s="35"/>
      <c r="EP60" s="35"/>
      <c r="EQ60" s="35"/>
      <c r="ER60" s="54"/>
      <c r="ES60" s="4">
        <v>0</v>
      </c>
      <c r="ET60" s="35"/>
      <c r="EU60" s="35"/>
      <c r="EV60" s="35"/>
      <c r="EW60" s="54"/>
      <c r="EX60" s="4">
        <v>0</v>
      </c>
      <c r="EY60" s="35"/>
      <c r="EZ60" s="35"/>
      <c r="FA60" s="35"/>
      <c r="FB60" s="54"/>
      <c r="FC60" s="4">
        <v>0</v>
      </c>
      <c r="FD60" s="35"/>
      <c r="FE60" s="35"/>
      <c r="FF60" s="35"/>
      <c r="FG60" s="54"/>
      <c r="FH60" s="4">
        <v>0</v>
      </c>
      <c r="FI60" s="35"/>
      <c r="FJ60" s="35"/>
      <c r="FK60" s="35"/>
      <c r="FL60" s="54"/>
      <c r="FM60" s="4">
        <v>0</v>
      </c>
      <c r="FN60" s="35"/>
      <c r="FO60" s="35"/>
      <c r="FP60" s="35"/>
      <c r="FQ60" s="54"/>
      <c r="FR60" s="4">
        <v>0</v>
      </c>
      <c r="FS60" s="35"/>
      <c r="FT60" s="35"/>
      <c r="FU60" s="35"/>
      <c r="FV60" s="54"/>
      <c r="FW60" s="4">
        <v>0</v>
      </c>
      <c r="FX60" s="35"/>
      <c r="FY60" s="35"/>
      <c r="FZ60" s="35"/>
      <c r="GA60" s="54"/>
      <c r="GB60" s="55"/>
      <c r="GC60" s="35"/>
      <c r="GD60" s="35"/>
      <c r="GE60" s="35"/>
      <c r="GF60" s="54"/>
      <c r="GG60" s="10">
        <f t="shared" si="5"/>
        <v>1</v>
      </c>
      <c r="GH60" s="10" t="str">
        <f t="shared" si="6"/>
        <v/>
      </c>
      <c r="GI60" s="37" t="str">
        <f t="shared" si="7"/>
        <v/>
      </c>
      <c r="GJ60" s="4" t="s">
        <v>82</v>
      </c>
      <c r="GK60" s="10" t="s">
        <v>82</v>
      </c>
      <c r="GL60" s="10">
        <v>1</v>
      </c>
      <c r="GM60" s="10" t="s">
        <v>82</v>
      </c>
      <c r="GN60" s="10" t="s">
        <v>82</v>
      </c>
      <c r="GO60" s="10" t="s">
        <v>82</v>
      </c>
      <c r="GP60" s="10">
        <v>1</v>
      </c>
      <c r="GQ60" s="10">
        <v>1</v>
      </c>
      <c r="GR60" s="10" t="s">
        <v>82</v>
      </c>
      <c r="GS60" s="10">
        <v>1</v>
      </c>
      <c r="GT60" s="10" t="s">
        <v>82</v>
      </c>
      <c r="GU60" s="10" t="s">
        <v>82</v>
      </c>
      <c r="GV60" s="10" t="s">
        <v>82</v>
      </c>
      <c r="GW60" s="10" t="s">
        <v>82</v>
      </c>
      <c r="GX60" s="10">
        <v>1</v>
      </c>
      <c r="GY60" s="10" t="s">
        <v>82</v>
      </c>
      <c r="GZ60" s="10" t="s">
        <v>82</v>
      </c>
      <c r="HA60" s="10" t="s">
        <v>82</v>
      </c>
      <c r="HB60" s="10" t="s">
        <v>82</v>
      </c>
      <c r="HC60" s="10" t="s">
        <v>82</v>
      </c>
      <c r="HD60" s="10" t="s">
        <v>82</v>
      </c>
      <c r="HE60" s="10" t="s">
        <v>82</v>
      </c>
      <c r="HF60" s="10" t="s">
        <v>82</v>
      </c>
      <c r="HG60" s="10" t="s">
        <v>82</v>
      </c>
      <c r="HH60" s="10" t="s">
        <v>82</v>
      </c>
      <c r="HI60" s="10" t="s">
        <v>82</v>
      </c>
      <c r="HJ60" s="10" t="s">
        <v>82</v>
      </c>
      <c r="HK60" s="10" t="s">
        <v>82</v>
      </c>
      <c r="HL60" s="10" t="s">
        <v>82</v>
      </c>
      <c r="HM60" s="40" t="s">
        <v>82</v>
      </c>
    </row>
    <row r="61" spans="1:221" ht="82.8">
      <c r="A61" s="693"/>
      <c r="B61" s="10" t="s">
        <v>20</v>
      </c>
      <c r="C61" s="388" t="s">
        <v>79</v>
      </c>
      <c r="D61" s="100" t="s">
        <v>77</v>
      </c>
      <c r="E61" s="77" t="s">
        <v>65</v>
      </c>
      <c r="F61" s="77" t="s">
        <v>124</v>
      </c>
      <c r="G61" s="77" t="s">
        <v>124</v>
      </c>
      <c r="H61" s="77" t="s">
        <v>65</v>
      </c>
      <c r="I61" s="10" t="s">
        <v>65</v>
      </c>
      <c r="J61" s="601">
        <v>52</v>
      </c>
      <c r="K61" s="608" t="s">
        <v>265</v>
      </c>
      <c r="L61" s="609" t="s">
        <v>265</v>
      </c>
      <c r="M61" s="3" t="s">
        <v>1005</v>
      </c>
      <c r="N61" s="13" t="s">
        <v>208</v>
      </c>
      <c r="O61" s="13" t="s">
        <v>548</v>
      </c>
      <c r="P61" s="10" t="s">
        <v>265</v>
      </c>
      <c r="Q61" s="10" t="s">
        <v>265</v>
      </c>
      <c r="R61" s="13">
        <v>4</v>
      </c>
      <c r="S61" s="10">
        <v>12</v>
      </c>
      <c r="T61" s="10" t="s">
        <v>265</v>
      </c>
      <c r="U61" s="40" t="s">
        <v>265</v>
      </c>
      <c r="V61" s="4">
        <f>12+3*12.3</f>
        <v>48.900000000000006</v>
      </c>
      <c r="W61" s="41">
        <v>36</v>
      </c>
      <c r="X61" s="41">
        <v>48</v>
      </c>
      <c r="Y61" s="41">
        <v>9</v>
      </c>
      <c r="Z61" s="41">
        <f t="shared" si="2"/>
        <v>48</v>
      </c>
      <c r="AA61" s="593">
        <f t="shared" si="10"/>
        <v>15552</v>
      </c>
      <c r="AB61" s="40" t="s">
        <v>265</v>
      </c>
      <c r="AC61" s="236">
        <v>3.2</v>
      </c>
      <c r="AD61" s="128">
        <v>4.5</v>
      </c>
      <c r="AE61" s="42">
        <f>66-13</f>
        <v>53</v>
      </c>
      <c r="AF61" s="10">
        <f t="shared" si="3"/>
        <v>0.20405000000000001</v>
      </c>
      <c r="AG61" s="42">
        <f>0.5*(AC61+AD61)*13/1000</f>
        <v>5.0050000000000004E-2</v>
      </c>
      <c r="AH61" s="10">
        <v>4.45</v>
      </c>
      <c r="AI61" s="10">
        <f t="shared" si="8"/>
        <v>61677</v>
      </c>
      <c r="AJ61" s="42" t="s">
        <v>84</v>
      </c>
      <c r="AK61" s="42" t="s">
        <v>84</v>
      </c>
      <c r="AL61" s="56">
        <f t="shared" si="12"/>
        <v>0.25409999999999999</v>
      </c>
      <c r="AM61" s="42">
        <f>0.5*(AC61+AD61)*0.39/1000</f>
        <v>1.5015E-3</v>
      </c>
      <c r="AN61" s="42">
        <f>IF(AL61="N.S","N.S",AL61*AQ1+IF(AM61="N.S",0,AM61*(1-AQ1)))</f>
        <v>4.0274849999999999E-3</v>
      </c>
      <c r="AO61" s="615" t="s">
        <v>265</v>
      </c>
      <c r="AP61" s="615" t="s">
        <v>265</v>
      </c>
      <c r="AQ61" s="238" t="s">
        <v>265</v>
      </c>
      <c r="AR61" s="611">
        <f t="shared" si="13"/>
        <v>4253.8954210878501</v>
      </c>
      <c r="AS61" s="604">
        <f t="shared" si="9"/>
        <v>186.22043285077413</v>
      </c>
      <c r="AT61" s="19" t="s">
        <v>695</v>
      </c>
      <c r="AU61" s="10" t="s">
        <v>265</v>
      </c>
      <c r="AV61" s="10" t="s">
        <v>265</v>
      </c>
      <c r="AW61" s="10">
        <f>256+32</f>
        <v>288</v>
      </c>
      <c r="AX61" s="10">
        <f>32</f>
        <v>32</v>
      </c>
      <c r="AY61" s="10" t="s">
        <v>265</v>
      </c>
      <c r="AZ61" s="10" t="s">
        <v>265</v>
      </c>
      <c r="BA61" s="37" t="s">
        <v>265</v>
      </c>
      <c r="BB61" s="605">
        <v>416</v>
      </c>
      <c r="BC61" s="37" t="s">
        <v>265</v>
      </c>
      <c r="BD61" s="388" t="s">
        <v>700</v>
      </c>
      <c r="BE61" s="3" t="s">
        <v>698</v>
      </c>
      <c r="BF61" s="388" t="s">
        <v>699</v>
      </c>
      <c r="BG61" s="4" t="s">
        <v>84</v>
      </c>
      <c r="BH61" s="13" t="s">
        <v>696</v>
      </c>
      <c r="BI61" s="13" t="s">
        <v>697</v>
      </c>
      <c r="BJ61" s="10">
        <v>2400</v>
      </c>
      <c r="BK61" s="10" t="s">
        <v>265</v>
      </c>
      <c r="BL61" s="10">
        <v>-94</v>
      </c>
      <c r="BM61" s="40">
        <v>0</v>
      </c>
      <c r="BN61" s="301" t="s">
        <v>265</v>
      </c>
      <c r="BO61" s="41" t="s">
        <v>265</v>
      </c>
      <c r="BP61" s="129" t="s">
        <v>265</v>
      </c>
      <c r="BQ61" s="4"/>
      <c r="BR61" s="297" t="s">
        <v>701</v>
      </c>
      <c r="BS61" s="4">
        <v>1</v>
      </c>
      <c r="BT61" s="128"/>
      <c r="BU61" s="128"/>
      <c r="BV61" s="10"/>
      <c r="BW61" s="40"/>
      <c r="BX61" s="295">
        <v>1</v>
      </c>
      <c r="BY61" s="128"/>
      <c r="BZ61" s="128"/>
      <c r="CA61" s="10"/>
      <c r="CB61" s="40"/>
      <c r="CC61" s="4">
        <v>0</v>
      </c>
      <c r="CD61" s="10">
        <v>1</v>
      </c>
      <c r="CE61" s="128"/>
      <c r="CF61" s="128"/>
      <c r="CG61" s="128"/>
      <c r="CH61" s="128"/>
      <c r="CI61" s="128"/>
      <c r="CJ61" s="128"/>
      <c r="CK61" s="128"/>
      <c r="CL61" s="128"/>
      <c r="CM61" s="121"/>
      <c r="CN61" s="4">
        <v>0</v>
      </c>
      <c r="CO61" s="10">
        <v>0</v>
      </c>
      <c r="CP61" s="10"/>
      <c r="CQ61" s="10"/>
      <c r="CR61" s="10"/>
      <c r="CS61" s="10"/>
      <c r="CT61" s="10"/>
      <c r="CU61" s="10"/>
      <c r="CV61" s="10"/>
      <c r="CW61" s="10"/>
      <c r="CX61" s="121"/>
      <c r="CY61" s="4">
        <v>0</v>
      </c>
      <c r="CZ61" s="10">
        <v>0</v>
      </c>
      <c r="DA61" s="10"/>
      <c r="DB61" s="10"/>
      <c r="DC61" s="10"/>
      <c r="DD61" s="10"/>
      <c r="DE61" s="10"/>
      <c r="DF61" s="10"/>
      <c r="DG61" s="10"/>
      <c r="DH61" s="10"/>
      <c r="DI61" s="121"/>
      <c r="DJ61" s="4">
        <v>0</v>
      </c>
      <c r="DK61" s="128"/>
      <c r="DL61" s="128"/>
      <c r="DM61" s="10"/>
      <c r="DN61" s="40"/>
      <c r="DO61" s="4">
        <v>0</v>
      </c>
      <c r="DP61" s="10"/>
      <c r="DQ61" s="128"/>
      <c r="DR61" s="10"/>
      <c r="DS61" s="40"/>
      <c r="DT61" s="4">
        <v>0</v>
      </c>
      <c r="DU61" s="10"/>
      <c r="DV61" s="10"/>
      <c r="DW61" s="10"/>
      <c r="DX61" s="40"/>
      <c r="DY61" s="4">
        <v>0</v>
      </c>
      <c r="DZ61" s="10"/>
      <c r="EA61" s="10"/>
      <c r="EB61" s="10"/>
      <c r="EC61" s="40"/>
      <c r="ED61" s="4">
        <v>0</v>
      </c>
      <c r="EE61" s="10"/>
      <c r="EF61" s="10"/>
      <c r="EG61" s="10"/>
      <c r="EH61" s="40"/>
      <c r="EI61" s="4">
        <v>0</v>
      </c>
      <c r="EJ61" s="10"/>
      <c r="EK61" s="10"/>
      <c r="EL61" s="10"/>
      <c r="EM61" s="40"/>
      <c r="EN61" s="4">
        <v>0</v>
      </c>
      <c r="EO61" s="10"/>
      <c r="EP61" s="10"/>
      <c r="EQ61" s="10"/>
      <c r="ER61" s="40"/>
      <c r="ES61" s="4">
        <v>0</v>
      </c>
      <c r="ET61" s="10"/>
      <c r="EU61" s="10"/>
      <c r="EV61" s="10"/>
      <c r="EW61" s="40"/>
      <c r="EX61" s="4">
        <v>0</v>
      </c>
      <c r="EY61" s="10"/>
      <c r="EZ61" s="10"/>
      <c r="FA61" s="10"/>
      <c r="FB61" s="40"/>
      <c r="FC61" s="4">
        <v>0</v>
      </c>
      <c r="FD61" s="10"/>
      <c r="FE61" s="10"/>
      <c r="FF61" s="10"/>
      <c r="FG61" s="40"/>
      <c r="FH61" s="4">
        <v>0</v>
      </c>
      <c r="FI61" s="10"/>
      <c r="FJ61" s="10"/>
      <c r="FK61" s="10"/>
      <c r="FL61" s="40"/>
      <c r="FM61" s="4">
        <v>0</v>
      </c>
      <c r="FN61" s="10"/>
      <c r="FO61" s="10"/>
      <c r="FP61" s="10"/>
      <c r="FQ61" s="40"/>
      <c r="FR61" s="4">
        <v>0</v>
      </c>
      <c r="FS61" s="10"/>
      <c r="FT61" s="10"/>
      <c r="FU61" s="10"/>
      <c r="FV61" s="40"/>
      <c r="FW61" s="4">
        <v>0</v>
      </c>
      <c r="FX61" s="10"/>
      <c r="FY61" s="10"/>
      <c r="FZ61" s="10"/>
      <c r="GA61" s="40"/>
      <c r="GB61" s="4"/>
      <c r="GC61" s="10"/>
      <c r="GD61" s="10"/>
      <c r="GE61" s="10"/>
      <c r="GF61" s="40"/>
      <c r="GG61" s="10">
        <f t="shared" si="5"/>
        <v>1</v>
      </c>
      <c r="GH61" s="10" t="str">
        <f t="shared" si="6"/>
        <v/>
      </c>
      <c r="GI61" s="37" t="str">
        <f t="shared" si="7"/>
        <v/>
      </c>
      <c r="GJ61" s="4">
        <v>1</v>
      </c>
      <c r="GK61" s="10" t="s">
        <v>82</v>
      </c>
      <c r="GL61" s="10">
        <v>1</v>
      </c>
      <c r="GM61" s="10" t="s">
        <v>82</v>
      </c>
      <c r="GN61" s="10" t="s">
        <v>82</v>
      </c>
      <c r="GO61" s="10" t="s">
        <v>82</v>
      </c>
      <c r="GP61" s="10">
        <v>1</v>
      </c>
      <c r="GQ61" s="10" t="s">
        <v>82</v>
      </c>
      <c r="GR61" s="10" t="s">
        <v>82</v>
      </c>
      <c r="GS61" s="10" t="s">
        <v>82</v>
      </c>
      <c r="GT61" s="10" t="s">
        <v>82</v>
      </c>
      <c r="GU61" s="10">
        <v>1</v>
      </c>
      <c r="GV61" s="10" t="s">
        <v>82</v>
      </c>
      <c r="GW61" s="10" t="s">
        <v>82</v>
      </c>
      <c r="GX61" s="10" t="s">
        <v>82</v>
      </c>
      <c r="GY61" s="10" t="s">
        <v>82</v>
      </c>
      <c r="GZ61" s="10" t="s">
        <v>82</v>
      </c>
      <c r="HA61" s="10" t="s">
        <v>82</v>
      </c>
      <c r="HB61" s="10" t="s">
        <v>82</v>
      </c>
      <c r="HC61" s="10" t="s">
        <v>82</v>
      </c>
      <c r="HD61" s="10">
        <v>1</v>
      </c>
      <c r="HE61" s="10" t="s">
        <v>82</v>
      </c>
      <c r="HF61" s="10" t="s">
        <v>82</v>
      </c>
      <c r="HG61" s="10" t="s">
        <v>82</v>
      </c>
      <c r="HH61" s="10" t="s">
        <v>82</v>
      </c>
      <c r="HI61" s="10" t="s">
        <v>82</v>
      </c>
      <c r="HJ61" s="10">
        <v>1</v>
      </c>
      <c r="HK61" s="10" t="s">
        <v>82</v>
      </c>
      <c r="HL61" s="10" t="s">
        <v>82</v>
      </c>
      <c r="HM61" s="40" t="s">
        <v>82</v>
      </c>
    </row>
    <row r="62" spans="1:221" ht="37.5" customHeight="1">
      <c r="A62" s="693"/>
      <c r="B62" s="10" t="s">
        <v>90</v>
      </c>
      <c r="C62" s="388" t="s">
        <v>209</v>
      </c>
      <c r="D62" s="100" t="s">
        <v>265</v>
      </c>
      <c r="E62" s="77" t="s">
        <v>124</v>
      </c>
      <c r="F62" s="10" t="s">
        <v>65</v>
      </c>
      <c r="G62" s="10" t="s">
        <v>65</v>
      </c>
      <c r="H62" s="10" t="s">
        <v>65</v>
      </c>
      <c r="I62" s="10" t="s">
        <v>65</v>
      </c>
      <c r="J62" s="624" t="s">
        <v>265</v>
      </c>
      <c r="K62" s="608">
        <v>11</v>
      </c>
      <c r="L62" s="609">
        <v>2010</v>
      </c>
      <c r="M62" s="4" t="s">
        <v>82</v>
      </c>
      <c r="N62" s="10" t="s">
        <v>265</v>
      </c>
      <c r="O62" s="10" t="s">
        <v>558</v>
      </c>
      <c r="P62" s="10" t="s">
        <v>265</v>
      </c>
      <c r="Q62" s="10" t="s">
        <v>265</v>
      </c>
      <c r="R62" s="10" t="s">
        <v>265</v>
      </c>
      <c r="S62" s="10" t="s">
        <v>265</v>
      </c>
      <c r="T62" s="10" t="s">
        <v>265</v>
      </c>
      <c r="U62" s="40" t="s">
        <v>265</v>
      </c>
      <c r="V62" s="4" t="s">
        <v>265</v>
      </c>
      <c r="W62" s="41" t="s">
        <v>265</v>
      </c>
      <c r="X62" s="41" t="s">
        <v>265</v>
      </c>
      <c r="Y62" s="41" t="s">
        <v>265</v>
      </c>
      <c r="Z62" s="41" t="str">
        <f t="shared" si="2"/>
        <v>N.S</v>
      </c>
      <c r="AA62" s="593" t="str">
        <f t="shared" si="10"/>
        <v>N.S</v>
      </c>
      <c r="AB62" s="40" t="s">
        <v>265</v>
      </c>
      <c r="AC62" s="236">
        <v>3.3</v>
      </c>
      <c r="AD62" s="128">
        <v>3.3</v>
      </c>
      <c r="AE62" s="42" t="s">
        <v>265</v>
      </c>
      <c r="AF62" s="10" t="str">
        <f t="shared" si="3"/>
        <v>N.S</v>
      </c>
      <c r="AG62" s="42" t="s">
        <v>265</v>
      </c>
      <c r="AH62" s="10" t="s">
        <v>265</v>
      </c>
      <c r="AI62" s="10" t="str">
        <f t="shared" si="8"/>
        <v>N.S</v>
      </c>
      <c r="AJ62" s="42" t="s">
        <v>265</v>
      </c>
      <c r="AK62" s="42" t="s">
        <v>265</v>
      </c>
      <c r="AL62" s="56" t="str">
        <f t="shared" si="12"/>
        <v>N.S</v>
      </c>
      <c r="AM62" s="42" t="s">
        <v>265</v>
      </c>
      <c r="AN62" s="42" t="str">
        <f>IF(AL62="N.S","N.S",AL62*AQ1+IF(AM62="N.S",0,AM62*(1-AQ1)))</f>
        <v>N.S</v>
      </c>
      <c r="AO62" s="615" t="s">
        <v>265</v>
      </c>
      <c r="AP62" s="615" t="s">
        <v>265</v>
      </c>
      <c r="AQ62" s="238" t="s">
        <v>265</v>
      </c>
      <c r="AR62" s="611" t="str">
        <f t="shared" si="13"/>
        <v>N.S</v>
      </c>
      <c r="AS62" s="604" t="str">
        <f t="shared" si="9"/>
        <v>N.S</v>
      </c>
      <c r="AT62" s="19" t="s">
        <v>702</v>
      </c>
      <c r="AU62" s="10" t="s">
        <v>265</v>
      </c>
      <c r="AV62" s="10" t="s">
        <v>265</v>
      </c>
      <c r="AW62" s="10" t="s">
        <v>265</v>
      </c>
      <c r="AX62" s="10" t="s">
        <v>265</v>
      </c>
      <c r="AY62" s="10" t="s">
        <v>265</v>
      </c>
      <c r="AZ62" s="10">
        <v>16</v>
      </c>
      <c r="BA62" s="37" t="s">
        <v>265</v>
      </c>
      <c r="BB62" s="605">
        <v>12</v>
      </c>
      <c r="BC62" s="37">
        <v>32768</v>
      </c>
      <c r="BD62" s="37" t="s">
        <v>265</v>
      </c>
      <c r="BE62" s="3" t="s">
        <v>265</v>
      </c>
      <c r="BF62" s="37" t="s">
        <v>265</v>
      </c>
      <c r="BG62" s="4" t="s">
        <v>84</v>
      </c>
      <c r="BH62" s="13" t="s">
        <v>703</v>
      </c>
      <c r="BI62" s="10" t="s">
        <v>644</v>
      </c>
      <c r="BJ62" s="10">
        <v>2400</v>
      </c>
      <c r="BK62" s="10" t="s">
        <v>265</v>
      </c>
      <c r="BL62" s="10" t="s">
        <v>265</v>
      </c>
      <c r="BM62" s="40" t="s">
        <v>265</v>
      </c>
      <c r="BN62" s="301" t="s">
        <v>265</v>
      </c>
      <c r="BO62" s="41" t="s">
        <v>265</v>
      </c>
      <c r="BP62" s="129" t="s">
        <v>265</v>
      </c>
      <c r="BQ62" s="4"/>
      <c r="BR62" s="169"/>
      <c r="BS62" s="4">
        <v>0</v>
      </c>
      <c r="BT62" s="128"/>
      <c r="BU62" s="128"/>
      <c r="BV62" s="10"/>
      <c r="BW62" s="40"/>
      <c r="BX62" s="295">
        <v>0</v>
      </c>
      <c r="BY62" s="128"/>
      <c r="BZ62" s="128"/>
      <c r="CA62" s="10"/>
      <c r="CB62" s="40"/>
      <c r="CC62" s="4">
        <v>0</v>
      </c>
      <c r="CD62" s="10">
        <v>0</v>
      </c>
      <c r="CE62" s="128"/>
      <c r="CF62" s="128"/>
      <c r="CG62" s="128"/>
      <c r="CH62" s="128"/>
      <c r="CI62" s="128"/>
      <c r="CJ62" s="128"/>
      <c r="CK62" s="128"/>
      <c r="CL62" s="128"/>
      <c r="CM62" s="121"/>
      <c r="CN62" s="4">
        <v>0</v>
      </c>
      <c r="CO62" s="10">
        <v>0</v>
      </c>
      <c r="CP62" s="10"/>
      <c r="CQ62" s="10"/>
      <c r="CR62" s="10"/>
      <c r="CS62" s="10"/>
      <c r="CT62" s="10"/>
      <c r="CU62" s="10"/>
      <c r="CV62" s="10"/>
      <c r="CW62" s="10"/>
      <c r="CX62" s="121"/>
      <c r="CY62" s="4">
        <v>0</v>
      </c>
      <c r="CZ62" s="10">
        <v>0</v>
      </c>
      <c r="DA62" s="10"/>
      <c r="DB62" s="10"/>
      <c r="DC62" s="10"/>
      <c r="DD62" s="10"/>
      <c r="DE62" s="10"/>
      <c r="DF62" s="10"/>
      <c r="DG62" s="10"/>
      <c r="DH62" s="10"/>
      <c r="DI62" s="121"/>
      <c r="DJ62" s="4">
        <v>0</v>
      </c>
      <c r="DK62" s="128"/>
      <c r="DL62" s="128"/>
      <c r="DM62" s="10"/>
      <c r="DN62" s="40"/>
      <c r="DO62" s="4">
        <v>0</v>
      </c>
      <c r="DP62" s="10"/>
      <c r="DQ62" s="128"/>
      <c r="DR62" s="10"/>
      <c r="DS62" s="40"/>
      <c r="DT62" s="4">
        <v>0</v>
      </c>
      <c r="DU62" s="10"/>
      <c r="DV62" s="10"/>
      <c r="DW62" s="10"/>
      <c r="DX62" s="40"/>
      <c r="DY62" s="4">
        <v>0</v>
      </c>
      <c r="DZ62" s="10"/>
      <c r="EA62" s="10"/>
      <c r="EB62" s="10"/>
      <c r="EC62" s="40"/>
      <c r="ED62" s="4">
        <v>0</v>
      </c>
      <c r="EE62" s="10"/>
      <c r="EF62" s="10"/>
      <c r="EG62" s="10"/>
      <c r="EH62" s="40"/>
      <c r="EI62" s="4">
        <v>0</v>
      </c>
      <c r="EJ62" s="10"/>
      <c r="EK62" s="10"/>
      <c r="EL62" s="10"/>
      <c r="EM62" s="40"/>
      <c r="EN62" s="4">
        <v>0</v>
      </c>
      <c r="EO62" s="10"/>
      <c r="EP62" s="10"/>
      <c r="EQ62" s="10"/>
      <c r="ER62" s="40"/>
      <c r="ES62" s="4">
        <v>0</v>
      </c>
      <c r="ET62" s="10"/>
      <c r="EU62" s="10"/>
      <c r="EV62" s="10"/>
      <c r="EW62" s="40"/>
      <c r="EX62" s="4">
        <v>0</v>
      </c>
      <c r="EY62" s="10"/>
      <c r="EZ62" s="10"/>
      <c r="FA62" s="10"/>
      <c r="FB62" s="40"/>
      <c r="FC62" s="4">
        <v>0</v>
      </c>
      <c r="FD62" s="10"/>
      <c r="FE62" s="10"/>
      <c r="FF62" s="10"/>
      <c r="FG62" s="40"/>
      <c r="FH62" s="4">
        <v>0</v>
      </c>
      <c r="FI62" s="10"/>
      <c r="FJ62" s="10"/>
      <c r="FK62" s="10"/>
      <c r="FL62" s="40"/>
      <c r="FM62" s="4">
        <v>0</v>
      </c>
      <c r="FN62" s="10"/>
      <c r="FO62" s="10"/>
      <c r="FP62" s="10"/>
      <c r="FQ62" s="40"/>
      <c r="FR62" s="4">
        <v>0</v>
      </c>
      <c r="FS62" s="10"/>
      <c r="FT62" s="10"/>
      <c r="FU62" s="10"/>
      <c r="FV62" s="40"/>
      <c r="FW62" s="4">
        <v>0</v>
      </c>
      <c r="FX62" s="10"/>
      <c r="FY62" s="10"/>
      <c r="FZ62" s="10"/>
      <c r="GA62" s="40"/>
      <c r="GB62" s="4"/>
      <c r="GC62" s="10"/>
      <c r="GD62" s="10"/>
      <c r="GE62" s="10"/>
      <c r="GF62" s="40"/>
      <c r="GG62" s="10">
        <f t="shared" si="5"/>
        <v>1</v>
      </c>
      <c r="GH62" s="10" t="str">
        <f t="shared" si="6"/>
        <v/>
      </c>
      <c r="GI62" s="37" t="str">
        <f t="shared" si="7"/>
        <v/>
      </c>
      <c r="GJ62" s="4" t="s">
        <v>82</v>
      </c>
      <c r="GK62" s="10" t="s">
        <v>82</v>
      </c>
      <c r="GL62" s="10" t="s">
        <v>82</v>
      </c>
      <c r="GM62" s="10" t="s">
        <v>82</v>
      </c>
      <c r="GN62" s="10" t="s">
        <v>82</v>
      </c>
      <c r="GO62" s="10" t="s">
        <v>82</v>
      </c>
      <c r="GP62" s="10" t="s">
        <v>82</v>
      </c>
      <c r="GQ62" s="10" t="s">
        <v>82</v>
      </c>
      <c r="GR62" s="10" t="s">
        <v>82</v>
      </c>
      <c r="GS62" s="10" t="s">
        <v>82</v>
      </c>
      <c r="GT62" s="10" t="s">
        <v>82</v>
      </c>
      <c r="GU62" s="10" t="s">
        <v>82</v>
      </c>
      <c r="GV62" s="10" t="s">
        <v>82</v>
      </c>
      <c r="GW62" s="10" t="s">
        <v>82</v>
      </c>
      <c r="GX62" s="10" t="s">
        <v>82</v>
      </c>
      <c r="GY62" s="10" t="s">
        <v>82</v>
      </c>
      <c r="GZ62" s="10" t="s">
        <v>82</v>
      </c>
      <c r="HA62" s="10" t="s">
        <v>82</v>
      </c>
      <c r="HB62" s="10" t="s">
        <v>82</v>
      </c>
      <c r="HC62" s="10" t="s">
        <v>82</v>
      </c>
      <c r="HD62" s="10" t="s">
        <v>82</v>
      </c>
      <c r="HE62" s="10" t="s">
        <v>82</v>
      </c>
      <c r="HF62" s="10" t="s">
        <v>82</v>
      </c>
      <c r="HG62" s="10" t="s">
        <v>82</v>
      </c>
      <c r="HH62" s="10" t="s">
        <v>82</v>
      </c>
      <c r="HI62" s="10" t="s">
        <v>82</v>
      </c>
      <c r="HJ62" s="10" t="s">
        <v>82</v>
      </c>
      <c r="HK62" s="10" t="s">
        <v>82</v>
      </c>
      <c r="HL62" s="10" t="s">
        <v>82</v>
      </c>
      <c r="HM62" s="40" t="s">
        <v>82</v>
      </c>
    </row>
    <row r="63" spans="1:221" s="73" customFormat="1" ht="71.25" customHeight="1">
      <c r="A63" s="693"/>
      <c r="B63" s="53" t="s">
        <v>979</v>
      </c>
      <c r="C63" s="385" t="s">
        <v>211</v>
      </c>
      <c r="D63" s="479" t="s">
        <v>711</v>
      </c>
      <c r="E63" s="75" t="s">
        <v>124</v>
      </c>
      <c r="F63" s="75" t="s">
        <v>65</v>
      </c>
      <c r="G63" s="35" t="s">
        <v>65</v>
      </c>
      <c r="H63" s="35" t="s">
        <v>65</v>
      </c>
      <c r="I63" s="35" t="s">
        <v>65</v>
      </c>
      <c r="J63" s="363" t="s">
        <v>265</v>
      </c>
      <c r="K63" s="608" t="s">
        <v>265</v>
      </c>
      <c r="L63" s="609" t="s">
        <v>265</v>
      </c>
      <c r="M63" s="55" t="s">
        <v>82</v>
      </c>
      <c r="N63" s="53" t="s">
        <v>210</v>
      </c>
      <c r="O63" s="53" t="s">
        <v>558</v>
      </c>
      <c r="P63" s="53" t="s">
        <v>706</v>
      </c>
      <c r="Q63" s="35" t="s">
        <v>265</v>
      </c>
      <c r="R63" s="35">
        <v>8</v>
      </c>
      <c r="S63" s="35">
        <v>12</v>
      </c>
      <c r="T63" s="35" t="s">
        <v>265</v>
      </c>
      <c r="U63" s="54" t="s">
        <v>265</v>
      </c>
      <c r="V63" s="55">
        <v>18</v>
      </c>
      <c r="W63" s="479">
        <v>76</v>
      </c>
      <c r="X63" s="479">
        <v>34</v>
      </c>
      <c r="Y63" s="479">
        <v>7</v>
      </c>
      <c r="Z63" s="41">
        <f t="shared" si="2"/>
        <v>76</v>
      </c>
      <c r="AA63" s="593">
        <f t="shared" si="10"/>
        <v>18088</v>
      </c>
      <c r="AB63" s="54" t="s">
        <v>265</v>
      </c>
      <c r="AC63" s="233">
        <v>2.7</v>
      </c>
      <c r="AD63" s="178">
        <v>3.3</v>
      </c>
      <c r="AE63" s="56">
        <v>50</v>
      </c>
      <c r="AF63" s="10">
        <f t="shared" si="3"/>
        <v>0.15</v>
      </c>
      <c r="AG63" s="56">
        <f>0.5*(AC63+AD63)*33/1000</f>
        <v>9.9000000000000005E-2</v>
      </c>
      <c r="AH63" s="35">
        <f>2*1</f>
        <v>2</v>
      </c>
      <c r="AI63" s="10">
        <f t="shared" si="8"/>
        <v>21600</v>
      </c>
      <c r="AJ63" s="56" t="s">
        <v>265</v>
      </c>
      <c r="AK63" s="56" t="s">
        <v>265</v>
      </c>
      <c r="AL63" s="56">
        <f t="shared" si="12"/>
        <v>0.249</v>
      </c>
      <c r="AM63" s="56" t="s">
        <v>265</v>
      </c>
      <c r="AN63" s="42">
        <f>IF(AL63="N.S","N.S",AL63*AQ1+IF(AM63="N.S",0,AM63*(1-AQ1)))</f>
        <v>2.49E-3</v>
      </c>
      <c r="AO63" s="615" t="s">
        <v>265</v>
      </c>
      <c r="AP63" s="615" t="s">
        <v>265</v>
      </c>
      <c r="AQ63" s="615" t="s">
        <v>265</v>
      </c>
      <c r="AR63" s="611">
        <f t="shared" si="13"/>
        <v>2409.6385542168673</v>
      </c>
      <c r="AS63" s="604">
        <f t="shared" si="9"/>
        <v>301.20481927710841</v>
      </c>
      <c r="AT63" s="25" t="s">
        <v>707</v>
      </c>
      <c r="AU63" s="35">
        <v>32</v>
      </c>
      <c r="AV63" s="35" t="s">
        <v>265</v>
      </c>
      <c r="AW63" s="35">
        <v>64</v>
      </c>
      <c r="AX63" s="35">
        <f>512+64000</f>
        <v>64512</v>
      </c>
      <c r="AY63" s="35" t="s">
        <v>265</v>
      </c>
      <c r="AZ63" s="35" t="s">
        <v>265</v>
      </c>
      <c r="BA63" s="385" t="s">
        <v>265</v>
      </c>
      <c r="BB63" s="311">
        <v>100</v>
      </c>
      <c r="BC63" s="385" t="s">
        <v>265</v>
      </c>
      <c r="BD63" s="387" t="s">
        <v>705</v>
      </c>
      <c r="BE63" s="24" t="s">
        <v>710</v>
      </c>
      <c r="BF63" s="385" t="s">
        <v>265</v>
      </c>
      <c r="BG63" s="55" t="s">
        <v>84</v>
      </c>
      <c r="BH63" s="53" t="s">
        <v>681</v>
      </c>
      <c r="BI63" s="35" t="s">
        <v>708</v>
      </c>
      <c r="BJ63" s="35">
        <v>2400</v>
      </c>
      <c r="BK63" s="35" t="s">
        <v>265</v>
      </c>
      <c r="BL63" s="35">
        <v>-101</v>
      </c>
      <c r="BM63" s="54">
        <v>3</v>
      </c>
      <c r="BN63" s="301" t="s">
        <v>265</v>
      </c>
      <c r="BO63" s="41" t="s">
        <v>265</v>
      </c>
      <c r="BP63" s="129" t="s">
        <v>265</v>
      </c>
      <c r="BQ63" s="55" t="s">
        <v>704</v>
      </c>
      <c r="BR63" s="171" t="s">
        <v>592</v>
      </c>
      <c r="BS63" s="55">
        <v>0</v>
      </c>
      <c r="BT63" s="178"/>
      <c r="BU63" s="178"/>
      <c r="BV63" s="35"/>
      <c r="BW63" s="54"/>
      <c r="BX63" s="36">
        <v>0</v>
      </c>
      <c r="BY63" s="178"/>
      <c r="BZ63" s="178"/>
      <c r="CA63" s="35"/>
      <c r="CB63" s="54"/>
      <c r="CC63" s="4">
        <v>0</v>
      </c>
      <c r="CD63" s="10">
        <v>0</v>
      </c>
      <c r="CE63" s="178"/>
      <c r="CF63" s="178"/>
      <c r="CG63" s="178"/>
      <c r="CH63" s="178"/>
      <c r="CI63" s="178"/>
      <c r="CJ63" s="178"/>
      <c r="CK63" s="178"/>
      <c r="CL63" s="178"/>
      <c r="CM63" s="193"/>
      <c r="CN63" s="4">
        <v>0</v>
      </c>
      <c r="CO63" s="10">
        <v>0</v>
      </c>
      <c r="CP63" s="35"/>
      <c r="CQ63" s="35"/>
      <c r="CR63" s="35"/>
      <c r="CS63" s="35"/>
      <c r="CT63" s="35"/>
      <c r="CU63" s="35"/>
      <c r="CV63" s="35"/>
      <c r="CW63" s="35"/>
      <c r="CX63" s="193"/>
      <c r="CY63" s="4">
        <v>0</v>
      </c>
      <c r="CZ63" s="10">
        <v>0</v>
      </c>
      <c r="DA63" s="35"/>
      <c r="DB63" s="35"/>
      <c r="DC63" s="35"/>
      <c r="DD63" s="35"/>
      <c r="DE63" s="35"/>
      <c r="DF63" s="35"/>
      <c r="DG63" s="35"/>
      <c r="DH63" s="35"/>
      <c r="DI63" s="193"/>
      <c r="DJ63" s="4">
        <v>0</v>
      </c>
      <c r="DK63" s="178"/>
      <c r="DL63" s="178"/>
      <c r="DM63" s="35"/>
      <c r="DN63" s="54"/>
      <c r="DO63" s="4">
        <v>0</v>
      </c>
      <c r="DP63" s="35"/>
      <c r="DQ63" s="178"/>
      <c r="DR63" s="35"/>
      <c r="DS63" s="54"/>
      <c r="DT63" s="4">
        <v>0</v>
      </c>
      <c r="DU63" s="35"/>
      <c r="DV63" s="35"/>
      <c r="DW63" s="35"/>
      <c r="DX63" s="54"/>
      <c r="DY63" s="4">
        <v>0</v>
      </c>
      <c r="DZ63" s="35"/>
      <c r="EA63" s="35"/>
      <c r="EB63" s="35"/>
      <c r="EC63" s="54"/>
      <c r="ED63" s="4">
        <v>0</v>
      </c>
      <c r="EE63" s="35"/>
      <c r="EF63" s="35"/>
      <c r="EG63" s="35"/>
      <c r="EH63" s="54"/>
      <c r="EI63" s="4">
        <v>0</v>
      </c>
      <c r="EJ63" s="35"/>
      <c r="EK63" s="35"/>
      <c r="EL63" s="35"/>
      <c r="EM63" s="54"/>
      <c r="EN63" s="4">
        <v>0</v>
      </c>
      <c r="EO63" s="35"/>
      <c r="EP63" s="35"/>
      <c r="EQ63" s="35"/>
      <c r="ER63" s="54"/>
      <c r="ES63" s="4">
        <v>0</v>
      </c>
      <c r="ET63" s="35"/>
      <c r="EU63" s="35"/>
      <c r="EV63" s="35"/>
      <c r="EW63" s="54"/>
      <c r="EX63" s="4">
        <v>0</v>
      </c>
      <c r="EY63" s="35"/>
      <c r="EZ63" s="35"/>
      <c r="FA63" s="35"/>
      <c r="FB63" s="54"/>
      <c r="FC63" s="4">
        <v>0</v>
      </c>
      <c r="FD63" s="35"/>
      <c r="FE63" s="35"/>
      <c r="FF63" s="35"/>
      <c r="FG63" s="54"/>
      <c r="FH63" s="4">
        <v>0</v>
      </c>
      <c r="FI63" s="35"/>
      <c r="FJ63" s="35"/>
      <c r="FK63" s="35"/>
      <c r="FL63" s="54"/>
      <c r="FM63" s="4">
        <v>0</v>
      </c>
      <c r="FN63" s="35"/>
      <c r="FO63" s="35"/>
      <c r="FP63" s="35"/>
      <c r="FQ63" s="54"/>
      <c r="FR63" s="4">
        <v>0</v>
      </c>
      <c r="FS63" s="35"/>
      <c r="FT63" s="35"/>
      <c r="FU63" s="35"/>
      <c r="FV63" s="54"/>
      <c r="FW63" s="4">
        <v>0</v>
      </c>
      <c r="FX63" s="35"/>
      <c r="FY63" s="35"/>
      <c r="FZ63" s="35"/>
      <c r="GA63" s="54"/>
      <c r="GB63" s="55"/>
      <c r="GC63" s="35"/>
      <c r="GD63" s="35"/>
      <c r="GE63" s="35"/>
      <c r="GF63" s="54"/>
      <c r="GG63" s="10">
        <f t="shared" si="5"/>
        <v>1</v>
      </c>
      <c r="GH63" s="10" t="str">
        <f t="shared" si="6"/>
        <v/>
      </c>
      <c r="GI63" s="37" t="str">
        <f t="shared" si="7"/>
        <v/>
      </c>
      <c r="GJ63" s="4" t="s">
        <v>82</v>
      </c>
      <c r="GK63" s="10" t="s">
        <v>82</v>
      </c>
      <c r="GL63" s="10" t="s">
        <v>82</v>
      </c>
      <c r="GM63" s="10" t="s">
        <v>82</v>
      </c>
      <c r="GN63" s="10" t="s">
        <v>82</v>
      </c>
      <c r="GO63" s="10" t="s">
        <v>82</v>
      </c>
      <c r="GP63" s="10">
        <v>1</v>
      </c>
      <c r="GQ63" s="10">
        <v>1</v>
      </c>
      <c r="GR63" s="10">
        <v>1</v>
      </c>
      <c r="GS63" s="10">
        <v>1</v>
      </c>
      <c r="GT63" s="10" t="s">
        <v>82</v>
      </c>
      <c r="GU63" s="10" t="s">
        <v>82</v>
      </c>
      <c r="GV63" s="10" t="s">
        <v>82</v>
      </c>
      <c r="GW63" s="10" t="s">
        <v>82</v>
      </c>
      <c r="GX63" s="10" t="s">
        <v>82</v>
      </c>
      <c r="GY63" s="10" t="s">
        <v>82</v>
      </c>
      <c r="GZ63" s="10" t="s">
        <v>82</v>
      </c>
      <c r="HA63" s="10" t="s">
        <v>82</v>
      </c>
      <c r="HB63" s="10" t="s">
        <v>82</v>
      </c>
      <c r="HC63" s="10" t="s">
        <v>82</v>
      </c>
      <c r="HD63" s="10" t="s">
        <v>82</v>
      </c>
      <c r="HE63" s="10" t="s">
        <v>82</v>
      </c>
      <c r="HF63" s="10" t="s">
        <v>82</v>
      </c>
      <c r="HG63" s="10" t="s">
        <v>82</v>
      </c>
      <c r="HH63" s="10" t="s">
        <v>82</v>
      </c>
      <c r="HI63" s="10" t="s">
        <v>82</v>
      </c>
      <c r="HJ63" s="10" t="s">
        <v>82</v>
      </c>
      <c r="HK63" s="10" t="s">
        <v>82</v>
      </c>
      <c r="HL63" s="10" t="s">
        <v>82</v>
      </c>
      <c r="HM63" s="40" t="s">
        <v>82</v>
      </c>
    </row>
    <row r="64" spans="1:221" s="73" customFormat="1" ht="27.6">
      <c r="A64" s="693"/>
      <c r="B64" s="35" t="s">
        <v>23</v>
      </c>
      <c r="C64" s="695" t="s">
        <v>212</v>
      </c>
      <c r="D64" s="478" t="s">
        <v>714</v>
      </c>
      <c r="E64" s="75" t="s">
        <v>65</v>
      </c>
      <c r="F64" s="75" t="s">
        <v>124</v>
      </c>
      <c r="G64" s="75" t="s">
        <v>65</v>
      </c>
      <c r="H64" s="35" t="s">
        <v>65</v>
      </c>
      <c r="I64" s="35" t="s">
        <v>65</v>
      </c>
      <c r="J64" s="363" t="s">
        <v>265</v>
      </c>
      <c r="K64" s="608" t="s">
        <v>265</v>
      </c>
      <c r="L64" s="609" t="s">
        <v>265</v>
      </c>
      <c r="M64" s="55" t="s">
        <v>82</v>
      </c>
      <c r="N64" s="35" t="s">
        <v>82</v>
      </c>
      <c r="O64" s="35" t="s">
        <v>558</v>
      </c>
      <c r="P64" s="35" t="s">
        <v>265</v>
      </c>
      <c r="Q64" s="35" t="s">
        <v>265</v>
      </c>
      <c r="R64" s="35">
        <v>6</v>
      </c>
      <c r="S64" s="35">
        <v>10</v>
      </c>
      <c r="T64" s="35" t="s">
        <v>265</v>
      </c>
      <c r="U64" s="54" t="s">
        <v>265</v>
      </c>
      <c r="V64" s="55">
        <v>3</v>
      </c>
      <c r="W64" s="479">
        <v>24</v>
      </c>
      <c r="X64" s="479">
        <v>28</v>
      </c>
      <c r="Y64" s="479" t="s">
        <v>265</v>
      </c>
      <c r="Z64" s="41">
        <f t="shared" si="2"/>
        <v>28</v>
      </c>
      <c r="AA64" s="593" t="str">
        <f t="shared" si="10"/>
        <v>N.S</v>
      </c>
      <c r="AB64" s="54" t="s">
        <v>265</v>
      </c>
      <c r="AC64" s="233">
        <v>3</v>
      </c>
      <c r="AD64" s="178">
        <v>3.4</v>
      </c>
      <c r="AE64" s="56" t="s">
        <v>265</v>
      </c>
      <c r="AF64" s="10" t="str">
        <f t="shared" si="3"/>
        <v>N.S</v>
      </c>
      <c r="AG64" s="56">
        <f>0.5*(AC64+AD64)*75/1000</f>
        <v>0.24</v>
      </c>
      <c r="AH64" s="35" t="s">
        <v>265</v>
      </c>
      <c r="AI64" s="10" t="str">
        <f t="shared" si="8"/>
        <v>N.S</v>
      </c>
      <c r="AJ64" s="56" t="s">
        <v>265</v>
      </c>
      <c r="AK64" s="56" t="s">
        <v>265</v>
      </c>
      <c r="AL64" s="56">
        <f t="shared" si="12"/>
        <v>0.24</v>
      </c>
      <c r="AM64" s="56">
        <f>0.5*(AC64+AD64)*0.01/1000</f>
        <v>3.1999999999999999E-5</v>
      </c>
      <c r="AN64" s="42">
        <f>IF(AL64="N.S","N.S",AL64*AQ1+IF(AM64="N.S",0,AM64*(1-AQ1)))</f>
        <v>2.4316799999999999E-3</v>
      </c>
      <c r="AO64" s="615" t="s">
        <v>265</v>
      </c>
      <c r="AP64" s="42">
        <v>1</v>
      </c>
      <c r="AQ64" s="615" t="s">
        <v>265</v>
      </c>
      <c r="AR64" s="611" t="str">
        <f t="shared" si="13"/>
        <v>N.S</v>
      </c>
      <c r="AS64" s="604">
        <f t="shared" si="9"/>
        <v>308.42874062376632</v>
      </c>
      <c r="AT64" s="25" t="s">
        <v>265</v>
      </c>
      <c r="AU64" s="35" t="s">
        <v>265</v>
      </c>
      <c r="AV64" s="35" t="s">
        <v>265</v>
      </c>
      <c r="AW64" s="35" t="s">
        <v>265</v>
      </c>
      <c r="AX64" s="35" t="s">
        <v>265</v>
      </c>
      <c r="AY64" s="35" t="s">
        <v>265</v>
      </c>
      <c r="AZ64" s="35" t="s">
        <v>265</v>
      </c>
      <c r="BA64" s="385" t="s">
        <v>265</v>
      </c>
      <c r="BB64" s="311" t="s">
        <v>265</v>
      </c>
      <c r="BC64" s="385" t="s">
        <v>265</v>
      </c>
      <c r="BD64" s="385" t="s">
        <v>712</v>
      </c>
      <c r="BE64" s="24" t="s">
        <v>265</v>
      </c>
      <c r="BF64" s="385" t="s">
        <v>265</v>
      </c>
      <c r="BG64" s="55" t="s">
        <v>84</v>
      </c>
      <c r="BH64" s="53" t="s">
        <v>681</v>
      </c>
      <c r="BI64" s="35" t="s">
        <v>265</v>
      </c>
      <c r="BJ64" s="35">
        <v>2400</v>
      </c>
      <c r="BK64" s="35" t="s">
        <v>265</v>
      </c>
      <c r="BL64" s="35">
        <v>-92</v>
      </c>
      <c r="BM64" s="54">
        <v>0</v>
      </c>
      <c r="BN64" s="301" t="s">
        <v>265</v>
      </c>
      <c r="BO64" s="41" t="s">
        <v>265</v>
      </c>
      <c r="BP64" s="129" t="s">
        <v>265</v>
      </c>
      <c r="BQ64" s="55"/>
      <c r="BR64" s="174" t="s">
        <v>713</v>
      </c>
      <c r="BS64" s="55">
        <v>0</v>
      </c>
      <c r="BT64" s="178"/>
      <c r="BU64" s="178"/>
      <c r="BV64" s="35"/>
      <c r="BW64" s="54"/>
      <c r="BX64" s="36">
        <v>0</v>
      </c>
      <c r="BY64" s="178"/>
      <c r="BZ64" s="178"/>
      <c r="CA64" s="35"/>
      <c r="CB64" s="54"/>
      <c r="CC64" s="4">
        <v>0</v>
      </c>
      <c r="CD64" s="10">
        <v>0</v>
      </c>
      <c r="CE64" s="178"/>
      <c r="CF64" s="178"/>
      <c r="CG64" s="178"/>
      <c r="CH64" s="178"/>
      <c r="CI64" s="178"/>
      <c r="CJ64" s="178"/>
      <c r="CK64" s="178"/>
      <c r="CL64" s="178"/>
      <c r="CM64" s="193"/>
      <c r="CN64" s="4">
        <v>0</v>
      </c>
      <c r="CO64" s="10">
        <v>0</v>
      </c>
      <c r="CP64" s="35"/>
      <c r="CQ64" s="35"/>
      <c r="CR64" s="35"/>
      <c r="CS64" s="35"/>
      <c r="CT64" s="35"/>
      <c r="CU64" s="35"/>
      <c r="CV64" s="35"/>
      <c r="CW64" s="35"/>
      <c r="CX64" s="193"/>
      <c r="CY64" s="4">
        <v>0</v>
      </c>
      <c r="CZ64" s="10">
        <v>0</v>
      </c>
      <c r="DA64" s="35"/>
      <c r="DB64" s="35"/>
      <c r="DC64" s="35"/>
      <c r="DD64" s="35"/>
      <c r="DE64" s="35"/>
      <c r="DF64" s="35"/>
      <c r="DG64" s="35"/>
      <c r="DH64" s="35"/>
      <c r="DI64" s="193"/>
      <c r="DJ64" s="4">
        <v>0</v>
      </c>
      <c r="DK64" s="178"/>
      <c r="DL64" s="178"/>
      <c r="DM64" s="35"/>
      <c r="DN64" s="54"/>
      <c r="DO64" s="4">
        <v>0</v>
      </c>
      <c r="DP64" s="35"/>
      <c r="DQ64" s="178"/>
      <c r="DR64" s="35"/>
      <c r="DS64" s="54"/>
      <c r="DT64" s="4">
        <v>0</v>
      </c>
      <c r="DU64" s="35"/>
      <c r="DV64" s="35"/>
      <c r="DW64" s="35"/>
      <c r="DX64" s="54"/>
      <c r="DY64" s="4">
        <v>0</v>
      </c>
      <c r="DZ64" s="35"/>
      <c r="EA64" s="35"/>
      <c r="EB64" s="35"/>
      <c r="EC64" s="54"/>
      <c r="ED64" s="4">
        <v>0</v>
      </c>
      <c r="EE64" s="35"/>
      <c r="EF64" s="35"/>
      <c r="EG64" s="35"/>
      <c r="EH64" s="54"/>
      <c r="EI64" s="4">
        <v>0</v>
      </c>
      <c r="EJ64" s="35"/>
      <c r="EK64" s="35"/>
      <c r="EL64" s="35"/>
      <c r="EM64" s="54"/>
      <c r="EN64" s="4">
        <v>0</v>
      </c>
      <c r="EO64" s="35"/>
      <c r="EP64" s="35"/>
      <c r="EQ64" s="35"/>
      <c r="ER64" s="54"/>
      <c r="ES64" s="4">
        <v>0</v>
      </c>
      <c r="ET64" s="35"/>
      <c r="EU64" s="35"/>
      <c r="EV64" s="35"/>
      <c r="EW64" s="54"/>
      <c r="EX64" s="4">
        <v>0</v>
      </c>
      <c r="EY64" s="35"/>
      <c r="EZ64" s="35"/>
      <c r="FA64" s="35"/>
      <c r="FB64" s="54"/>
      <c r="FC64" s="4">
        <v>0</v>
      </c>
      <c r="FD64" s="35"/>
      <c r="FE64" s="35"/>
      <c r="FF64" s="35"/>
      <c r="FG64" s="54"/>
      <c r="FH64" s="4">
        <v>0</v>
      </c>
      <c r="FI64" s="35"/>
      <c r="FJ64" s="35"/>
      <c r="FK64" s="35"/>
      <c r="FL64" s="54"/>
      <c r="FM64" s="4">
        <v>0</v>
      </c>
      <c r="FN64" s="35"/>
      <c r="FO64" s="35"/>
      <c r="FP64" s="35"/>
      <c r="FQ64" s="54"/>
      <c r="FR64" s="4">
        <v>0</v>
      </c>
      <c r="FS64" s="35"/>
      <c r="FT64" s="35"/>
      <c r="FU64" s="35"/>
      <c r="FV64" s="54"/>
      <c r="FW64" s="4">
        <v>0</v>
      </c>
      <c r="FX64" s="35"/>
      <c r="FY64" s="35"/>
      <c r="FZ64" s="35"/>
      <c r="GA64" s="54"/>
      <c r="GB64" s="55"/>
      <c r="GC64" s="35"/>
      <c r="GD64" s="35"/>
      <c r="GE64" s="35"/>
      <c r="GF64" s="54"/>
      <c r="GG64" s="10">
        <f t="shared" si="5"/>
        <v>1</v>
      </c>
      <c r="GH64" s="10" t="str">
        <f t="shared" si="6"/>
        <v/>
      </c>
      <c r="GI64" s="37" t="str">
        <f t="shared" si="7"/>
        <v/>
      </c>
      <c r="GJ64" s="4" t="s">
        <v>82</v>
      </c>
      <c r="GK64" s="10" t="s">
        <v>82</v>
      </c>
      <c r="GL64" s="10">
        <v>1</v>
      </c>
      <c r="GM64" s="10" t="s">
        <v>82</v>
      </c>
      <c r="GN64" s="10" t="s">
        <v>82</v>
      </c>
      <c r="GO64" s="10" t="s">
        <v>82</v>
      </c>
      <c r="GP64" s="10" t="s">
        <v>82</v>
      </c>
      <c r="GQ64" s="10" t="s">
        <v>82</v>
      </c>
      <c r="GR64" s="10" t="s">
        <v>82</v>
      </c>
      <c r="GS64" s="10" t="s">
        <v>82</v>
      </c>
      <c r="GT64" s="10" t="s">
        <v>82</v>
      </c>
      <c r="GU64" s="10" t="s">
        <v>82</v>
      </c>
      <c r="GV64" s="10" t="s">
        <v>82</v>
      </c>
      <c r="GW64" s="10" t="s">
        <v>82</v>
      </c>
      <c r="GX64" s="10" t="s">
        <v>82</v>
      </c>
      <c r="GY64" s="10" t="s">
        <v>82</v>
      </c>
      <c r="GZ64" s="10" t="s">
        <v>82</v>
      </c>
      <c r="HA64" s="10" t="s">
        <v>82</v>
      </c>
      <c r="HB64" s="10" t="s">
        <v>82</v>
      </c>
      <c r="HC64" s="10" t="s">
        <v>82</v>
      </c>
      <c r="HD64" s="10" t="s">
        <v>82</v>
      </c>
      <c r="HE64" s="10" t="s">
        <v>82</v>
      </c>
      <c r="HF64" s="10" t="s">
        <v>82</v>
      </c>
      <c r="HG64" s="10" t="s">
        <v>82</v>
      </c>
      <c r="HH64" s="10" t="s">
        <v>82</v>
      </c>
      <c r="HI64" s="10" t="s">
        <v>82</v>
      </c>
      <c r="HJ64" s="10" t="s">
        <v>82</v>
      </c>
      <c r="HK64" s="10" t="s">
        <v>82</v>
      </c>
      <c r="HL64" s="10" t="s">
        <v>82</v>
      </c>
      <c r="HM64" s="40" t="s">
        <v>82</v>
      </c>
    </row>
    <row r="65" spans="1:221" s="73" customFormat="1" ht="82.8">
      <c r="A65" s="693"/>
      <c r="B65" s="53" t="s">
        <v>214</v>
      </c>
      <c r="C65" s="696"/>
      <c r="D65" s="478" t="s">
        <v>715</v>
      </c>
      <c r="E65" s="75" t="s">
        <v>65</v>
      </c>
      <c r="F65" s="35" t="s">
        <v>65</v>
      </c>
      <c r="G65" s="35" t="s">
        <v>65</v>
      </c>
      <c r="H65" s="35" t="s">
        <v>65</v>
      </c>
      <c r="I65" s="35" t="s">
        <v>65</v>
      </c>
      <c r="J65" s="363" t="s">
        <v>265</v>
      </c>
      <c r="K65" s="608" t="s">
        <v>265</v>
      </c>
      <c r="L65" s="609" t="s">
        <v>265</v>
      </c>
      <c r="M65" s="24" t="s">
        <v>213</v>
      </c>
      <c r="N65" s="35" t="s">
        <v>265</v>
      </c>
      <c r="O65" s="35" t="s">
        <v>558</v>
      </c>
      <c r="P65" s="35" t="s">
        <v>265</v>
      </c>
      <c r="Q65" s="35" t="s">
        <v>265</v>
      </c>
      <c r="R65" s="35" t="s">
        <v>265</v>
      </c>
      <c r="S65" s="35" t="s">
        <v>265</v>
      </c>
      <c r="T65" s="35" t="s">
        <v>265</v>
      </c>
      <c r="U65" s="54" t="s">
        <v>265</v>
      </c>
      <c r="V65" s="55">
        <v>566</v>
      </c>
      <c r="W65" s="479">
        <v>178</v>
      </c>
      <c r="X65" s="479">
        <v>129</v>
      </c>
      <c r="Y65" s="479">
        <v>150</v>
      </c>
      <c r="Z65" s="41">
        <f t="shared" si="2"/>
        <v>178</v>
      </c>
      <c r="AA65" s="593">
        <f t="shared" si="10"/>
        <v>3444300</v>
      </c>
      <c r="AB65" s="54" t="s">
        <v>265</v>
      </c>
      <c r="AC65" s="233">
        <v>7.2</v>
      </c>
      <c r="AD65" s="178">
        <v>7.2</v>
      </c>
      <c r="AE65" s="56" t="s">
        <v>265</v>
      </c>
      <c r="AF65" s="10" t="str">
        <f t="shared" si="3"/>
        <v>N.S</v>
      </c>
      <c r="AG65" s="56" t="s">
        <v>265</v>
      </c>
      <c r="AH65" s="35">
        <v>14.5</v>
      </c>
      <c r="AI65" s="10">
        <f t="shared" si="8"/>
        <v>375840</v>
      </c>
      <c r="AJ65" s="56" t="s">
        <v>82</v>
      </c>
      <c r="AK65" s="56" t="s">
        <v>84</v>
      </c>
      <c r="AL65" s="56" t="str">
        <f t="shared" si="12"/>
        <v>N.S</v>
      </c>
      <c r="AM65" s="56" t="s">
        <v>265</v>
      </c>
      <c r="AN65" s="42" t="str">
        <f>IF(AL65="N.S","N.S",AL65*AQ1+IF(AM65="N.S",0,AM65*(1-AQ1)))</f>
        <v>N.S</v>
      </c>
      <c r="AO65" s="615" t="s">
        <v>265</v>
      </c>
      <c r="AP65" s="615" t="s">
        <v>265</v>
      </c>
      <c r="AQ65" s="615">
        <v>2433</v>
      </c>
      <c r="AR65" s="611" t="str">
        <f t="shared" si="13"/>
        <v>N.S</v>
      </c>
      <c r="AS65" s="604" t="str">
        <f t="shared" si="9"/>
        <v>N.S</v>
      </c>
      <c r="AT65" s="25" t="s">
        <v>265</v>
      </c>
      <c r="AU65" s="35" t="s">
        <v>265</v>
      </c>
      <c r="AV65" s="35" t="s">
        <v>265</v>
      </c>
      <c r="AW65" s="35" t="s">
        <v>265</v>
      </c>
      <c r="AX65" s="35" t="s">
        <v>265</v>
      </c>
      <c r="AY65" s="35" t="s">
        <v>265</v>
      </c>
      <c r="AZ65" s="35" t="s">
        <v>265</v>
      </c>
      <c r="BA65" s="385" t="s">
        <v>265</v>
      </c>
      <c r="BB65" s="311" t="s">
        <v>265</v>
      </c>
      <c r="BC65" s="385" t="s">
        <v>265</v>
      </c>
      <c r="BD65" s="385" t="s">
        <v>265</v>
      </c>
      <c r="BE65" s="24" t="s">
        <v>265</v>
      </c>
      <c r="BF65" s="385" t="s">
        <v>265</v>
      </c>
      <c r="BG65" s="55" t="s">
        <v>84</v>
      </c>
      <c r="BH65" s="53" t="s">
        <v>717</v>
      </c>
      <c r="BI65" s="35" t="s">
        <v>265</v>
      </c>
      <c r="BJ65" s="35" t="s">
        <v>265</v>
      </c>
      <c r="BK65" s="35" t="s">
        <v>265</v>
      </c>
      <c r="BL65" s="35" t="s">
        <v>265</v>
      </c>
      <c r="BM65" s="54" t="s">
        <v>265</v>
      </c>
      <c r="BN65" s="301" t="s">
        <v>265</v>
      </c>
      <c r="BO65" s="41" t="s">
        <v>265</v>
      </c>
      <c r="BP65" s="129" t="s">
        <v>265</v>
      </c>
      <c r="BQ65" s="55" t="s">
        <v>716</v>
      </c>
      <c r="BR65" s="174" t="s">
        <v>885</v>
      </c>
      <c r="BS65" s="55">
        <v>0</v>
      </c>
      <c r="BT65" s="178"/>
      <c r="BU65" s="178"/>
      <c r="BV65" s="35"/>
      <c r="BW65" s="54"/>
      <c r="BX65" s="36">
        <v>0</v>
      </c>
      <c r="BY65" s="178"/>
      <c r="BZ65" s="178"/>
      <c r="CA65" s="35"/>
      <c r="CB65" s="54"/>
      <c r="CC65" s="4">
        <v>0</v>
      </c>
      <c r="CD65" s="10">
        <v>0</v>
      </c>
      <c r="CE65" s="178"/>
      <c r="CF65" s="178"/>
      <c r="CG65" s="178"/>
      <c r="CH65" s="178"/>
      <c r="CI65" s="178"/>
      <c r="CJ65" s="178"/>
      <c r="CK65" s="178"/>
      <c r="CL65" s="178"/>
      <c r="CM65" s="193"/>
      <c r="CN65" s="4">
        <v>0</v>
      </c>
      <c r="CO65" s="10">
        <v>0</v>
      </c>
      <c r="CP65" s="35"/>
      <c r="CQ65" s="35"/>
      <c r="CR65" s="35"/>
      <c r="CS65" s="35"/>
      <c r="CT65" s="35"/>
      <c r="CU65" s="35"/>
      <c r="CV65" s="35"/>
      <c r="CW65" s="35"/>
      <c r="CX65" s="193"/>
      <c r="CY65" s="4">
        <v>0</v>
      </c>
      <c r="CZ65" s="10">
        <v>0</v>
      </c>
      <c r="DA65" s="35"/>
      <c r="DB65" s="35"/>
      <c r="DC65" s="35"/>
      <c r="DD65" s="35"/>
      <c r="DE65" s="35"/>
      <c r="DF65" s="35"/>
      <c r="DG65" s="35"/>
      <c r="DH65" s="35"/>
      <c r="DI65" s="193"/>
      <c r="DJ65" s="4">
        <v>0</v>
      </c>
      <c r="DK65" s="178"/>
      <c r="DL65" s="178"/>
      <c r="DM65" s="35"/>
      <c r="DN65" s="54"/>
      <c r="DO65" s="4">
        <v>0</v>
      </c>
      <c r="DP65" s="35"/>
      <c r="DQ65" s="178"/>
      <c r="DR65" s="35"/>
      <c r="DS65" s="54"/>
      <c r="DT65" s="4">
        <v>0</v>
      </c>
      <c r="DU65" s="35"/>
      <c r="DV65" s="35"/>
      <c r="DW65" s="35"/>
      <c r="DX65" s="54"/>
      <c r="DY65" s="4">
        <v>0</v>
      </c>
      <c r="DZ65" s="35"/>
      <c r="EA65" s="35"/>
      <c r="EB65" s="35"/>
      <c r="EC65" s="54"/>
      <c r="ED65" s="4">
        <v>0</v>
      </c>
      <c r="EE65" s="35"/>
      <c r="EF65" s="35"/>
      <c r="EG65" s="35"/>
      <c r="EH65" s="54"/>
      <c r="EI65" s="4">
        <v>0</v>
      </c>
      <c r="EJ65" s="35"/>
      <c r="EK65" s="35"/>
      <c r="EL65" s="35"/>
      <c r="EM65" s="54"/>
      <c r="EN65" s="4">
        <v>0</v>
      </c>
      <c r="EO65" s="35"/>
      <c r="EP65" s="35"/>
      <c r="EQ65" s="35"/>
      <c r="ER65" s="54"/>
      <c r="ES65" s="4">
        <v>0</v>
      </c>
      <c r="ET65" s="35"/>
      <c r="EU65" s="35"/>
      <c r="EV65" s="35"/>
      <c r="EW65" s="54"/>
      <c r="EX65" s="4">
        <v>0</v>
      </c>
      <c r="EY65" s="35"/>
      <c r="EZ65" s="35"/>
      <c r="FA65" s="35"/>
      <c r="FB65" s="54"/>
      <c r="FC65" s="4">
        <v>0</v>
      </c>
      <c r="FD65" s="35"/>
      <c r="FE65" s="35"/>
      <c r="FF65" s="35"/>
      <c r="FG65" s="54"/>
      <c r="FH65" s="4">
        <v>1</v>
      </c>
      <c r="FI65" s="35"/>
      <c r="FJ65" s="35"/>
      <c r="FK65" s="35" t="s">
        <v>487</v>
      </c>
      <c r="FL65" s="54"/>
      <c r="FM65" s="4">
        <v>0</v>
      </c>
      <c r="FN65" s="35"/>
      <c r="FO65" s="35"/>
      <c r="FP65" s="35"/>
      <c r="FQ65" s="54"/>
      <c r="FR65" s="4">
        <v>0</v>
      </c>
      <c r="FS65" s="35"/>
      <c r="FT65" s="35"/>
      <c r="FU65" s="35"/>
      <c r="FV65" s="54"/>
      <c r="FW65" s="4">
        <v>0</v>
      </c>
      <c r="FX65" s="35"/>
      <c r="FY65" s="35"/>
      <c r="FZ65" s="35"/>
      <c r="GA65" s="54"/>
      <c r="GB65" s="55"/>
      <c r="GC65" s="35"/>
      <c r="GD65" s="35"/>
      <c r="GE65" s="35"/>
      <c r="GF65" s="54"/>
      <c r="GG65" s="10">
        <f t="shared" si="5"/>
        <v>1</v>
      </c>
      <c r="GH65" s="10" t="str">
        <f t="shared" si="6"/>
        <v/>
      </c>
      <c r="GI65" s="37" t="str">
        <f t="shared" si="7"/>
        <v/>
      </c>
      <c r="GJ65" s="4" t="s">
        <v>82</v>
      </c>
      <c r="GK65" s="10" t="s">
        <v>82</v>
      </c>
      <c r="GL65" s="10" t="s">
        <v>82</v>
      </c>
      <c r="GM65" s="10" t="s">
        <v>82</v>
      </c>
      <c r="GN65" s="10" t="s">
        <v>82</v>
      </c>
      <c r="GO65" s="10" t="s">
        <v>82</v>
      </c>
      <c r="GP65" s="10" t="s">
        <v>82</v>
      </c>
      <c r="GQ65" s="10" t="s">
        <v>82</v>
      </c>
      <c r="GR65" s="10" t="s">
        <v>82</v>
      </c>
      <c r="GS65" s="10" t="s">
        <v>82</v>
      </c>
      <c r="GT65" s="10" t="s">
        <v>82</v>
      </c>
      <c r="GU65" s="10" t="s">
        <v>82</v>
      </c>
      <c r="GV65" s="10" t="s">
        <v>82</v>
      </c>
      <c r="GW65" s="10" t="s">
        <v>82</v>
      </c>
      <c r="GX65" s="10" t="s">
        <v>82</v>
      </c>
      <c r="GY65" s="10" t="s">
        <v>82</v>
      </c>
      <c r="GZ65" s="10" t="s">
        <v>82</v>
      </c>
      <c r="HA65" s="10" t="s">
        <v>82</v>
      </c>
      <c r="HB65" s="10" t="s">
        <v>82</v>
      </c>
      <c r="HC65" s="10" t="s">
        <v>82</v>
      </c>
      <c r="HD65" s="10" t="s">
        <v>82</v>
      </c>
      <c r="HE65" s="10" t="s">
        <v>82</v>
      </c>
      <c r="HF65" s="10" t="s">
        <v>82</v>
      </c>
      <c r="HG65" s="10" t="s">
        <v>82</v>
      </c>
      <c r="HH65" s="10" t="s">
        <v>82</v>
      </c>
      <c r="HI65" s="10" t="s">
        <v>82</v>
      </c>
      <c r="HJ65" s="10" t="s">
        <v>82</v>
      </c>
      <c r="HK65" s="10" t="s">
        <v>82</v>
      </c>
      <c r="HL65" s="10" t="s">
        <v>82</v>
      </c>
      <c r="HM65" s="40" t="s">
        <v>82</v>
      </c>
    </row>
    <row r="66" spans="1:221" s="73" customFormat="1" ht="151.80000000000001">
      <c r="A66" s="693"/>
      <c r="B66" s="53" t="s">
        <v>215</v>
      </c>
      <c r="C66" s="696"/>
      <c r="D66" s="478" t="s">
        <v>720</v>
      </c>
      <c r="E66" s="75" t="s">
        <v>65</v>
      </c>
      <c r="F66" s="35" t="s">
        <v>65</v>
      </c>
      <c r="G66" s="35" t="s">
        <v>65</v>
      </c>
      <c r="H66" s="35" t="s">
        <v>65</v>
      </c>
      <c r="I66" s="35" t="s">
        <v>65</v>
      </c>
      <c r="J66" s="363" t="s">
        <v>265</v>
      </c>
      <c r="K66" s="608" t="s">
        <v>265</v>
      </c>
      <c r="L66" s="609" t="s">
        <v>265</v>
      </c>
      <c r="M66" s="24" t="s">
        <v>216</v>
      </c>
      <c r="N66" s="35" t="s">
        <v>265</v>
      </c>
      <c r="O66" s="35" t="s">
        <v>558</v>
      </c>
      <c r="P66" s="35" t="s">
        <v>265</v>
      </c>
      <c r="Q66" s="35" t="s">
        <v>265</v>
      </c>
      <c r="R66" s="35" t="s">
        <v>265</v>
      </c>
      <c r="S66" s="35" t="s">
        <v>265</v>
      </c>
      <c r="T66" s="35" t="s">
        <v>265</v>
      </c>
      <c r="U66" s="54" t="s">
        <v>265</v>
      </c>
      <c r="V66" s="55">
        <v>85</v>
      </c>
      <c r="W66" s="479">
        <v>53.9</v>
      </c>
      <c r="X66" s="479">
        <v>30.2</v>
      </c>
      <c r="Y66" s="479">
        <v>17.5</v>
      </c>
      <c r="Z66" s="41">
        <f t="shared" ref="Z66:Z78" si="14">IF(MAX(W66:X66)=0,"N.S",MAX(W66:X66))</f>
        <v>53.9</v>
      </c>
      <c r="AA66" s="593">
        <f t="shared" si="10"/>
        <v>28486.149999999998</v>
      </c>
      <c r="AB66" s="54" t="s">
        <v>265</v>
      </c>
      <c r="AC66" s="233" t="s">
        <v>265</v>
      </c>
      <c r="AD66" s="178" t="s">
        <v>265</v>
      </c>
      <c r="AE66" s="56">
        <v>15</v>
      </c>
      <c r="AF66" s="10" t="str">
        <f t="shared" si="3"/>
        <v>N.S</v>
      </c>
      <c r="AG66" s="56" t="s">
        <v>265</v>
      </c>
      <c r="AH66" s="35" t="s">
        <v>82</v>
      </c>
      <c r="AI66" s="10" t="s">
        <v>82</v>
      </c>
      <c r="AJ66" s="56" t="s">
        <v>82</v>
      </c>
      <c r="AK66" s="56" t="s">
        <v>82</v>
      </c>
      <c r="AL66" s="56" t="str">
        <f t="shared" si="12"/>
        <v>N.S</v>
      </c>
      <c r="AM66" s="56" t="s">
        <v>265</v>
      </c>
      <c r="AN66" s="42" t="str">
        <f>IF(AL66="N.S","N.S",AL66*AQ1+IF(AM66="N.S",0,AM66*(1-AQ1)))</f>
        <v>N.S</v>
      </c>
      <c r="AO66" s="615" t="s">
        <v>265</v>
      </c>
      <c r="AP66" s="615" t="s">
        <v>265</v>
      </c>
      <c r="AQ66" s="615" t="s">
        <v>265</v>
      </c>
      <c r="AR66" s="611" t="str">
        <f t="shared" si="13"/>
        <v>N.S</v>
      </c>
      <c r="AS66" s="604" t="str">
        <f t="shared" si="9"/>
        <v>N.S</v>
      </c>
      <c r="AT66" s="25" t="s">
        <v>265</v>
      </c>
      <c r="AU66" s="35" t="s">
        <v>265</v>
      </c>
      <c r="AV66" s="35" t="s">
        <v>265</v>
      </c>
      <c r="AW66" s="35" t="s">
        <v>265</v>
      </c>
      <c r="AX66" s="35" t="s">
        <v>265</v>
      </c>
      <c r="AY66" s="35" t="s">
        <v>265</v>
      </c>
      <c r="AZ66" s="35" t="s">
        <v>265</v>
      </c>
      <c r="BA66" s="385" t="s">
        <v>265</v>
      </c>
      <c r="BB66" s="311" t="s">
        <v>265</v>
      </c>
      <c r="BC66" s="385" t="s">
        <v>265</v>
      </c>
      <c r="BD66" s="385" t="s">
        <v>265</v>
      </c>
      <c r="BE66" s="24" t="s">
        <v>719</v>
      </c>
      <c r="BF66" s="385" t="s">
        <v>265</v>
      </c>
      <c r="BG66" s="55" t="s">
        <v>265</v>
      </c>
      <c r="BH66" s="53" t="s">
        <v>265</v>
      </c>
      <c r="BI66" s="35" t="s">
        <v>265</v>
      </c>
      <c r="BJ66" s="35" t="s">
        <v>265</v>
      </c>
      <c r="BK66" s="35" t="s">
        <v>265</v>
      </c>
      <c r="BL66" s="35" t="s">
        <v>265</v>
      </c>
      <c r="BM66" s="54" t="s">
        <v>265</v>
      </c>
      <c r="BN66" s="301" t="s">
        <v>265</v>
      </c>
      <c r="BO66" s="41" t="s">
        <v>265</v>
      </c>
      <c r="BP66" s="129" t="s">
        <v>265</v>
      </c>
      <c r="BQ66" s="55"/>
      <c r="BR66" s="171" t="s">
        <v>718</v>
      </c>
      <c r="BS66" s="55">
        <v>1</v>
      </c>
      <c r="BT66" s="178"/>
      <c r="BU66" s="178">
        <f>LOG((BW66-BV66)/2.2,2)</f>
        <v>5.8282807609121514</v>
      </c>
      <c r="BV66" s="35">
        <v>-40</v>
      </c>
      <c r="BW66" s="54">
        <v>85</v>
      </c>
      <c r="BX66" s="36">
        <v>1</v>
      </c>
      <c r="BY66" s="178"/>
      <c r="BZ66" s="178">
        <f>LOG((CB66-CA66)/10,2)</f>
        <v>3.1699250014423126</v>
      </c>
      <c r="CA66" s="35">
        <v>0</v>
      </c>
      <c r="CB66" s="54">
        <v>90</v>
      </c>
      <c r="CC66" s="55">
        <v>0</v>
      </c>
      <c r="CD66" s="35">
        <v>0</v>
      </c>
      <c r="CE66" s="178"/>
      <c r="CF66" s="178"/>
      <c r="CG66" s="178"/>
      <c r="CH66" s="178"/>
      <c r="CI66" s="178"/>
      <c r="CJ66" s="178"/>
      <c r="CK66" s="178"/>
      <c r="CL66" s="178"/>
      <c r="CM66" s="193"/>
      <c r="CN66" s="4">
        <v>0</v>
      </c>
      <c r="CO66" s="10">
        <v>0</v>
      </c>
      <c r="CP66" s="35"/>
      <c r="CQ66" s="35"/>
      <c r="CR66" s="35"/>
      <c r="CS66" s="35"/>
      <c r="CT66" s="35"/>
      <c r="CU66" s="35"/>
      <c r="CV66" s="35"/>
      <c r="CW66" s="35"/>
      <c r="CX66" s="193"/>
      <c r="CY66" s="4">
        <v>0</v>
      </c>
      <c r="CZ66" s="10">
        <v>0</v>
      </c>
      <c r="DA66" s="35"/>
      <c r="DB66" s="35"/>
      <c r="DC66" s="35"/>
      <c r="DD66" s="35"/>
      <c r="DE66" s="35"/>
      <c r="DF66" s="35"/>
      <c r="DG66" s="35"/>
      <c r="DH66" s="35"/>
      <c r="DI66" s="193"/>
      <c r="DJ66" s="4">
        <v>0</v>
      </c>
      <c r="DK66" s="178"/>
      <c r="DL66" s="178"/>
      <c r="DM66" s="35"/>
      <c r="DN66" s="54"/>
      <c r="DO66" s="4">
        <v>0</v>
      </c>
      <c r="DP66" s="35"/>
      <c r="DQ66" s="178"/>
      <c r="DR66" s="35"/>
      <c r="DS66" s="54"/>
      <c r="DT66" s="4">
        <v>0</v>
      </c>
      <c r="DU66" s="35"/>
      <c r="DV66" s="35"/>
      <c r="DW66" s="35"/>
      <c r="DX66" s="54"/>
      <c r="DY66" s="4">
        <v>0</v>
      </c>
      <c r="DZ66" s="35"/>
      <c r="EA66" s="35"/>
      <c r="EB66" s="35"/>
      <c r="EC66" s="54"/>
      <c r="ED66" s="4">
        <v>0</v>
      </c>
      <c r="EE66" s="35"/>
      <c r="EF66" s="35"/>
      <c r="EG66" s="35"/>
      <c r="EH66" s="54"/>
      <c r="EI66" s="4">
        <v>0</v>
      </c>
      <c r="EJ66" s="35"/>
      <c r="EK66" s="35"/>
      <c r="EL66" s="35"/>
      <c r="EM66" s="54"/>
      <c r="EN66" s="4">
        <v>0</v>
      </c>
      <c r="EO66" s="35"/>
      <c r="EP66" s="35"/>
      <c r="EQ66" s="35"/>
      <c r="ER66" s="54"/>
      <c r="ES66" s="4">
        <v>0</v>
      </c>
      <c r="ET66" s="35"/>
      <c r="EU66" s="35"/>
      <c r="EV66" s="35"/>
      <c r="EW66" s="54"/>
      <c r="EX66" s="4">
        <v>0</v>
      </c>
      <c r="EY66" s="35"/>
      <c r="EZ66" s="35"/>
      <c r="FA66" s="35"/>
      <c r="FB66" s="54"/>
      <c r="FC66" s="4">
        <v>0</v>
      </c>
      <c r="FD66" s="35"/>
      <c r="FE66" s="35"/>
      <c r="FF66" s="35"/>
      <c r="FG66" s="54"/>
      <c r="FH66" s="4">
        <v>0</v>
      </c>
      <c r="FI66" s="35"/>
      <c r="FJ66" s="35"/>
      <c r="FK66" s="35"/>
      <c r="FL66" s="54"/>
      <c r="FM66" s="4">
        <v>0</v>
      </c>
      <c r="FN66" s="35"/>
      <c r="FO66" s="35"/>
      <c r="FP66" s="35"/>
      <c r="FQ66" s="54"/>
      <c r="FR66" s="4">
        <v>0</v>
      </c>
      <c r="FS66" s="35"/>
      <c r="FT66" s="35"/>
      <c r="FU66" s="35"/>
      <c r="FV66" s="54"/>
      <c r="FW66" s="4">
        <v>0</v>
      </c>
      <c r="FX66" s="35"/>
      <c r="FY66" s="35"/>
      <c r="FZ66" s="35"/>
      <c r="GA66" s="54"/>
      <c r="GB66" s="55"/>
      <c r="GC66" s="35"/>
      <c r="GD66" s="35"/>
      <c r="GE66" s="35"/>
      <c r="GF66" s="54"/>
      <c r="GG66" s="10">
        <f t="shared" si="5"/>
        <v>1</v>
      </c>
      <c r="GH66" s="10" t="str">
        <f t="shared" si="6"/>
        <v/>
      </c>
      <c r="GI66" s="37" t="str">
        <f t="shared" si="7"/>
        <v/>
      </c>
      <c r="GJ66" s="4" t="s">
        <v>82</v>
      </c>
      <c r="GK66" s="10" t="s">
        <v>82</v>
      </c>
      <c r="GL66" s="10" t="s">
        <v>82</v>
      </c>
      <c r="GM66" s="10" t="s">
        <v>82</v>
      </c>
      <c r="GN66" s="10" t="s">
        <v>82</v>
      </c>
      <c r="GO66" s="10" t="s">
        <v>82</v>
      </c>
      <c r="GP66" s="10" t="s">
        <v>82</v>
      </c>
      <c r="GQ66" s="10" t="s">
        <v>82</v>
      </c>
      <c r="GR66" s="10" t="s">
        <v>82</v>
      </c>
      <c r="GS66" s="10" t="s">
        <v>82</v>
      </c>
      <c r="GT66" s="10" t="s">
        <v>82</v>
      </c>
      <c r="GU66" s="10" t="s">
        <v>82</v>
      </c>
      <c r="GV66" s="10" t="s">
        <v>82</v>
      </c>
      <c r="GW66" s="10" t="s">
        <v>82</v>
      </c>
      <c r="GX66" s="10" t="s">
        <v>82</v>
      </c>
      <c r="GY66" s="10" t="s">
        <v>82</v>
      </c>
      <c r="GZ66" s="10" t="s">
        <v>82</v>
      </c>
      <c r="HA66" s="10" t="s">
        <v>82</v>
      </c>
      <c r="HB66" s="10" t="s">
        <v>82</v>
      </c>
      <c r="HC66" s="10" t="s">
        <v>82</v>
      </c>
      <c r="HD66" s="10" t="s">
        <v>82</v>
      </c>
      <c r="HE66" s="10" t="s">
        <v>82</v>
      </c>
      <c r="HF66" s="10" t="s">
        <v>82</v>
      </c>
      <c r="HG66" s="10" t="s">
        <v>82</v>
      </c>
      <c r="HH66" s="10" t="s">
        <v>82</v>
      </c>
      <c r="HI66" s="10" t="s">
        <v>82</v>
      </c>
      <c r="HJ66" s="10" t="s">
        <v>82</v>
      </c>
      <c r="HK66" s="10" t="s">
        <v>82</v>
      </c>
      <c r="HL66" s="10" t="s">
        <v>82</v>
      </c>
      <c r="HM66" s="40" t="s">
        <v>82</v>
      </c>
    </row>
    <row r="67" spans="1:221" ht="69">
      <c r="A67" s="693"/>
      <c r="B67" s="10" t="s">
        <v>980</v>
      </c>
      <c r="C67" s="37" t="s">
        <v>217</v>
      </c>
      <c r="D67" s="100" t="s">
        <v>721</v>
      </c>
      <c r="E67" s="412" t="s">
        <v>124</v>
      </c>
      <c r="F67" s="412" t="s">
        <v>65</v>
      </c>
      <c r="G67" s="10" t="s">
        <v>65</v>
      </c>
      <c r="H67" s="10" t="s">
        <v>65</v>
      </c>
      <c r="I67" s="10" t="s">
        <v>65</v>
      </c>
      <c r="J67" s="362" t="s">
        <v>265</v>
      </c>
      <c r="K67" s="608" t="s">
        <v>265</v>
      </c>
      <c r="L67" s="609" t="s">
        <v>265</v>
      </c>
      <c r="M67" s="4" t="s">
        <v>218</v>
      </c>
      <c r="N67" s="10" t="s">
        <v>265</v>
      </c>
      <c r="O67" s="10" t="s">
        <v>558</v>
      </c>
      <c r="P67" s="10" t="s">
        <v>265</v>
      </c>
      <c r="Q67" s="10" t="s">
        <v>265</v>
      </c>
      <c r="R67" s="10" t="s">
        <v>265</v>
      </c>
      <c r="S67" s="10" t="s">
        <v>265</v>
      </c>
      <c r="T67" s="10" t="s">
        <v>265</v>
      </c>
      <c r="U67" s="40" t="s">
        <v>265</v>
      </c>
      <c r="V67" s="4" t="s">
        <v>265</v>
      </c>
      <c r="W67" s="41" t="s">
        <v>265</v>
      </c>
      <c r="X67" s="41" t="s">
        <v>265</v>
      </c>
      <c r="Y67" s="41" t="s">
        <v>265</v>
      </c>
      <c r="Z67" s="41" t="str">
        <f t="shared" si="14"/>
        <v>N.S</v>
      </c>
      <c r="AA67" s="593" t="str">
        <f t="shared" si="10"/>
        <v>N.S</v>
      </c>
      <c r="AB67" s="40" t="s">
        <v>265</v>
      </c>
      <c r="AC67" s="236">
        <v>3</v>
      </c>
      <c r="AD67" s="128">
        <v>6</v>
      </c>
      <c r="AE67" s="42">
        <v>1000</v>
      </c>
      <c r="AF67" s="10">
        <f t="shared" si="3"/>
        <v>4.5</v>
      </c>
      <c r="AG67" s="42" t="s">
        <v>265</v>
      </c>
      <c r="AH67" s="10">
        <v>4.2</v>
      </c>
      <c r="AI67" s="10">
        <f t="shared" si="8"/>
        <v>68040.000000000015</v>
      </c>
      <c r="AJ67" s="42" t="s">
        <v>265</v>
      </c>
      <c r="AK67" s="42" t="s">
        <v>265</v>
      </c>
      <c r="AL67" s="56">
        <f t="shared" si="12"/>
        <v>4.5</v>
      </c>
      <c r="AM67" s="42" t="s">
        <v>265</v>
      </c>
      <c r="AN67" s="42">
        <f>IF(AL67="N.S","N.S",AL67*AQ1+IF(AM67="N.S",0,AM67*(1-AQ1)))</f>
        <v>4.4999999999999998E-2</v>
      </c>
      <c r="AO67" s="615" t="s">
        <v>265</v>
      </c>
      <c r="AP67" s="615" t="s">
        <v>265</v>
      </c>
      <c r="AQ67" s="238" t="s">
        <v>265</v>
      </c>
      <c r="AR67" s="611">
        <f t="shared" si="13"/>
        <v>420.00000000000011</v>
      </c>
      <c r="AS67" s="604">
        <f t="shared" si="9"/>
        <v>16.666666666666668</v>
      </c>
      <c r="AT67" s="19" t="s">
        <v>265</v>
      </c>
      <c r="AU67" s="10" t="s">
        <v>265</v>
      </c>
      <c r="AV67" s="10" t="s">
        <v>265</v>
      </c>
      <c r="AW67" s="10" t="s">
        <v>265</v>
      </c>
      <c r="AX67" s="10" t="s">
        <v>265</v>
      </c>
      <c r="AY67" s="10" t="s">
        <v>265</v>
      </c>
      <c r="AZ67" s="10">
        <v>32</v>
      </c>
      <c r="BA67" s="37" t="s">
        <v>265</v>
      </c>
      <c r="BB67" s="605" t="s">
        <v>265</v>
      </c>
      <c r="BC67" s="37">
        <v>115200</v>
      </c>
      <c r="BD67" s="37" t="s">
        <v>724</v>
      </c>
      <c r="BE67" s="3" t="s">
        <v>722</v>
      </c>
      <c r="BF67" s="37" t="s">
        <v>654</v>
      </c>
      <c r="BG67" s="4" t="s">
        <v>84</v>
      </c>
      <c r="BH67" s="13" t="s">
        <v>265</v>
      </c>
      <c r="BI67" s="10" t="s">
        <v>265</v>
      </c>
      <c r="BJ67" s="10">
        <v>433</v>
      </c>
      <c r="BK67" s="10" t="s">
        <v>265</v>
      </c>
      <c r="BL67" s="10" t="s">
        <v>265</v>
      </c>
      <c r="BM67" s="40" t="s">
        <v>265</v>
      </c>
      <c r="BN67" s="301" t="s">
        <v>265</v>
      </c>
      <c r="BO67" s="41" t="s">
        <v>265</v>
      </c>
      <c r="BP67" s="129" t="s">
        <v>265</v>
      </c>
      <c r="BQ67" s="4"/>
      <c r="BR67" s="169" t="s">
        <v>723</v>
      </c>
      <c r="BS67" s="4">
        <v>1</v>
      </c>
      <c r="BT67" s="128"/>
      <c r="BU67" s="128"/>
      <c r="BV67" s="10"/>
      <c r="BW67" s="40"/>
      <c r="BX67" s="295">
        <v>0</v>
      </c>
      <c r="BY67" s="128"/>
      <c r="BZ67" s="128"/>
      <c r="CA67" s="10"/>
      <c r="CB67" s="40"/>
      <c r="CC67" s="4">
        <v>0</v>
      </c>
      <c r="CD67" s="10">
        <v>0</v>
      </c>
      <c r="CE67" s="128"/>
      <c r="CF67" s="128"/>
      <c r="CG67" s="128"/>
      <c r="CH67" s="128"/>
      <c r="CI67" s="128"/>
      <c r="CJ67" s="128"/>
      <c r="CK67" s="128"/>
      <c r="CL67" s="128"/>
      <c r="CM67" s="121"/>
      <c r="CN67" s="4">
        <v>0</v>
      </c>
      <c r="CO67" s="10">
        <v>0</v>
      </c>
      <c r="CP67" s="10"/>
      <c r="CQ67" s="10"/>
      <c r="CR67" s="10"/>
      <c r="CS67" s="10"/>
      <c r="CT67" s="10"/>
      <c r="CU67" s="10"/>
      <c r="CV67" s="10"/>
      <c r="CW67" s="10"/>
      <c r="CX67" s="121"/>
      <c r="CY67" s="4">
        <v>0</v>
      </c>
      <c r="CZ67" s="10">
        <v>0</v>
      </c>
      <c r="DA67" s="10"/>
      <c r="DB67" s="10"/>
      <c r="DC67" s="10"/>
      <c r="DD67" s="10"/>
      <c r="DE67" s="10"/>
      <c r="DF67" s="10"/>
      <c r="DG67" s="10"/>
      <c r="DH67" s="10"/>
      <c r="DI67" s="121"/>
      <c r="DJ67" s="4">
        <v>0</v>
      </c>
      <c r="DK67" s="128"/>
      <c r="DL67" s="128"/>
      <c r="DM67" s="10"/>
      <c r="DN67" s="40"/>
      <c r="DO67" s="4">
        <v>0</v>
      </c>
      <c r="DP67" s="10"/>
      <c r="DQ67" s="128"/>
      <c r="DR67" s="10"/>
      <c r="DS67" s="40"/>
      <c r="DT67" s="4">
        <v>0</v>
      </c>
      <c r="DU67" s="10"/>
      <c r="DV67" s="10"/>
      <c r="DW67" s="10"/>
      <c r="DX67" s="40"/>
      <c r="DY67" s="4">
        <v>0</v>
      </c>
      <c r="DZ67" s="10"/>
      <c r="EA67" s="10"/>
      <c r="EB67" s="10"/>
      <c r="EC67" s="40"/>
      <c r="ED67" s="4">
        <v>0</v>
      </c>
      <c r="EE67" s="10"/>
      <c r="EF67" s="10"/>
      <c r="EG67" s="10"/>
      <c r="EH67" s="40"/>
      <c r="EI67" s="4">
        <v>0</v>
      </c>
      <c r="EJ67" s="10"/>
      <c r="EK67" s="10"/>
      <c r="EL67" s="10"/>
      <c r="EM67" s="40"/>
      <c r="EN67" s="4">
        <v>0</v>
      </c>
      <c r="EO67" s="10"/>
      <c r="EP67" s="10"/>
      <c r="EQ67" s="10"/>
      <c r="ER67" s="40"/>
      <c r="ES67" s="4">
        <v>0</v>
      </c>
      <c r="ET67" s="10"/>
      <c r="EU67" s="10"/>
      <c r="EV67" s="10"/>
      <c r="EW67" s="40"/>
      <c r="EX67" s="4">
        <v>0</v>
      </c>
      <c r="EY67" s="10"/>
      <c r="EZ67" s="10"/>
      <c r="FA67" s="10"/>
      <c r="FB67" s="40"/>
      <c r="FC67" s="4">
        <v>0</v>
      </c>
      <c r="FD67" s="10"/>
      <c r="FE67" s="10"/>
      <c r="FF67" s="10"/>
      <c r="FG67" s="40"/>
      <c r="FH67" s="4">
        <v>0</v>
      </c>
      <c r="FI67" s="10"/>
      <c r="FJ67" s="10"/>
      <c r="FK67" s="10"/>
      <c r="FL67" s="40"/>
      <c r="FM67" s="4">
        <v>0</v>
      </c>
      <c r="FN67" s="10"/>
      <c r="FO67" s="10"/>
      <c r="FP67" s="10"/>
      <c r="FQ67" s="40"/>
      <c r="FR67" s="4">
        <v>0</v>
      </c>
      <c r="FS67" s="10"/>
      <c r="FT67" s="10"/>
      <c r="FU67" s="10"/>
      <c r="FV67" s="40"/>
      <c r="FW67" s="4">
        <v>0</v>
      </c>
      <c r="FX67" s="10"/>
      <c r="FY67" s="10"/>
      <c r="FZ67" s="10"/>
      <c r="GA67" s="40"/>
      <c r="GB67" s="4"/>
      <c r="GC67" s="10"/>
      <c r="GD67" s="10"/>
      <c r="GE67" s="10"/>
      <c r="GF67" s="40"/>
      <c r="GG67" s="10">
        <f t="shared" si="5"/>
        <v>1</v>
      </c>
      <c r="GH67" s="10" t="str">
        <f t="shared" si="6"/>
        <v/>
      </c>
      <c r="GI67" s="37" t="str">
        <f t="shared" si="7"/>
        <v/>
      </c>
      <c r="GJ67" s="4" t="s">
        <v>82</v>
      </c>
      <c r="GK67" s="10" t="s">
        <v>82</v>
      </c>
      <c r="GL67" s="10" t="s">
        <v>82</v>
      </c>
      <c r="GM67" s="10" t="s">
        <v>82</v>
      </c>
      <c r="GN67" s="10" t="s">
        <v>82</v>
      </c>
      <c r="GO67" s="10" t="s">
        <v>82</v>
      </c>
      <c r="GP67" s="10" t="s">
        <v>82</v>
      </c>
      <c r="GQ67" s="10" t="s">
        <v>82</v>
      </c>
      <c r="GR67" s="10" t="s">
        <v>82</v>
      </c>
      <c r="GS67" s="10" t="s">
        <v>82</v>
      </c>
      <c r="GT67" s="10" t="s">
        <v>82</v>
      </c>
      <c r="GU67" s="10" t="s">
        <v>82</v>
      </c>
      <c r="GV67" s="10" t="s">
        <v>82</v>
      </c>
      <c r="GW67" s="10" t="s">
        <v>82</v>
      </c>
      <c r="GX67" s="10" t="s">
        <v>82</v>
      </c>
      <c r="GY67" s="10" t="s">
        <v>82</v>
      </c>
      <c r="GZ67" s="10" t="s">
        <v>82</v>
      </c>
      <c r="HA67" s="10" t="s">
        <v>82</v>
      </c>
      <c r="HB67" s="10" t="s">
        <v>82</v>
      </c>
      <c r="HC67" s="10" t="s">
        <v>82</v>
      </c>
      <c r="HD67" s="10">
        <v>1</v>
      </c>
      <c r="HE67" s="10" t="s">
        <v>82</v>
      </c>
      <c r="HF67" s="10" t="s">
        <v>82</v>
      </c>
      <c r="HG67" s="10" t="s">
        <v>82</v>
      </c>
      <c r="HH67" s="10" t="s">
        <v>82</v>
      </c>
      <c r="HI67" s="10" t="s">
        <v>82</v>
      </c>
      <c r="HJ67" s="10" t="s">
        <v>82</v>
      </c>
      <c r="HK67" s="10" t="s">
        <v>82</v>
      </c>
      <c r="HL67" s="10" t="s">
        <v>82</v>
      </c>
      <c r="HM67" s="40" t="s">
        <v>82</v>
      </c>
    </row>
    <row r="68" spans="1:221" s="73" customFormat="1" ht="14.25" customHeight="1">
      <c r="A68" s="693"/>
      <c r="B68" s="35" t="s">
        <v>265</v>
      </c>
      <c r="C68" s="385" t="s">
        <v>265</v>
      </c>
      <c r="D68" s="479" t="s">
        <v>265</v>
      </c>
      <c r="E68" s="35" t="s">
        <v>65</v>
      </c>
      <c r="F68" s="35" t="s">
        <v>65</v>
      </c>
      <c r="G68" s="35" t="s">
        <v>65</v>
      </c>
      <c r="H68" s="35" t="s">
        <v>65</v>
      </c>
      <c r="I68" s="35" t="s">
        <v>65</v>
      </c>
      <c r="J68" s="362" t="s">
        <v>265</v>
      </c>
      <c r="K68" s="608" t="s">
        <v>265</v>
      </c>
      <c r="L68" s="609" t="s">
        <v>265</v>
      </c>
      <c r="M68" s="4" t="s">
        <v>265</v>
      </c>
      <c r="N68" s="10" t="s">
        <v>265</v>
      </c>
      <c r="O68" s="10" t="s">
        <v>265</v>
      </c>
      <c r="P68" s="10" t="s">
        <v>265</v>
      </c>
      <c r="Q68" s="10" t="s">
        <v>265</v>
      </c>
      <c r="R68" s="10" t="s">
        <v>265</v>
      </c>
      <c r="S68" s="10" t="s">
        <v>265</v>
      </c>
      <c r="T68" s="10" t="s">
        <v>265</v>
      </c>
      <c r="U68" s="40" t="s">
        <v>265</v>
      </c>
      <c r="V68" s="55" t="s">
        <v>265</v>
      </c>
      <c r="W68" s="41" t="s">
        <v>265</v>
      </c>
      <c r="X68" s="41" t="s">
        <v>265</v>
      </c>
      <c r="Y68" s="41" t="s">
        <v>265</v>
      </c>
      <c r="Z68" s="41" t="str">
        <f t="shared" si="14"/>
        <v>N.S</v>
      </c>
      <c r="AA68" s="593" t="str">
        <f t="shared" si="10"/>
        <v>N.S</v>
      </c>
      <c r="AB68" s="40" t="s">
        <v>265</v>
      </c>
      <c r="AC68" s="233" t="s">
        <v>265</v>
      </c>
      <c r="AD68" s="10" t="s">
        <v>265</v>
      </c>
      <c r="AE68" s="56" t="s">
        <v>265</v>
      </c>
      <c r="AF68" s="10" t="str">
        <f t="shared" ref="AF68:AF78" si="15">IF(AC68="N.S", "N.S", IF(AE68="N.S", "N.S", 0.5*(AC68+AD68)*AE68/1000))</f>
        <v>N.S</v>
      </c>
      <c r="AG68" s="42" t="s">
        <v>265</v>
      </c>
      <c r="AH68" s="42" t="s">
        <v>265</v>
      </c>
      <c r="AI68" s="10" t="str">
        <f t="shared" si="8"/>
        <v>N.S</v>
      </c>
      <c r="AJ68" s="42" t="s">
        <v>265</v>
      </c>
      <c r="AK68" s="42" t="s">
        <v>265</v>
      </c>
      <c r="AL68" s="56" t="str">
        <f t="shared" si="12"/>
        <v>N.S</v>
      </c>
      <c r="AM68" s="42" t="s">
        <v>265</v>
      </c>
      <c r="AN68" s="42" t="str">
        <f>IF(AL68="N.S","N.S",AL68*AQ1+IF(AM68="N.S",0,AM68*(1-AQ1)))</f>
        <v>N.S</v>
      </c>
      <c r="AO68" s="615" t="s">
        <v>265</v>
      </c>
      <c r="AP68" s="615" t="s">
        <v>265</v>
      </c>
      <c r="AQ68" s="238" t="s">
        <v>265</v>
      </c>
      <c r="AR68" s="611" t="str">
        <f t="shared" si="13"/>
        <v>N.S</v>
      </c>
      <c r="AS68" s="604" t="str">
        <f t="shared" si="9"/>
        <v>N.S</v>
      </c>
      <c r="AT68" s="19" t="s">
        <v>265</v>
      </c>
      <c r="AU68" s="10" t="s">
        <v>265</v>
      </c>
      <c r="AV68" s="10" t="s">
        <v>265</v>
      </c>
      <c r="AW68" s="10" t="s">
        <v>265</v>
      </c>
      <c r="AX68" s="10" t="s">
        <v>265</v>
      </c>
      <c r="AY68" s="10" t="s">
        <v>265</v>
      </c>
      <c r="AZ68" s="10" t="s">
        <v>265</v>
      </c>
      <c r="BA68" s="10" t="s">
        <v>265</v>
      </c>
      <c r="BB68" s="10" t="s">
        <v>265</v>
      </c>
      <c r="BC68" s="10" t="s">
        <v>265</v>
      </c>
      <c r="BD68" s="37" t="s">
        <v>265</v>
      </c>
      <c r="BE68" s="24" t="s">
        <v>265</v>
      </c>
      <c r="BF68" s="37" t="s">
        <v>265</v>
      </c>
      <c r="BG68" s="55" t="s">
        <v>265</v>
      </c>
      <c r="BH68" s="13" t="s">
        <v>265</v>
      </c>
      <c r="BI68" s="10" t="s">
        <v>265</v>
      </c>
      <c r="BJ68" s="10" t="s">
        <v>265</v>
      </c>
      <c r="BK68" s="10" t="s">
        <v>265</v>
      </c>
      <c r="BL68" s="10" t="s">
        <v>265</v>
      </c>
      <c r="BM68" s="40" t="s">
        <v>265</v>
      </c>
      <c r="BN68" s="301" t="s">
        <v>265</v>
      </c>
      <c r="BO68" s="41" t="s">
        <v>265</v>
      </c>
      <c r="BP68" s="129" t="s">
        <v>265</v>
      </c>
      <c r="BQ68" s="55"/>
      <c r="BR68" s="171"/>
      <c r="BS68" s="55">
        <v>0</v>
      </c>
      <c r="BT68" s="178"/>
      <c r="BU68" s="178"/>
      <c r="BV68" s="35"/>
      <c r="BW68" s="54"/>
      <c r="BX68" s="36">
        <v>0</v>
      </c>
      <c r="BY68" s="178"/>
      <c r="BZ68" s="178"/>
      <c r="CA68" s="35"/>
      <c r="CB68" s="54"/>
      <c r="CC68" s="4">
        <v>0</v>
      </c>
      <c r="CD68" s="10">
        <v>0</v>
      </c>
      <c r="CE68" s="178"/>
      <c r="CF68" s="178"/>
      <c r="CG68" s="178"/>
      <c r="CH68" s="178"/>
      <c r="CI68" s="178"/>
      <c r="CJ68" s="178"/>
      <c r="CK68" s="178"/>
      <c r="CL68" s="178"/>
      <c r="CM68" s="193"/>
      <c r="CN68" s="4">
        <v>0</v>
      </c>
      <c r="CO68" s="10">
        <v>0</v>
      </c>
      <c r="CP68" s="35"/>
      <c r="CQ68" s="35"/>
      <c r="CR68" s="35"/>
      <c r="CS68" s="35"/>
      <c r="CT68" s="35"/>
      <c r="CU68" s="35"/>
      <c r="CV68" s="35"/>
      <c r="CW68" s="35"/>
      <c r="CX68" s="193"/>
      <c r="CY68" s="4">
        <v>0</v>
      </c>
      <c r="CZ68" s="10">
        <v>0</v>
      </c>
      <c r="DA68" s="35"/>
      <c r="DB68" s="35"/>
      <c r="DC68" s="35"/>
      <c r="DD68" s="35"/>
      <c r="DE68" s="35"/>
      <c r="DF68" s="35"/>
      <c r="DG68" s="35"/>
      <c r="DH68" s="35"/>
      <c r="DI68" s="193"/>
      <c r="DJ68" s="4">
        <v>0</v>
      </c>
      <c r="DK68" s="178"/>
      <c r="DL68" s="178"/>
      <c r="DM68" s="35"/>
      <c r="DN68" s="54"/>
      <c r="DO68" s="4">
        <v>0</v>
      </c>
      <c r="DP68" s="35"/>
      <c r="DQ68" s="178"/>
      <c r="DR68" s="35"/>
      <c r="DS68" s="54"/>
      <c r="DT68" s="4">
        <v>0</v>
      </c>
      <c r="DU68" s="35"/>
      <c r="DV68" s="35"/>
      <c r="DW68" s="35"/>
      <c r="DX68" s="54"/>
      <c r="DY68" s="4">
        <v>0</v>
      </c>
      <c r="DZ68" s="35"/>
      <c r="EA68" s="35"/>
      <c r="EB68" s="35"/>
      <c r="EC68" s="54"/>
      <c r="ED68" s="4">
        <v>0</v>
      </c>
      <c r="EE68" s="35"/>
      <c r="EF68" s="35"/>
      <c r="EG68" s="35"/>
      <c r="EH68" s="54"/>
      <c r="EI68" s="4">
        <v>0</v>
      </c>
      <c r="EJ68" s="35"/>
      <c r="EK68" s="35"/>
      <c r="EL68" s="35"/>
      <c r="EM68" s="54"/>
      <c r="EN68" s="4">
        <v>0</v>
      </c>
      <c r="EO68" s="35"/>
      <c r="EP68" s="35"/>
      <c r="EQ68" s="35"/>
      <c r="ER68" s="54"/>
      <c r="ES68" s="4">
        <v>0</v>
      </c>
      <c r="ET68" s="35"/>
      <c r="EU68" s="35"/>
      <c r="EV68" s="35"/>
      <c r="EW68" s="54"/>
      <c r="EX68" s="4">
        <v>0</v>
      </c>
      <c r="EY68" s="35"/>
      <c r="EZ68" s="35"/>
      <c r="FA68" s="35"/>
      <c r="FB68" s="54"/>
      <c r="FC68" s="4">
        <v>0</v>
      </c>
      <c r="FD68" s="35"/>
      <c r="FE68" s="35"/>
      <c r="FF68" s="35"/>
      <c r="FG68" s="54"/>
      <c r="FH68" s="4">
        <v>0</v>
      </c>
      <c r="FI68" s="35"/>
      <c r="FJ68" s="35"/>
      <c r="FK68" s="35"/>
      <c r="FL68" s="54"/>
      <c r="FM68" s="4">
        <v>0</v>
      </c>
      <c r="FN68" s="35"/>
      <c r="FO68" s="35"/>
      <c r="FP68" s="35"/>
      <c r="FQ68" s="54"/>
      <c r="FR68" s="4">
        <v>0</v>
      </c>
      <c r="FS68" s="35"/>
      <c r="FT68" s="35"/>
      <c r="FU68" s="35"/>
      <c r="FV68" s="54"/>
      <c r="FW68" s="4">
        <v>0</v>
      </c>
      <c r="FX68" s="35"/>
      <c r="FY68" s="35"/>
      <c r="FZ68" s="35"/>
      <c r="GA68" s="54"/>
      <c r="GB68" s="55"/>
      <c r="GC68" s="35"/>
      <c r="GD68" s="35"/>
      <c r="GE68" s="35"/>
      <c r="GF68" s="54"/>
      <c r="GG68" s="10">
        <f t="shared" ref="GG68:GG77" si="16">IF(AB69="N.S",1,"")</f>
        <v>1</v>
      </c>
      <c r="GH68" s="10" t="str">
        <f t="shared" ref="GH68:GH77" si="17">IF(AB69="IP66 compliant",1,"")</f>
        <v/>
      </c>
      <c r="GI68" s="37" t="str">
        <f t="shared" ref="GI68:GI77" si="18">IF(AB69="DIP 24",1,"")</f>
        <v/>
      </c>
      <c r="GJ68" s="4" t="s">
        <v>82</v>
      </c>
      <c r="GK68" s="10" t="s">
        <v>82</v>
      </c>
      <c r="GL68" s="10" t="s">
        <v>82</v>
      </c>
      <c r="GM68" s="10" t="s">
        <v>82</v>
      </c>
      <c r="GN68" s="10" t="s">
        <v>82</v>
      </c>
      <c r="GO68" s="10" t="s">
        <v>82</v>
      </c>
      <c r="GP68" s="10" t="s">
        <v>82</v>
      </c>
      <c r="GQ68" s="10" t="s">
        <v>82</v>
      </c>
      <c r="GR68" s="10" t="s">
        <v>82</v>
      </c>
      <c r="GS68" s="10" t="s">
        <v>82</v>
      </c>
      <c r="GT68" s="10" t="s">
        <v>82</v>
      </c>
      <c r="GU68" s="10" t="s">
        <v>82</v>
      </c>
      <c r="GV68" s="10" t="s">
        <v>82</v>
      </c>
      <c r="GW68" s="10" t="s">
        <v>82</v>
      </c>
      <c r="GX68" s="10" t="s">
        <v>82</v>
      </c>
      <c r="GY68" s="10" t="s">
        <v>82</v>
      </c>
      <c r="GZ68" s="10" t="s">
        <v>82</v>
      </c>
      <c r="HA68" s="10" t="s">
        <v>82</v>
      </c>
      <c r="HB68" s="10" t="s">
        <v>82</v>
      </c>
      <c r="HC68" s="10" t="s">
        <v>82</v>
      </c>
      <c r="HD68" s="10" t="s">
        <v>82</v>
      </c>
      <c r="HE68" s="10" t="s">
        <v>82</v>
      </c>
      <c r="HF68" s="10" t="s">
        <v>82</v>
      </c>
      <c r="HG68" s="10" t="s">
        <v>82</v>
      </c>
      <c r="HH68" s="10" t="s">
        <v>82</v>
      </c>
      <c r="HI68" s="10" t="s">
        <v>82</v>
      </c>
      <c r="HJ68" s="10" t="s">
        <v>82</v>
      </c>
      <c r="HK68" s="10" t="s">
        <v>82</v>
      </c>
      <c r="HL68" s="10" t="s">
        <v>82</v>
      </c>
      <c r="HM68" s="40" t="s">
        <v>82</v>
      </c>
    </row>
    <row r="69" spans="1:221" ht="41.4">
      <c r="A69" s="693"/>
      <c r="B69" s="385" t="s">
        <v>389</v>
      </c>
      <c r="C69" s="697" t="s">
        <v>11</v>
      </c>
      <c r="D69" s="100"/>
      <c r="E69" s="96" t="s">
        <v>65</v>
      </c>
      <c r="F69" s="41" t="s">
        <v>65</v>
      </c>
      <c r="G69" s="41" t="s">
        <v>65</v>
      </c>
      <c r="H69" s="41" t="s">
        <v>65</v>
      </c>
      <c r="I69" s="703" t="s">
        <v>65</v>
      </c>
      <c r="J69" s="127" t="s">
        <v>265</v>
      </c>
      <c r="K69" s="608" t="s">
        <v>265</v>
      </c>
      <c r="L69" s="609" t="s">
        <v>265</v>
      </c>
      <c r="M69" s="3" t="s">
        <v>502</v>
      </c>
      <c r="N69" s="10" t="s">
        <v>265</v>
      </c>
      <c r="O69" s="10" t="s">
        <v>558</v>
      </c>
      <c r="P69" s="10" t="s">
        <v>265</v>
      </c>
      <c r="Q69" s="10" t="s">
        <v>265</v>
      </c>
      <c r="R69" s="10" t="s">
        <v>265</v>
      </c>
      <c r="S69" s="35" t="s">
        <v>265</v>
      </c>
      <c r="T69" s="10" t="s">
        <v>265</v>
      </c>
      <c r="U69" s="40" t="s">
        <v>265</v>
      </c>
      <c r="V69" s="4" t="s">
        <v>265</v>
      </c>
      <c r="W69" s="41">
        <v>12</v>
      </c>
      <c r="X69" s="41">
        <v>12</v>
      </c>
      <c r="Y69" s="10" t="s">
        <v>265</v>
      </c>
      <c r="Z69" s="41">
        <f t="shared" si="14"/>
        <v>12</v>
      </c>
      <c r="AA69" s="593" t="str">
        <f t="shared" si="10"/>
        <v>N.S</v>
      </c>
      <c r="AB69" s="40" t="s">
        <v>265</v>
      </c>
      <c r="AC69" s="236" t="s">
        <v>265</v>
      </c>
      <c r="AD69" s="10" t="s">
        <v>265</v>
      </c>
      <c r="AE69" s="42" t="s">
        <v>265</v>
      </c>
      <c r="AF69" s="10" t="str">
        <f t="shared" si="15"/>
        <v>N.S</v>
      </c>
      <c r="AG69" s="42" t="s">
        <v>265</v>
      </c>
      <c r="AH69" s="10" t="s">
        <v>265</v>
      </c>
      <c r="AI69" s="10" t="str">
        <f t="shared" si="8"/>
        <v>N.S</v>
      </c>
      <c r="AJ69" s="10" t="s">
        <v>265</v>
      </c>
      <c r="AK69" s="10" t="s">
        <v>265</v>
      </c>
      <c r="AL69" s="56" t="str">
        <f t="shared" si="12"/>
        <v>N.S</v>
      </c>
      <c r="AM69" s="10" t="s">
        <v>265</v>
      </c>
      <c r="AN69" s="42" t="str">
        <f>IF(AL69="N.S","N.S",AL69*AQ1+IF(AM69="N.S",0,AM69*(1-AQ1)))</f>
        <v>N.S</v>
      </c>
      <c r="AO69" s="615" t="s">
        <v>265</v>
      </c>
      <c r="AP69" s="615" t="s">
        <v>265</v>
      </c>
      <c r="AQ69" s="10" t="s">
        <v>265</v>
      </c>
      <c r="AR69" s="611" t="str">
        <f t="shared" si="13"/>
        <v>N.S</v>
      </c>
      <c r="AS69" s="604" t="str">
        <f t="shared" si="9"/>
        <v>N.S</v>
      </c>
      <c r="AT69" s="19" t="s">
        <v>503</v>
      </c>
      <c r="AU69" s="10" t="s">
        <v>265</v>
      </c>
      <c r="AV69" s="10" t="s">
        <v>265</v>
      </c>
      <c r="AW69" s="10" t="s">
        <v>265</v>
      </c>
      <c r="AX69" s="10">
        <v>4000</v>
      </c>
      <c r="AY69" s="10" t="s">
        <v>265</v>
      </c>
      <c r="AZ69" s="10" t="s">
        <v>265</v>
      </c>
      <c r="BA69" s="10" t="s">
        <v>265</v>
      </c>
      <c r="BB69" s="362" t="s">
        <v>265</v>
      </c>
      <c r="BC69" s="37" t="s">
        <v>265</v>
      </c>
      <c r="BD69" s="37" t="s">
        <v>265</v>
      </c>
      <c r="BE69" s="3" t="s">
        <v>504</v>
      </c>
      <c r="BF69" s="37" t="s">
        <v>265</v>
      </c>
      <c r="BG69" s="4" t="s">
        <v>84</v>
      </c>
      <c r="BH69" s="13" t="s">
        <v>505</v>
      </c>
      <c r="BI69" s="10" t="s">
        <v>265</v>
      </c>
      <c r="BJ69" s="10" t="s">
        <v>265</v>
      </c>
      <c r="BK69" s="10" t="s">
        <v>265</v>
      </c>
      <c r="BL69" s="10" t="s">
        <v>265</v>
      </c>
      <c r="BM69" s="40" t="s">
        <v>265</v>
      </c>
      <c r="BN69" s="301" t="s">
        <v>265</v>
      </c>
      <c r="BO69" s="41" t="s">
        <v>265</v>
      </c>
      <c r="BP69" s="129" t="s">
        <v>265</v>
      </c>
      <c r="BQ69" s="4"/>
      <c r="BR69" s="169"/>
      <c r="BS69" s="4">
        <v>0</v>
      </c>
      <c r="BT69" s="128"/>
      <c r="BU69" s="128"/>
      <c r="BV69" s="10"/>
      <c r="BW69" s="40"/>
      <c r="BX69" s="295">
        <v>0</v>
      </c>
      <c r="BY69" s="128"/>
      <c r="BZ69" s="128"/>
      <c r="CA69" s="10"/>
      <c r="CB69" s="40"/>
      <c r="CC69" s="4">
        <v>0</v>
      </c>
      <c r="CD69" s="10">
        <v>1</v>
      </c>
      <c r="CE69" s="128"/>
      <c r="CF69" s="128"/>
      <c r="CG69" s="128"/>
      <c r="CH69" s="128"/>
      <c r="CI69" s="128"/>
      <c r="CJ69" s="128"/>
      <c r="CK69" s="128"/>
      <c r="CL69" s="128"/>
      <c r="CM69" s="121"/>
      <c r="CN69" s="4">
        <v>0</v>
      </c>
      <c r="CO69" s="10">
        <v>1</v>
      </c>
      <c r="CP69" s="10"/>
      <c r="CQ69" s="10"/>
      <c r="CR69" s="10"/>
      <c r="CS69" s="10"/>
      <c r="CT69" s="10"/>
      <c r="CU69" s="10"/>
      <c r="CV69" s="10"/>
      <c r="CW69" s="10"/>
      <c r="CX69" s="121"/>
      <c r="CY69" s="4">
        <v>0</v>
      </c>
      <c r="CZ69" s="10">
        <v>1</v>
      </c>
      <c r="DA69" s="10"/>
      <c r="DB69" s="10"/>
      <c r="DC69" s="10"/>
      <c r="DD69" s="10"/>
      <c r="DE69" s="10"/>
      <c r="DF69" s="10"/>
      <c r="DG69" s="10"/>
      <c r="DH69" s="10"/>
      <c r="DI69" s="121"/>
      <c r="DJ69" s="4">
        <v>0</v>
      </c>
      <c r="DK69" s="128"/>
      <c r="DL69" s="128"/>
      <c r="DM69" s="10"/>
      <c r="DN69" s="40"/>
      <c r="DO69" s="4">
        <v>0</v>
      </c>
      <c r="DP69" s="10"/>
      <c r="DQ69" s="128"/>
      <c r="DR69" s="10"/>
      <c r="DS69" s="40"/>
      <c r="DT69" s="4">
        <v>0</v>
      </c>
      <c r="DU69" s="10"/>
      <c r="DV69" s="10"/>
      <c r="DW69" s="10"/>
      <c r="DX69" s="40"/>
      <c r="DY69" s="4">
        <v>0</v>
      </c>
      <c r="DZ69" s="10"/>
      <c r="EA69" s="10"/>
      <c r="EB69" s="10"/>
      <c r="EC69" s="40"/>
      <c r="ED69" s="4">
        <v>0</v>
      </c>
      <c r="EE69" s="10"/>
      <c r="EF69" s="10"/>
      <c r="EG69" s="10"/>
      <c r="EH69" s="40"/>
      <c r="EI69" s="4">
        <v>0</v>
      </c>
      <c r="EJ69" s="10"/>
      <c r="EK69" s="10"/>
      <c r="EL69" s="10"/>
      <c r="EM69" s="40"/>
      <c r="EN69" s="4">
        <v>0</v>
      </c>
      <c r="EO69" s="10"/>
      <c r="EP69" s="10"/>
      <c r="EQ69" s="10"/>
      <c r="ER69" s="40"/>
      <c r="ES69" s="4">
        <v>0</v>
      </c>
      <c r="ET69" s="10"/>
      <c r="EU69" s="10"/>
      <c r="EV69" s="10"/>
      <c r="EW69" s="40"/>
      <c r="EX69" s="4">
        <v>0</v>
      </c>
      <c r="EY69" s="10"/>
      <c r="EZ69" s="10"/>
      <c r="FA69" s="10"/>
      <c r="FB69" s="40"/>
      <c r="FC69" s="4">
        <v>0</v>
      </c>
      <c r="FD69" s="10"/>
      <c r="FE69" s="10"/>
      <c r="FF69" s="10"/>
      <c r="FG69" s="40"/>
      <c r="FH69" s="4">
        <v>0</v>
      </c>
      <c r="FI69" s="10"/>
      <c r="FJ69" s="10"/>
      <c r="FK69" s="10"/>
      <c r="FL69" s="40"/>
      <c r="FM69" s="4">
        <v>0</v>
      </c>
      <c r="FN69" s="10"/>
      <c r="FO69" s="10"/>
      <c r="FP69" s="10"/>
      <c r="FQ69" s="40"/>
      <c r="FR69" s="4">
        <v>0</v>
      </c>
      <c r="FS69" s="10"/>
      <c r="FT69" s="10"/>
      <c r="FU69" s="10"/>
      <c r="FV69" s="40"/>
      <c r="FW69" s="4">
        <v>0</v>
      </c>
      <c r="FX69" s="10"/>
      <c r="FY69" s="10"/>
      <c r="FZ69" s="10"/>
      <c r="GA69" s="40"/>
      <c r="GB69" s="4"/>
      <c r="GC69" s="10"/>
      <c r="GD69" s="10"/>
      <c r="GE69" s="10"/>
      <c r="GF69" s="40"/>
      <c r="GG69" s="10">
        <f t="shared" si="16"/>
        <v>1</v>
      </c>
      <c r="GH69" s="10" t="str">
        <f t="shared" si="17"/>
        <v/>
      </c>
      <c r="GI69" s="37" t="str">
        <f t="shared" si="18"/>
        <v/>
      </c>
      <c r="GJ69" s="4" t="s">
        <v>82</v>
      </c>
      <c r="GK69" s="10" t="s">
        <v>82</v>
      </c>
      <c r="GL69" s="10" t="s">
        <v>82</v>
      </c>
      <c r="GM69" s="10" t="s">
        <v>82</v>
      </c>
      <c r="GN69" s="10" t="s">
        <v>82</v>
      </c>
      <c r="GO69" s="10" t="s">
        <v>82</v>
      </c>
      <c r="GP69" s="10" t="s">
        <v>82</v>
      </c>
      <c r="GQ69" s="10" t="s">
        <v>82</v>
      </c>
      <c r="GR69" s="10" t="s">
        <v>82</v>
      </c>
      <c r="GS69" s="10" t="s">
        <v>82</v>
      </c>
      <c r="GT69" s="10" t="s">
        <v>82</v>
      </c>
      <c r="GU69" s="10" t="s">
        <v>82</v>
      </c>
      <c r="GV69" s="10" t="s">
        <v>82</v>
      </c>
      <c r="GW69" s="10" t="s">
        <v>82</v>
      </c>
      <c r="GX69" s="10" t="s">
        <v>82</v>
      </c>
      <c r="GY69" s="10" t="s">
        <v>82</v>
      </c>
      <c r="GZ69" s="10" t="s">
        <v>82</v>
      </c>
      <c r="HA69" s="10" t="s">
        <v>82</v>
      </c>
      <c r="HB69" s="10" t="s">
        <v>82</v>
      </c>
      <c r="HC69" s="10" t="s">
        <v>82</v>
      </c>
      <c r="HD69" s="10" t="s">
        <v>82</v>
      </c>
      <c r="HE69" s="10" t="s">
        <v>82</v>
      </c>
      <c r="HF69" s="10" t="s">
        <v>82</v>
      </c>
      <c r="HG69" s="10" t="s">
        <v>82</v>
      </c>
      <c r="HH69" s="10" t="s">
        <v>82</v>
      </c>
      <c r="HI69" s="10" t="s">
        <v>82</v>
      </c>
      <c r="HJ69" s="10" t="s">
        <v>82</v>
      </c>
      <c r="HK69" s="10" t="s">
        <v>82</v>
      </c>
      <c r="HL69" s="10" t="s">
        <v>82</v>
      </c>
      <c r="HM69" s="40" t="s">
        <v>82</v>
      </c>
    </row>
    <row r="70" spans="1:221" ht="69">
      <c r="A70" s="693"/>
      <c r="B70" s="385" t="s">
        <v>390</v>
      </c>
      <c r="C70" s="698"/>
      <c r="D70" s="100"/>
      <c r="E70" s="96" t="s">
        <v>65</v>
      </c>
      <c r="F70" s="41" t="s">
        <v>65</v>
      </c>
      <c r="G70" s="41" t="s">
        <v>65</v>
      </c>
      <c r="H70" s="41" t="s">
        <v>65</v>
      </c>
      <c r="I70" s="703"/>
      <c r="J70" s="127" t="s">
        <v>265</v>
      </c>
      <c r="K70" s="608" t="s">
        <v>265</v>
      </c>
      <c r="L70" s="609" t="s">
        <v>265</v>
      </c>
      <c r="M70" s="4" t="s">
        <v>82</v>
      </c>
      <c r="N70" s="10" t="s">
        <v>265</v>
      </c>
      <c r="O70" s="10" t="s">
        <v>558</v>
      </c>
      <c r="P70" s="10" t="s">
        <v>265</v>
      </c>
      <c r="Q70" s="10">
        <v>2</v>
      </c>
      <c r="R70" s="10">
        <v>2</v>
      </c>
      <c r="S70" s="35" t="s">
        <v>265</v>
      </c>
      <c r="T70" s="10" t="s">
        <v>265</v>
      </c>
      <c r="U70" s="40" t="s">
        <v>265</v>
      </c>
      <c r="V70" s="4" t="s">
        <v>265</v>
      </c>
      <c r="W70" s="41">
        <v>29</v>
      </c>
      <c r="X70" s="41">
        <v>29</v>
      </c>
      <c r="Y70" s="41">
        <v>3.5</v>
      </c>
      <c r="Z70" s="41">
        <f t="shared" si="14"/>
        <v>29</v>
      </c>
      <c r="AA70" s="593">
        <f t="shared" si="10"/>
        <v>2943.5</v>
      </c>
      <c r="AB70" s="40" t="s">
        <v>265</v>
      </c>
      <c r="AC70" s="236">
        <v>3.4</v>
      </c>
      <c r="AD70" s="128">
        <v>5</v>
      </c>
      <c r="AE70" s="10" t="s">
        <v>265</v>
      </c>
      <c r="AF70" s="10" t="str">
        <f t="shared" si="15"/>
        <v>N.S</v>
      </c>
      <c r="AG70" s="42" t="s">
        <v>265</v>
      </c>
      <c r="AH70" s="10" t="s">
        <v>265</v>
      </c>
      <c r="AI70" s="10" t="str">
        <f t="shared" si="8"/>
        <v>N.S</v>
      </c>
      <c r="AJ70" s="10" t="s">
        <v>265</v>
      </c>
      <c r="AK70" s="10" t="s">
        <v>265</v>
      </c>
      <c r="AL70" s="56" t="str">
        <f t="shared" si="12"/>
        <v>N.S</v>
      </c>
      <c r="AM70" s="10" t="s">
        <v>265</v>
      </c>
      <c r="AN70" s="42" t="str">
        <f>IF(AL70="N.S","N.S",AL70*AQ1+IF(AM70="N.S",0,AM70*(1-AQ1)))</f>
        <v>N.S</v>
      </c>
      <c r="AO70" s="615" t="s">
        <v>265</v>
      </c>
      <c r="AP70" s="615" t="s">
        <v>265</v>
      </c>
      <c r="AQ70" s="10" t="s">
        <v>265</v>
      </c>
      <c r="AR70" s="611" t="str">
        <f t="shared" si="13"/>
        <v>N.S</v>
      </c>
      <c r="AS70" s="604" t="str">
        <f t="shared" si="9"/>
        <v>N.S</v>
      </c>
      <c r="AT70" s="19" t="s">
        <v>506</v>
      </c>
      <c r="AU70" s="10" t="s">
        <v>265</v>
      </c>
      <c r="AV70" s="10" t="s">
        <v>265</v>
      </c>
      <c r="AW70" s="10" t="s">
        <v>265</v>
      </c>
      <c r="AX70" s="10" t="s">
        <v>265</v>
      </c>
      <c r="AY70" s="10" t="s">
        <v>265</v>
      </c>
      <c r="AZ70" s="10" t="s">
        <v>265</v>
      </c>
      <c r="BA70" s="10" t="s">
        <v>265</v>
      </c>
      <c r="BB70" s="362" t="s">
        <v>265</v>
      </c>
      <c r="BC70" s="37" t="s">
        <v>265</v>
      </c>
      <c r="BD70" s="37" t="s">
        <v>265</v>
      </c>
      <c r="BE70" s="3" t="s">
        <v>509</v>
      </c>
      <c r="BF70" s="37" t="s">
        <v>265</v>
      </c>
      <c r="BG70" s="4" t="s">
        <v>84</v>
      </c>
      <c r="BH70" s="13" t="s">
        <v>507</v>
      </c>
      <c r="BI70" s="10" t="s">
        <v>265</v>
      </c>
      <c r="BJ70" s="10" t="s">
        <v>265</v>
      </c>
      <c r="BK70" s="10" t="s">
        <v>265</v>
      </c>
      <c r="BL70" s="10" t="s">
        <v>265</v>
      </c>
      <c r="BM70" s="40" t="s">
        <v>265</v>
      </c>
      <c r="BN70" s="301" t="s">
        <v>265</v>
      </c>
      <c r="BO70" s="41" t="s">
        <v>265</v>
      </c>
      <c r="BP70" s="129" t="s">
        <v>265</v>
      </c>
      <c r="BQ70" s="4"/>
      <c r="BR70" s="37" t="s">
        <v>508</v>
      </c>
      <c r="BS70" s="4">
        <v>0</v>
      </c>
      <c r="BT70" s="128"/>
      <c r="BU70" s="128"/>
      <c r="BV70" s="10"/>
      <c r="BW70" s="40"/>
      <c r="BX70" s="295">
        <v>0</v>
      </c>
      <c r="BY70" s="128"/>
      <c r="BZ70" s="128"/>
      <c r="CA70" s="10"/>
      <c r="CB70" s="40"/>
      <c r="CC70" s="4">
        <v>0</v>
      </c>
      <c r="CD70" s="10">
        <v>0</v>
      </c>
      <c r="CE70" s="128"/>
      <c r="CF70" s="128"/>
      <c r="CG70" s="128"/>
      <c r="CH70" s="128"/>
      <c r="CI70" s="128"/>
      <c r="CJ70" s="128"/>
      <c r="CK70" s="128"/>
      <c r="CL70" s="128"/>
      <c r="CM70" s="121"/>
      <c r="CN70" s="4">
        <v>0</v>
      </c>
      <c r="CO70" s="10">
        <v>0</v>
      </c>
      <c r="CP70" s="10"/>
      <c r="CQ70" s="10"/>
      <c r="CR70" s="10"/>
      <c r="CS70" s="10"/>
      <c r="CT70" s="10"/>
      <c r="CU70" s="10"/>
      <c r="CV70" s="10"/>
      <c r="CW70" s="10"/>
      <c r="CX70" s="121"/>
      <c r="CY70" s="4">
        <v>0</v>
      </c>
      <c r="CZ70" s="10">
        <v>0</v>
      </c>
      <c r="DA70" s="10"/>
      <c r="DB70" s="10"/>
      <c r="DC70" s="10"/>
      <c r="DD70" s="10"/>
      <c r="DE70" s="10"/>
      <c r="DF70" s="10"/>
      <c r="DG70" s="10"/>
      <c r="DH70" s="10"/>
      <c r="DI70" s="121"/>
      <c r="DJ70" s="4">
        <v>0</v>
      </c>
      <c r="DK70" s="128"/>
      <c r="DL70" s="128"/>
      <c r="DM70" s="10"/>
      <c r="DN70" s="40"/>
      <c r="DO70" s="4">
        <v>0</v>
      </c>
      <c r="DP70" s="10"/>
      <c r="DQ70" s="128"/>
      <c r="DR70" s="10"/>
      <c r="DS70" s="40"/>
      <c r="DT70" s="4">
        <v>0</v>
      </c>
      <c r="DU70" s="10"/>
      <c r="DV70" s="10"/>
      <c r="DW70" s="10"/>
      <c r="DX70" s="40"/>
      <c r="DY70" s="4">
        <v>0</v>
      </c>
      <c r="DZ70" s="10"/>
      <c r="EA70" s="10"/>
      <c r="EB70" s="10"/>
      <c r="EC70" s="40"/>
      <c r="ED70" s="4">
        <v>0</v>
      </c>
      <c r="EE70" s="10"/>
      <c r="EF70" s="10"/>
      <c r="EG70" s="10"/>
      <c r="EH70" s="40"/>
      <c r="EI70" s="4">
        <v>0</v>
      </c>
      <c r="EJ70" s="10"/>
      <c r="EK70" s="10"/>
      <c r="EL70" s="10"/>
      <c r="EM70" s="40"/>
      <c r="EN70" s="4">
        <v>0</v>
      </c>
      <c r="EO70" s="10"/>
      <c r="EP70" s="10"/>
      <c r="EQ70" s="10"/>
      <c r="ER70" s="40"/>
      <c r="ES70" s="4">
        <v>0</v>
      </c>
      <c r="ET70" s="10"/>
      <c r="EU70" s="10"/>
      <c r="EV70" s="10"/>
      <c r="EW70" s="40"/>
      <c r="EX70" s="4">
        <v>0</v>
      </c>
      <c r="EY70" s="10"/>
      <c r="EZ70" s="10"/>
      <c r="FA70" s="10"/>
      <c r="FB70" s="40"/>
      <c r="FC70" s="4">
        <v>0</v>
      </c>
      <c r="FD70" s="10"/>
      <c r="FE70" s="10"/>
      <c r="FF70" s="10"/>
      <c r="FG70" s="40"/>
      <c r="FH70" s="4">
        <v>0</v>
      </c>
      <c r="FI70" s="10"/>
      <c r="FJ70" s="10"/>
      <c r="FK70" s="10"/>
      <c r="FL70" s="40"/>
      <c r="FM70" s="4">
        <v>0</v>
      </c>
      <c r="FN70" s="10"/>
      <c r="FO70" s="10"/>
      <c r="FP70" s="10"/>
      <c r="FQ70" s="40"/>
      <c r="FR70" s="4">
        <v>0</v>
      </c>
      <c r="FS70" s="10"/>
      <c r="FT70" s="10"/>
      <c r="FU70" s="10"/>
      <c r="FV70" s="40"/>
      <c r="FW70" s="4">
        <v>0</v>
      </c>
      <c r="FX70" s="10"/>
      <c r="FY70" s="10"/>
      <c r="FZ70" s="10"/>
      <c r="GA70" s="40"/>
      <c r="GB70" s="4"/>
      <c r="GC70" s="10"/>
      <c r="GD70" s="10"/>
      <c r="GE70" s="10"/>
      <c r="GF70" s="40"/>
      <c r="GG70" s="10">
        <f t="shared" si="16"/>
        <v>1</v>
      </c>
      <c r="GH70" s="10" t="str">
        <f t="shared" si="17"/>
        <v/>
      </c>
      <c r="GI70" s="37" t="str">
        <f t="shared" si="18"/>
        <v/>
      </c>
      <c r="GJ70" s="4" t="s">
        <v>82</v>
      </c>
      <c r="GK70" s="10" t="s">
        <v>82</v>
      </c>
      <c r="GL70" s="10" t="s">
        <v>82</v>
      </c>
      <c r="GM70" s="10" t="s">
        <v>82</v>
      </c>
      <c r="GN70" s="10" t="s">
        <v>82</v>
      </c>
      <c r="GO70" s="10" t="s">
        <v>82</v>
      </c>
      <c r="GP70" s="10" t="s">
        <v>82</v>
      </c>
      <c r="GQ70" s="10" t="s">
        <v>82</v>
      </c>
      <c r="GR70" s="10" t="s">
        <v>82</v>
      </c>
      <c r="GS70" s="10" t="s">
        <v>82</v>
      </c>
      <c r="GT70" s="10" t="s">
        <v>82</v>
      </c>
      <c r="GU70" s="10" t="s">
        <v>82</v>
      </c>
      <c r="GV70" s="10" t="s">
        <v>82</v>
      </c>
      <c r="GW70" s="10" t="s">
        <v>82</v>
      </c>
      <c r="GX70" s="10" t="s">
        <v>82</v>
      </c>
      <c r="GY70" s="10" t="s">
        <v>82</v>
      </c>
      <c r="GZ70" s="10" t="s">
        <v>82</v>
      </c>
      <c r="HA70" s="10" t="s">
        <v>82</v>
      </c>
      <c r="HB70" s="10" t="s">
        <v>82</v>
      </c>
      <c r="HC70" s="10" t="s">
        <v>82</v>
      </c>
      <c r="HD70" s="10" t="s">
        <v>82</v>
      </c>
      <c r="HE70" s="10" t="s">
        <v>82</v>
      </c>
      <c r="HF70" s="10" t="s">
        <v>82</v>
      </c>
      <c r="HG70" s="10" t="s">
        <v>82</v>
      </c>
      <c r="HH70" s="10" t="s">
        <v>82</v>
      </c>
      <c r="HI70" s="10" t="s">
        <v>82</v>
      </c>
      <c r="HJ70" s="10" t="s">
        <v>82</v>
      </c>
      <c r="HK70" s="10" t="s">
        <v>82</v>
      </c>
      <c r="HL70" s="10" t="s">
        <v>82</v>
      </c>
      <c r="HM70" s="40" t="s">
        <v>82</v>
      </c>
    </row>
    <row r="71" spans="1:221" s="73" customFormat="1" ht="69">
      <c r="A71" s="693"/>
      <c r="B71" s="385" t="s">
        <v>391</v>
      </c>
      <c r="C71" s="698"/>
      <c r="D71" s="100"/>
      <c r="E71" s="96" t="s">
        <v>65</v>
      </c>
      <c r="F71" s="41" t="s">
        <v>65</v>
      </c>
      <c r="G71" s="41" t="s">
        <v>65</v>
      </c>
      <c r="H71" s="41" t="s">
        <v>65</v>
      </c>
      <c r="I71" s="703"/>
      <c r="J71" s="127" t="s">
        <v>265</v>
      </c>
      <c r="K71" s="608" t="s">
        <v>265</v>
      </c>
      <c r="L71" s="609" t="s">
        <v>265</v>
      </c>
      <c r="M71" s="55" t="s">
        <v>82</v>
      </c>
      <c r="N71" s="10" t="s">
        <v>265</v>
      </c>
      <c r="O71" s="10" t="s">
        <v>558</v>
      </c>
      <c r="P71" s="10" t="s">
        <v>265</v>
      </c>
      <c r="Q71" s="35">
        <v>6</v>
      </c>
      <c r="R71" s="35">
        <v>6</v>
      </c>
      <c r="S71" s="35" t="s">
        <v>265</v>
      </c>
      <c r="T71" s="10" t="s">
        <v>265</v>
      </c>
      <c r="U71" s="40" t="s">
        <v>265</v>
      </c>
      <c r="V71" s="4" t="s">
        <v>265</v>
      </c>
      <c r="W71" s="479">
        <v>39</v>
      </c>
      <c r="X71" s="479">
        <v>39</v>
      </c>
      <c r="Y71" s="479">
        <v>3.5</v>
      </c>
      <c r="Z71" s="41">
        <f t="shared" si="14"/>
        <v>39</v>
      </c>
      <c r="AA71" s="593">
        <f t="shared" si="10"/>
        <v>5323.5</v>
      </c>
      <c r="AB71" s="40" t="s">
        <v>265</v>
      </c>
      <c r="AC71" s="233">
        <v>3.4</v>
      </c>
      <c r="AD71" s="178">
        <v>5</v>
      </c>
      <c r="AE71" s="10" t="s">
        <v>265</v>
      </c>
      <c r="AF71" s="10" t="str">
        <f t="shared" si="15"/>
        <v>N.S</v>
      </c>
      <c r="AG71" s="42" t="s">
        <v>265</v>
      </c>
      <c r="AH71" s="10" t="s">
        <v>265</v>
      </c>
      <c r="AI71" s="10" t="str">
        <f t="shared" ref="AI71:AI78" si="19">IF(AC71="N.S", "N.S",IF(AH71="N.S", "N.S", 0.5*(AC71+AD71)*AH71*3600))</f>
        <v>N.S</v>
      </c>
      <c r="AJ71" s="10" t="s">
        <v>265</v>
      </c>
      <c r="AK71" s="10" t="s">
        <v>265</v>
      </c>
      <c r="AL71" s="56" t="str">
        <f t="shared" si="12"/>
        <v>N.S</v>
      </c>
      <c r="AM71" s="10" t="s">
        <v>265</v>
      </c>
      <c r="AN71" s="42" t="str">
        <f>IF(AL71="N.S","N.S",AL71*AQ1+IF(AM71="N.S",0,AM71*(1-AQ1)))</f>
        <v>N.S</v>
      </c>
      <c r="AO71" s="615" t="s">
        <v>265</v>
      </c>
      <c r="AP71" s="615" t="s">
        <v>265</v>
      </c>
      <c r="AQ71" s="10" t="s">
        <v>265</v>
      </c>
      <c r="AR71" s="611" t="str">
        <f t="shared" si="13"/>
        <v>N.S</v>
      </c>
      <c r="AS71" s="604" t="str">
        <f t="shared" si="9"/>
        <v>N.S</v>
      </c>
      <c r="AT71" s="25" t="s">
        <v>510</v>
      </c>
      <c r="AU71" s="10" t="s">
        <v>265</v>
      </c>
      <c r="AV71" s="10" t="s">
        <v>265</v>
      </c>
      <c r="AW71" s="10" t="s">
        <v>265</v>
      </c>
      <c r="AX71" s="35" t="s">
        <v>265</v>
      </c>
      <c r="AY71" s="10" t="s">
        <v>265</v>
      </c>
      <c r="AZ71" s="10" t="s">
        <v>265</v>
      </c>
      <c r="BA71" s="10" t="s">
        <v>265</v>
      </c>
      <c r="BB71" s="362" t="s">
        <v>265</v>
      </c>
      <c r="BC71" s="37" t="s">
        <v>265</v>
      </c>
      <c r="BD71" s="37" t="s">
        <v>265</v>
      </c>
      <c r="BE71" s="3" t="s">
        <v>509</v>
      </c>
      <c r="BF71" s="37" t="s">
        <v>265</v>
      </c>
      <c r="BG71" s="55" t="s">
        <v>84</v>
      </c>
      <c r="BH71" s="53" t="s">
        <v>507</v>
      </c>
      <c r="BI71" s="10" t="s">
        <v>265</v>
      </c>
      <c r="BJ71" s="10" t="s">
        <v>265</v>
      </c>
      <c r="BK71" s="10" t="s">
        <v>265</v>
      </c>
      <c r="BL71" s="10" t="s">
        <v>265</v>
      </c>
      <c r="BM71" s="40" t="s">
        <v>265</v>
      </c>
      <c r="BN71" s="301" t="s">
        <v>265</v>
      </c>
      <c r="BO71" s="41" t="s">
        <v>265</v>
      </c>
      <c r="BP71" s="129" t="s">
        <v>265</v>
      </c>
      <c r="BQ71" s="55"/>
      <c r="BR71" s="37" t="s">
        <v>511</v>
      </c>
      <c r="BS71" s="55">
        <v>0</v>
      </c>
      <c r="BT71" s="178"/>
      <c r="BU71" s="178"/>
      <c r="BV71" s="35"/>
      <c r="BW71" s="54"/>
      <c r="BX71" s="36">
        <v>0</v>
      </c>
      <c r="BY71" s="178"/>
      <c r="BZ71" s="178"/>
      <c r="CA71" s="35"/>
      <c r="CB71" s="54"/>
      <c r="CC71" s="4">
        <v>0</v>
      </c>
      <c r="CD71" s="10">
        <v>0</v>
      </c>
      <c r="CE71" s="178"/>
      <c r="CF71" s="178"/>
      <c r="CG71" s="178"/>
      <c r="CH71" s="178"/>
      <c r="CI71" s="178"/>
      <c r="CJ71" s="178"/>
      <c r="CK71" s="178"/>
      <c r="CL71" s="178"/>
      <c r="CM71" s="193"/>
      <c r="CN71" s="4">
        <v>0</v>
      </c>
      <c r="CO71" s="10">
        <v>0</v>
      </c>
      <c r="CP71" s="35"/>
      <c r="CQ71" s="35"/>
      <c r="CR71" s="35"/>
      <c r="CS71" s="35"/>
      <c r="CT71" s="35"/>
      <c r="CU71" s="35"/>
      <c r="CV71" s="35"/>
      <c r="CW71" s="35"/>
      <c r="CX71" s="193"/>
      <c r="CY71" s="4">
        <v>0</v>
      </c>
      <c r="CZ71" s="10">
        <v>0</v>
      </c>
      <c r="DA71" s="35"/>
      <c r="DB71" s="35"/>
      <c r="DC71" s="35"/>
      <c r="DD71" s="35"/>
      <c r="DE71" s="35"/>
      <c r="DF71" s="35"/>
      <c r="DG71" s="35"/>
      <c r="DH71" s="35"/>
      <c r="DI71" s="193"/>
      <c r="DJ71" s="4">
        <v>0</v>
      </c>
      <c r="DK71" s="178"/>
      <c r="DL71" s="178"/>
      <c r="DM71" s="35"/>
      <c r="DN71" s="54"/>
      <c r="DO71" s="4">
        <v>0</v>
      </c>
      <c r="DP71" s="35"/>
      <c r="DQ71" s="178"/>
      <c r="DR71" s="35"/>
      <c r="DS71" s="54"/>
      <c r="DT71" s="4">
        <v>0</v>
      </c>
      <c r="DU71" s="35"/>
      <c r="DV71" s="35"/>
      <c r="DW71" s="35"/>
      <c r="DX71" s="54"/>
      <c r="DY71" s="4">
        <v>0</v>
      </c>
      <c r="DZ71" s="35"/>
      <c r="EA71" s="35"/>
      <c r="EB71" s="35"/>
      <c r="EC71" s="54"/>
      <c r="ED71" s="4">
        <v>0</v>
      </c>
      <c r="EE71" s="35"/>
      <c r="EF71" s="35"/>
      <c r="EG71" s="35"/>
      <c r="EH71" s="54"/>
      <c r="EI71" s="4">
        <v>0</v>
      </c>
      <c r="EJ71" s="35"/>
      <c r="EK71" s="35"/>
      <c r="EL71" s="35"/>
      <c r="EM71" s="54"/>
      <c r="EN71" s="4">
        <v>0</v>
      </c>
      <c r="EO71" s="35"/>
      <c r="EP71" s="35"/>
      <c r="EQ71" s="35"/>
      <c r="ER71" s="54"/>
      <c r="ES71" s="4">
        <v>0</v>
      </c>
      <c r="ET71" s="35"/>
      <c r="EU71" s="35"/>
      <c r="EV71" s="35"/>
      <c r="EW71" s="54"/>
      <c r="EX71" s="4">
        <v>0</v>
      </c>
      <c r="EY71" s="35"/>
      <c r="EZ71" s="35"/>
      <c r="FA71" s="35"/>
      <c r="FB71" s="54"/>
      <c r="FC71" s="4">
        <v>0</v>
      </c>
      <c r="FD71" s="35"/>
      <c r="FE71" s="35"/>
      <c r="FF71" s="35"/>
      <c r="FG71" s="54"/>
      <c r="FH71" s="4">
        <v>0</v>
      </c>
      <c r="FI71" s="35"/>
      <c r="FJ71" s="35"/>
      <c r="FK71" s="35"/>
      <c r="FL71" s="54"/>
      <c r="FM71" s="4">
        <v>0</v>
      </c>
      <c r="FN71" s="35"/>
      <c r="FO71" s="35"/>
      <c r="FP71" s="35"/>
      <c r="FQ71" s="54"/>
      <c r="FR71" s="4">
        <v>0</v>
      </c>
      <c r="FS71" s="35"/>
      <c r="FT71" s="35"/>
      <c r="FU71" s="35"/>
      <c r="FV71" s="54"/>
      <c r="FW71" s="4">
        <v>0</v>
      </c>
      <c r="FX71" s="35"/>
      <c r="FY71" s="35"/>
      <c r="FZ71" s="35"/>
      <c r="GA71" s="54"/>
      <c r="GB71" s="55"/>
      <c r="GC71" s="35"/>
      <c r="GD71" s="35"/>
      <c r="GE71" s="35"/>
      <c r="GF71" s="54"/>
      <c r="GG71" s="10">
        <f t="shared" si="16"/>
        <v>1</v>
      </c>
      <c r="GH71" s="10" t="str">
        <f t="shared" si="17"/>
        <v/>
      </c>
      <c r="GI71" s="37" t="str">
        <f t="shared" si="18"/>
        <v/>
      </c>
      <c r="GJ71" s="4" t="s">
        <v>82</v>
      </c>
      <c r="GK71" s="10" t="s">
        <v>82</v>
      </c>
      <c r="GL71" s="10" t="s">
        <v>82</v>
      </c>
      <c r="GM71" s="10" t="s">
        <v>82</v>
      </c>
      <c r="GN71" s="10" t="s">
        <v>82</v>
      </c>
      <c r="GO71" s="10" t="s">
        <v>82</v>
      </c>
      <c r="GP71" s="10" t="s">
        <v>82</v>
      </c>
      <c r="GQ71" s="10" t="s">
        <v>82</v>
      </c>
      <c r="GR71" s="10" t="s">
        <v>82</v>
      </c>
      <c r="GS71" s="10" t="s">
        <v>82</v>
      </c>
      <c r="GT71" s="10" t="s">
        <v>82</v>
      </c>
      <c r="GU71" s="10" t="s">
        <v>82</v>
      </c>
      <c r="GV71" s="10" t="s">
        <v>82</v>
      </c>
      <c r="GW71" s="10" t="s">
        <v>82</v>
      </c>
      <c r="GX71" s="10" t="s">
        <v>82</v>
      </c>
      <c r="GY71" s="10" t="s">
        <v>82</v>
      </c>
      <c r="GZ71" s="10" t="s">
        <v>82</v>
      </c>
      <c r="HA71" s="10" t="s">
        <v>82</v>
      </c>
      <c r="HB71" s="10" t="s">
        <v>82</v>
      </c>
      <c r="HC71" s="10" t="s">
        <v>82</v>
      </c>
      <c r="HD71" s="10" t="s">
        <v>82</v>
      </c>
      <c r="HE71" s="10" t="s">
        <v>82</v>
      </c>
      <c r="HF71" s="10" t="s">
        <v>82</v>
      </c>
      <c r="HG71" s="10" t="s">
        <v>82</v>
      </c>
      <c r="HH71" s="10" t="s">
        <v>82</v>
      </c>
      <c r="HI71" s="10" t="s">
        <v>82</v>
      </c>
      <c r="HJ71" s="10" t="s">
        <v>82</v>
      </c>
      <c r="HK71" s="10" t="s">
        <v>82</v>
      </c>
      <c r="HL71" s="10" t="s">
        <v>82</v>
      </c>
      <c r="HM71" s="40" t="s">
        <v>82</v>
      </c>
    </row>
    <row r="72" spans="1:221" ht="14.25" customHeight="1">
      <c r="A72" s="693"/>
      <c r="B72" s="41" t="s">
        <v>265</v>
      </c>
      <c r="C72" s="699"/>
      <c r="D72" s="100" t="s">
        <v>265</v>
      </c>
      <c r="E72" s="41" t="s">
        <v>65</v>
      </c>
      <c r="F72" s="41" t="s">
        <v>65</v>
      </c>
      <c r="G72" s="41" t="s">
        <v>65</v>
      </c>
      <c r="H72" s="41" t="s">
        <v>65</v>
      </c>
      <c r="I72" s="41" t="s">
        <v>65</v>
      </c>
      <c r="J72" s="127" t="s">
        <v>265</v>
      </c>
      <c r="K72" s="608" t="s">
        <v>265</v>
      </c>
      <c r="L72" s="609" t="s">
        <v>265</v>
      </c>
      <c r="M72" s="4" t="s">
        <v>265</v>
      </c>
      <c r="N72" s="10" t="s">
        <v>265</v>
      </c>
      <c r="O72" s="10" t="s">
        <v>265</v>
      </c>
      <c r="P72" s="10" t="s">
        <v>265</v>
      </c>
      <c r="Q72" s="10" t="s">
        <v>265</v>
      </c>
      <c r="R72" s="10" t="s">
        <v>265</v>
      </c>
      <c r="S72" s="10" t="s">
        <v>265</v>
      </c>
      <c r="T72" s="10" t="s">
        <v>265</v>
      </c>
      <c r="U72" s="40" t="s">
        <v>265</v>
      </c>
      <c r="V72" s="4" t="s">
        <v>265</v>
      </c>
      <c r="W72" s="41" t="s">
        <v>265</v>
      </c>
      <c r="X72" s="41" t="s">
        <v>265</v>
      </c>
      <c r="Y72" s="41" t="s">
        <v>265</v>
      </c>
      <c r="Z72" s="41" t="str">
        <f t="shared" si="14"/>
        <v>N.S</v>
      </c>
      <c r="AA72" s="593" t="str">
        <f t="shared" si="10"/>
        <v>N.S</v>
      </c>
      <c r="AB72" s="40" t="s">
        <v>265</v>
      </c>
      <c r="AC72" s="236" t="s">
        <v>265</v>
      </c>
      <c r="AD72" s="128" t="s">
        <v>265</v>
      </c>
      <c r="AE72" s="42" t="s">
        <v>265</v>
      </c>
      <c r="AF72" s="10" t="str">
        <f t="shared" si="15"/>
        <v>N.S</v>
      </c>
      <c r="AG72" s="42" t="s">
        <v>265</v>
      </c>
      <c r="AH72" s="10" t="s">
        <v>265</v>
      </c>
      <c r="AI72" s="10" t="str">
        <f t="shared" si="19"/>
        <v>N.S</v>
      </c>
      <c r="AJ72" s="10" t="s">
        <v>265</v>
      </c>
      <c r="AK72" s="10" t="s">
        <v>265</v>
      </c>
      <c r="AL72" s="56" t="str">
        <f t="shared" si="12"/>
        <v>N.S</v>
      </c>
      <c r="AM72" s="10" t="s">
        <v>265</v>
      </c>
      <c r="AN72" s="42" t="str">
        <f>IF(AL72="N.S","N.S",AL72*AQ1+IF(AM72="N.S",0,AM72*(1-AQ1)))</f>
        <v>N.S</v>
      </c>
      <c r="AO72" s="615" t="s">
        <v>265</v>
      </c>
      <c r="AP72" s="615" t="s">
        <v>265</v>
      </c>
      <c r="AQ72" s="10" t="s">
        <v>265</v>
      </c>
      <c r="AR72" s="611" t="str">
        <f>IF(BL3="N.S","N.S",IF(BH3="N.S","N.S",BL3/(BH3*3600)))</f>
        <v>N.S</v>
      </c>
      <c r="AS72" s="604" t="str">
        <f t="shared" si="9"/>
        <v>N.S</v>
      </c>
      <c r="AT72" s="19" t="s">
        <v>265</v>
      </c>
      <c r="AU72" s="10" t="s">
        <v>265</v>
      </c>
      <c r="AV72" s="10" t="s">
        <v>265</v>
      </c>
      <c r="AW72" s="10" t="s">
        <v>265</v>
      </c>
      <c r="AX72" s="35" t="s">
        <v>265</v>
      </c>
      <c r="AY72" s="10" t="s">
        <v>265</v>
      </c>
      <c r="AZ72" s="10" t="s">
        <v>265</v>
      </c>
      <c r="BA72" s="10" t="s">
        <v>265</v>
      </c>
      <c r="BB72" s="362" t="s">
        <v>265</v>
      </c>
      <c r="BC72" s="37" t="s">
        <v>265</v>
      </c>
      <c r="BD72" s="37" t="s">
        <v>265</v>
      </c>
      <c r="BE72" s="3" t="s">
        <v>265</v>
      </c>
      <c r="BF72" s="37" t="s">
        <v>265</v>
      </c>
      <c r="BG72" s="4" t="s">
        <v>265</v>
      </c>
      <c r="BH72" s="13" t="s">
        <v>265</v>
      </c>
      <c r="BI72" s="13" t="s">
        <v>265</v>
      </c>
      <c r="BJ72" s="13" t="s">
        <v>265</v>
      </c>
      <c r="BK72" s="13" t="s">
        <v>265</v>
      </c>
      <c r="BL72" s="13" t="s">
        <v>265</v>
      </c>
      <c r="BM72" s="40" t="s">
        <v>265</v>
      </c>
      <c r="BN72" s="301" t="s">
        <v>265</v>
      </c>
      <c r="BO72" s="41" t="s">
        <v>265</v>
      </c>
      <c r="BP72" s="129" t="s">
        <v>265</v>
      </c>
      <c r="BQ72" s="4"/>
      <c r="BR72" s="169"/>
      <c r="BS72" s="4">
        <v>0</v>
      </c>
      <c r="BT72" s="128"/>
      <c r="BU72" s="128"/>
      <c r="BV72" s="10"/>
      <c r="BW72" s="40"/>
      <c r="BX72" s="295">
        <v>0</v>
      </c>
      <c r="BY72" s="128"/>
      <c r="BZ72" s="128"/>
      <c r="CA72" s="10"/>
      <c r="CB72" s="40"/>
      <c r="CC72" s="4">
        <v>0</v>
      </c>
      <c r="CD72" s="10">
        <v>0</v>
      </c>
      <c r="CE72" s="128"/>
      <c r="CF72" s="128"/>
      <c r="CG72" s="128"/>
      <c r="CH72" s="128"/>
      <c r="CI72" s="128"/>
      <c r="CJ72" s="128"/>
      <c r="CK72" s="128"/>
      <c r="CL72" s="128"/>
      <c r="CM72" s="121"/>
      <c r="CN72" s="4">
        <v>0</v>
      </c>
      <c r="CO72" s="10">
        <v>0</v>
      </c>
      <c r="CP72" s="10"/>
      <c r="CQ72" s="10"/>
      <c r="CR72" s="10"/>
      <c r="CS72" s="10"/>
      <c r="CT72" s="10"/>
      <c r="CU72" s="10"/>
      <c r="CV72" s="10"/>
      <c r="CW72" s="10"/>
      <c r="CX72" s="121"/>
      <c r="CY72" s="4">
        <v>0</v>
      </c>
      <c r="CZ72" s="10">
        <v>0</v>
      </c>
      <c r="DA72" s="10"/>
      <c r="DB72" s="10"/>
      <c r="DC72" s="10"/>
      <c r="DD72" s="10"/>
      <c r="DE72" s="10"/>
      <c r="DF72" s="10"/>
      <c r="DG72" s="10"/>
      <c r="DH72" s="10"/>
      <c r="DI72" s="121"/>
      <c r="DJ72" s="4">
        <v>0</v>
      </c>
      <c r="DK72" s="128"/>
      <c r="DL72" s="128"/>
      <c r="DM72" s="10"/>
      <c r="DN72" s="40"/>
      <c r="DO72" s="4">
        <v>0</v>
      </c>
      <c r="DP72" s="10"/>
      <c r="DQ72" s="128"/>
      <c r="DR72" s="10"/>
      <c r="DS72" s="40"/>
      <c r="DT72" s="4">
        <v>0</v>
      </c>
      <c r="DU72" s="10"/>
      <c r="DV72" s="10"/>
      <c r="DW72" s="10"/>
      <c r="DX72" s="40"/>
      <c r="DY72" s="4">
        <v>0</v>
      </c>
      <c r="DZ72" s="10"/>
      <c r="EA72" s="10"/>
      <c r="EB72" s="10"/>
      <c r="EC72" s="40"/>
      <c r="ED72" s="4">
        <v>0</v>
      </c>
      <c r="EE72" s="10"/>
      <c r="EF72" s="10"/>
      <c r="EG72" s="10"/>
      <c r="EH72" s="40"/>
      <c r="EI72" s="4">
        <v>0</v>
      </c>
      <c r="EJ72" s="10"/>
      <c r="EK72" s="10"/>
      <c r="EL72" s="10"/>
      <c r="EM72" s="40"/>
      <c r="EN72" s="4">
        <v>0</v>
      </c>
      <c r="EO72" s="10"/>
      <c r="EP72" s="10"/>
      <c r="EQ72" s="10"/>
      <c r="ER72" s="40"/>
      <c r="ES72" s="4">
        <v>0</v>
      </c>
      <c r="ET72" s="10"/>
      <c r="EU72" s="10"/>
      <c r="EV72" s="10"/>
      <c r="EW72" s="40"/>
      <c r="EX72" s="4">
        <v>0</v>
      </c>
      <c r="EY72" s="10"/>
      <c r="EZ72" s="10"/>
      <c r="FA72" s="10"/>
      <c r="FB72" s="40"/>
      <c r="FC72" s="4">
        <v>0</v>
      </c>
      <c r="FD72" s="10"/>
      <c r="FE72" s="10"/>
      <c r="FF72" s="10"/>
      <c r="FG72" s="40"/>
      <c r="FH72" s="4">
        <v>0</v>
      </c>
      <c r="FI72" s="10"/>
      <c r="FJ72" s="10"/>
      <c r="FK72" s="10"/>
      <c r="FL72" s="40"/>
      <c r="FM72" s="4">
        <v>0</v>
      </c>
      <c r="FN72" s="10"/>
      <c r="FO72" s="10"/>
      <c r="FP72" s="10"/>
      <c r="FQ72" s="40"/>
      <c r="FR72" s="4">
        <v>0</v>
      </c>
      <c r="FS72" s="10"/>
      <c r="FT72" s="10"/>
      <c r="FU72" s="10"/>
      <c r="FV72" s="40"/>
      <c r="FW72" s="4">
        <v>0</v>
      </c>
      <c r="FX72" s="10"/>
      <c r="FY72" s="10"/>
      <c r="FZ72" s="10"/>
      <c r="GA72" s="40"/>
      <c r="GB72" s="4"/>
      <c r="GC72" s="10"/>
      <c r="GD72" s="10"/>
      <c r="GE72" s="10"/>
      <c r="GF72" s="40"/>
      <c r="GG72" s="10">
        <f t="shared" si="16"/>
        <v>1</v>
      </c>
      <c r="GH72" s="10" t="str">
        <f t="shared" si="17"/>
        <v/>
      </c>
      <c r="GI72" s="37" t="str">
        <f t="shared" si="18"/>
        <v/>
      </c>
      <c r="GJ72" s="4" t="s">
        <v>82</v>
      </c>
      <c r="GK72" s="10" t="s">
        <v>82</v>
      </c>
      <c r="GL72" s="10" t="s">
        <v>82</v>
      </c>
      <c r="GM72" s="10" t="s">
        <v>82</v>
      </c>
      <c r="GN72" s="10" t="s">
        <v>82</v>
      </c>
      <c r="GO72" s="10" t="s">
        <v>82</v>
      </c>
      <c r="GP72" s="10" t="s">
        <v>82</v>
      </c>
      <c r="GQ72" s="10" t="s">
        <v>82</v>
      </c>
      <c r="GR72" s="10" t="s">
        <v>82</v>
      </c>
      <c r="GS72" s="10" t="s">
        <v>82</v>
      </c>
      <c r="GT72" s="10" t="s">
        <v>82</v>
      </c>
      <c r="GU72" s="10" t="s">
        <v>82</v>
      </c>
      <c r="GV72" s="10" t="s">
        <v>82</v>
      </c>
      <c r="GW72" s="10" t="s">
        <v>82</v>
      </c>
      <c r="GX72" s="10" t="s">
        <v>82</v>
      </c>
      <c r="GY72" s="10" t="s">
        <v>82</v>
      </c>
      <c r="GZ72" s="10" t="s">
        <v>82</v>
      </c>
      <c r="HA72" s="10" t="s">
        <v>82</v>
      </c>
      <c r="HB72" s="10" t="s">
        <v>82</v>
      </c>
      <c r="HC72" s="10" t="s">
        <v>82</v>
      </c>
      <c r="HD72" s="10" t="s">
        <v>82</v>
      </c>
      <c r="HE72" s="10" t="s">
        <v>82</v>
      </c>
      <c r="HF72" s="10" t="s">
        <v>82</v>
      </c>
      <c r="HG72" s="10" t="s">
        <v>82</v>
      </c>
      <c r="HH72" s="10" t="s">
        <v>82</v>
      </c>
      <c r="HI72" s="10" t="s">
        <v>82</v>
      </c>
      <c r="HJ72" s="10" t="s">
        <v>82</v>
      </c>
      <c r="HK72" s="10" t="s">
        <v>82</v>
      </c>
      <c r="HL72" s="10" t="s">
        <v>82</v>
      </c>
      <c r="HM72" s="40" t="s">
        <v>82</v>
      </c>
    </row>
    <row r="73" spans="1:221" ht="82.8">
      <c r="A73" s="693"/>
      <c r="B73" s="13" t="s">
        <v>512</v>
      </c>
      <c r="C73" s="37" t="s">
        <v>392</v>
      </c>
      <c r="D73" s="41" t="s">
        <v>513</v>
      </c>
      <c r="E73" s="75" t="s">
        <v>65</v>
      </c>
      <c r="F73" s="77" t="s">
        <v>65</v>
      </c>
      <c r="G73" s="10" t="s">
        <v>65</v>
      </c>
      <c r="H73" s="10" t="s">
        <v>65</v>
      </c>
      <c r="I73" s="10" t="s">
        <v>65</v>
      </c>
      <c r="J73" s="128">
        <v>11.63</v>
      </c>
      <c r="K73" s="608" t="s">
        <v>265</v>
      </c>
      <c r="L73" s="609" t="s">
        <v>265</v>
      </c>
      <c r="M73" s="4" t="s">
        <v>265</v>
      </c>
      <c r="N73" s="10" t="s">
        <v>265</v>
      </c>
      <c r="O73" s="10" t="s">
        <v>558</v>
      </c>
      <c r="P73" s="10" t="s">
        <v>265</v>
      </c>
      <c r="Q73" s="10" t="s">
        <v>265</v>
      </c>
      <c r="R73" s="10">
        <v>4</v>
      </c>
      <c r="S73" s="10">
        <v>16</v>
      </c>
      <c r="T73" s="10" t="s">
        <v>265</v>
      </c>
      <c r="U73" s="40" t="s">
        <v>265</v>
      </c>
      <c r="V73" s="4" t="s">
        <v>265</v>
      </c>
      <c r="W73" s="41" t="s">
        <v>265</v>
      </c>
      <c r="X73" s="41" t="s">
        <v>265</v>
      </c>
      <c r="Y73" s="41" t="s">
        <v>265</v>
      </c>
      <c r="Z73" s="41" t="str">
        <f t="shared" si="14"/>
        <v>N.S</v>
      </c>
      <c r="AA73" s="593" t="str">
        <f t="shared" si="10"/>
        <v>N.S</v>
      </c>
      <c r="AB73" s="40" t="s">
        <v>265</v>
      </c>
      <c r="AC73" s="236" t="s">
        <v>265</v>
      </c>
      <c r="AD73" s="128" t="s">
        <v>265</v>
      </c>
      <c r="AE73" s="42" t="s">
        <v>265</v>
      </c>
      <c r="AF73" s="10" t="str">
        <f t="shared" si="15"/>
        <v>N.S</v>
      </c>
      <c r="AG73" s="42" t="s">
        <v>265</v>
      </c>
      <c r="AH73" s="10" t="s">
        <v>265</v>
      </c>
      <c r="AI73" s="10" t="str">
        <f t="shared" si="19"/>
        <v>N.S</v>
      </c>
      <c r="AJ73" s="42" t="s">
        <v>265</v>
      </c>
      <c r="AK73" s="42" t="s">
        <v>265</v>
      </c>
      <c r="AL73" s="56" t="str">
        <f t="shared" si="12"/>
        <v>N.S</v>
      </c>
      <c r="AM73" s="42" t="s">
        <v>265</v>
      </c>
      <c r="AN73" s="42" t="str">
        <f>IF(AL73="N.S","N.S",AL73*AQ1+IF(AM73="N.S",0,AM73*(1-AQ1)))</f>
        <v>N.S</v>
      </c>
      <c r="AO73" s="615" t="s">
        <v>265</v>
      </c>
      <c r="AP73" s="615" t="s">
        <v>265</v>
      </c>
      <c r="AQ73" s="238" t="s">
        <v>265</v>
      </c>
      <c r="AR73" s="611" t="str">
        <f t="shared" si="13"/>
        <v>N.S</v>
      </c>
      <c r="AS73" s="604" t="str">
        <f t="shared" si="9"/>
        <v>N.S</v>
      </c>
      <c r="AT73" s="19" t="s">
        <v>1006</v>
      </c>
      <c r="AU73" s="10" t="s">
        <v>265</v>
      </c>
      <c r="AV73" s="10" t="s">
        <v>265</v>
      </c>
      <c r="AW73" s="10">
        <f>512+4</f>
        <v>516</v>
      </c>
      <c r="AX73" s="10">
        <v>1000</v>
      </c>
      <c r="AY73" s="10" t="s">
        <v>265</v>
      </c>
      <c r="AZ73" s="10" t="s">
        <v>265</v>
      </c>
      <c r="BA73" s="37" t="s">
        <v>265</v>
      </c>
      <c r="BB73" s="605" t="s">
        <v>265</v>
      </c>
      <c r="BC73" s="37" t="s">
        <v>265</v>
      </c>
      <c r="BD73" s="388" t="s">
        <v>728</v>
      </c>
      <c r="BE73" s="3" t="s">
        <v>727</v>
      </c>
      <c r="BF73" s="37" t="s">
        <v>265</v>
      </c>
      <c r="BG73" s="4" t="s">
        <v>84</v>
      </c>
      <c r="BH73" s="13" t="s">
        <v>515</v>
      </c>
      <c r="BI73" s="13" t="s">
        <v>729</v>
      </c>
      <c r="BJ73" s="10" t="s">
        <v>265</v>
      </c>
      <c r="BK73" s="10" t="s">
        <v>265</v>
      </c>
      <c r="BL73" s="10" t="s">
        <v>265</v>
      </c>
      <c r="BM73" s="40" t="s">
        <v>265</v>
      </c>
      <c r="BN73" s="301" t="s">
        <v>265</v>
      </c>
      <c r="BO73" s="41" t="s">
        <v>265</v>
      </c>
      <c r="BP73" s="129" t="s">
        <v>265</v>
      </c>
      <c r="BQ73" s="4" t="s">
        <v>725</v>
      </c>
      <c r="BR73" s="169" t="s">
        <v>726</v>
      </c>
      <c r="BS73" s="4">
        <v>0</v>
      </c>
      <c r="BT73" s="128"/>
      <c r="BU73" s="128"/>
      <c r="BV73" s="10"/>
      <c r="BW73" s="40"/>
      <c r="BX73" s="295">
        <v>0</v>
      </c>
      <c r="BY73" s="128"/>
      <c r="BZ73" s="128"/>
      <c r="CA73" s="10"/>
      <c r="CB73" s="40"/>
      <c r="CC73" s="4">
        <v>0</v>
      </c>
      <c r="CD73" s="10">
        <v>0</v>
      </c>
      <c r="CE73" s="128"/>
      <c r="CF73" s="128"/>
      <c r="CG73" s="128"/>
      <c r="CH73" s="128"/>
      <c r="CI73" s="128"/>
      <c r="CJ73" s="128"/>
      <c r="CK73" s="128"/>
      <c r="CL73" s="128"/>
      <c r="CM73" s="121"/>
      <c r="CN73" s="4">
        <v>0</v>
      </c>
      <c r="CO73" s="10">
        <v>0</v>
      </c>
      <c r="CP73" s="10"/>
      <c r="CQ73" s="10"/>
      <c r="CR73" s="10"/>
      <c r="CS73" s="10"/>
      <c r="CT73" s="10"/>
      <c r="CU73" s="10"/>
      <c r="CV73" s="10"/>
      <c r="CW73" s="10"/>
      <c r="CX73" s="121"/>
      <c r="CY73" s="4">
        <v>0</v>
      </c>
      <c r="CZ73" s="10">
        <v>0</v>
      </c>
      <c r="DA73" s="10"/>
      <c r="DB73" s="10"/>
      <c r="DC73" s="10"/>
      <c r="DD73" s="10"/>
      <c r="DE73" s="10"/>
      <c r="DF73" s="10"/>
      <c r="DG73" s="10"/>
      <c r="DH73" s="10"/>
      <c r="DI73" s="121"/>
      <c r="DJ73" s="4">
        <v>0</v>
      </c>
      <c r="DK73" s="128"/>
      <c r="DL73" s="128"/>
      <c r="DM73" s="10"/>
      <c r="DN73" s="40"/>
      <c r="DO73" s="4">
        <v>0</v>
      </c>
      <c r="DP73" s="10"/>
      <c r="DQ73" s="128"/>
      <c r="DR73" s="10"/>
      <c r="DS73" s="40"/>
      <c r="DT73" s="4">
        <v>0</v>
      </c>
      <c r="DU73" s="10"/>
      <c r="DV73" s="10"/>
      <c r="DW73" s="10"/>
      <c r="DX73" s="40"/>
      <c r="DY73" s="4">
        <v>0</v>
      </c>
      <c r="DZ73" s="10"/>
      <c r="EA73" s="10"/>
      <c r="EB73" s="10"/>
      <c r="EC73" s="40"/>
      <c r="ED73" s="4">
        <v>0</v>
      </c>
      <c r="EE73" s="10"/>
      <c r="EF73" s="10"/>
      <c r="EG73" s="10"/>
      <c r="EH73" s="40"/>
      <c r="EI73" s="4">
        <v>0</v>
      </c>
      <c r="EJ73" s="10"/>
      <c r="EK73" s="10"/>
      <c r="EL73" s="10"/>
      <c r="EM73" s="40"/>
      <c r="EN73" s="4">
        <v>0</v>
      </c>
      <c r="EO73" s="10"/>
      <c r="EP73" s="10"/>
      <c r="EQ73" s="10"/>
      <c r="ER73" s="40"/>
      <c r="ES73" s="4">
        <v>0</v>
      </c>
      <c r="ET73" s="10"/>
      <c r="EU73" s="10"/>
      <c r="EV73" s="10"/>
      <c r="EW73" s="40"/>
      <c r="EX73" s="4">
        <v>0</v>
      </c>
      <c r="EY73" s="10"/>
      <c r="EZ73" s="10"/>
      <c r="FA73" s="10"/>
      <c r="FB73" s="40"/>
      <c r="FC73" s="4">
        <v>0</v>
      </c>
      <c r="FD73" s="10"/>
      <c r="FE73" s="10"/>
      <c r="FF73" s="10"/>
      <c r="FG73" s="40"/>
      <c r="FH73" s="4">
        <v>0</v>
      </c>
      <c r="FI73" s="10"/>
      <c r="FJ73" s="10"/>
      <c r="FK73" s="10"/>
      <c r="FL73" s="40"/>
      <c r="FM73" s="4">
        <v>0</v>
      </c>
      <c r="FN73" s="10"/>
      <c r="FO73" s="10"/>
      <c r="FP73" s="10"/>
      <c r="FQ73" s="40"/>
      <c r="FR73" s="4">
        <v>0</v>
      </c>
      <c r="FS73" s="10"/>
      <c r="FT73" s="10"/>
      <c r="FU73" s="10"/>
      <c r="FV73" s="40"/>
      <c r="FW73" s="4">
        <v>0</v>
      </c>
      <c r="FX73" s="10"/>
      <c r="FY73" s="10"/>
      <c r="FZ73" s="10"/>
      <c r="GA73" s="40"/>
      <c r="GB73" s="4"/>
      <c r="GC73" s="10"/>
      <c r="GD73" s="10"/>
      <c r="GE73" s="10"/>
      <c r="GF73" s="40"/>
      <c r="GG73" s="10">
        <f t="shared" si="16"/>
        <v>1</v>
      </c>
      <c r="GH73" s="10" t="str">
        <f t="shared" si="17"/>
        <v/>
      </c>
      <c r="GI73" s="37" t="str">
        <f t="shared" si="18"/>
        <v/>
      </c>
      <c r="GJ73" s="4">
        <v>1</v>
      </c>
      <c r="GK73" s="10" t="s">
        <v>82</v>
      </c>
      <c r="GL73" s="10">
        <v>1</v>
      </c>
      <c r="GM73" s="10" t="s">
        <v>82</v>
      </c>
      <c r="GN73" s="10" t="s">
        <v>82</v>
      </c>
      <c r="GO73" s="10" t="s">
        <v>82</v>
      </c>
      <c r="GP73" s="10">
        <v>1</v>
      </c>
      <c r="GQ73" s="10" t="s">
        <v>82</v>
      </c>
      <c r="GR73" s="10">
        <v>1</v>
      </c>
      <c r="GS73" s="10" t="s">
        <v>82</v>
      </c>
      <c r="GT73" s="10" t="s">
        <v>82</v>
      </c>
      <c r="GU73" s="10" t="s">
        <v>82</v>
      </c>
      <c r="GV73" s="10" t="s">
        <v>82</v>
      </c>
      <c r="GW73" s="10" t="s">
        <v>82</v>
      </c>
      <c r="GX73" s="10" t="s">
        <v>82</v>
      </c>
      <c r="GY73" s="10" t="s">
        <v>82</v>
      </c>
      <c r="GZ73" s="10" t="s">
        <v>82</v>
      </c>
      <c r="HA73" s="10" t="s">
        <v>82</v>
      </c>
      <c r="HB73" s="10" t="s">
        <v>82</v>
      </c>
      <c r="HC73" s="10" t="s">
        <v>82</v>
      </c>
      <c r="HD73" s="10" t="s">
        <v>82</v>
      </c>
      <c r="HE73" s="10" t="s">
        <v>82</v>
      </c>
      <c r="HF73" s="10" t="s">
        <v>82</v>
      </c>
      <c r="HG73" s="10" t="s">
        <v>82</v>
      </c>
      <c r="HH73" s="10" t="s">
        <v>82</v>
      </c>
      <c r="HI73" s="10" t="s">
        <v>82</v>
      </c>
      <c r="HJ73" s="10" t="s">
        <v>82</v>
      </c>
      <c r="HK73" s="10" t="s">
        <v>82</v>
      </c>
      <c r="HL73" s="10">
        <v>1</v>
      </c>
      <c r="HM73" s="40">
        <v>1</v>
      </c>
    </row>
    <row r="74" spans="1:221" ht="69">
      <c r="A74" s="693"/>
      <c r="B74" s="10" t="s">
        <v>7</v>
      </c>
      <c r="C74" s="37" t="s">
        <v>221</v>
      </c>
      <c r="D74" s="100" t="s">
        <v>734</v>
      </c>
      <c r="E74" s="77" t="s">
        <v>65</v>
      </c>
      <c r="F74" s="77" t="s">
        <v>65</v>
      </c>
      <c r="G74" s="77" t="s">
        <v>124</v>
      </c>
      <c r="H74" s="77" t="s">
        <v>65</v>
      </c>
      <c r="I74" s="10" t="s">
        <v>65</v>
      </c>
      <c r="J74" s="362" t="s">
        <v>265</v>
      </c>
      <c r="K74" s="608" t="s">
        <v>265</v>
      </c>
      <c r="L74" s="609" t="s">
        <v>265</v>
      </c>
      <c r="M74" s="3" t="s">
        <v>220</v>
      </c>
      <c r="N74" s="10" t="s">
        <v>265</v>
      </c>
      <c r="O74" s="10" t="s">
        <v>558</v>
      </c>
      <c r="P74" s="10" t="s">
        <v>265</v>
      </c>
      <c r="Q74" s="10" t="s">
        <v>265</v>
      </c>
      <c r="R74" s="10" t="s">
        <v>265</v>
      </c>
      <c r="S74" s="10" t="s">
        <v>265</v>
      </c>
      <c r="T74" s="10" t="s">
        <v>265</v>
      </c>
      <c r="U74" s="40" t="s">
        <v>265</v>
      </c>
      <c r="V74" s="4" t="s">
        <v>265</v>
      </c>
      <c r="W74" s="41">
        <v>58.15</v>
      </c>
      <c r="X74" s="41">
        <v>32.5</v>
      </c>
      <c r="Y74" s="41" t="s">
        <v>265</v>
      </c>
      <c r="Z74" s="41">
        <f t="shared" si="14"/>
        <v>58.15</v>
      </c>
      <c r="AA74" s="593" t="str">
        <f t="shared" si="10"/>
        <v>N.S</v>
      </c>
      <c r="AB74" s="40" t="s">
        <v>265</v>
      </c>
      <c r="AC74" s="236">
        <v>2</v>
      </c>
      <c r="AD74" s="128">
        <v>3</v>
      </c>
      <c r="AE74" s="42" t="s">
        <v>265</v>
      </c>
      <c r="AF74" s="42">
        <v>3.9600000000000003E-2</v>
      </c>
      <c r="AG74" s="42">
        <v>0.15840000000000001</v>
      </c>
      <c r="AH74" s="10">
        <v>2.9</v>
      </c>
      <c r="AI74" s="10">
        <f t="shared" si="19"/>
        <v>26100</v>
      </c>
      <c r="AJ74" s="42" t="s">
        <v>84</v>
      </c>
      <c r="AK74" s="42" t="s">
        <v>84</v>
      </c>
      <c r="AL74" s="56">
        <f t="shared" si="12"/>
        <v>0.19800000000000001</v>
      </c>
      <c r="AM74" s="42">
        <f>AC74*0.000015</f>
        <v>3.0000000000000001E-5</v>
      </c>
      <c r="AN74" s="42">
        <f>IF(AL74="N.S","N.S",AL74*AQ1+IF(AM74="N.S",0,AM74*(1-AQ1)))</f>
        <v>2.0097000000000001E-3</v>
      </c>
      <c r="AO74" s="615" t="s">
        <v>265</v>
      </c>
      <c r="AP74" s="615" t="s">
        <v>265</v>
      </c>
      <c r="AQ74" s="238" t="s">
        <v>265</v>
      </c>
      <c r="AR74" s="611">
        <f t="shared" si="13"/>
        <v>3607.5036075036073</v>
      </c>
      <c r="AS74" s="604">
        <f t="shared" si="9"/>
        <v>373.19002836244215</v>
      </c>
      <c r="AT74" s="19" t="s">
        <v>730</v>
      </c>
      <c r="AU74" s="10" t="s">
        <v>265</v>
      </c>
      <c r="AV74" s="10" t="s">
        <v>265</v>
      </c>
      <c r="AW74" s="10">
        <f>64+180</f>
        <v>244</v>
      </c>
      <c r="AX74" s="10">
        <v>128</v>
      </c>
      <c r="AY74" s="10">
        <v>4</v>
      </c>
      <c r="AZ74" s="10" t="s">
        <v>265</v>
      </c>
      <c r="BA74" s="37" t="s">
        <v>265</v>
      </c>
      <c r="BB74" s="605">
        <v>8</v>
      </c>
      <c r="BC74" s="37" t="s">
        <v>265</v>
      </c>
      <c r="BD74" s="388" t="s">
        <v>861</v>
      </c>
      <c r="BE74" s="3" t="s">
        <v>732</v>
      </c>
      <c r="BF74" s="37" t="s">
        <v>265</v>
      </c>
      <c r="BG74" s="3" t="s">
        <v>84</v>
      </c>
      <c r="BH74" s="13" t="s">
        <v>649</v>
      </c>
      <c r="BI74" s="13" t="s">
        <v>733</v>
      </c>
      <c r="BJ74" s="10" t="s">
        <v>265</v>
      </c>
      <c r="BK74" s="10" t="s">
        <v>265</v>
      </c>
      <c r="BL74" s="10" t="s">
        <v>265</v>
      </c>
      <c r="BM74" s="40" t="s">
        <v>265</v>
      </c>
      <c r="BN74" s="301" t="s">
        <v>265</v>
      </c>
      <c r="BO74" s="41" t="s">
        <v>265</v>
      </c>
      <c r="BP74" s="129" t="s">
        <v>265</v>
      </c>
      <c r="BQ74" s="4"/>
      <c r="BR74" s="625" t="s">
        <v>731</v>
      </c>
      <c r="BS74" s="4">
        <v>1</v>
      </c>
      <c r="BT74" s="128"/>
      <c r="BU74" s="128"/>
      <c r="BV74" s="10"/>
      <c r="BW74" s="40"/>
      <c r="BX74" s="295">
        <v>0</v>
      </c>
      <c r="BY74" s="128"/>
      <c r="BZ74" s="128"/>
      <c r="CA74" s="10"/>
      <c r="CB74" s="40"/>
      <c r="CC74" s="4">
        <v>0</v>
      </c>
      <c r="CD74" s="10">
        <v>0</v>
      </c>
      <c r="CE74" s="128"/>
      <c r="CF74" s="128"/>
      <c r="CG74" s="128"/>
      <c r="CH74" s="128"/>
      <c r="CI74" s="128"/>
      <c r="CJ74" s="128"/>
      <c r="CK74" s="128"/>
      <c r="CL74" s="128"/>
      <c r="CM74" s="121"/>
      <c r="CN74" s="4">
        <v>0</v>
      </c>
      <c r="CO74" s="10">
        <v>0</v>
      </c>
      <c r="CP74" s="10"/>
      <c r="CQ74" s="10"/>
      <c r="CR74" s="10"/>
      <c r="CS74" s="10"/>
      <c r="CT74" s="10"/>
      <c r="CU74" s="10"/>
      <c r="CV74" s="10"/>
      <c r="CW74" s="10"/>
      <c r="CX74" s="121"/>
      <c r="CY74" s="4">
        <v>0</v>
      </c>
      <c r="CZ74" s="10">
        <v>0</v>
      </c>
      <c r="DA74" s="10"/>
      <c r="DB74" s="10"/>
      <c r="DC74" s="10"/>
      <c r="DD74" s="10"/>
      <c r="DE74" s="10"/>
      <c r="DF74" s="10"/>
      <c r="DG74" s="10"/>
      <c r="DH74" s="10"/>
      <c r="DI74" s="121"/>
      <c r="DJ74" s="4">
        <v>0</v>
      </c>
      <c r="DK74" s="128"/>
      <c r="DL74" s="128"/>
      <c r="DM74" s="10"/>
      <c r="DN74" s="40"/>
      <c r="DO74" s="4">
        <v>0</v>
      </c>
      <c r="DP74" s="10"/>
      <c r="DQ74" s="128"/>
      <c r="DR74" s="10"/>
      <c r="DS74" s="40"/>
      <c r="DT74" s="4">
        <v>0</v>
      </c>
      <c r="DU74" s="10"/>
      <c r="DV74" s="10"/>
      <c r="DW74" s="10"/>
      <c r="DX74" s="40"/>
      <c r="DY74" s="4">
        <v>0</v>
      </c>
      <c r="DZ74" s="10"/>
      <c r="EA74" s="10"/>
      <c r="EB74" s="10"/>
      <c r="EC74" s="40"/>
      <c r="ED74" s="4">
        <v>0</v>
      </c>
      <c r="EE74" s="10"/>
      <c r="EF74" s="10"/>
      <c r="EG74" s="10"/>
      <c r="EH74" s="40"/>
      <c r="EI74" s="4">
        <v>0</v>
      </c>
      <c r="EJ74" s="10"/>
      <c r="EK74" s="10"/>
      <c r="EL74" s="10"/>
      <c r="EM74" s="40"/>
      <c r="EN74" s="4">
        <v>0</v>
      </c>
      <c r="EO74" s="10"/>
      <c r="EP74" s="10"/>
      <c r="EQ74" s="10"/>
      <c r="ER74" s="40"/>
      <c r="ES74" s="4">
        <v>0</v>
      </c>
      <c r="ET74" s="10"/>
      <c r="EU74" s="10"/>
      <c r="EV74" s="10"/>
      <c r="EW74" s="40"/>
      <c r="EX74" s="4">
        <v>0</v>
      </c>
      <c r="EY74" s="10"/>
      <c r="EZ74" s="10"/>
      <c r="FA74" s="10"/>
      <c r="FB74" s="40"/>
      <c r="FC74" s="4">
        <v>0</v>
      </c>
      <c r="FD74" s="10"/>
      <c r="FE74" s="10"/>
      <c r="FF74" s="10"/>
      <c r="FG74" s="40"/>
      <c r="FH74" s="4">
        <v>0</v>
      </c>
      <c r="FI74" s="10"/>
      <c r="FJ74" s="10"/>
      <c r="FK74" s="10"/>
      <c r="FL74" s="40"/>
      <c r="FM74" s="4">
        <v>0</v>
      </c>
      <c r="FN74" s="10"/>
      <c r="FO74" s="10"/>
      <c r="FP74" s="10"/>
      <c r="FQ74" s="40"/>
      <c r="FR74" s="4">
        <v>0</v>
      </c>
      <c r="FS74" s="10"/>
      <c r="FT74" s="10"/>
      <c r="FU74" s="10"/>
      <c r="FV74" s="40"/>
      <c r="FW74" s="4">
        <v>0</v>
      </c>
      <c r="FX74" s="10"/>
      <c r="FY74" s="10"/>
      <c r="FZ74" s="10"/>
      <c r="GA74" s="40"/>
      <c r="GB74" s="4"/>
      <c r="GC74" s="10"/>
      <c r="GD74" s="10"/>
      <c r="GE74" s="10"/>
      <c r="GF74" s="40"/>
      <c r="GG74" s="10">
        <f t="shared" si="16"/>
        <v>1</v>
      </c>
      <c r="GH74" s="10" t="str">
        <f t="shared" si="17"/>
        <v/>
      </c>
      <c r="GI74" s="37" t="str">
        <f t="shared" si="18"/>
        <v/>
      </c>
      <c r="GJ74" s="4">
        <v>1</v>
      </c>
      <c r="GK74" s="10" t="s">
        <v>82</v>
      </c>
      <c r="GL74" s="10">
        <v>1</v>
      </c>
      <c r="GM74" s="10" t="s">
        <v>82</v>
      </c>
      <c r="GN74" s="10" t="s">
        <v>82</v>
      </c>
      <c r="GO74" s="10" t="s">
        <v>82</v>
      </c>
      <c r="GP74" s="10">
        <v>1</v>
      </c>
      <c r="GQ74" s="10">
        <v>1</v>
      </c>
      <c r="GR74" s="10" t="s">
        <v>82</v>
      </c>
      <c r="GS74" s="10" t="s">
        <v>82</v>
      </c>
      <c r="GT74" s="10" t="s">
        <v>82</v>
      </c>
      <c r="GU74" s="10" t="s">
        <v>82</v>
      </c>
      <c r="GV74" s="10" t="s">
        <v>82</v>
      </c>
      <c r="GW74" s="10" t="s">
        <v>82</v>
      </c>
      <c r="GX74" s="10" t="s">
        <v>82</v>
      </c>
      <c r="GY74" s="10" t="s">
        <v>82</v>
      </c>
      <c r="GZ74" s="10" t="s">
        <v>82</v>
      </c>
      <c r="HA74" s="10" t="s">
        <v>82</v>
      </c>
      <c r="HB74" s="10" t="s">
        <v>82</v>
      </c>
      <c r="HC74" s="10" t="s">
        <v>82</v>
      </c>
      <c r="HD74" s="10" t="s">
        <v>82</v>
      </c>
      <c r="HE74" s="10" t="s">
        <v>82</v>
      </c>
      <c r="HF74" s="10" t="s">
        <v>82</v>
      </c>
      <c r="HG74" s="10" t="s">
        <v>82</v>
      </c>
      <c r="HH74" s="10" t="s">
        <v>82</v>
      </c>
      <c r="HI74" s="10">
        <v>1</v>
      </c>
      <c r="HJ74" s="10" t="s">
        <v>82</v>
      </c>
      <c r="HK74" s="10" t="s">
        <v>82</v>
      </c>
      <c r="HL74" s="10" t="s">
        <v>82</v>
      </c>
      <c r="HM74" s="40" t="s">
        <v>82</v>
      </c>
    </row>
    <row r="75" spans="1:221" ht="27.6">
      <c r="A75" s="693"/>
      <c r="B75" s="17" t="s">
        <v>70</v>
      </c>
      <c r="C75" s="37" t="s">
        <v>222</v>
      </c>
      <c r="D75" s="41" t="s">
        <v>223</v>
      </c>
      <c r="E75" s="77" t="s">
        <v>65</v>
      </c>
      <c r="F75" s="77" t="s">
        <v>124</v>
      </c>
      <c r="G75" s="10" t="s">
        <v>65</v>
      </c>
      <c r="H75" s="10" t="s">
        <v>65</v>
      </c>
      <c r="I75" s="10" t="s">
        <v>65</v>
      </c>
      <c r="J75" s="362" t="s">
        <v>265</v>
      </c>
      <c r="K75" s="608" t="s">
        <v>265</v>
      </c>
      <c r="L75" s="609" t="s">
        <v>265</v>
      </c>
      <c r="M75" s="3" t="s">
        <v>224</v>
      </c>
      <c r="N75" s="10" t="s">
        <v>265</v>
      </c>
      <c r="O75" s="10" t="s">
        <v>558</v>
      </c>
      <c r="P75" s="10" t="s">
        <v>265</v>
      </c>
      <c r="Q75" s="10" t="s">
        <v>265</v>
      </c>
      <c r="R75" s="10" t="s">
        <v>265</v>
      </c>
      <c r="S75" s="10" t="s">
        <v>265</v>
      </c>
      <c r="T75" s="10" t="s">
        <v>265</v>
      </c>
      <c r="U75" s="40" t="s">
        <v>265</v>
      </c>
      <c r="V75" s="4">
        <v>40</v>
      </c>
      <c r="W75" s="41">
        <v>86.36</v>
      </c>
      <c r="X75" s="41">
        <v>53.34</v>
      </c>
      <c r="Y75" s="41">
        <v>4.76</v>
      </c>
      <c r="Z75" s="41">
        <f t="shared" si="14"/>
        <v>86.36</v>
      </c>
      <c r="AA75" s="593">
        <f t="shared" si="10"/>
        <v>21926.665824</v>
      </c>
      <c r="AB75" s="40" t="s">
        <v>265</v>
      </c>
      <c r="AC75" s="236" t="s">
        <v>265</v>
      </c>
      <c r="AD75" s="128" t="s">
        <v>265</v>
      </c>
      <c r="AE75" s="10" t="s">
        <v>265</v>
      </c>
      <c r="AF75" s="10" t="str">
        <f t="shared" si="15"/>
        <v>N.S</v>
      </c>
      <c r="AG75" s="10" t="s">
        <v>265</v>
      </c>
      <c r="AH75" s="10" t="s">
        <v>265</v>
      </c>
      <c r="AI75" s="10" t="str">
        <f t="shared" si="19"/>
        <v>N.S</v>
      </c>
      <c r="AJ75" s="10" t="s">
        <v>265</v>
      </c>
      <c r="AK75" s="10" t="s">
        <v>265</v>
      </c>
      <c r="AL75" s="56" t="str">
        <f t="shared" si="12"/>
        <v>N.S</v>
      </c>
      <c r="AM75" s="42" t="s">
        <v>265</v>
      </c>
      <c r="AN75" s="42" t="str">
        <f>IF(AL75="N.S","N.S",AL75*AQ1+IF(AM75="N.S",0,AM75*(1-AQ1)))</f>
        <v>N.S</v>
      </c>
      <c r="AO75" s="615" t="s">
        <v>265</v>
      </c>
      <c r="AP75" s="615" t="s">
        <v>265</v>
      </c>
      <c r="AQ75" s="238" t="s">
        <v>265</v>
      </c>
      <c r="AR75" s="611" t="str">
        <f t="shared" si="13"/>
        <v>N.S</v>
      </c>
      <c r="AS75" s="604" t="str">
        <f t="shared" si="9"/>
        <v>N.S</v>
      </c>
      <c r="AT75" s="19" t="s">
        <v>265</v>
      </c>
      <c r="AU75" s="10" t="s">
        <v>265</v>
      </c>
      <c r="AV75" s="10" t="s">
        <v>265</v>
      </c>
      <c r="AW75" s="10" t="s">
        <v>265</v>
      </c>
      <c r="AX75" s="10" t="s">
        <v>265</v>
      </c>
      <c r="AY75" s="10" t="s">
        <v>265</v>
      </c>
      <c r="AZ75" s="10" t="s">
        <v>265</v>
      </c>
      <c r="BA75" s="37" t="s">
        <v>265</v>
      </c>
      <c r="BB75" s="605" t="s">
        <v>265</v>
      </c>
      <c r="BC75" s="37" t="s">
        <v>265</v>
      </c>
      <c r="BD75" s="37" t="s">
        <v>265</v>
      </c>
      <c r="BE75" s="3" t="s">
        <v>265</v>
      </c>
      <c r="BF75" s="37" t="s">
        <v>265</v>
      </c>
      <c r="BG75" s="4" t="s">
        <v>265</v>
      </c>
      <c r="BH75" s="13" t="s">
        <v>265</v>
      </c>
      <c r="BI75" s="10" t="s">
        <v>265</v>
      </c>
      <c r="BJ75" s="10" t="s">
        <v>265</v>
      </c>
      <c r="BK75" s="10" t="s">
        <v>265</v>
      </c>
      <c r="BL75" s="10" t="s">
        <v>265</v>
      </c>
      <c r="BM75" s="40" t="s">
        <v>265</v>
      </c>
      <c r="BN75" s="301" t="s">
        <v>265</v>
      </c>
      <c r="BO75" s="41" t="s">
        <v>265</v>
      </c>
      <c r="BP75" s="129" t="s">
        <v>265</v>
      </c>
      <c r="BQ75" s="4"/>
      <c r="BR75" s="169"/>
      <c r="BS75" s="4">
        <v>1</v>
      </c>
      <c r="BT75" s="128"/>
      <c r="BU75" s="128"/>
      <c r="BV75" s="10"/>
      <c r="BW75" s="40"/>
      <c r="BX75" s="295">
        <v>0</v>
      </c>
      <c r="BY75" s="128"/>
      <c r="BZ75" s="128"/>
      <c r="CA75" s="10"/>
      <c r="CB75" s="40"/>
      <c r="CC75" s="4">
        <v>0</v>
      </c>
      <c r="CD75" s="10">
        <v>1</v>
      </c>
      <c r="CE75" s="128"/>
      <c r="CF75" s="128"/>
      <c r="CG75" s="128"/>
      <c r="CH75" s="128"/>
      <c r="CI75" s="128"/>
      <c r="CJ75" s="128"/>
      <c r="CK75" s="128"/>
      <c r="CL75" s="128"/>
      <c r="CM75" s="121"/>
      <c r="CN75" s="4">
        <v>0</v>
      </c>
      <c r="CO75" s="10">
        <v>0</v>
      </c>
      <c r="CP75" s="10"/>
      <c r="CQ75" s="10"/>
      <c r="CR75" s="10"/>
      <c r="CS75" s="10"/>
      <c r="CT75" s="10"/>
      <c r="CU75" s="10"/>
      <c r="CV75" s="10"/>
      <c r="CW75" s="10"/>
      <c r="CX75" s="121"/>
      <c r="CY75" s="4">
        <v>0</v>
      </c>
      <c r="CZ75" s="10">
        <v>0</v>
      </c>
      <c r="DA75" s="10"/>
      <c r="DB75" s="10"/>
      <c r="DC75" s="10"/>
      <c r="DD75" s="10"/>
      <c r="DE75" s="10"/>
      <c r="DF75" s="10"/>
      <c r="DG75" s="10"/>
      <c r="DH75" s="10"/>
      <c r="DI75" s="121"/>
      <c r="DJ75" s="4">
        <v>0</v>
      </c>
      <c r="DK75" s="128"/>
      <c r="DL75" s="128"/>
      <c r="DM75" s="10"/>
      <c r="DN75" s="40"/>
      <c r="DO75" s="4">
        <v>0</v>
      </c>
      <c r="DP75" s="10"/>
      <c r="DQ75" s="128"/>
      <c r="DR75" s="10"/>
      <c r="DS75" s="40"/>
      <c r="DT75" s="4">
        <v>0</v>
      </c>
      <c r="DU75" s="10"/>
      <c r="DV75" s="10"/>
      <c r="DW75" s="10"/>
      <c r="DX75" s="40"/>
      <c r="DY75" s="4">
        <v>0</v>
      </c>
      <c r="DZ75" s="10"/>
      <c r="EA75" s="10"/>
      <c r="EB75" s="10"/>
      <c r="EC75" s="40"/>
      <c r="ED75" s="4">
        <v>0</v>
      </c>
      <c r="EE75" s="10"/>
      <c r="EF75" s="10"/>
      <c r="EG75" s="10"/>
      <c r="EH75" s="40"/>
      <c r="EI75" s="4">
        <v>0</v>
      </c>
      <c r="EJ75" s="10"/>
      <c r="EK75" s="10"/>
      <c r="EL75" s="10"/>
      <c r="EM75" s="40"/>
      <c r="EN75" s="4">
        <v>0</v>
      </c>
      <c r="EO75" s="10"/>
      <c r="EP75" s="10"/>
      <c r="EQ75" s="10"/>
      <c r="ER75" s="40"/>
      <c r="ES75" s="4">
        <v>0</v>
      </c>
      <c r="ET75" s="10"/>
      <c r="EU75" s="10"/>
      <c r="EV75" s="10"/>
      <c r="EW75" s="40"/>
      <c r="EX75" s="4">
        <v>0</v>
      </c>
      <c r="EY75" s="10"/>
      <c r="EZ75" s="10"/>
      <c r="FA75" s="10"/>
      <c r="FB75" s="40"/>
      <c r="FC75" s="4">
        <v>0</v>
      </c>
      <c r="FD75" s="10"/>
      <c r="FE75" s="10"/>
      <c r="FF75" s="10"/>
      <c r="FG75" s="40"/>
      <c r="FH75" s="4">
        <v>0</v>
      </c>
      <c r="FI75" s="10"/>
      <c r="FJ75" s="10"/>
      <c r="FK75" s="10"/>
      <c r="FL75" s="40"/>
      <c r="FM75" s="4">
        <v>0</v>
      </c>
      <c r="FN75" s="10"/>
      <c r="FO75" s="10"/>
      <c r="FP75" s="10"/>
      <c r="FQ75" s="40"/>
      <c r="FR75" s="4">
        <v>0</v>
      </c>
      <c r="FS75" s="10"/>
      <c r="FT75" s="10"/>
      <c r="FU75" s="10"/>
      <c r="FV75" s="40"/>
      <c r="FW75" s="4">
        <v>0</v>
      </c>
      <c r="FX75" s="10"/>
      <c r="FY75" s="10"/>
      <c r="FZ75" s="10"/>
      <c r="GA75" s="40"/>
      <c r="GB75" s="4"/>
      <c r="GC75" s="10"/>
      <c r="GD75" s="10"/>
      <c r="GE75" s="10"/>
      <c r="GF75" s="40"/>
      <c r="GG75" s="10">
        <f>IF(AB77="N.S",1,"")</f>
        <v>1</v>
      </c>
      <c r="GH75" s="10" t="str">
        <f>IF(AB77="IP66 compliant",1,"")</f>
        <v/>
      </c>
      <c r="GI75" s="37" t="str">
        <f>IF(AB77="DIP 24",1,"")</f>
        <v/>
      </c>
      <c r="GJ75" s="4" t="s">
        <v>82</v>
      </c>
      <c r="GK75" s="10" t="s">
        <v>82</v>
      </c>
      <c r="GL75" s="10" t="s">
        <v>82</v>
      </c>
      <c r="GM75" s="10" t="s">
        <v>82</v>
      </c>
      <c r="GN75" s="10" t="s">
        <v>82</v>
      </c>
      <c r="GO75" s="10" t="s">
        <v>82</v>
      </c>
      <c r="GP75" s="10" t="s">
        <v>82</v>
      </c>
      <c r="GQ75" s="10" t="s">
        <v>82</v>
      </c>
      <c r="GR75" s="10" t="s">
        <v>82</v>
      </c>
      <c r="GS75" s="10" t="s">
        <v>82</v>
      </c>
      <c r="GT75" s="10" t="s">
        <v>82</v>
      </c>
      <c r="GU75" s="10" t="s">
        <v>82</v>
      </c>
      <c r="GV75" s="10" t="s">
        <v>82</v>
      </c>
      <c r="GW75" s="10" t="s">
        <v>82</v>
      </c>
      <c r="GX75" s="10" t="s">
        <v>82</v>
      </c>
      <c r="GY75" s="10" t="s">
        <v>82</v>
      </c>
      <c r="GZ75" s="10" t="s">
        <v>82</v>
      </c>
      <c r="HA75" s="10" t="s">
        <v>82</v>
      </c>
      <c r="HB75" s="10" t="s">
        <v>82</v>
      </c>
      <c r="HC75" s="10" t="s">
        <v>82</v>
      </c>
      <c r="HD75" s="10" t="s">
        <v>82</v>
      </c>
      <c r="HE75" s="10" t="s">
        <v>82</v>
      </c>
      <c r="HF75" s="10" t="s">
        <v>82</v>
      </c>
      <c r="HG75" s="10" t="s">
        <v>82</v>
      </c>
      <c r="HH75" s="10" t="s">
        <v>82</v>
      </c>
      <c r="HI75" s="10" t="s">
        <v>82</v>
      </c>
      <c r="HJ75" s="10" t="s">
        <v>82</v>
      </c>
      <c r="HK75" s="10" t="s">
        <v>82</v>
      </c>
      <c r="HL75" s="10" t="s">
        <v>82</v>
      </c>
      <c r="HM75" s="40" t="s">
        <v>82</v>
      </c>
    </row>
    <row r="76" spans="1:221" ht="69">
      <c r="A76" s="693"/>
      <c r="B76" s="13" t="s">
        <v>889</v>
      </c>
      <c r="C76" s="388" t="s">
        <v>888</v>
      </c>
      <c r="D76" s="41" t="s">
        <v>265</v>
      </c>
      <c r="E76" s="460" t="s">
        <v>65</v>
      </c>
      <c r="F76" s="302" t="s">
        <v>65</v>
      </c>
      <c r="G76" s="302" t="s">
        <v>65</v>
      </c>
      <c r="H76" s="302" t="s">
        <v>65</v>
      </c>
      <c r="I76" s="302" t="s">
        <v>65</v>
      </c>
      <c r="J76" s="608">
        <v>34.950000000000003</v>
      </c>
      <c r="K76" s="608" t="s">
        <v>265</v>
      </c>
      <c r="L76" s="609" t="s">
        <v>265</v>
      </c>
      <c r="M76" s="4" t="s">
        <v>265</v>
      </c>
      <c r="N76" s="10" t="s">
        <v>265</v>
      </c>
      <c r="O76" s="10" t="s">
        <v>265</v>
      </c>
      <c r="P76" s="10" t="s">
        <v>265</v>
      </c>
      <c r="Q76" s="10" t="s">
        <v>265</v>
      </c>
      <c r="R76" s="10" t="s">
        <v>265</v>
      </c>
      <c r="S76" s="10" t="s">
        <v>265</v>
      </c>
      <c r="T76" s="10" t="s">
        <v>265</v>
      </c>
      <c r="U76" s="40" t="s">
        <v>789</v>
      </c>
      <c r="V76" s="4">
        <v>5.8</v>
      </c>
      <c r="W76" s="41">
        <v>51</v>
      </c>
      <c r="X76" s="41">
        <v>23</v>
      </c>
      <c r="Y76" s="41">
        <v>8</v>
      </c>
      <c r="Z76" s="41">
        <f>IF(MAX(W76:X76)=0,"N.S",MAX(W76:X76))</f>
        <v>51</v>
      </c>
      <c r="AA76" s="593">
        <f>IF(W76="N.S", "N.S", IF(X76="N.S", "N.S", IF(Y76="N.S", "N.S",W76*X76*Y76)))</f>
        <v>9384</v>
      </c>
      <c r="AB76" s="40" t="s">
        <v>265</v>
      </c>
      <c r="AC76" s="236">
        <v>3.3</v>
      </c>
      <c r="AD76" s="128">
        <v>3.3</v>
      </c>
      <c r="AE76" s="10" t="s">
        <v>265</v>
      </c>
      <c r="AF76" s="10" t="str">
        <f>IF(AC76="N.S", "N.S", IF(AE76="N.S", "N.S", 0.5*(AC76+AD76)*AE76/1000))</f>
        <v>N.S</v>
      </c>
      <c r="AG76" s="10" t="s">
        <v>265</v>
      </c>
      <c r="AH76" s="10" t="s">
        <v>265</v>
      </c>
      <c r="AI76" s="10" t="str">
        <f>IF(AC76="N.S", "N.S",IF(AH76="N.S", "N.S", 0.5*(AC76+AD76)*AH76*3600))</f>
        <v>N.S</v>
      </c>
      <c r="AJ76" s="10" t="s">
        <v>84</v>
      </c>
      <c r="AK76" s="10" t="s">
        <v>84</v>
      </c>
      <c r="AL76" s="56" t="str">
        <f>IF((IF(AF76="N.S",0,AF76)+IF(AG76="N.S",0,AG76))=0,"N.S",IF(AF76="N.S",0,AF76)+IF(AG76="N.S",0,AG76))</f>
        <v>N.S</v>
      </c>
      <c r="AM76" s="42" t="s">
        <v>265</v>
      </c>
      <c r="AN76" s="42" t="str">
        <f>IF(AL76="N.S","N.S",AL76*AQ2+IF(AM76="N.S",0,AM76*(1-AQ2)))</f>
        <v>N.S</v>
      </c>
      <c r="AO76" s="615" t="s">
        <v>265</v>
      </c>
      <c r="AP76" s="615" t="s">
        <v>265</v>
      </c>
      <c r="AQ76" s="238" t="s">
        <v>265</v>
      </c>
      <c r="AR76" s="611" t="str">
        <f>IF(AN76="N.S","N.S",IF(AI76="N.S","N.S",AI76/(AN76*3600)))</f>
        <v>N.S</v>
      </c>
      <c r="AS76" s="604" t="str">
        <f>IF(AN76="N.S","N.S",0.25*3/(AN76))</f>
        <v>N.S</v>
      </c>
      <c r="AT76" s="22" t="s">
        <v>891</v>
      </c>
      <c r="AU76" s="10" t="s">
        <v>265</v>
      </c>
      <c r="AV76" s="10" t="s">
        <v>265</v>
      </c>
      <c r="AW76" s="291">
        <v>32</v>
      </c>
      <c r="AX76" s="291">
        <v>256</v>
      </c>
      <c r="AY76" s="10">
        <v>0</v>
      </c>
      <c r="AZ76" s="10" t="s">
        <v>265</v>
      </c>
      <c r="BA76" s="37" t="s">
        <v>265</v>
      </c>
      <c r="BB76" s="605">
        <v>48</v>
      </c>
      <c r="BC76" s="37" t="s">
        <v>265</v>
      </c>
      <c r="BD76" s="388" t="s">
        <v>840</v>
      </c>
      <c r="BE76" s="3" t="s">
        <v>265</v>
      </c>
      <c r="BF76" s="37" t="s">
        <v>265</v>
      </c>
      <c r="BG76" s="4" t="s">
        <v>265</v>
      </c>
      <c r="BH76" s="13" t="s">
        <v>265</v>
      </c>
      <c r="BI76" s="10" t="s">
        <v>265</v>
      </c>
      <c r="BJ76" s="10">
        <v>900</v>
      </c>
      <c r="BK76" s="10" t="s">
        <v>265</v>
      </c>
      <c r="BL76" s="10" t="s">
        <v>265</v>
      </c>
      <c r="BM76" s="40">
        <v>20</v>
      </c>
      <c r="BN76" s="301" t="s">
        <v>265</v>
      </c>
      <c r="BO76" s="41" t="s">
        <v>265</v>
      </c>
      <c r="BP76" s="129" t="s">
        <v>265</v>
      </c>
      <c r="BQ76" s="461"/>
      <c r="BR76" s="175"/>
      <c r="BS76" s="4"/>
      <c r="BT76" s="128"/>
      <c r="BU76" s="128"/>
      <c r="BV76" s="10"/>
      <c r="BW76" s="40"/>
      <c r="BX76" s="295"/>
      <c r="BY76" s="128"/>
      <c r="BZ76" s="128"/>
      <c r="CA76" s="10"/>
      <c r="CB76" s="40"/>
      <c r="CC76" s="4"/>
      <c r="CD76" s="10"/>
      <c r="CE76" s="128"/>
      <c r="CF76" s="128"/>
      <c r="CG76" s="128"/>
      <c r="CH76" s="128"/>
      <c r="CI76" s="128"/>
      <c r="CJ76" s="128"/>
      <c r="CK76" s="128"/>
      <c r="CL76" s="128"/>
      <c r="CM76" s="121"/>
      <c r="CN76" s="4"/>
      <c r="CO76" s="10"/>
      <c r="CP76" s="10"/>
      <c r="CQ76" s="10"/>
      <c r="CR76" s="10"/>
      <c r="CS76" s="10"/>
      <c r="CT76" s="10"/>
      <c r="CU76" s="10"/>
      <c r="CV76" s="10"/>
      <c r="CW76" s="10"/>
      <c r="CX76" s="121"/>
      <c r="CY76" s="4"/>
      <c r="CZ76" s="10"/>
      <c r="DA76" s="10"/>
      <c r="DB76" s="10"/>
      <c r="DC76" s="10"/>
      <c r="DD76" s="10"/>
      <c r="DE76" s="10"/>
      <c r="DF76" s="10"/>
      <c r="DG76" s="10"/>
      <c r="DH76" s="10"/>
      <c r="DI76" s="121"/>
      <c r="DJ76" s="4"/>
      <c r="DK76" s="128"/>
      <c r="DL76" s="128"/>
      <c r="DM76" s="10"/>
      <c r="DN76" s="40"/>
      <c r="DO76" s="4"/>
      <c r="DP76" s="10"/>
      <c r="DQ76" s="128"/>
      <c r="DR76" s="10"/>
      <c r="DS76" s="40"/>
      <c r="DT76" s="4"/>
      <c r="DU76" s="10"/>
      <c r="DV76" s="10"/>
      <c r="DW76" s="10"/>
      <c r="DX76" s="40"/>
      <c r="DY76" s="4"/>
      <c r="DZ76" s="10"/>
      <c r="EA76" s="10"/>
      <c r="EB76" s="10"/>
      <c r="EC76" s="40"/>
      <c r="ED76" s="4"/>
      <c r="EE76" s="10"/>
      <c r="EF76" s="10"/>
      <c r="EG76" s="10"/>
      <c r="EH76" s="40"/>
      <c r="EI76" s="4"/>
      <c r="EJ76" s="10"/>
      <c r="EK76" s="10"/>
      <c r="EL76" s="10"/>
      <c r="EM76" s="40"/>
      <c r="EN76" s="4"/>
      <c r="EO76" s="10"/>
      <c r="EP76" s="10"/>
      <c r="EQ76" s="10"/>
      <c r="ER76" s="40"/>
      <c r="ES76" s="4"/>
      <c r="ET76" s="10"/>
      <c r="EU76" s="10"/>
      <c r="EV76" s="10"/>
      <c r="EW76" s="40"/>
      <c r="EX76" s="4"/>
      <c r="EY76" s="10"/>
      <c r="EZ76" s="10"/>
      <c r="FA76" s="10"/>
      <c r="FB76" s="40"/>
      <c r="FC76" s="4"/>
      <c r="FD76" s="10"/>
      <c r="FE76" s="10"/>
      <c r="FF76" s="10"/>
      <c r="FG76" s="40"/>
      <c r="FH76" s="4"/>
      <c r="FI76" s="10"/>
      <c r="FJ76" s="10"/>
      <c r="FK76" s="10"/>
      <c r="FL76" s="40"/>
      <c r="FM76" s="4"/>
      <c r="FN76" s="10"/>
      <c r="FO76" s="10"/>
      <c r="FP76" s="10"/>
      <c r="FQ76" s="40"/>
      <c r="FR76" s="4"/>
      <c r="FS76" s="10"/>
      <c r="FT76" s="10"/>
      <c r="FU76" s="10"/>
      <c r="FV76" s="40"/>
      <c r="FW76" s="4"/>
      <c r="FX76" s="10"/>
      <c r="FY76" s="10"/>
      <c r="FZ76" s="10"/>
      <c r="GA76" s="40"/>
      <c r="GB76" s="4"/>
      <c r="GC76" s="10"/>
      <c r="GD76" s="10"/>
      <c r="GE76" s="10"/>
      <c r="GF76" s="40"/>
      <c r="GG76" s="10"/>
      <c r="GH76" s="10"/>
      <c r="GI76" s="37"/>
      <c r="GJ76" s="4" t="s">
        <v>82</v>
      </c>
      <c r="GK76" s="10" t="s">
        <v>82</v>
      </c>
      <c r="GL76" s="10" t="s">
        <v>82</v>
      </c>
      <c r="GM76" s="10" t="s">
        <v>82</v>
      </c>
      <c r="GN76" s="10" t="s">
        <v>82</v>
      </c>
      <c r="GO76" s="10" t="s">
        <v>82</v>
      </c>
      <c r="GP76" s="10">
        <v>1</v>
      </c>
      <c r="GQ76" s="10" t="s">
        <v>82</v>
      </c>
      <c r="GR76" s="10" t="s">
        <v>82</v>
      </c>
      <c r="GS76" s="10">
        <v>1</v>
      </c>
      <c r="GT76" s="10" t="s">
        <v>82</v>
      </c>
      <c r="GU76" s="10" t="s">
        <v>82</v>
      </c>
      <c r="GV76" s="10" t="s">
        <v>82</v>
      </c>
      <c r="GW76" s="10" t="s">
        <v>82</v>
      </c>
      <c r="GX76" s="10" t="s">
        <v>82</v>
      </c>
      <c r="GY76" s="10" t="s">
        <v>82</v>
      </c>
      <c r="GZ76" s="10" t="s">
        <v>82</v>
      </c>
      <c r="HA76" s="10" t="s">
        <v>82</v>
      </c>
      <c r="HB76" s="10" t="s">
        <v>82</v>
      </c>
      <c r="HC76" s="10" t="s">
        <v>82</v>
      </c>
      <c r="HD76" s="10" t="s">
        <v>82</v>
      </c>
      <c r="HE76" s="10" t="s">
        <v>82</v>
      </c>
      <c r="HF76" s="10" t="s">
        <v>82</v>
      </c>
      <c r="HG76" s="10" t="s">
        <v>82</v>
      </c>
      <c r="HH76" s="10" t="s">
        <v>82</v>
      </c>
      <c r="HI76" s="10" t="s">
        <v>82</v>
      </c>
      <c r="HJ76" s="10" t="s">
        <v>82</v>
      </c>
      <c r="HK76" s="10" t="s">
        <v>82</v>
      </c>
      <c r="HL76" s="10" t="s">
        <v>82</v>
      </c>
      <c r="HM76" s="40" t="s">
        <v>82</v>
      </c>
    </row>
    <row r="77" spans="1:221" ht="27.6">
      <c r="A77" s="693"/>
      <c r="B77" s="347" t="s">
        <v>388</v>
      </c>
      <c r="C77" s="65" t="s">
        <v>8</v>
      </c>
      <c r="D77" s="100" t="s">
        <v>524</v>
      </c>
      <c r="E77" s="96" t="s">
        <v>65</v>
      </c>
      <c r="F77" s="96" t="s">
        <v>124</v>
      </c>
      <c r="G77" s="10" t="s">
        <v>65</v>
      </c>
      <c r="H77" s="10" t="s">
        <v>65</v>
      </c>
      <c r="I77" s="10" t="s">
        <v>65</v>
      </c>
      <c r="J77" s="362" t="s">
        <v>265</v>
      </c>
      <c r="K77" s="608" t="s">
        <v>265</v>
      </c>
      <c r="L77" s="609" t="s">
        <v>265</v>
      </c>
      <c r="M77" s="95" t="s">
        <v>521</v>
      </c>
      <c r="N77" s="10" t="s">
        <v>265</v>
      </c>
      <c r="O77" s="10" t="s">
        <v>558</v>
      </c>
      <c r="P77" s="10" t="s">
        <v>265</v>
      </c>
      <c r="Q77" s="10" t="s">
        <v>265</v>
      </c>
      <c r="R77" s="10" t="s">
        <v>265</v>
      </c>
      <c r="S77" s="10" t="s">
        <v>265</v>
      </c>
      <c r="T77" s="10" t="s">
        <v>265</v>
      </c>
      <c r="U77" s="40" t="s">
        <v>265</v>
      </c>
      <c r="V77" s="4" t="s">
        <v>265</v>
      </c>
      <c r="W77" s="41" t="s">
        <v>265</v>
      </c>
      <c r="X77" s="41" t="s">
        <v>265</v>
      </c>
      <c r="Y77" s="41" t="s">
        <v>265</v>
      </c>
      <c r="Z77" s="41" t="str">
        <f t="shared" si="14"/>
        <v>N.S</v>
      </c>
      <c r="AA77" s="593" t="str">
        <f t="shared" si="10"/>
        <v>N.S</v>
      </c>
      <c r="AB77" s="40" t="s">
        <v>265</v>
      </c>
      <c r="AC77" s="236" t="s">
        <v>265</v>
      </c>
      <c r="AD77" s="128" t="s">
        <v>265</v>
      </c>
      <c r="AE77" s="10" t="s">
        <v>265</v>
      </c>
      <c r="AF77" s="10" t="str">
        <f t="shared" si="15"/>
        <v>N.S</v>
      </c>
      <c r="AG77" s="10" t="s">
        <v>265</v>
      </c>
      <c r="AH77" s="10" t="s">
        <v>265</v>
      </c>
      <c r="AI77" s="10" t="str">
        <f t="shared" si="19"/>
        <v>N.S</v>
      </c>
      <c r="AJ77" s="10" t="s">
        <v>84</v>
      </c>
      <c r="AK77" s="10" t="s">
        <v>265</v>
      </c>
      <c r="AL77" s="56" t="str">
        <f t="shared" si="12"/>
        <v>N.S</v>
      </c>
      <c r="AM77" s="42" t="s">
        <v>265</v>
      </c>
      <c r="AN77" s="42" t="str">
        <f>IF(AL77="N.S","N.S",AL77*AQ1+IF(AM77="N.S",0,AM77*(1-AQ1)))</f>
        <v>N.S</v>
      </c>
      <c r="AO77" s="615" t="s">
        <v>265</v>
      </c>
      <c r="AP77" s="615" t="s">
        <v>265</v>
      </c>
      <c r="AQ77" s="238" t="s">
        <v>265</v>
      </c>
      <c r="AR77" s="611" t="str">
        <f t="shared" si="13"/>
        <v>N.S</v>
      </c>
      <c r="AS77" s="604" t="str">
        <f t="shared" si="9"/>
        <v>N.S</v>
      </c>
      <c r="AT77" s="22" t="s">
        <v>522</v>
      </c>
      <c r="AU77" s="291">
        <v>32</v>
      </c>
      <c r="AV77" s="10" t="s">
        <v>265</v>
      </c>
      <c r="AW77" s="291">
        <v>80</v>
      </c>
      <c r="AX77" s="291">
        <v>384</v>
      </c>
      <c r="AY77" s="10" t="s">
        <v>265</v>
      </c>
      <c r="AZ77" s="10" t="s">
        <v>265</v>
      </c>
      <c r="BA77" s="37" t="s">
        <v>265</v>
      </c>
      <c r="BB77" s="605" t="s">
        <v>265</v>
      </c>
      <c r="BC77" s="37" t="s">
        <v>265</v>
      </c>
      <c r="BD77" s="37" t="s">
        <v>265</v>
      </c>
      <c r="BE77" s="3" t="s">
        <v>265</v>
      </c>
      <c r="BF77" s="37" t="s">
        <v>265</v>
      </c>
      <c r="BG77" s="4" t="s">
        <v>84</v>
      </c>
      <c r="BH77" s="13" t="s">
        <v>520</v>
      </c>
      <c r="BI77" s="10" t="s">
        <v>265</v>
      </c>
      <c r="BJ77" s="10" t="s">
        <v>265</v>
      </c>
      <c r="BK77" s="10" t="s">
        <v>265</v>
      </c>
      <c r="BL77" s="10" t="s">
        <v>265</v>
      </c>
      <c r="BM77" s="40" t="s">
        <v>265</v>
      </c>
      <c r="BN77" s="301" t="s">
        <v>265</v>
      </c>
      <c r="BO77" s="41" t="s">
        <v>265</v>
      </c>
      <c r="BP77" s="129" t="s">
        <v>265</v>
      </c>
      <c r="BQ77" s="8" t="s">
        <v>523</v>
      </c>
      <c r="BR77" s="175"/>
      <c r="BS77" s="4">
        <v>0</v>
      </c>
      <c r="BT77" s="128"/>
      <c r="BU77" s="128"/>
      <c r="BV77" s="10"/>
      <c r="BW77" s="40"/>
      <c r="BX77" s="295">
        <v>0</v>
      </c>
      <c r="BY77" s="128"/>
      <c r="BZ77" s="128"/>
      <c r="CA77" s="10"/>
      <c r="CB77" s="40"/>
      <c r="CC77" s="4">
        <v>0</v>
      </c>
      <c r="CD77" s="10">
        <v>1</v>
      </c>
      <c r="CE77" s="128"/>
      <c r="CF77" s="128"/>
      <c r="CG77" s="128"/>
      <c r="CH77" s="128"/>
      <c r="CI77" s="128"/>
      <c r="CJ77" s="128"/>
      <c r="CK77" s="128"/>
      <c r="CL77" s="128"/>
      <c r="CM77" s="121"/>
      <c r="CN77" s="4">
        <v>0</v>
      </c>
      <c r="CO77" s="10">
        <v>1</v>
      </c>
      <c r="CP77" s="10"/>
      <c r="CQ77" s="10"/>
      <c r="CR77" s="10"/>
      <c r="CS77" s="10"/>
      <c r="CT77" s="10"/>
      <c r="CU77" s="10"/>
      <c r="CV77" s="10"/>
      <c r="CW77" s="10"/>
      <c r="CX77" s="121"/>
      <c r="CY77" s="4">
        <v>0</v>
      </c>
      <c r="CZ77" s="10">
        <v>0</v>
      </c>
      <c r="DA77" s="10"/>
      <c r="DB77" s="10"/>
      <c r="DC77" s="10"/>
      <c r="DD77" s="10"/>
      <c r="DE77" s="10"/>
      <c r="DF77" s="10"/>
      <c r="DG77" s="10"/>
      <c r="DH77" s="10"/>
      <c r="DI77" s="121"/>
      <c r="DJ77" s="4">
        <v>0</v>
      </c>
      <c r="DK77" s="128"/>
      <c r="DL77" s="128"/>
      <c r="DM77" s="10"/>
      <c r="DN77" s="40"/>
      <c r="DO77" s="4">
        <v>0</v>
      </c>
      <c r="DP77" s="10"/>
      <c r="DQ77" s="128"/>
      <c r="DR77" s="10"/>
      <c r="DS77" s="40"/>
      <c r="DT77" s="4">
        <v>0</v>
      </c>
      <c r="DU77" s="10"/>
      <c r="DV77" s="10"/>
      <c r="DW77" s="10"/>
      <c r="DX77" s="40"/>
      <c r="DY77" s="4">
        <v>0</v>
      </c>
      <c r="DZ77" s="10"/>
      <c r="EA77" s="10"/>
      <c r="EB77" s="10"/>
      <c r="EC77" s="40"/>
      <c r="ED77" s="4">
        <v>0</v>
      </c>
      <c r="EE77" s="10"/>
      <c r="EF77" s="10"/>
      <c r="EG77" s="10"/>
      <c r="EH77" s="40"/>
      <c r="EI77" s="4">
        <v>0</v>
      </c>
      <c r="EJ77" s="10"/>
      <c r="EK77" s="10"/>
      <c r="EL77" s="10"/>
      <c r="EM77" s="40"/>
      <c r="EN77" s="4">
        <v>0</v>
      </c>
      <c r="EO77" s="10"/>
      <c r="EP77" s="10"/>
      <c r="EQ77" s="10"/>
      <c r="ER77" s="40"/>
      <c r="ES77" s="4">
        <v>0</v>
      </c>
      <c r="ET77" s="10"/>
      <c r="EU77" s="10"/>
      <c r="EV77" s="10"/>
      <c r="EW77" s="40"/>
      <c r="EX77" s="4">
        <v>0</v>
      </c>
      <c r="EY77" s="10"/>
      <c r="EZ77" s="10"/>
      <c r="FA77" s="10"/>
      <c r="FB77" s="40"/>
      <c r="FC77" s="4">
        <v>0</v>
      </c>
      <c r="FD77" s="10"/>
      <c r="FE77" s="10"/>
      <c r="FF77" s="10"/>
      <c r="FG77" s="40"/>
      <c r="FH77" s="4">
        <v>0</v>
      </c>
      <c r="FI77" s="10"/>
      <c r="FJ77" s="10"/>
      <c r="FK77" s="10"/>
      <c r="FL77" s="40"/>
      <c r="FM77" s="4">
        <v>0</v>
      </c>
      <c r="FN77" s="10"/>
      <c r="FO77" s="10"/>
      <c r="FP77" s="10"/>
      <c r="FQ77" s="40"/>
      <c r="FR77" s="4">
        <v>0</v>
      </c>
      <c r="FS77" s="10"/>
      <c r="FT77" s="10"/>
      <c r="FU77" s="10"/>
      <c r="FV77" s="40"/>
      <c r="FW77" s="4">
        <v>0</v>
      </c>
      <c r="FX77" s="10"/>
      <c r="FY77" s="10"/>
      <c r="FZ77" s="10"/>
      <c r="GA77" s="40"/>
      <c r="GB77" s="4"/>
      <c r="GC77" s="10"/>
      <c r="GD77" s="10"/>
      <c r="GE77" s="10"/>
      <c r="GF77" s="40"/>
      <c r="GG77" s="10">
        <f t="shared" si="16"/>
        <v>1</v>
      </c>
      <c r="GH77" s="10" t="str">
        <f t="shared" si="17"/>
        <v/>
      </c>
      <c r="GI77" s="37" t="str">
        <f t="shared" si="18"/>
        <v/>
      </c>
      <c r="GJ77" s="4" t="s">
        <v>82</v>
      </c>
      <c r="GK77" s="10" t="s">
        <v>82</v>
      </c>
      <c r="GL77" s="10" t="s">
        <v>82</v>
      </c>
      <c r="GM77" s="10" t="s">
        <v>82</v>
      </c>
      <c r="GN77" s="10" t="s">
        <v>82</v>
      </c>
      <c r="GO77" s="10" t="s">
        <v>82</v>
      </c>
      <c r="GP77" s="10" t="s">
        <v>82</v>
      </c>
      <c r="GQ77" s="10" t="s">
        <v>82</v>
      </c>
      <c r="GR77" s="10" t="s">
        <v>82</v>
      </c>
      <c r="GS77" s="10" t="s">
        <v>82</v>
      </c>
      <c r="GT77" s="10" t="s">
        <v>82</v>
      </c>
      <c r="GU77" s="10" t="s">
        <v>82</v>
      </c>
      <c r="GV77" s="10" t="s">
        <v>82</v>
      </c>
      <c r="GW77" s="10" t="s">
        <v>82</v>
      </c>
      <c r="GX77" s="10" t="s">
        <v>82</v>
      </c>
      <c r="GY77" s="10" t="s">
        <v>82</v>
      </c>
      <c r="GZ77" s="10" t="s">
        <v>82</v>
      </c>
      <c r="HA77" s="10" t="s">
        <v>82</v>
      </c>
      <c r="HB77" s="10" t="s">
        <v>82</v>
      </c>
      <c r="HC77" s="10" t="s">
        <v>82</v>
      </c>
      <c r="HD77" s="10" t="s">
        <v>82</v>
      </c>
      <c r="HE77" s="10" t="s">
        <v>82</v>
      </c>
      <c r="HF77" s="10" t="s">
        <v>82</v>
      </c>
      <c r="HG77" s="10" t="s">
        <v>82</v>
      </c>
      <c r="HH77" s="10" t="s">
        <v>82</v>
      </c>
      <c r="HI77" s="10" t="s">
        <v>82</v>
      </c>
      <c r="HJ77" s="10" t="s">
        <v>82</v>
      </c>
      <c r="HK77" s="10" t="s">
        <v>82</v>
      </c>
      <c r="HL77" s="10" t="s">
        <v>82</v>
      </c>
      <c r="HM77" s="40" t="s">
        <v>82</v>
      </c>
    </row>
    <row r="78" spans="1:221" s="60" customFormat="1" ht="15.75" customHeight="1" thickBot="1">
      <c r="A78" s="693"/>
      <c r="B78" s="10" t="s">
        <v>21</v>
      </c>
      <c r="C78" s="37" t="s">
        <v>8</v>
      </c>
      <c r="D78" s="41" t="s">
        <v>265</v>
      </c>
      <c r="E78" s="77" t="s">
        <v>65</v>
      </c>
      <c r="F78" s="10" t="s">
        <v>65</v>
      </c>
      <c r="G78" s="10" t="s">
        <v>65</v>
      </c>
      <c r="H78" s="10" t="s">
        <v>65</v>
      </c>
      <c r="I78" s="10" t="s">
        <v>65</v>
      </c>
      <c r="J78" s="362" t="s">
        <v>265</v>
      </c>
      <c r="K78" s="608" t="s">
        <v>265</v>
      </c>
      <c r="L78" s="609" t="s">
        <v>265</v>
      </c>
      <c r="M78" s="4" t="s">
        <v>82</v>
      </c>
      <c r="N78" s="10" t="s">
        <v>265</v>
      </c>
      <c r="O78" s="10" t="s">
        <v>558</v>
      </c>
      <c r="P78" s="10" t="s">
        <v>265</v>
      </c>
      <c r="Q78" s="10" t="s">
        <v>265</v>
      </c>
      <c r="R78" s="10" t="s">
        <v>265</v>
      </c>
      <c r="S78" s="10" t="s">
        <v>265</v>
      </c>
      <c r="T78" s="10" t="s">
        <v>265</v>
      </c>
      <c r="U78" s="40" t="s">
        <v>265</v>
      </c>
      <c r="V78" s="4" t="s">
        <v>265</v>
      </c>
      <c r="W78" s="41" t="s">
        <v>265</v>
      </c>
      <c r="X78" s="41" t="s">
        <v>265</v>
      </c>
      <c r="Y78" s="41" t="s">
        <v>265</v>
      </c>
      <c r="Z78" s="41" t="str">
        <f t="shared" si="14"/>
        <v>N.S</v>
      </c>
      <c r="AA78" s="593" t="str">
        <f t="shared" si="10"/>
        <v>N.S</v>
      </c>
      <c r="AB78" s="40" t="s">
        <v>265</v>
      </c>
      <c r="AC78" s="236" t="s">
        <v>265</v>
      </c>
      <c r="AD78" s="128" t="s">
        <v>265</v>
      </c>
      <c r="AE78" s="10" t="s">
        <v>265</v>
      </c>
      <c r="AF78" s="10" t="str">
        <f t="shared" si="15"/>
        <v>N.S</v>
      </c>
      <c r="AG78" s="10" t="s">
        <v>265</v>
      </c>
      <c r="AH78" s="10" t="s">
        <v>265</v>
      </c>
      <c r="AI78" s="10" t="str">
        <f t="shared" si="19"/>
        <v>N.S</v>
      </c>
      <c r="AJ78" s="10" t="s">
        <v>265</v>
      </c>
      <c r="AK78" s="10" t="s">
        <v>265</v>
      </c>
      <c r="AL78" s="56" t="str">
        <f t="shared" si="12"/>
        <v>N.S</v>
      </c>
      <c r="AM78" s="42" t="s">
        <v>265</v>
      </c>
      <c r="AN78" s="42" t="str">
        <f>IF(AL78="N.S","N.S",AL78*AQ1+IF(AM78="N.S",0,AM78*(1-AQ1)))</f>
        <v>N.S</v>
      </c>
      <c r="AO78" s="615" t="s">
        <v>265</v>
      </c>
      <c r="AP78" s="615" t="s">
        <v>265</v>
      </c>
      <c r="AQ78" s="238" t="s">
        <v>265</v>
      </c>
      <c r="AR78" s="611" t="str">
        <f t="shared" si="13"/>
        <v>N.S</v>
      </c>
      <c r="AS78" s="604" t="str">
        <f t="shared" si="9"/>
        <v>N.S</v>
      </c>
      <c r="AT78" s="19" t="s">
        <v>265</v>
      </c>
      <c r="AU78" s="10" t="s">
        <v>265</v>
      </c>
      <c r="AV78" s="10" t="s">
        <v>265</v>
      </c>
      <c r="AW78" s="10" t="s">
        <v>265</v>
      </c>
      <c r="AX78" s="10" t="s">
        <v>265</v>
      </c>
      <c r="AY78" s="10" t="s">
        <v>265</v>
      </c>
      <c r="AZ78" s="10" t="s">
        <v>265</v>
      </c>
      <c r="BA78" s="37" t="s">
        <v>265</v>
      </c>
      <c r="BB78" s="605" t="s">
        <v>265</v>
      </c>
      <c r="BC78" s="37" t="s">
        <v>265</v>
      </c>
      <c r="BD78" s="37" t="s">
        <v>265</v>
      </c>
      <c r="BE78" s="3" t="s">
        <v>265</v>
      </c>
      <c r="BF78" s="37" t="s">
        <v>265</v>
      </c>
      <c r="BG78" s="4" t="s">
        <v>265</v>
      </c>
      <c r="BH78" s="13" t="s">
        <v>265</v>
      </c>
      <c r="BI78" s="10" t="s">
        <v>265</v>
      </c>
      <c r="BJ78" s="10" t="s">
        <v>265</v>
      </c>
      <c r="BK78" s="10" t="s">
        <v>265</v>
      </c>
      <c r="BL78" s="10" t="s">
        <v>265</v>
      </c>
      <c r="BM78" s="40" t="s">
        <v>265</v>
      </c>
      <c r="BN78" s="301" t="s">
        <v>265</v>
      </c>
      <c r="BO78" s="41" t="s">
        <v>265</v>
      </c>
      <c r="BP78" s="129" t="s">
        <v>265</v>
      </c>
      <c r="BQ78" s="4"/>
      <c r="BR78" s="169"/>
      <c r="BS78" s="4">
        <v>0</v>
      </c>
      <c r="BT78" s="194"/>
      <c r="BU78" s="194"/>
      <c r="BV78" s="12"/>
      <c r="BW78" s="59"/>
      <c r="BX78" s="21">
        <v>0</v>
      </c>
      <c r="BY78" s="194"/>
      <c r="BZ78" s="194"/>
      <c r="CA78" s="12"/>
      <c r="CB78" s="59"/>
      <c r="CC78" s="5">
        <v>0</v>
      </c>
      <c r="CD78" s="12">
        <v>0</v>
      </c>
      <c r="CE78" s="194"/>
      <c r="CF78" s="194"/>
      <c r="CG78" s="194"/>
      <c r="CH78" s="194"/>
      <c r="CI78" s="194"/>
      <c r="CJ78" s="194"/>
      <c r="CK78" s="194"/>
      <c r="CL78" s="194"/>
      <c r="CM78" s="195"/>
      <c r="CN78" s="4">
        <v>0</v>
      </c>
      <c r="CO78" s="10">
        <v>0</v>
      </c>
      <c r="CP78" s="10"/>
      <c r="CQ78" s="10"/>
      <c r="CR78" s="10"/>
      <c r="CS78" s="10"/>
      <c r="CT78" s="10"/>
      <c r="CU78" s="10"/>
      <c r="CV78" s="10"/>
      <c r="CW78" s="10"/>
      <c r="CX78" s="121"/>
      <c r="CY78" s="4">
        <v>0</v>
      </c>
      <c r="CZ78" s="10">
        <v>0</v>
      </c>
      <c r="DA78" s="10"/>
      <c r="DB78" s="10"/>
      <c r="DC78" s="10"/>
      <c r="DD78" s="10"/>
      <c r="DE78" s="10"/>
      <c r="DF78" s="10"/>
      <c r="DG78" s="10"/>
      <c r="DH78" s="10"/>
      <c r="DI78" s="121"/>
      <c r="DJ78" s="4">
        <v>0</v>
      </c>
      <c r="DK78" s="128"/>
      <c r="DL78" s="128"/>
      <c r="DM78" s="10"/>
      <c r="DN78" s="40"/>
      <c r="DO78" s="4">
        <v>0</v>
      </c>
      <c r="DP78" s="10"/>
      <c r="DQ78" s="128"/>
      <c r="DR78" s="10"/>
      <c r="DS78" s="40"/>
      <c r="DT78" s="5">
        <v>0</v>
      </c>
      <c r="DU78" s="12"/>
      <c r="DV78" s="12"/>
      <c r="DW78" s="12"/>
      <c r="DX78" s="59"/>
      <c r="DY78" s="5">
        <v>0</v>
      </c>
      <c r="DZ78" s="12"/>
      <c r="EA78" s="12"/>
      <c r="EB78" s="12"/>
      <c r="EC78" s="59"/>
      <c r="ED78" s="5">
        <v>0</v>
      </c>
      <c r="EE78" s="12"/>
      <c r="EF78" s="12"/>
      <c r="EG78" s="12"/>
      <c r="EH78" s="59"/>
      <c r="EI78" s="5">
        <v>0</v>
      </c>
      <c r="EJ78" s="12"/>
      <c r="EK78" s="12"/>
      <c r="EL78" s="12"/>
      <c r="EM78" s="59"/>
      <c r="EN78" s="5">
        <v>0</v>
      </c>
      <c r="EO78" s="12"/>
      <c r="EP78" s="12"/>
      <c r="EQ78" s="12"/>
      <c r="ER78" s="59"/>
      <c r="ES78" s="5">
        <v>0</v>
      </c>
      <c r="ET78" s="12"/>
      <c r="EU78" s="12"/>
      <c r="EV78" s="12"/>
      <c r="EW78" s="59"/>
      <c r="EX78" s="5">
        <v>0</v>
      </c>
      <c r="EY78" s="12"/>
      <c r="EZ78" s="12"/>
      <c r="FA78" s="12"/>
      <c r="FB78" s="59"/>
      <c r="FC78" s="5">
        <v>0</v>
      </c>
      <c r="FD78" s="12"/>
      <c r="FE78" s="12"/>
      <c r="FF78" s="12"/>
      <c r="FG78" s="59"/>
      <c r="FH78" s="5">
        <v>0</v>
      </c>
      <c r="FI78" s="12"/>
      <c r="FJ78" s="12"/>
      <c r="FK78" s="12"/>
      <c r="FL78" s="59"/>
      <c r="FM78" s="5">
        <v>0</v>
      </c>
      <c r="FN78" s="12"/>
      <c r="FO78" s="12"/>
      <c r="FP78" s="12"/>
      <c r="FQ78" s="59"/>
      <c r="FR78" s="5">
        <v>0</v>
      </c>
      <c r="FS78" s="12"/>
      <c r="FT78" s="12"/>
      <c r="FU78" s="12"/>
      <c r="FV78" s="59"/>
      <c r="FW78" s="5">
        <v>0</v>
      </c>
      <c r="FX78" s="12"/>
      <c r="FY78" s="12"/>
      <c r="FZ78" s="12"/>
      <c r="GA78" s="59"/>
      <c r="GB78" s="5"/>
      <c r="GC78" s="12"/>
      <c r="GD78" s="12"/>
      <c r="GE78" s="12"/>
      <c r="GF78" s="59"/>
      <c r="GG78" s="10">
        <f>IF(AB76="N.S",1,"")</f>
        <v>1</v>
      </c>
      <c r="GH78" s="10" t="str">
        <f>IF(AB76="IP66 compliant",1,"")</f>
        <v/>
      </c>
      <c r="GI78" s="37" t="str">
        <f>IF(AB76="DIP 24",1,"")</f>
        <v/>
      </c>
      <c r="GJ78" s="4" t="s">
        <v>82</v>
      </c>
      <c r="GK78" s="10" t="s">
        <v>82</v>
      </c>
      <c r="GL78" s="10" t="s">
        <v>82</v>
      </c>
      <c r="GM78" s="10" t="s">
        <v>82</v>
      </c>
      <c r="GN78" s="10" t="s">
        <v>82</v>
      </c>
      <c r="GO78" s="10" t="s">
        <v>82</v>
      </c>
      <c r="GP78" s="10" t="s">
        <v>82</v>
      </c>
      <c r="GQ78" s="10" t="s">
        <v>82</v>
      </c>
      <c r="GR78" s="10" t="s">
        <v>82</v>
      </c>
      <c r="GS78" s="10" t="s">
        <v>82</v>
      </c>
      <c r="GT78" s="10" t="s">
        <v>82</v>
      </c>
      <c r="GU78" s="10" t="s">
        <v>82</v>
      </c>
      <c r="GV78" s="10" t="s">
        <v>82</v>
      </c>
      <c r="GW78" s="10" t="s">
        <v>82</v>
      </c>
      <c r="GX78" s="10" t="s">
        <v>82</v>
      </c>
      <c r="GY78" s="10" t="s">
        <v>82</v>
      </c>
      <c r="GZ78" s="10" t="s">
        <v>82</v>
      </c>
      <c r="HA78" s="10" t="s">
        <v>82</v>
      </c>
      <c r="HB78" s="10" t="s">
        <v>82</v>
      </c>
      <c r="HC78" s="10" t="s">
        <v>82</v>
      </c>
      <c r="HD78" s="10" t="s">
        <v>82</v>
      </c>
      <c r="HE78" s="10" t="s">
        <v>82</v>
      </c>
      <c r="HF78" s="10" t="s">
        <v>82</v>
      </c>
      <c r="HG78" s="10" t="s">
        <v>82</v>
      </c>
      <c r="HH78" s="10" t="s">
        <v>82</v>
      </c>
      <c r="HI78" s="10" t="s">
        <v>82</v>
      </c>
      <c r="HJ78" s="10" t="s">
        <v>82</v>
      </c>
      <c r="HK78" s="10" t="s">
        <v>82</v>
      </c>
      <c r="HL78" s="10" t="s">
        <v>82</v>
      </c>
      <c r="HM78" s="40" t="s">
        <v>82</v>
      </c>
    </row>
    <row r="79" spans="1:221" ht="13.8">
      <c r="A79" s="694"/>
      <c r="B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236"/>
      <c r="AD79" s="128"/>
      <c r="AE79" s="10"/>
      <c r="AF79" s="10"/>
      <c r="AG79" s="10"/>
      <c r="AH79" s="10"/>
      <c r="AI79" s="10"/>
      <c r="AJ79" s="10"/>
      <c r="AK79" s="10"/>
      <c r="AL79" s="10"/>
      <c r="AM79" s="10"/>
      <c r="AN79" s="42"/>
      <c r="AO79" s="10"/>
      <c r="AP79" s="10"/>
      <c r="AQ79" s="238"/>
      <c r="AR79" s="437"/>
      <c r="AS79" s="438"/>
      <c r="AT79" s="7" t="s">
        <v>890</v>
      </c>
      <c r="AU79" s="104"/>
      <c r="AV79" s="104"/>
      <c r="AW79" s="104"/>
      <c r="AX79" s="104"/>
      <c r="AY79" s="104"/>
      <c r="AZ79" s="104"/>
      <c r="BA79" s="290"/>
      <c r="BB79" s="359"/>
      <c r="BC79" s="290"/>
      <c r="BD79" s="37"/>
      <c r="BE79" s="3"/>
      <c r="BF79" s="290"/>
      <c r="BG79" s="4"/>
      <c r="BH79" s="13"/>
      <c r="BI79" s="10"/>
      <c r="BJ79" s="10"/>
      <c r="BK79" s="10"/>
      <c r="BL79" s="10"/>
      <c r="BM79" s="40"/>
      <c r="BN79" s="87"/>
      <c r="BO79" s="41"/>
      <c r="BP79" s="129"/>
      <c r="BQ79" s="6"/>
      <c r="BR79" s="63"/>
    </row>
    <row r="80" spans="1:221">
      <c r="V80" s="69">
        <f>MIN(V21:V78)</f>
        <v>0.96</v>
      </c>
      <c r="W80" s="69">
        <f>MIN(W21:W78)</f>
        <v>12</v>
      </c>
      <c r="X80" s="69">
        <f>MIN(X21:X78)</f>
        <v>12</v>
      </c>
      <c r="Y80" s="69">
        <f>MIN(Y21:Y78)</f>
        <v>3.5</v>
      </c>
      <c r="Z80" s="69">
        <f>MIN(Z21:Z78)</f>
        <v>12</v>
      </c>
      <c r="AA80" s="626"/>
      <c r="AT80" s="288"/>
      <c r="AU80" s="69"/>
      <c r="BJ80" s="14">
        <v>315</v>
      </c>
    </row>
    <row r="81" spans="1:221">
      <c r="AA81" s="626"/>
      <c r="AT81" s="288"/>
      <c r="AU81" s="69"/>
      <c r="BJ81" s="14">
        <v>433</v>
      </c>
    </row>
    <row r="82" spans="1:221">
      <c r="L82" s="312">
        <f>MIN(L3:L78)</f>
        <v>2007</v>
      </c>
      <c r="AA82" s="626"/>
      <c r="BJ82" s="14">
        <v>868</v>
      </c>
    </row>
    <row r="83" spans="1:221">
      <c r="AA83" s="626"/>
      <c r="BJ83" s="14">
        <v>916</v>
      </c>
    </row>
    <row r="84" spans="1:221">
      <c r="BJ84" s="14">
        <v>850</v>
      </c>
    </row>
    <row r="85" spans="1:221">
      <c r="BJ85" s="14">
        <v>900</v>
      </c>
    </row>
    <row r="86" spans="1:221">
      <c r="BJ86" s="14">
        <v>1850</v>
      </c>
    </row>
    <row r="87" spans="1:221">
      <c r="BJ87" s="14">
        <v>1900</v>
      </c>
    </row>
    <row r="88" spans="1:221" s="629" customFormat="1">
      <c r="A88" s="627" t="s">
        <v>400</v>
      </c>
      <c r="B88" s="628"/>
      <c r="D88" s="630"/>
      <c r="E88" s="631"/>
      <c r="F88" s="631"/>
      <c r="G88" s="631"/>
      <c r="H88" s="631"/>
      <c r="I88" s="631"/>
      <c r="J88" s="632">
        <f>AVERAGE(J3:J20)</f>
        <v>253.47871835294117</v>
      </c>
      <c r="K88" s="632">
        <f t="shared" ref="K88:BV88" si="20">AVERAGE(K3:K20)</f>
        <v>3.75</v>
      </c>
      <c r="L88" s="632">
        <f t="shared" si="20"/>
        <v>2014</v>
      </c>
      <c r="M88" s="632" t="e">
        <f t="shared" si="20"/>
        <v>#DIV/0!</v>
      </c>
      <c r="N88" s="632" t="e">
        <f t="shared" si="20"/>
        <v>#DIV/0!</v>
      </c>
      <c r="O88" s="632" t="e">
        <f t="shared" si="20"/>
        <v>#DIV/0!</v>
      </c>
      <c r="P88" s="632" t="e">
        <f t="shared" si="20"/>
        <v>#DIV/0!</v>
      </c>
      <c r="Q88" s="632">
        <f t="shared" si="20"/>
        <v>2.7</v>
      </c>
      <c r="R88" s="632">
        <f t="shared" si="20"/>
        <v>4</v>
      </c>
      <c r="S88" s="632">
        <f t="shared" si="20"/>
        <v>16.8</v>
      </c>
      <c r="T88" s="632">
        <f t="shared" si="20"/>
        <v>1</v>
      </c>
      <c r="U88" s="632" t="e">
        <f t="shared" si="20"/>
        <v>#DIV/0!</v>
      </c>
      <c r="V88" s="632">
        <f t="shared" si="20"/>
        <v>77.914615384615388</v>
      </c>
      <c r="W88" s="632">
        <f t="shared" si="20"/>
        <v>49.599999999999994</v>
      </c>
      <c r="X88" s="632">
        <f t="shared" si="20"/>
        <v>44.723076923076924</v>
      </c>
      <c r="Y88" s="632">
        <f t="shared" si="20"/>
        <v>31.285416666666663</v>
      </c>
      <c r="Z88" s="632">
        <f t="shared" si="20"/>
        <v>59.261538461538457</v>
      </c>
      <c r="AA88" s="632">
        <f t="shared" si="20"/>
        <v>209453.88608333332</v>
      </c>
      <c r="AB88" s="632" t="e">
        <f t="shared" si="20"/>
        <v>#DIV/0!</v>
      </c>
      <c r="AC88" s="646">
        <f t="shared" si="20"/>
        <v>3.5124999999999997</v>
      </c>
      <c r="AD88" s="646">
        <f t="shared" si="20"/>
        <v>3.5124999999999997</v>
      </c>
      <c r="AE88" s="632">
        <f t="shared" si="20"/>
        <v>8.5299999999999994</v>
      </c>
      <c r="AF88" s="632">
        <f t="shared" si="20"/>
        <v>3.1561000000000006E-2</v>
      </c>
      <c r="AG88" s="632">
        <f t="shared" si="20"/>
        <v>0</v>
      </c>
      <c r="AH88" s="632">
        <f t="shared" si="20"/>
        <v>0.5449166666666666</v>
      </c>
      <c r="AI88" s="632">
        <f t="shared" si="20"/>
        <v>4722.3</v>
      </c>
      <c r="AJ88" s="632" t="e">
        <f t="shared" si="20"/>
        <v>#DIV/0!</v>
      </c>
      <c r="AK88" s="632" t="e">
        <f t="shared" si="20"/>
        <v>#DIV/0!</v>
      </c>
      <c r="AL88" s="632">
        <f t="shared" si="20"/>
        <v>3.1561000000000006E-2</v>
      </c>
      <c r="AM88" s="632">
        <f t="shared" si="20"/>
        <v>6.2900000000000011E-4</v>
      </c>
      <c r="AN88" s="654">
        <f t="shared" si="20"/>
        <v>6.2696500000000005E-4</v>
      </c>
      <c r="AO88" s="632" t="e">
        <f t="shared" si="20"/>
        <v>#DIV/0!</v>
      </c>
      <c r="AP88" s="632" t="e">
        <f t="shared" si="20"/>
        <v>#DIV/0!</v>
      </c>
      <c r="AQ88" s="632">
        <f t="shared" si="20"/>
        <v>3946.3333333333335</v>
      </c>
      <c r="AR88" s="632">
        <f t="shared" si="20"/>
        <v>375665.09015666571</v>
      </c>
      <c r="AS88" s="632">
        <f t="shared" si="20"/>
        <v>169218.50907957915</v>
      </c>
      <c r="AT88" s="632" t="e">
        <f t="shared" si="20"/>
        <v>#DIV/0!</v>
      </c>
      <c r="AU88" s="632">
        <f t="shared" si="20"/>
        <v>19.2</v>
      </c>
      <c r="AV88" s="632" t="e">
        <f t="shared" si="20"/>
        <v>#DIV/0!</v>
      </c>
      <c r="AW88" s="632">
        <f t="shared" si="20"/>
        <v>264</v>
      </c>
      <c r="AX88" s="632">
        <f t="shared" si="20"/>
        <v>2000128</v>
      </c>
      <c r="AY88" s="632">
        <f t="shared" si="20"/>
        <v>684.19866666666667</v>
      </c>
      <c r="AZ88" s="632" t="e">
        <f t="shared" si="20"/>
        <v>#DIV/0!</v>
      </c>
      <c r="BA88" s="632" t="e">
        <f t="shared" si="20"/>
        <v>#DIV/0!</v>
      </c>
      <c r="BB88" s="632">
        <f t="shared" si="20"/>
        <v>186.66666666666666</v>
      </c>
      <c r="BC88" s="632" t="e">
        <f t="shared" si="20"/>
        <v>#DIV/0!</v>
      </c>
      <c r="BD88" s="632" t="e">
        <f t="shared" si="20"/>
        <v>#DIV/0!</v>
      </c>
      <c r="BE88" s="632" t="e">
        <f t="shared" si="20"/>
        <v>#DIV/0!</v>
      </c>
      <c r="BF88" s="632" t="e">
        <f t="shared" si="20"/>
        <v>#DIV/0!</v>
      </c>
      <c r="BG88" s="632" t="e">
        <f t="shared" si="20"/>
        <v>#DIV/0!</v>
      </c>
      <c r="BH88" s="632" t="e">
        <f t="shared" si="20"/>
        <v>#DIV/0!</v>
      </c>
      <c r="BI88" s="632" t="e">
        <f t="shared" si="20"/>
        <v>#DIV/0!</v>
      </c>
      <c r="BJ88" s="632">
        <f t="shared" si="20"/>
        <v>2400</v>
      </c>
      <c r="BK88" s="632" t="e">
        <f t="shared" si="20"/>
        <v>#DIV/0!</v>
      </c>
      <c r="BL88" s="632" t="e">
        <f t="shared" si="20"/>
        <v>#DIV/0!</v>
      </c>
      <c r="BM88" s="632" t="e">
        <f t="shared" si="20"/>
        <v>#DIV/0!</v>
      </c>
      <c r="BN88" s="632" t="e">
        <f t="shared" si="20"/>
        <v>#DIV/0!</v>
      </c>
      <c r="BO88" s="632" t="e">
        <f t="shared" si="20"/>
        <v>#DIV/0!</v>
      </c>
      <c r="BP88" s="632" t="e">
        <f t="shared" si="20"/>
        <v>#DIV/0!</v>
      </c>
      <c r="BQ88" s="632" t="e">
        <f t="shared" si="20"/>
        <v>#DIV/0!</v>
      </c>
      <c r="BR88" s="632" t="e">
        <f t="shared" si="20"/>
        <v>#DIV/0!</v>
      </c>
      <c r="BS88" s="632">
        <f t="shared" si="20"/>
        <v>5.5555555555555552E-2</v>
      </c>
      <c r="BT88" s="632" t="e">
        <f t="shared" si="20"/>
        <v>#DIV/0!</v>
      </c>
      <c r="BU88" s="632" t="e">
        <f t="shared" si="20"/>
        <v>#DIV/0!</v>
      </c>
      <c r="BV88" s="632" t="e">
        <f t="shared" si="20"/>
        <v>#DIV/0!</v>
      </c>
      <c r="BW88" s="632" t="e">
        <f t="shared" ref="BW88:EH88" si="21">AVERAGE(BW3:BW20)</f>
        <v>#DIV/0!</v>
      </c>
      <c r="BX88" s="632">
        <f t="shared" si="21"/>
        <v>0</v>
      </c>
      <c r="BY88" s="632" t="e">
        <f t="shared" si="21"/>
        <v>#DIV/0!</v>
      </c>
      <c r="BZ88" s="632" t="e">
        <f t="shared" si="21"/>
        <v>#DIV/0!</v>
      </c>
      <c r="CA88" s="632" t="e">
        <f t="shared" si="21"/>
        <v>#DIV/0!</v>
      </c>
      <c r="CB88" s="632" t="e">
        <f t="shared" si="21"/>
        <v>#DIV/0!</v>
      </c>
      <c r="CC88" s="632">
        <f t="shared" si="21"/>
        <v>0</v>
      </c>
      <c r="CD88" s="632">
        <f t="shared" si="21"/>
        <v>0.5</v>
      </c>
      <c r="CE88" s="632">
        <f t="shared" si="21"/>
        <v>1.75</v>
      </c>
      <c r="CF88" s="632">
        <f t="shared" si="21"/>
        <v>5</v>
      </c>
      <c r="CG88" s="632">
        <f t="shared" si="21"/>
        <v>8</v>
      </c>
      <c r="CH88" s="632">
        <f t="shared" si="21"/>
        <v>16</v>
      </c>
      <c r="CI88" s="632" t="e">
        <f t="shared" si="21"/>
        <v>#DIV/0!</v>
      </c>
      <c r="CJ88" s="632" t="e">
        <f t="shared" si="21"/>
        <v>#DIV/0!</v>
      </c>
      <c r="CK88" s="632" t="e">
        <f t="shared" si="21"/>
        <v>#DIV/0!</v>
      </c>
      <c r="CL88" s="632" t="e">
        <f t="shared" si="21"/>
        <v>#DIV/0!</v>
      </c>
      <c r="CM88" s="632">
        <f t="shared" si="21"/>
        <v>11.965784284662087</v>
      </c>
      <c r="CN88" s="632">
        <f t="shared" si="21"/>
        <v>0</v>
      </c>
      <c r="CO88" s="632">
        <f t="shared" si="21"/>
        <v>5.5555555555555552E-2</v>
      </c>
      <c r="CP88" s="632">
        <f t="shared" si="21"/>
        <v>250</v>
      </c>
      <c r="CQ88" s="632">
        <f t="shared" si="21"/>
        <v>500</v>
      </c>
      <c r="CR88" s="632">
        <f t="shared" si="21"/>
        <v>1000</v>
      </c>
      <c r="CS88" s="632">
        <f t="shared" si="21"/>
        <v>2000</v>
      </c>
      <c r="CT88" s="632" t="e">
        <f t="shared" si="21"/>
        <v>#DIV/0!</v>
      </c>
      <c r="CU88" s="632" t="e">
        <f t="shared" si="21"/>
        <v>#DIV/0!</v>
      </c>
      <c r="CV88" s="632" t="e">
        <f t="shared" si="21"/>
        <v>#DIV/0!</v>
      </c>
      <c r="CW88" s="632" t="e">
        <f t="shared" si="21"/>
        <v>#DIV/0!</v>
      </c>
      <c r="CX88" s="632">
        <f t="shared" si="21"/>
        <v>11.898145567786724</v>
      </c>
      <c r="CY88" s="632">
        <f t="shared" si="21"/>
        <v>5.5555555555555552E-2</v>
      </c>
      <c r="CZ88" s="632">
        <f t="shared" si="21"/>
        <v>5.5555555555555552E-2</v>
      </c>
      <c r="DA88" s="632">
        <f t="shared" si="21"/>
        <v>1.3</v>
      </c>
      <c r="DB88" s="632">
        <f t="shared" si="21"/>
        <v>1.9</v>
      </c>
      <c r="DC88" s="632">
        <f t="shared" si="21"/>
        <v>2.5</v>
      </c>
      <c r="DD88" s="632">
        <f t="shared" si="21"/>
        <v>4</v>
      </c>
      <c r="DE88" s="632">
        <f t="shared" si="21"/>
        <v>4.7</v>
      </c>
      <c r="DF88" s="632">
        <f t="shared" si="21"/>
        <v>5.6</v>
      </c>
      <c r="DG88" s="632">
        <f t="shared" si="21"/>
        <v>8.1</v>
      </c>
      <c r="DH88" s="632" t="e">
        <f t="shared" si="21"/>
        <v>#DIV/0!</v>
      </c>
      <c r="DI88" s="632">
        <f t="shared" si="21"/>
        <v>11.863411958941636</v>
      </c>
      <c r="DJ88" s="632">
        <f t="shared" si="21"/>
        <v>0.22222222222222221</v>
      </c>
      <c r="DK88" s="632" t="e">
        <f t="shared" si="21"/>
        <v>#DIV/0!</v>
      </c>
      <c r="DL88" s="632">
        <f t="shared" si="21"/>
        <v>5.5697037377017331</v>
      </c>
      <c r="DM88" s="632">
        <f t="shared" si="21"/>
        <v>0</v>
      </c>
      <c r="DN88" s="632">
        <f t="shared" si="21"/>
        <v>37996</v>
      </c>
      <c r="DO88" s="632">
        <f t="shared" si="21"/>
        <v>0.16666666666666666</v>
      </c>
      <c r="DP88" s="632" t="e">
        <f t="shared" si="21"/>
        <v>#DIV/0!</v>
      </c>
      <c r="DQ88" s="632">
        <f t="shared" si="21"/>
        <v>4.3219280948873626</v>
      </c>
      <c r="DR88" s="632">
        <f t="shared" si="21"/>
        <v>40</v>
      </c>
      <c r="DS88" s="632">
        <f t="shared" si="21"/>
        <v>180</v>
      </c>
      <c r="DT88" s="632">
        <f t="shared" si="21"/>
        <v>0</v>
      </c>
      <c r="DU88" s="632" t="e">
        <f t="shared" si="21"/>
        <v>#DIV/0!</v>
      </c>
      <c r="DV88" s="632" t="e">
        <f t="shared" si="21"/>
        <v>#DIV/0!</v>
      </c>
      <c r="DW88" s="632" t="e">
        <f t="shared" si="21"/>
        <v>#DIV/0!</v>
      </c>
      <c r="DX88" s="632" t="e">
        <f t="shared" si="21"/>
        <v>#DIV/0!</v>
      </c>
      <c r="DY88" s="632">
        <f t="shared" si="21"/>
        <v>5.5555555555555552E-2</v>
      </c>
      <c r="DZ88" s="632" t="e">
        <f t="shared" si="21"/>
        <v>#DIV/0!</v>
      </c>
      <c r="EA88" s="632" t="e">
        <f t="shared" si="21"/>
        <v>#DIV/0!</v>
      </c>
      <c r="EB88" s="632" t="e">
        <f t="shared" si="21"/>
        <v>#DIV/0!</v>
      </c>
      <c r="EC88" s="632" t="e">
        <f t="shared" si="21"/>
        <v>#DIV/0!</v>
      </c>
      <c r="ED88" s="632">
        <f t="shared" si="21"/>
        <v>0.1111111111111111</v>
      </c>
      <c r="EE88" s="632" t="e">
        <f t="shared" si="21"/>
        <v>#DIV/0!</v>
      </c>
      <c r="EF88" s="632" t="e">
        <f t="shared" si="21"/>
        <v>#DIV/0!</v>
      </c>
      <c r="EG88" s="632" t="e">
        <f t="shared" si="21"/>
        <v>#DIV/0!</v>
      </c>
      <c r="EH88" s="632" t="e">
        <f t="shared" si="21"/>
        <v>#DIV/0!</v>
      </c>
      <c r="EI88" s="632">
        <f t="shared" ref="EI88:GT88" si="22">AVERAGE(EI3:EI20)</f>
        <v>0</v>
      </c>
      <c r="EJ88" s="632" t="e">
        <f t="shared" si="22"/>
        <v>#DIV/0!</v>
      </c>
      <c r="EK88" s="632" t="e">
        <f t="shared" si="22"/>
        <v>#DIV/0!</v>
      </c>
      <c r="EL88" s="632" t="e">
        <f t="shared" si="22"/>
        <v>#DIV/0!</v>
      </c>
      <c r="EM88" s="632" t="e">
        <f t="shared" si="22"/>
        <v>#DIV/0!</v>
      </c>
      <c r="EN88" s="632">
        <f t="shared" si="22"/>
        <v>0</v>
      </c>
      <c r="EO88" s="632" t="e">
        <f t="shared" si="22"/>
        <v>#DIV/0!</v>
      </c>
      <c r="EP88" s="632" t="e">
        <f t="shared" si="22"/>
        <v>#DIV/0!</v>
      </c>
      <c r="EQ88" s="632" t="e">
        <f t="shared" si="22"/>
        <v>#DIV/0!</v>
      </c>
      <c r="ER88" s="632" t="e">
        <f t="shared" si="22"/>
        <v>#DIV/0!</v>
      </c>
      <c r="ES88" s="632">
        <f t="shared" si="22"/>
        <v>0</v>
      </c>
      <c r="ET88" s="632" t="e">
        <f t="shared" si="22"/>
        <v>#DIV/0!</v>
      </c>
      <c r="EU88" s="632" t="e">
        <f t="shared" si="22"/>
        <v>#DIV/0!</v>
      </c>
      <c r="EV88" s="632" t="e">
        <f t="shared" si="22"/>
        <v>#DIV/0!</v>
      </c>
      <c r="EW88" s="632" t="e">
        <f t="shared" si="22"/>
        <v>#DIV/0!</v>
      </c>
      <c r="EX88" s="632">
        <f t="shared" si="22"/>
        <v>0</v>
      </c>
      <c r="EY88" s="632" t="e">
        <f t="shared" si="22"/>
        <v>#DIV/0!</v>
      </c>
      <c r="EZ88" s="632" t="e">
        <f t="shared" si="22"/>
        <v>#DIV/0!</v>
      </c>
      <c r="FA88" s="632" t="e">
        <f t="shared" si="22"/>
        <v>#DIV/0!</v>
      </c>
      <c r="FB88" s="632" t="e">
        <f t="shared" si="22"/>
        <v>#DIV/0!</v>
      </c>
      <c r="FC88" s="632">
        <f t="shared" si="22"/>
        <v>0</v>
      </c>
      <c r="FD88" s="632" t="e">
        <f t="shared" si="22"/>
        <v>#DIV/0!</v>
      </c>
      <c r="FE88" s="632" t="e">
        <f t="shared" si="22"/>
        <v>#DIV/0!</v>
      </c>
      <c r="FF88" s="632" t="e">
        <f t="shared" si="22"/>
        <v>#DIV/0!</v>
      </c>
      <c r="FG88" s="632" t="e">
        <f t="shared" si="22"/>
        <v>#DIV/0!</v>
      </c>
      <c r="FH88" s="632">
        <f t="shared" si="22"/>
        <v>0</v>
      </c>
      <c r="FI88" s="632" t="e">
        <f t="shared" si="22"/>
        <v>#DIV/0!</v>
      </c>
      <c r="FJ88" s="632" t="e">
        <f t="shared" si="22"/>
        <v>#DIV/0!</v>
      </c>
      <c r="FK88" s="632" t="e">
        <f t="shared" si="22"/>
        <v>#DIV/0!</v>
      </c>
      <c r="FL88" s="632" t="e">
        <f t="shared" si="22"/>
        <v>#DIV/0!</v>
      </c>
      <c r="FM88" s="632">
        <f t="shared" si="22"/>
        <v>5.5555555555555552E-2</v>
      </c>
      <c r="FN88" s="632" t="e">
        <f t="shared" si="22"/>
        <v>#DIV/0!</v>
      </c>
      <c r="FO88" s="632" t="e">
        <f t="shared" si="22"/>
        <v>#DIV/0!</v>
      </c>
      <c r="FP88" s="632" t="e">
        <f t="shared" si="22"/>
        <v>#DIV/0!</v>
      </c>
      <c r="FQ88" s="632" t="e">
        <f t="shared" si="22"/>
        <v>#DIV/0!</v>
      </c>
      <c r="FR88" s="632">
        <f t="shared" si="22"/>
        <v>0.1111111111111111</v>
      </c>
      <c r="FS88" s="632" t="e">
        <f t="shared" si="22"/>
        <v>#DIV/0!</v>
      </c>
      <c r="FT88" s="632" t="e">
        <f t="shared" si="22"/>
        <v>#DIV/0!</v>
      </c>
      <c r="FU88" s="632" t="e">
        <f t="shared" si="22"/>
        <v>#DIV/0!</v>
      </c>
      <c r="FV88" s="632" t="e">
        <f t="shared" si="22"/>
        <v>#DIV/0!</v>
      </c>
      <c r="FW88" s="632">
        <f t="shared" si="22"/>
        <v>5.5555555555555552E-2</v>
      </c>
      <c r="FX88" s="632" t="e">
        <f t="shared" si="22"/>
        <v>#DIV/0!</v>
      </c>
      <c r="FY88" s="632" t="e">
        <f t="shared" si="22"/>
        <v>#DIV/0!</v>
      </c>
      <c r="FZ88" s="632" t="e">
        <f t="shared" si="22"/>
        <v>#DIV/0!</v>
      </c>
      <c r="GA88" s="632" t="e">
        <f t="shared" si="22"/>
        <v>#DIV/0!</v>
      </c>
      <c r="GB88" s="632">
        <f t="shared" si="22"/>
        <v>9.0909090909090912E-2</v>
      </c>
      <c r="GC88" s="632" t="e">
        <f t="shared" si="22"/>
        <v>#DIV/0!</v>
      </c>
      <c r="GD88" s="632" t="e">
        <f t="shared" si="22"/>
        <v>#DIV/0!</v>
      </c>
      <c r="GE88" s="632" t="e">
        <f t="shared" si="22"/>
        <v>#DIV/0!</v>
      </c>
      <c r="GF88" s="632" t="e">
        <f t="shared" si="22"/>
        <v>#DIV/0!</v>
      </c>
      <c r="GG88" s="632">
        <f t="shared" si="22"/>
        <v>1</v>
      </c>
      <c r="GH88" s="632" t="e">
        <f t="shared" si="22"/>
        <v>#DIV/0!</v>
      </c>
      <c r="GI88" s="632" t="e">
        <f t="shared" si="22"/>
        <v>#DIV/0!</v>
      </c>
      <c r="GJ88" s="632">
        <f t="shared" si="22"/>
        <v>1</v>
      </c>
      <c r="GK88" s="632" t="e">
        <f t="shared" si="22"/>
        <v>#DIV/0!</v>
      </c>
      <c r="GL88" s="632">
        <f t="shared" si="22"/>
        <v>1.3333333333333333</v>
      </c>
      <c r="GM88" s="632" t="e">
        <f t="shared" si="22"/>
        <v>#DIV/0!</v>
      </c>
      <c r="GN88" s="632" t="e">
        <f t="shared" si="22"/>
        <v>#DIV/0!</v>
      </c>
      <c r="GO88" s="632" t="e">
        <f t="shared" si="22"/>
        <v>#DIV/0!</v>
      </c>
      <c r="GP88" s="632">
        <f t="shared" si="22"/>
        <v>1</v>
      </c>
      <c r="GQ88" s="632">
        <f t="shared" si="22"/>
        <v>1</v>
      </c>
      <c r="GR88" s="632" t="e">
        <f t="shared" si="22"/>
        <v>#DIV/0!</v>
      </c>
      <c r="GS88" s="632">
        <f t="shared" si="22"/>
        <v>1</v>
      </c>
      <c r="GT88" s="632">
        <f t="shared" si="22"/>
        <v>1</v>
      </c>
      <c r="GU88" s="632" t="e">
        <f t="shared" ref="GU88:HM88" si="23">AVERAGE(GU3:GU20)</f>
        <v>#DIV/0!</v>
      </c>
      <c r="GV88" s="632" t="e">
        <f t="shared" si="23"/>
        <v>#DIV/0!</v>
      </c>
      <c r="GW88" s="632" t="e">
        <f t="shared" si="23"/>
        <v>#DIV/0!</v>
      </c>
      <c r="GX88" s="632" t="e">
        <f t="shared" si="23"/>
        <v>#DIV/0!</v>
      </c>
      <c r="GY88" s="632" t="e">
        <f t="shared" si="23"/>
        <v>#DIV/0!</v>
      </c>
      <c r="GZ88" s="632" t="e">
        <f t="shared" si="23"/>
        <v>#DIV/0!</v>
      </c>
      <c r="HA88" s="632" t="e">
        <f t="shared" si="23"/>
        <v>#DIV/0!</v>
      </c>
      <c r="HB88" s="632" t="e">
        <f t="shared" si="23"/>
        <v>#DIV/0!</v>
      </c>
      <c r="HC88" s="632" t="e">
        <f t="shared" si="23"/>
        <v>#DIV/0!</v>
      </c>
      <c r="HD88" s="632" t="e">
        <f t="shared" si="23"/>
        <v>#DIV/0!</v>
      </c>
      <c r="HE88" s="632" t="e">
        <f t="shared" si="23"/>
        <v>#DIV/0!</v>
      </c>
      <c r="HF88" s="632" t="e">
        <f t="shared" si="23"/>
        <v>#DIV/0!</v>
      </c>
      <c r="HG88" s="632" t="e">
        <f t="shared" si="23"/>
        <v>#DIV/0!</v>
      </c>
      <c r="HH88" s="632" t="e">
        <f t="shared" si="23"/>
        <v>#DIV/0!</v>
      </c>
      <c r="HI88" s="632" t="e">
        <f t="shared" si="23"/>
        <v>#DIV/0!</v>
      </c>
      <c r="HJ88" s="632" t="e">
        <f t="shared" si="23"/>
        <v>#DIV/0!</v>
      </c>
      <c r="HK88" s="632" t="e">
        <f t="shared" si="23"/>
        <v>#DIV/0!</v>
      </c>
      <c r="HL88" s="632" t="e">
        <f t="shared" si="23"/>
        <v>#DIV/0!</v>
      </c>
      <c r="HM88" s="632" t="e">
        <f t="shared" si="23"/>
        <v>#DIV/0!</v>
      </c>
    </row>
    <row r="89" spans="1:221" s="635" customFormat="1" ht="34.799999999999997">
      <c r="A89" s="633" t="s">
        <v>1007</v>
      </c>
      <c r="B89" s="634"/>
      <c r="D89" s="636"/>
      <c r="E89" s="637"/>
      <c r="F89" s="637"/>
      <c r="G89" s="637"/>
      <c r="H89" s="637"/>
      <c r="I89" s="637"/>
      <c r="J89" s="638">
        <f>AVERAGE(J21:J78)</f>
        <v>285.08706059310339</v>
      </c>
      <c r="K89" s="638">
        <f t="shared" ref="K89:BV89" si="24">AVERAGE(K21:K78)</f>
        <v>6.833333333333333</v>
      </c>
      <c r="L89" s="638">
        <f t="shared" si="24"/>
        <v>2009.6666666666667</v>
      </c>
      <c r="M89" s="638" t="e">
        <f t="shared" si="24"/>
        <v>#DIV/0!</v>
      </c>
      <c r="N89" s="638" t="e">
        <f t="shared" si="24"/>
        <v>#DIV/0!</v>
      </c>
      <c r="O89" s="638" t="e">
        <f t="shared" si="24"/>
        <v>#DIV/0!</v>
      </c>
      <c r="P89" s="638" t="e">
        <f t="shared" si="24"/>
        <v>#DIV/0!</v>
      </c>
      <c r="Q89" s="638">
        <f t="shared" si="24"/>
        <v>6.666666666666667</v>
      </c>
      <c r="R89" s="638">
        <f t="shared" si="24"/>
        <v>6.1052631578947372</v>
      </c>
      <c r="S89" s="638">
        <f t="shared" si="24"/>
        <v>11.727272727272727</v>
      </c>
      <c r="T89" s="638">
        <f t="shared" si="24"/>
        <v>3</v>
      </c>
      <c r="U89" s="638">
        <f t="shared" si="24"/>
        <v>11.75</v>
      </c>
      <c r="V89" s="638">
        <f t="shared" si="24"/>
        <v>165.22296296296295</v>
      </c>
      <c r="W89" s="638">
        <f t="shared" si="24"/>
        <v>55.418153846153849</v>
      </c>
      <c r="X89" s="638">
        <f t="shared" si="24"/>
        <v>48.610717948717948</v>
      </c>
      <c r="Y89" s="638">
        <f t="shared" si="24"/>
        <v>23.633785714285718</v>
      </c>
      <c r="Z89" s="638">
        <f t="shared" si="24"/>
        <v>61.569641025641033</v>
      </c>
      <c r="AA89" s="638">
        <f>AVERAGE(AA21:AA78)</f>
        <v>234111.37519286477</v>
      </c>
      <c r="AB89" s="638" t="e">
        <f t="shared" si="24"/>
        <v>#DIV/0!</v>
      </c>
      <c r="AC89" s="647">
        <f t="shared" si="24"/>
        <v>3.7210526315789467</v>
      </c>
      <c r="AD89" s="647">
        <f t="shared" si="24"/>
        <v>7.5789473684210522</v>
      </c>
      <c r="AE89" s="638">
        <f t="shared" si="24"/>
        <v>75.466823529411755</v>
      </c>
      <c r="AF89" s="638">
        <f t="shared" si="24"/>
        <v>0.28897191842105263</v>
      </c>
      <c r="AG89" s="638">
        <f t="shared" si="24"/>
        <v>0.11656958333333335</v>
      </c>
      <c r="AH89" s="638">
        <f t="shared" si="24"/>
        <v>3.8638888888888894</v>
      </c>
      <c r="AI89" s="638" t="e">
        <f t="shared" si="24"/>
        <v>#VALUE!</v>
      </c>
      <c r="AJ89" s="638" t="e">
        <f t="shared" si="24"/>
        <v>#DIV/0!</v>
      </c>
      <c r="AK89" s="638" t="e">
        <f t="shared" si="24"/>
        <v>#DIV/0!</v>
      </c>
      <c r="AL89" s="638">
        <f t="shared" si="24"/>
        <v>0.96557205800000001</v>
      </c>
      <c r="AM89" s="638">
        <f t="shared" si="24"/>
        <v>2.8597312499999996E-4</v>
      </c>
      <c r="AN89" s="655">
        <f t="shared" si="24"/>
        <v>9.8368299919999996E-3</v>
      </c>
      <c r="AO89" s="638">
        <f t="shared" si="24"/>
        <v>2.5</v>
      </c>
      <c r="AP89" s="647">
        <f>AVERAGE(AP21:AP78)</f>
        <v>1</v>
      </c>
      <c r="AQ89" s="638">
        <f t="shared" si="24"/>
        <v>7178.25</v>
      </c>
      <c r="AR89" s="638">
        <f t="shared" si="24"/>
        <v>9921.1542939303017</v>
      </c>
      <c r="AS89" s="638">
        <f>AVERAGE(AS$21:AS$78)</f>
        <v>15432.16792543211</v>
      </c>
      <c r="AT89" s="638" t="e">
        <f t="shared" si="24"/>
        <v>#DIV/0!</v>
      </c>
      <c r="AU89" s="638">
        <f t="shared" si="24"/>
        <v>26.666666666666668</v>
      </c>
      <c r="AV89" s="638" t="e">
        <f t="shared" si="24"/>
        <v>#DIV/0!</v>
      </c>
      <c r="AW89" s="638">
        <f t="shared" si="24"/>
        <v>6485.55</v>
      </c>
      <c r="AX89" s="638">
        <f t="shared" si="24"/>
        <v>5476.708333333333</v>
      </c>
      <c r="AY89" s="638">
        <f t="shared" si="24"/>
        <v>28.666666666666668</v>
      </c>
      <c r="AZ89" s="638">
        <f t="shared" si="24"/>
        <v>22.4</v>
      </c>
      <c r="BA89" s="638" t="e">
        <f t="shared" si="24"/>
        <v>#DIV/0!</v>
      </c>
      <c r="BB89" s="638">
        <f t="shared" si="24"/>
        <v>134.58823529411765</v>
      </c>
      <c r="BC89" s="638">
        <f t="shared" si="24"/>
        <v>21837482.454545453</v>
      </c>
      <c r="BD89" s="638" t="e">
        <f t="shared" si="24"/>
        <v>#DIV/0!</v>
      </c>
      <c r="BE89" s="638" t="e">
        <f t="shared" si="24"/>
        <v>#DIV/0!</v>
      </c>
      <c r="BF89" s="638" t="e">
        <f t="shared" si="24"/>
        <v>#DIV/0!</v>
      </c>
      <c r="BG89" s="638" t="e">
        <f t="shared" si="24"/>
        <v>#DIV/0!</v>
      </c>
      <c r="BH89" s="638" t="e">
        <f t="shared" si="24"/>
        <v>#DIV/0!</v>
      </c>
      <c r="BI89" s="638" t="e">
        <f t="shared" si="24"/>
        <v>#DIV/0!</v>
      </c>
      <c r="BJ89" s="638">
        <f t="shared" si="24"/>
        <v>2181.0747368421053</v>
      </c>
      <c r="BK89" s="638" t="e">
        <f t="shared" si="24"/>
        <v>#DIV/0!</v>
      </c>
      <c r="BL89" s="638">
        <f t="shared" si="24"/>
        <v>-97.3</v>
      </c>
      <c r="BM89" s="638">
        <f t="shared" si="24"/>
        <v>5.1333333333333337</v>
      </c>
      <c r="BN89" s="638" t="e">
        <f t="shared" si="24"/>
        <v>#DIV/0!</v>
      </c>
      <c r="BO89" s="638" t="e">
        <f t="shared" si="24"/>
        <v>#DIV/0!</v>
      </c>
      <c r="BP89" s="638" t="e">
        <f t="shared" si="24"/>
        <v>#DIV/0!</v>
      </c>
      <c r="BQ89" s="638" t="e">
        <f t="shared" si="24"/>
        <v>#DIV/0!</v>
      </c>
      <c r="BR89" s="638" t="e">
        <f t="shared" si="24"/>
        <v>#DIV/0!</v>
      </c>
      <c r="BS89" s="638">
        <f t="shared" si="24"/>
        <v>0.47272727272727272</v>
      </c>
      <c r="BT89" s="638">
        <f t="shared" si="24"/>
        <v>10.22082449163789</v>
      </c>
      <c r="BU89" s="638">
        <f t="shared" si="24"/>
        <v>7.2213785045501426</v>
      </c>
      <c r="BV89" s="638">
        <f t="shared" si="24"/>
        <v>-29.222222222222221</v>
      </c>
      <c r="BW89" s="638">
        <f t="shared" ref="BW89:EH89" si="25">AVERAGE(BW21:BW78)</f>
        <v>92.51111111111112</v>
      </c>
      <c r="BX89" s="638">
        <f t="shared" si="25"/>
        <v>0.14035087719298245</v>
      </c>
      <c r="BY89" s="638">
        <f t="shared" si="25"/>
        <v>11.45709468077289</v>
      </c>
      <c r="BZ89" s="638">
        <f t="shared" si="25"/>
        <v>3.9091354831409695</v>
      </c>
      <c r="CA89" s="638">
        <f t="shared" si="25"/>
        <v>0</v>
      </c>
      <c r="CB89" s="638">
        <f t="shared" si="25"/>
        <v>98.333333333333329</v>
      </c>
      <c r="CC89" s="638">
        <f t="shared" si="25"/>
        <v>3.5087719298245612E-2</v>
      </c>
      <c r="CD89" s="638">
        <f t="shared" si="25"/>
        <v>0.24561403508771928</v>
      </c>
      <c r="CE89" s="638">
        <f t="shared" si="25"/>
        <v>3.75</v>
      </c>
      <c r="CF89" s="638">
        <f t="shared" si="25"/>
        <v>4</v>
      </c>
      <c r="CG89" s="638">
        <f t="shared" si="25"/>
        <v>8</v>
      </c>
      <c r="CH89" s="638">
        <f t="shared" si="25"/>
        <v>16</v>
      </c>
      <c r="CI89" s="638" t="e">
        <f t="shared" si="25"/>
        <v>#DIV/0!</v>
      </c>
      <c r="CJ89" s="638" t="e">
        <f t="shared" si="25"/>
        <v>#DIV/0!</v>
      </c>
      <c r="CK89" s="638" t="e">
        <f t="shared" si="25"/>
        <v>#DIV/0!</v>
      </c>
      <c r="CL89" s="638">
        <f t="shared" si="25"/>
        <v>10.988594761554028</v>
      </c>
      <c r="CM89" s="638">
        <f t="shared" si="25"/>
        <v>10</v>
      </c>
      <c r="CN89" s="638">
        <f t="shared" si="25"/>
        <v>0</v>
      </c>
      <c r="CO89" s="638">
        <f t="shared" si="25"/>
        <v>8.771929824561403E-2</v>
      </c>
      <c r="CP89" s="638">
        <f t="shared" si="25"/>
        <v>250</v>
      </c>
      <c r="CQ89" s="638">
        <f t="shared" si="25"/>
        <v>500</v>
      </c>
      <c r="CR89" s="638">
        <f t="shared" si="25"/>
        <v>1500</v>
      </c>
      <c r="CS89" s="638">
        <f t="shared" si="25"/>
        <v>2000</v>
      </c>
      <c r="CT89" s="638" t="e">
        <f t="shared" si="25"/>
        <v>#DIV/0!</v>
      </c>
      <c r="CU89" s="638" t="e">
        <f t="shared" si="25"/>
        <v>#DIV/0!</v>
      </c>
      <c r="CV89" s="638" t="e">
        <f t="shared" si="25"/>
        <v>#DIV/0!</v>
      </c>
      <c r="CW89" s="638" t="e">
        <f t="shared" si="25"/>
        <v>#DIV/0!</v>
      </c>
      <c r="CX89" s="638" t="e">
        <f t="shared" si="25"/>
        <v>#DIV/0!</v>
      </c>
      <c r="CY89" s="638">
        <f t="shared" si="25"/>
        <v>1.7543859649122806E-2</v>
      </c>
      <c r="CZ89" s="638">
        <f t="shared" si="25"/>
        <v>5.2631578947368418E-2</v>
      </c>
      <c r="DA89" s="638">
        <f t="shared" si="25"/>
        <v>10</v>
      </c>
      <c r="DB89" s="638" t="e">
        <f t="shared" si="25"/>
        <v>#DIV/0!</v>
      </c>
      <c r="DC89" s="638" t="e">
        <f t="shared" si="25"/>
        <v>#DIV/0!</v>
      </c>
      <c r="DD89" s="638" t="e">
        <f t="shared" si="25"/>
        <v>#DIV/0!</v>
      </c>
      <c r="DE89" s="638" t="e">
        <f t="shared" si="25"/>
        <v>#DIV/0!</v>
      </c>
      <c r="DF89" s="638" t="e">
        <f t="shared" si="25"/>
        <v>#DIV/0!</v>
      </c>
      <c r="DG89" s="638" t="e">
        <f t="shared" si="25"/>
        <v>#DIV/0!</v>
      </c>
      <c r="DH89" s="638">
        <f t="shared" si="25"/>
        <v>12.965784284662087</v>
      </c>
      <c r="DI89" s="638" t="e">
        <f t="shared" si="25"/>
        <v>#DIV/0!</v>
      </c>
      <c r="DJ89" s="638">
        <f t="shared" si="25"/>
        <v>0</v>
      </c>
      <c r="DK89" s="638">
        <f t="shared" si="25"/>
        <v>6.3219280948873617</v>
      </c>
      <c r="DL89" s="638">
        <f t="shared" si="25"/>
        <v>5.0588936890535692</v>
      </c>
      <c r="DM89" s="638">
        <f t="shared" si="25"/>
        <v>54000</v>
      </c>
      <c r="DN89" s="638">
        <f t="shared" si="25"/>
        <v>106000</v>
      </c>
      <c r="DO89" s="638">
        <f t="shared" si="25"/>
        <v>0</v>
      </c>
      <c r="DP89" s="638" t="e">
        <f t="shared" si="25"/>
        <v>#DIV/0!</v>
      </c>
      <c r="DQ89" s="638" t="e">
        <f t="shared" si="25"/>
        <v>#DIV/0!</v>
      </c>
      <c r="DR89" s="638" t="e">
        <f t="shared" si="25"/>
        <v>#DIV/0!</v>
      </c>
      <c r="DS89" s="638" t="e">
        <f t="shared" si="25"/>
        <v>#DIV/0!</v>
      </c>
      <c r="DT89" s="638">
        <f t="shared" si="25"/>
        <v>8.771929824561403E-2</v>
      </c>
      <c r="DU89" s="638" t="e">
        <f t="shared" si="25"/>
        <v>#DIV/0!</v>
      </c>
      <c r="DV89" s="638" t="e">
        <f t="shared" si="25"/>
        <v>#DIV/0!</v>
      </c>
      <c r="DW89" s="638" t="e">
        <f t="shared" si="25"/>
        <v>#DIV/0!</v>
      </c>
      <c r="DX89" s="638">
        <f t="shared" si="25"/>
        <v>20</v>
      </c>
      <c r="DY89" s="638">
        <f t="shared" si="25"/>
        <v>3.5087719298245612E-2</v>
      </c>
      <c r="DZ89" s="638" t="e">
        <f t="shared" si="25"/>
        <v>#DIV/0!</v>
      </c>
      <c r="EA89" s="638" t="e">
        <f t="shared" si="25"/>
        <v>#DIV/0!</v>
      </c>
      <c r="EB89" s="638" t="e">
        <f t="shared" si="25"/>
        <v>#DIV/0!</v>
      </c>
      <c r="EC89" s="638" t="e">
        <f t="shared" si="25"/>
        <v>#DIV/0!</v>
      </c>
      <c r="ED89" s="638">
        <f t="shared" si="25"/>
        <v>0</v>
      </c>
      <c r="EE89" s="638" t="e">
        <f t="shared" si="25"/>
        <v>#DIV/0!</v>
      </c>
      <c r="EF89" s="638" t="e">
        <f t="shared" si="25"/>
        <v>#DIV/0!</v>
      </c>
      <c r="EG89" s="638" t="e">
        <f t="shared" si="25"/>
        <v>#DIV/0!</v>
      </c>
      <c r="EH89" s="638" t="e">
        <f t="shared" si="25"/>
        <v>#DIV/0!</v>
      </c>
      <c r="EI89" s="638">
        <f t="shared" ref="EI89:GT89" si="26">AVERAGE(EI21:EI78)</f>
        <v>1.7543859649122806E-2</v>
      </c>
      <c r="EJ89" s="638" t="e">
        <f t="shared" si="26"/>
        <v>#DIV/0!</v>
      </c>
      <c r="EK89" s="638" t="e">
        <f t="shared" si="26"/>
        <v>#DIV/0!</v>
      </c>
      <c r="EL89" s="638" t="e">
        <f t="shared" si="26"/>
        <v>#DIV/0!</v>
      </c>
      <c r="EM89" s="638" t="e">
        <f t="shared" si="26"/>
        <v>#DIV/0!</v>
      </c>
      <c r="EN89" s="638">
        <f t="shared" si="26"/>
        <v>0</v>
      </c>
      <c r="EO89" s="638" t="e">
        <f t="shared" si="26"/>
        <v>#DIV/0!</v>
      </c>
      <c r="EP89" s="638" t="e">
        <f t="shared" si="26"/>
        <v>#DIV/0!</v>
      </c>
      <c r="EQ89" s="638" t="e">
        <f t="shared" si="26"/>
        <v>#DIV/0!</v>
      </c>
      <c r="ER89" s="638" t="e">
        <f t="shared" si="26"/>
        <v>#DIV/0!</v>
      </c>
      <c r="ES89" s="638">
        <f t="shared" si="26"/>
        <v>0</v>
      </c>
      <c r="ET89" s="638" t="e">
        <f t="shared" si="26"/>
        <v>#DIV/0!</v>
      </c>
      <c r="EU89" s="638" t="e">
        <f t="shared" si="26"/>
        <v>#DIV/0!</v>
      </c>
      <c r="EV89" s="638" t="e">
        <f t="shared" si="26"/>
        <v>#DIV/0!</v>
      </c>
      <c r="EW89" s="638" t="e">
        <f t="shared" si="26"/>
        <v>#DIV/0!</v>
      </c>
      <c r="EX89" s="638">
        <f t="shared" si="26"/>
        <v>0</v>
      </c>
      <c r="EY89" s="638" t="e">
        <f t="shared" si="26"/>
        <v>#DIV/0!</v>
      </c>
      <c r="EZ89" s="638" t="e">
        <f t="shared" si="26"/>
        <v>#DIV/0!</v>
      </c>
      <c r="FA89" s="638" t="e">
        <f t="shared" si="26"/>
        <v>#DIV/0!</v>
      </c>
      <c r="FB89" s="638" t="e">
        <f t="shared" si="26"/>
        <v>#DIV/0!</v>
      </c>
      <c r="FC89" s="638">
        <f t="shared" si="26"/>
        <v>0</v>
      </c>
      <c r="FD89" s="638" t="e">
        <f t="shared" si="26"/>
        <v>#DIV/0!</v>
      </c>
      <c r="FE89" s="638" t="e">
        <f t="shared" si="26"/>
        <v>#DIV/0!</v>
      </c>
      <c r="FF89" s="638" t="e">
        <f t="shared" si="26"/>
        <v>#DIV/0!</v>
      </c>
      <c r="FG89" s="638" t="e">
        <f t="shared" si="26"/>
        <v>#DIV/0!</v>
      </c>
      <c r="FH89" s="638">
        <f t="shared" si="26"/>
        <v>1.7543859649122806E-2</v>
      </c>
      <c r="FI89" s="638" t="e">
        <f t="shared" si="26"/>
        <v>#DIV/0!</v>
      </c>
      <c r="FJ89" s="638" t="e">
        <f t="shared" si="26"/>
        <v>#DIV/0!</v>
      </c>
      <c r="FK89" s="638" t="e">
        <f t="shared" si="26"/>
        <v>#DIV/0!</v>
      </c>
      <c r="FL89" s="638" t="e">
        <f t="shared" si="26"/>
        <v>#DIV/0!</v>
      </c>
      <c r="FM89" s="638">
        <f t="shared" si="26"/>
        <v>0</v>
      </c>
      <c r="FN89" s="638" t="e">
        <f t="shared" si="26"/>
        <v>#DIV/0!</v>
      </c>
      <c r="FO89" s="638" t="e">
        <f t="shared" si="26"/>
        <v>#DIV/0!</v>
      </c>
      <c r="FP89" s="638" t="e">
        <f t="shared" si="26"/>
        <v>#DIV/0!</v>
      </c>
      <c r="FQ89" s="638" t="e">
        <f t="shared" si="26"/>
        <v>#DIV/0!</v>
      </c>
      <c r="FR89" s="638">
        <f t="shared" si="26"/>
        <v>0</v>
      </c>
      <c r="FS89" s="638" t="e">
        <f t="shared" si="26"/>
        <v>#DIV/0!</v>
      </c>
      <c r="FT89" s="638" t="e">
        <f t="shared" si="26"/>
        <v>#DIV/0!</v>
      </c>
      <c r="FU89" s="638" t="e">
        <f t="shared" si="26"/>
        <v>#DIV/0!</v>
      </c>
      <c r="FV89" s="638" t="e">
        <f t="shared" si="26"/>
        <v>#DIV/0!</v>
      </c>
      <c r="FW89" s="638">
        <f t="shared" si="26"/>
        <v>0</v>
      </c>
      <c r="FX89" s="638" t="e">
        <f t="shared" si="26"/>
        <v>#DIV/0!</v>
      </c>
      <c r="FY89" s="638" t="e">
        <f t="shared" si="26"/>
        <v>#DIV/0!</v>
      </c>
      <c r="FZ89" s="638" t="e">
        <f t="shared" si="26"/>
        <v>#DIV/0!</v>
      </c>
      <c r="GA89" s="638" t="e">
        <f t="shared" si="26"/>
        <v>#DIV/0!</v>
      </c>
      <c r="GB89" s="638" t="e">
        <f t="shared" si="26"/>
        <v>#DIV/0!</v>
      </c>
      <c r="GC89" s="638" t="e">
        <f t="shared" si="26"/>
        <v>#DIV/0!</v>
      </c>
      <c r="GD89" s="638" t="e">
        <f t="shared" si="26"/>
        <v>#DIV/0!</v>
      </c>
      <c r="GE89" s="638" t="e">
        <f t="shared" si="26"/>
        <v>#DIV/0!</v>
      </c>
      <c r="GF89" s="638" t="e">
        <f t="shared" si="26"/>
        <v>#DIV/0!</v>
      </c>
      <c r="GG89" s="638">
        <f t="shared" si="26"/>
        <v>1</v>
      </c>
      <c r="GH89" s="638">
        <f t="shared" si="26"/>
        <v>1</v>
      </c>
      <c r="GI89" s="638">
        <f t="shared" si="26"/>
        <v>1</v>
      </c>
      <c r="GJ89" s="638">
        <f t="shared" si="26"/>
        <v>1</v>
      </c>
      <c r="GK89" s="638" t="e">
        <f t="shared" si="26"/>
        <v>#DIV/0!</v>
      </c>
      <c r="GL89" s="638">
        <f t="shared" si="26"/>
        <v>1</v>
      </c>
      <c r="GM89" s="638" t="e">
        <f t="shared" si="26"/>
        <v>#DIV/0!</v>
      </c>
      <c r="GN89" s="638" t="e">
        <f t="shared" si="26"/>
        <v>#DIV/0!</v>
      </c>
      <c r="GO89" s="638">
        <f t="shared" si="26"/>
        <v>1</v>
      </c>
      <c r="GP89" s="638">
        <f t="shared" si="26"/>
        <v>1</v>
      </c>
      <c r="GQ89" s="638">
        <f t="shared" si="26"/>
        <v>1</v>
      </c>
      <c r="GR89" s="638">
        <f t="shared" si="26"/>
        <v>1</v>
      </c>
      <c r="GS89" s="638">
        <f t="shared" si="26"/>
        <v>1</v>
      </c>
      <c r="GT89" s="638">
        <f t="shared" si="26"/>
        <v>1</v>
      </c>
      <c r="GU89" s="638">
        <f t="shared" ref="GU89:HM89" si="27">AVERAGE(GU21:GU78)</f>
        <v>1</v>
      </c>
      <c r="GV89" s="638">
        <f t="shared" si="27"/>
        <v>1</v>
      </c>
      <c r="GW89" s="638">
        <f t="shared" si="27"/>
        <v>1</v>
      </c>
      <c r="GX89" s="638">
        <f t="shared" si="27"/>
        <v>1</v>
      </c>
      <c r="GY89" s="638">
        <f t="shared" si="27"/>
        <v>1</v>
      </c>
      <c r="GZ89" s="638" t="e">
        <f t="shared" si="27"/>
        <v>#DIV/0!</v>
      </c>
      <c r="HA89" s="638">
        <f t="shared" si="27"/>
        <v>1</v>
      </c>
      <c r="HB89" s="638">
        <f t="shared" si="27"/>
        <v>1</v>
      </c>
      <c r="HC89" s="638">
        <f t="shared" si="27"/>
        <v>1</v>
      </c>
      <c r="HD89" s="638">
        <f t="shared" si="27"/>
        <v>1</v>
      </c>
      <c r="HE89" s="638">
        <f t="shared" si="27"/>
        <v>1</v>
      </c>
      <c r="HF89" s="638">
        <f t="shared" si="27"/>
        <v>1</v>
      </c>
      <c r="HG89" s="638">
        <f t="shared" si="27"/>
        <v>1</v>
      </c>
      <c r="HH89" s="638" t="e">
        <f t="shared" si="27"/>
        <v>#DIV/0!</v>
      </c>
      <c r="HI89" s="638">
        <f t="shared" si="27"/>
        <v>1</v>
      </c>
      <c r="HJ89" s="638">
        <f t="shared" si="27"/>
        <v>1</v>
      </c>
      <c r="HK89" s="638">
        <f t="shared" si="27"/>
        <v>1</v>
      </c>
      <c r="HL89" s="638">
        <f t="shared" si="27"/>
        <v>1</v>
      </c>
      <c r="HM89" s="638">
        <f t="shared" si="27"/>
        <v>1</v>
      </c>
    </row>
    <row r="90" spans="1:221">
      <c r="AS90" s="638">
        <f>AVERAGE(AS21:AS37,AS40:AS78)</f>
        <v>2757.0483393420668</v>
      </c>
    </row>
  </sheetData>
  <autoFilter ref="A2:HM89"/>
  <mergeCells count="52">
    <mergeCell ref="GJ1:HM1"/>
    <mergeCell ref="ED1:EH1"/>
    <mergeCell ref="BX1:CB1"/>
    <mergeCell ref="CY1:DI1"/>
    <mergeCell ref="FC1:FG1"/>
    <mergeCell ref="FH1:FL1"/>
    <mergeCell ref="EI1:EM1"/>
    <mergeCell ref="DJ1:DN1"/>
    <mergeCell ref="DO1:DS1"/>
    <mergeCell ref="DT1:DX1"/>
    <mergeCell ref="DY1:EC1"/>
    <mergeCell ref="GG1:GI1"/>
    <mergeCell ref="CN1:CX1"/>
    <mergeCell ref="CC1:CM1"/>
    <mergeCell ref="I69:I71"/>
    <mergeCell ref="BG1:BM1"/>
    <mergeCell ref="BE1:BF1"/>
    <mergeCell ref="V1:AB1"/>
    <mergeCell ref="AC1:AM1"/>
    <mergeCell ref="C1:L1"/>
    <mergeCell ref="M1:U1"/>
    <mergeCell ref="D57:D58"/>
    <mergeCell ref="D51:D52"/>
    <mergeCell ref="F16:F17"/>
    <mergeCell ref="AT1:BD1"/>
    <mergeCell ref="F29:F31"/>
    <mergeCell ref="I37:I41"/>
    <mergeCell ref="I21:I33"/>
    <mergeCell ref="G14:G15"/>
    <mergeCell ref="H21:H33"/>
    <mergeCell ref="A3:A20"/>
    <mergeCell ref="C21:C33"/>
    <mergeCell ref="C9:C15"/>
    <mergeCell ref="C34:C36"/>
    <mergeCell ref="C37:C41"/>
    <mergeCell ref="C16:C19"/>
    <mergeCell ref="A21:A79"/>
    <mergeCell ref="C64:C66"/>
    <mergeCell ref="C69:C72"/>
    <mergeCell ref="C44:C45"/>
    <mergeCell ref="C57:C58"/>
    <mergeCell ref="C51:C52"/>
    <mergeCell ref="BR16:BR17"/>
    <mergeCell ref="BN1:BP1"/>
    <mergeCell ref="GB1:GF1"/>
    <mergeCell ref="FM1:FQ1"/>
    <mergeCell ref="FR1:FV1"/>
    <mergeCell ref="FW1:GA1"/>
    <mergeCell ref="EN1:ER1"/>
    <mergeCell ref="ES1:EW1"/>
    <mergeCell ref="EX1:FB1"/>
    <mergeCell ref="BS1:BW1"/>
  </mergeCells>
  <hyperlinks>
    <hyperlink ref="E54" r:id="rId1"/>
    <hyperlink ref="E57" r:id="rId2"/>
    <hyperlink ref="E59" r:id="rId3"/>
    <hyperlink ref="E61" r:id="rId4"/>
    <hyperlink ref="AN2" display="Pwr (W),_x000a_Duty Cycl"/>
    <hyperlink ref="J57"/>
    <hyperlink ref="F59" r:id="rId5"/>
    <hyperlink ref="G59" r:id="rId6" location="hardware"/>
    <hyperlink ref="H59" r:id="rId7"/>
    <hyperlink ref="E44" r:id="rId8"/>
    <hyperlink ref="F44" r:id="rId9"/>
    <hyperlink ref="E46" r:id="rId10"/>
    <hyperlink ref="F46" r:id="rId11"/>
    <hyperlink ref="E55" r:id="rId12"/>
    <hyperlink ref="F55" r:id="rId13"/>
    <hyperlink ref="E47" r:id="rId14"/>
    <hyperlink ref="F47" r:id="rId15"/>
    <hyperlink ref="E60" r:id="rId16"/>
    <hyperlink ref="F60" r:id="rId17" display="Lnk"/>
    <hyperlink ref="G60" r:id="rId18"/>
    <hyperlink ref="E56" r:id="rId19"/>
    <hyperlink ref="E48" r:id="rId20"/>
    <hyperlink ref="F48" r:id="rId21"/>
    <hyperlink ref="E49" r:id="rId22"/>
    <hyperlink ref="F49" r:id="rId23"/>
    <hyperlink ref="E50" r:id="rId24"/>
    <hyperlink ref="F50" r:id="rId25"/>
    <hyperlink ref="E51" r:id="rId26"/>
    <hyperlink ref="F51" r:id="rId27"/>
    <hyperlink ref="E52" r:id="rId28"/>
    <hyperlink ref="F52" r:id="rId29"/>
    <hyperlink ref="F57" r:id="rId30"/>
    <hyperlink ref="F58" r:id="rId31"/>
    <hyperlink ref="E58" r:id="rId32"/>
    <hyperlink ref="F61" r:id="rId33"/>
    <hyperlink ref="G61" r:id="rId34"/>
    <hyperlink ref="E62" r:id="rId35"/>
    <hyperlink ref="E63" r:id="rId36"/>
    <hyperlink ref="E64" r:id="rId37" location="overview"/>
    <hyperlink ref="F64" r:id="rId38"/>
    <hyperlink ref="E65" r:id="rId39" location="overview"/>
    <hyperlink ref="E66" r:id="rId40" location="specs"/>
    <hyperlink ref="E67" r:id="rId41"/>
    <hyperlink ref="H21:H33" r:id="rId42" display="Lnk"/>
    <hyperlink ref="E74" r:id="rId43"/>
    <hyperlink ref="E75" r:id="rId44"/>
    <hyperlink ref="F75" r:id="rId45"/>
    <hyperlink ref="E78" r:id="rId46"/>
    <hyperlink ref="E3" r:id="rId47"/>
    <hyperlink ref="F3" r:id="rId48" display="Link"/>
    <hyperlink ref="G3" r:id="rId49"/>
    <hyperlink ref="H3" r:id="rId50" display="Lnk"/>
    <hyperlink ref="E4" r:id="rId51"/>
    <hyperlink ref="E5" r:id="rId52"/>
    <hyperlink ref="F5" r:id="rId53"/>
    <hyperlink ref="G5" r:id="rId54"/>
    <hyperlink ref="E6" r:id="rId55"/>
    <hyperlink ref="J6" r:id="rId56" display="http://store.apple.com/us/product/HF5D2VC/A/wahoo-tickr-x-heart-rate-monitor"/>
    <hyperlink ref="J5" r:id="rId57" display="http://www.revolar.com/preorder/"/>
    <hyperlink ref="E7" r:id="rId58"/>
    <hyperlink ref="E9" r:id="rId59" location="features-tab"/>
    <hyperlink ref="F9" r:id="rId60" display="Lnk"/>
    <hyperlink ref="G9" r:id="rId61" display="Lnk"/>
    <hyperlink ref="H9" r:id="rId62" display="Lnk"/>
    <hyperlink ref="I9" r:id="rId63" display="Lnk"/>
    <hyperlink ref="E10" r:id="rId64"/>
    <hyperlink ref="G10" r:id="rId65" display="Lnk"/>
    <hyperlink ref="I10" r:id="rId66"/>
    <hyperlink ref="E11" r:id="rId67"/>
    <hyperlink ref="F11" r:id="rId68"/>
    <hyperlink ref="G11" r:id="rId69"/>
    <hyperlink ref="E12" r:id="rId70" location="features-tab"/>
    <hyperlink ref="F12" r:id="rId71"/>
    <hyperlink ref="G12" r:id="rId72"/>
    <hyperlink ref="E13" r:id="rId73"/>
    <hyperlink ref="F13" r:id="rId74"/>
    <hyperlink ref="E14" r:id="rId75" location="features-tab"/>
    <hyperlink ref="F14" r:id="rId76" display="Lnk"/>
    <hyperlink ref="E15" r:id="rId77" location="features-tab"/>
    <hyperlink ref="F15" r:id="rId78"/>
    <hyperlink ref="E22" r:id="rId79" display="Lnk"/>
    <hyperlink ref="F22" r:id="rId80"/>
    <hyperlink ref="E24" r:id="rId81"/>
    <hyperlink ref="E25" r:id="rId82"/>
    <hyperlink ref="E26" r:id="rId83"/>
    <hyperlink ref="E27" r:id="rId84" display="Lnk"/>
    <hyperlink ref="E23" r:id="rId85" display="Lnk"/>
    <hyperlink ref="E29" r:id="rId86"/>
    <hyperlink ref="E30" r:id="rId87"/>
    <hyperlink ref="E28" r:id="rId88"/>
    <hyperlink ref="E33" r:id="rId89"/>
    <hyperlink ref="E32" r:id="rId90"/>
    <hyperlink ref="E31" r:id="rId91"/>
    <hyperlink ref="E34" r:id="rId92"/>
    <hyperlink ref="F34" r:id="rId93"/>
    <hyperlink ref="E35" r:id="rId94"/>
    <hyperlink ref="G35" r:id="rId95"/>
    <hyperlink ref="F35" r:id="rId96"/>
    <hyperlink ref="E36" r:id="rId97"/>
    <hyperlink ref="F36" r:id="rId98"/>
    <hyperlink ref="G36" r:id="rId99"/>
    <hyperlink ref="H36" r:id="rId100"/>
    <hyperlink ref="E37" r:id="rId101"/>
    <hyperlink ref="F37" r:id="rId102"/>
    <hyperlink ref="E38" r:id="rId103"/>
    <hyperlink ref="F38" r:id="rId104"/>
    <hyperlink ref="E39" r:id="rId105"/>
    <hyperlink ref="E40" r:id="rId106"/>
    <hyperlink ref="F40" r:id="rId107"/>
    <hyperlink ref="E41" r:id="rId108"/>
    <hyperlink ref="F41" r:id="rId109"/>
    <hyperlink ref="E42" r:id="rId110"/>
    <hyperlink ref="F42" r:id="rId111"/>
    <hyperlink ref="G42" r:id="rId112"/>
    <hyperlink ref="E43" r:id="rId113"/>
    <hyperlink ref="F43" r:id="rId114"/>
    <hyperlink ref="G43" r:id="rId115"/>
    <hyperlink ref="H43" r:id="rId116" display="Lnk"/>
    <hyperlink ref="I21:I33" r:id="rId117" display="Lnk"/>
    <hyperlink ref="G46" r:id="rId118"/>
    <hyperlink ref="I59" r:id="rId119"/>
    <hyperlink ref="E45" r:id="rId120"/>
    <hyperlink ref="E16" r:id="rId121" location="70091001"/>
    <hyperlink ref="F16" r:id="rId122"/>
    <hyperlink ref="G16" r:id="rId123"/>
    <hyperlink ref="H16" r:id="rId124"/>
    <hyperlink ref="E17" r:id="rId125"/>
    <hyperlink ref="E18" r:id="rId126"/>
    <hyperlink ref="F18" r:id="rId127"/>
    <hyperlink ref="E19" r:id="rId128"/>
    <hyperlink ref="F19" r:id="rId129"/>
    <hyperlink ref="E71" r:id="rId130"/>
    <hyperlink ref="E70" r:id="rId131"/>
    <hyperlink ref="E69" r:id="rId132"/>
    <hyperlink ref="I69:I71" r:id="rId133" display="Lnk"/>
    <hyperlink ref="F73" r:id="rId134"/>
    <hyperlink ref="E73" r:id="rId135"/>
    <hyperlink ref="F28" r:id="rId136"/>
    <hyperlink ref="E77" r:id="rId137"/>
    <hyperlink ref="F77" r:id="rId138"/>
    <hyperlink ref="I3" r:id="rId139"/>
    <hyperlink ref="F4" r:id="rId140"/>
    <hyperlink ref="G4" r:id="rId141"/>
    <hyperlink ref="F6" r:id="rId142"/>
    <hyperlink ref="G6" r:id="rId143"/>
    <hyperlink ref="F7" r:id="rId144"/>
    <hyperlink ref="G7" r:id="rId145" location="gref"/>
    <hyperlink ref="E8" r:id="rId146"/>
    <hyperlink ref="F8" r:id="rId147"/>
    <hyperlink ref="G8" r:id="rId148"/>
    <hyperlink ref="G17" r:id="rId149"/>
    <hyperlink ref="I16" r:id="rId150"/>
    <hyperlink ref="H17" r:id="rId151"/>
    <hyperlink ref="G18" r:id="rId152"/>
    <hyperlink ref="H18" r:id="rId153"/>
    <hyperlink ref="E21" r:id="rId154" display="Lnk"/>
    <hyperlink ref="F21" r:id="rId155" display="Lnk"/>
    <hyperlink ref="F24" r:id="rId156" display="Lnk"/>
    <hyperlink ref="F23" r:id="rId157"/>
    <hyperlink ref="G25" r:id="rId158"/>
    <hyperlink ref="F25" r:id="rId159"/>
    <hyperlink ref="F26" r:id="rId160" display="Lnk"/>
    <hyperlink ref="F27" r:id="rId161"/>
    <hyperlink ref="G28" r:id="rId162"/>
    <hyperlink ref="F29" r:id="rId163"/>
    <hyperlink ref="F32" r:id="rId164"/>
    <hyperlink ref="G34" r:id="rId165"/>
    <hyperlink ref="I37:I41" r:id="rId166" display="Lnk"/>
    <hyperlink ref="F39" r:id="rId167"/>
    <hyperlink ref="G41" r:id="rId168"/>
    <hyperlink ref="G47" r:id="rId169" location="/"/>
    <hyperlink ref="G48" r:id="rId170"/>
    <hyperlink ref="H48" r:id="rId171"/>
    <hyperlink ref="G49" r:id="rId172"/>
    <hyperlink ref="G50" r:id="rId173"/>
    <hyperlink ref="F54" r:id="rId174"/>
    <hyperlink ref="G54" r:id="rId175"/>
    <hyperlink ref="H61" r:id="rId176"/>
    <hyperlink ref="F63" r:id="rId177"/>
    <hyperlink ref="G64" r:id="rId178"/>
    <hyperlink ref="F67" r:id="rId179"/>
    <hyperlink ref="F74" r:id="rId180"/>
    <hyperlink ref="G74" r:id="rId181"/>
    <hyperlink ref="H74" r:id="rId182"/>
    <hyperlink ref="E76" r:id="rId183"/>
  </hyperlinks>
  <pageMargins left="0.7" right="0.7" top="0.75" bottom="0.75" header="0.3" footer="0.3"/>
  <pageSetup orientation="portrait" horizontalDpi="1200" verticalDpi="1200" r:id="rId184"/>
  <legacyDrawing r:id="rId18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IJ74"/>
  <sheetViews>
    <sheetView zoomScale="70" zoomScaleNormal="70" workbookViewId="0">
      <pane xSplit="2" ySplit="2" topLeftCell="BX52" activePane="bottomRight" state="frozen"/>
      <selection pane="topRight" activeCell="C1" sqref="C1"/>
      <selection pane="bottomLeft" activeCell="A3" sqref="A3"/>
      <selection pane="bottomRight" activeCell="CH59" sqref="CH59"/>
    </sheetView>
  </sheetViews>
  <sheetFormatPr defaultColWidth="9" defaultRowHeight="13.8"/>
  <cols>
    <col min="1" max="1" width="5.6640625" style="9" bestFit="1" customWidth="1"/>
    <col min="2" max="2" width="16" style="9" bestFit="1" customWidth="1"/>
    <col min="3" max="3" width="9.44140625" style="9" customWidth="1"/>
    <col min="4" max="4" width="19.88671875" style="137" bestFit="1" customWidth="1"/>
    <col min="5" max="5" width="4.88671875" style="9" customWidth="1"/>
    <col min="6" max="8" width="5.44140625" style="9" bestFit="1" customWidth="1"/>
    <col min="9" max="9" width="4.88671875" style="9" customWidth="1"/>
    <col min="10" max="10" width="11.33203125" style="125" bestFit="1" customWidth="1"/>
    <col min="11" max="11" width="7.6640625" style="326" customWidth="1"/>
    <col min="12" max="12" width="7.6640625" style="350" customWidth="1"/>
    <col min="13" max="13" width="61.88671875" style="9" customWidth="1"/>
    <col min="14" max="14" width="11.109375" style="9" bestFit="1" customWidth="1"/>
    <col min="15" max="15" width="10.6640625" style="9" bestFit="1" customWidth="1"/>
    <col min="16" max="16" width="17.109375" style="9" customWidth="1"/>
    <col min="17" max="17" width="6.6640625" style="9" bestFit="1" customWidth="1"/>
    <col min="18" max="18" width="14.88671875" style="9" customWidth="1"/>
    <col min="19" max="19" width="11.5546875" style="9" bestFit="1" customWidth="1"/>
    <col min="20" max="20" width="8" style="9" bestFit="1" customWidth="1"/>
    <col min="21" max="29" width="7.44140625" style="9" bestFit="1" customWidth="1"/>
    <col min="30" max="31" width="7.88671875" style="9" bestFit="1" customWidth="1"/>
    <col min="32" max="32" width="9.6640625" style="9" customWidth="1"/>
    <col min="33" max="33" width="8" style="9" customWidth="1"/>
    <col min="34" max="34" width="10.88671875" style="9" bestFit="1" customWidth="1"/>
    <col min="35" max="35" width="6.88671875" style="9" bestFit="1" customWidth="1"/>
    <col min="36" max="36" width="8" style="9" bestFit="1" customWidth="1"/>
    <col min="37" max="37" width="7.44140625" style="9" bestFit="1" customWidth="1"/>
    <col min="38" max="38" width="7.33203125" style="9" customWidth="1"/>
    <col min="39" max="39" width="7.5546875" style="9" bestFit="1" customWidth="1"/>
    <col min="40" max="40" width="8.6640625" style="9" bestFit="1" customWidth="1"/>
    <col min="41" max="41" width="8.5546875" style="9" customWidth="1"/>
    <col min="42" max="42" width="13" style="9" bestFit="1" customWidth="1"/>
    <col min="43" max="43" width="12.88671875" style="316" customWidth="1"/>
    <col min="44" max="44" width="11.6640625" style="9" bestFit="1" customWidth="1"/>
    <col min="45" max="45" width="9.88671875" style="9" customWidth="1"/>
    <col min="46" max="46" width="9.109375" style="9" customWidth="1"/>
    <col min="47" max="48" width="6.44140625" style="9" customWidth="1"/>
    <col min="49" max="49" width="8.6640625" style="9" bestFit="1" customWidth="1"/>
    <col min="50" max="51" width="6.44140625" style="9" customWidth="1"/>
    <col min="52" max="52" width="9.6640625" style="125" bestFit="1" customWidth="1"/>
    <col min="53" max="53" width="9.6640625" style="9" bestFit="1" customWidth="1"/>
    <col min="54" max="54" width="10.109375" style="9" bestFit="1" customWidth="1"/>
    <col min="55" max="55" width="11.88671875" style="9" bestFit="1" customWidth="1"/>
    <col min="56" max="56" width="8.44140625" style="9" bestFit="1" customWidth="1"/>
    <col min="57" max="57" width="10.33203125" style="9" bestFit="1" customWidth="1"/>
    <col min="58" max="58" width="9.44140625" style="9" bestFit="1" customWidth="1"/>
    <col min="59" max="59" width="11.88671875" style="9" bestFit="1" customWidth="1"/>
    <col min="60" max="60" width="9.44140625" style="9" bestFit="1" customWidth="1"/>
    <col min="61" max="61" width="10.44140625" style="9" bestFit="1" customWidth="1"/>
    <col min="62" max="62" width="9" style="9" bestFit="1" customWidth="1"/>
    <col min="63" max="63" width="13.88671875" style="9" bestFit="1" customWidth="1"/>
    <col min="64" max="64" width="14.44140625" style="125" bestFit="1" customWidth="1"/>
    <col min="65" max="65" width="12.109375" style="125" bestFit="1" customWidth="1"/>
    <col min="66" max="66" width="12.109375" style="125" customWidth="1"/>
    <col min="67" max="67" width="13.6640625" style="282" bestFit="1" customWidth="1"/>
    <col min="68" max="68" width="9.33203125" style="9" customWidth="1"/>
    <col min="69" max="69" width="3.6640625" style="9" customWidth="1"/>
    <col min="70" max="70" width="8.33203125" style="9" bestFit="1" customWidth="1"/>
    <col min="71" max="71" width="9.6640625" style="9" bestFit="1" customWidth="1"/>
    <col min="72" max="72" width="6.44140625" style="9" customWidth="1"/>
    <col min="73" max="73" width="7.5546875" style="9" bestFit="1" customWidth="1"/>
    <col min="74" max="74" width="7.88671875" style="9" customWidth="1"/>
    <col min="75" max="75" width="7.88671875" style="9" bestFit="1" customWidth="1"/>
    <col min="76" max="76" width="9.6640625" style="340" customWidth="1"/>
    <col min="77" max="77" width="9.6640625" style="348" customWidth="1"/>
    <col min="78" max="78" width="12.109375" style="348" bestFit="1" customWidth="1"/>
    <col min="79" max="80" width="6.88671875" style="9" customWidth="1"/>
    <col min="81" max="81" width="7.88671875" style="9" customWidth="1"/>
    <col min="82" max="82" width="18.44140625" style="9" customWidth="1"/>
    <col min="83" max="84" width="10.33203125" style="9" customWidth="1"/>
    <col min="85" max="85" width="9.88671875" style="9" customWidth="1"/>
    <col min="86" max="86" width="9.5546875" style="9" customWidth="1"/>
    <col min="87" max="87" width="9.33203125" style="330" customWidth="1"/>
    <col min="88" max="88" width="10" style="330" customWidth="1"/>
    <col min="89" max="89" width="11.6640625" style="330" customWidth="1"/>
    <col min="90" max="91" width="61.6640625" style="9" customWidth="1"/>
    <col min="92" max="92" width="65.44140625" style="9" customWidth="1"/>
    <col min="93" max="93" width="6" style="130" customWidth="1"/>
    <col min="94" max="94" width="8.5546875" style="125" bestFit="1" customWidth="1"/>
    <col min="95" max="95" width="5.109375" style="125" customWidth="1"/>
    <col min="96" max="96" width="4.5546875" style="130" customWidth="1"/>
    <col min="97" max="97" width="4.44140625" style="130" customWidth="1"/>
    <col min="98" max="98" width="6" style="130" customWidth="1"/>
    <col min="99" max="99" width="8.5546875" style="125" bestFit="1" customWidth="1"/>
    <col min="100" max="100" width="5.109375" style="125" customWidth="1"/>
    <col min="101" max="101" width="5" style="130" customWidth="1"/>
    <col min="102" max="102" width="6.6640625" style="130" bestFit="1" customWidth="1"/>
    <col min="103" max="104" width="6.33203125" style="9" customWidth="1"/>
    <col min="105" max="111" width="6.109375" style="9" customWidth="1"/>
    <col min="112" max="112" width="4.6640625" style="9" customWidth="1"/>
    <col min="113" max="113" width="7.88671875" style="125" bestFit="1" customWidth="1"/>
    <col min="114" max="115" width="6.33203125" style="9" customWidth="1"/>
    <col min="116" max="122" width="6.109375" style="9" customWidth="1"/>
    <col min="123" max="124" width="4.6640625" style="9" customWidth="1"/>
    <col min="125" max="133" width="6.6640625" style="9" customWidth="1"/>
    <col min="134" max="134" width="4.6640625" style="9" customWidth="1"/>
    <col min="135" max="135" width="5.33203125" style="125" customWidth="1"/>
    <col min="136" max="136" width="6" style="9" customWidth="1"/>
    <col min="137" max="138" width="5.109375" style="9" customWidth="1"/>
    <col min="139" max="139" width="5" style="9" customWidth="1"/>
    <col min="140" max="140" width="4.33203125" style="9" customWidth="1"/>
    <col min="141" max="141" width="6" style="9" customWidth="1"/>
    <col min="142" max="143" width="5.109375" style="9" customWidth="1"/>
    <col min="144" max="145" width="6.44140625" style="9" customWidth="1"/>
    <col min="146" max="146" width="6.109375" style="9" customWidth="1"/>
    <col min="147" max="147" width="5.33203125" style="9" customWidth="1"/>
    <col min="148" max="148" width="8.5546875" style="9" bestFit="1" customWidth="1"/>
    <col min="149" max="150" width="6.44140625" style="9" customWidth="1"/>
    <col min="151" max="151" width="6.109375" style="9" customWidth="1"/>
    <col min="152" max="153" width="5.33203125" style="9" customWidth="1"/>
    <col min="154" max="155" width="6.44140625" style="9" customWidth="1"/>
    <col min="156" max="156" width="6.109375" style="9" customWidth="1"/>
    <col min="157" max="158" width="5.33203125" style="9" customWidth="1"/>
    <col min="159" max="159" width="5" style="9" customWidth="1"/>
    <col min="160" max="160" width="3.88671875" style="9" customWidth="1"/>
    <col min="161" max="161" width="6.109375" style="9" customWidth="1"/>
    <col min="162" max="163" width="5.33203125" style="125" customWidth="1"/>
    <col min="164" max="165" width="5.109375" style="125" customWidth="1"/>
    <col min="166" max="166" width="6" style="9" customWidth="1"/>
    <col min="167" max="168" width="5.109375" style="9" customWidth="1"/>
    <col min="169" max="169" width="4.88671875" style="9" customWidth="1"/>
    <col min="170" max="170" width="4.44140625" style="9" customWidth="1"/>
    <col min="171" max="171" width="6.109375" style="9" customWidth="1"/>
    <col min="172" max="173" width="5.33203125" style="9" customWidth="1"/>
    <col min="174" max="174" width="5" style="9" customWidth="1"/>
    <col min="175" max="175" width="3.88671875" style="9" customWidth="1"/>
    <col min="176" max="176" width="6.109375" style="9" customWidth="1"/>
    <col min="177" max="178" width="5.33203125" style="9" customWidth="1"/>
    <col min="179" max="179" width="5" style="9" customWidth="1"/>
    <col min="180" max="180" width="3.88671875" style="9" customWidth="1"/>
    <col min="181" max="181" width="6.109375" style="9" customWidth="1"/>
    <col min="182" max="183" width="5.33203125" style="9" customWidth="1"/>
    <col min="184" max="184" width="5" style="9" customWidth="1"/>
    <col min="185" max="185" width="3.88671875" style="9" customWidth="1"/>
    <col min="186" max="186" width="6.109375" style="9" customWidth="1"/>
    <col min="187" max="188" width="5.33203125" style="9" customWidth="1"/>
    <col min="189" max="189" width="5" style="9" customWidth="1"/>
    <col min="190" max="190" width="3.88671875" style="9" customWidth="1"/>
    <col min="191" max="191" width="6.109375" style="9" customWidth="1"/>
    <col min="192" max="192" width="5.33203125" style="9" customWidth="1"/>
    <col min="193" max="193" width="5.33203125" style="125" customWidth="1"/>
    <col min="194" max="194" width="5" style="9" customWidth="1"/>
    <col min="195" max="195" width="4.44140625" style="9" customWidth="1"/>
    <col min="196" max="196" width="6.109375" style="9" customWidth="1"/>
    <col min="197" max="198" width="5.33203125" style="9" customWidth="1"/>
    <col min="199" max="199" width="5" style="9" customWidth="1"/>
    <col min="200" max="200" width="3.88671875" style="9" customWidth="1"/>
    <col min="201" max="201" width="6.109375" style="9" customWidth="1"/>
    <col min="202" max="203" width="5.33203125" style="9" customWidth="1"/>
    <col min="204" max="204" width="5" style="9" customWidth="1"/>
    <col min="205" max="205" width="3.88671875" style="9" customWidth="1"/>
    <col min="206" max="206" width="9" style="318" customWidth="1"/>
    <col min="207" max="213" width="9" style="9" customWidth="1"/>
    <col min="214" max="243" width="9.109375" style="9" bestFit="1" customWidth="1"/>
    <col min="244" max="16384" width="9" style="9"/>
  </cols>
  <sheetData>
    <row r="1" spans="1:243" ht="15.6" thickBot="1">
      <c r="A1" s="82"/>
      <c r="B1" s="83"/>
      <c r="C1" s="733" t="s">
        <v>91</v>
      </c>
      <c r="D1" s="733"/>
      <c r="E1" s="733"/>
      <c r="F1" s="733"/>
      <c r="G1" s="733"/>
      <c r="H1" s="733"/>
      <c r="I1" s="733"/>
      <c r="J1" s="733"/>
      <c r="K1" s="733"/>
      <c r="L1" s="734"/>
      <c r="M1" s="762" t="s">
        <v>67</v>
      </c>
      <c r="N1" s="763"/>
      <c r="O1" s="763"/>
      <c r="P1" s="763"/>
      <c r="Q1" s="763"/>
      <c r="R1" s="763"/>
      <c r="S1" s="763"/>
      <c r="T1" s="763"/>
      <c r="U1" s="763"/>
      <c r="V1" s="763"/>
      <c r="W1" s="763"/>
      <c r="X1" s="763"/>
      <c r="Y1" s="763"/>
      <c r="Z1" s="763"/>
      <c r="AA1" s="763"/>
      <c r="AB1" s="763"/>
      <c r="AC1" s="763"/>
      <c r="AD1" s="763"/>
      <c r="AE1" s="763"/>
      <c r="AF1" s="763"/>
      <c r="AG1" s="763"/>
      <c r="AH1" s="763"/>
      <c r="AI1" s="763"/>
      <c r="AJ1" s="763"/>
      <c r="AK1" s="764"/>
      <c r="AL1" s="418"/>
      <c r="AM1" s="756" t="s">
        <v>66</v>
      </c>
      <c r="AN1" s="756"/>
      <c r="AO1" s="756"/>
      <c r="AP1" s="756"/>
      <c r="AQ1" s="756"/>
      <c r="AR1" s="757"/>
      <c r="AS1" s="335" t="s">
        <v>774</v>
      </c>
      <c r="AT1" s="232"/>
      <c r="AU1" s="232"/>
      <c r="AV1" s="232"/>
      <c r="AW1" s="232"/>
      <c r="AX1" s="232"/>
      <c r="AY1" s="232"/>
      <c r="AZ1" s="232"/>
      <c r="BA1" s="232"/>
      <c r="BB1" s="232"/>
      <c r="BC1" s="232"/>
      <c r="BD1" s="232"/>
      <c r="BE1" s="232"/>
      <c r="BF1" s="232"/>
      <c r="BG1" s="232"/>
      <c r="BH1" s="232"/>
      <c r="BI1" s="232"/>
      <c r="BJ1" s="232"/>
      <c r="BK1" s="244" t="s">
        <v>516</v>
      </c>
      <c r="BL1" s="241">
        <v>0.01</v>
      </c>
      <c r="BP1" s="711" t="s">
        <v>736</v>
      </c>
      <c r="BQ1" s="712"/>
      <c r="BR1" s="712"/>
      <c r="BS1" s="712"/>
      <c r="BT1" s="712"/>
      <c r="BU1" s="712"/>
      <c r="BV1" s="712"/>
      <c r="BW1" s="712"/>
      <c r="BX1" s="712"/>
      <c r="BY1" s="712"/>
      <c r="BZ1" s="713"/>
      <c r="CA1" s="748" t="s">
        <v>72</v>
      </c>
      <c r="CB1" s="749"/>
      <c r="CC1" s="711" t="s">
        <v>275</v>
      </c>
      <c r="CD1" s="712"/>
      <c r="CE1" s="712"/>
      <c r="CF1" s="712"/>
      <c r="CG1" s="712"/>
      <c r="CH1" s="712"/>
      <c r="CI1" s="750" t="s">
        <v>255</v>
      </c>
      <c r="CJ1" s="751"/>
      <c r="CK1" s="752"/>
      <c r="CL1" s="747" t="s">
        <v>103</v>
      </c>
      <c r="CM1" s="712"/>
      <c r="CN1" s="713"/>
      <c r="CO1" s="727" t="s">
        <v>410</v>
      </c>
      <c r="CP1" s="728"/>
      <c r="CQ1" s="728"/>
      <c r="CR1" s="728"/>
      <c r="CS1" s="729"/>
      <c r="CT1" s="735" t="s">
        <v>411</v>
      </c>
      <c r="CU1" s="736"/>
      <c r="CV1" s="736"/>
      <c r="CW1" s="736"/>
      <c r="CX1" s="737"/>
      <c r="CY1" s="682" t="s">
        <v>434</v>
      </c>
      <c r="CZ1" s="683"/>
      <c r="DA1" s="683"/>
      <c r="DB1" s="683"/>
      <c r="DC1" s="683"/>
      <c r="DD1" s="683"/>
      <c r="DE1" s="683"/>
      <c r="DF1" s="683"/>
      <c r="DG1" s="683"/>
      <c r="DH1" s="683"/>
      <c r="DI1" s="684"/>
      <c r="DJ1" s="679" t="s">
        <v>162</v>
      </c>
      <c r="DK1" s="680"/>
      <c r="DL1" s="680"/>
      <c r="DM1" s="680"/>
      <c r="DN1" s="680"/>
      <c r="DO1" s="680"/>
      <c r="DP1" s="680"/>
      <c r="DQ1" s="680"/>
      <c r="DR1" s="680"/>
      <c r="DS1" s="680"/>
      <c r="DT1" s="681"/>
      <c r="DU1" s="682" t="s">
        <v>455</v>
      </c>
      <c r="DV1" s="683"/>
      <c r="DW1" s="683"/>
      <c r="DX1" s="683"/>
      <c r="DY1" s="683"/>
      <c r="DZ1" s="683"/>
      <c r="EA1" s="683"/>
      <c r="EB1" s="683"/>
      <c r="EC1" s="683"/>
      <c r="ED1" s="683"/>
      <c r="EE1" s="684"/>
      <c r="EF1" s="679" t="s">
        <v>419</v>
      </c>
      <c r="EG1" s="680"/>
      <c r="EH1" s="680"/>
      <c r="EI1" s="680"/>
      <c r="EJ1" s="681"/>
      <c r="EK1" s="682" t="s">
        <v>420</v>
      </c>
      <c r="EL1" s="683"/>
      <c r="EM1" s="683"/>
      <c r="EN1" s="683"/>
      <c r="EO1" s="684"/>
      <c r="EP1" s="679" t="s">
        <v>470</v>
      </c>
      <c r="EQ1" s="680"/>
      <c r="ER1" s="680"/>
      <c r="ES1" s="680"/>
      <c r="ET1" s="681"/>
      <c r="EU1" s="682" t="s">
        <v>317</v>
      </c>
      <c r="EV1" s="683"/>
      <c r="EW1" s="683"/>
      <c r="EX1" s="683"/>
      <c r="EY1" s="684"/>
      <c r="EZ1" s="679" t="s">
        <v>422</v>
      </c>
      <c r="FA1" s="680"/>
      <c r="FB1" s="680"/>
      <c r="FC1" s="680"/>
      <c r="FD1" s="681"/>
      <c r="FE1" s="682" t="s">
        <v>421</v>
      </c>
      <c r="FF1" s="683"/>
      <c r="FG1" s="683"/>
      <c r="FH1" s="683"/>
      <c r="FI1" s="684"/>
      <c r="FJ1" s="679" t="s">
        <v>482</v>
      </c>
      <c r="FK1" s="680"/>
      <c r="FL1" s="680"/>
      <c r="FM1" s="680"/>
      <c r="FN1" s="681"/>
      <c r="FO1" s="682" t="s">
        <v>423</v>
      </c>
      <c r="FP1" s="683"/>
      <c r="FQ1" s="683"/>
      <c r="FR1" s="683"/>
      <c r="FS1" s="684"/>
      <c r="FT1" s="679" t="s">
        <v>424</v>
      </c>
      <c r="FU1" s="680"/>
      <c r="FV1" s="680"/>
      <c r="FW1" s="680"/>
      <c r="FX1" s="681"/>
      <c r="FY1" s="682" t="s">
        <v>425</v>
      </c>
      <c r="FZ1" s="683"/>
      <c r="GA1" s="683"/>
      <c r="GB1" s="683"/>
      <c r="GC1" s="684"/>
      <c r="GD1" s="679" t="s">
        <v>426</v>
      </c>
      <c r="GE1" s="680"/>
      <c r="GF1" s="680"/>
      <c r="GG1" s="680"/>
      <c r="GH1" s="681"/>
      <c r="GI1" s="682" t="s">
        <v>427</v>
      </c>
      <c r="GJ1" s="683"/>
      <c r="GK1" s="683"/>
      <c r="GL1" s="683"/>
      <c r="GM1" s="684"/>
      <c r="GN1" s="679" t="s">
        <v>428</v>
      </c>
      <c r="GO1" s="680"/>
      <c r="GP1" s="680"/>
      <c r="GQ1" s="680"/>
      <c r="GR1" s="681"/>
      <c r="GS1" s="682" t="s">
        <v>429</v>
      </c>
      <c r="GT1" s="683"/>
      <c r="GU1" s="683"/>
      <c r="GV1" s="683"/>
      <c r="GW1" s="684"/>
      <c r="GX1" s="679" t="s">
        <v>12</v>
      </c>
      <c r="GY1" s="705"/>
      <c r="GZ1" s="680"/>
      <c r="HA1" s="680"/>
      <c r="HB1" s="680"/>
      <c r="HC1" s="680"/>
      <c r="HD1" s="680"/>
      <c r="HE1" s="681"/>
      <c r="HF1" s="717" t="s">
        <v>843</v>
      </c>
      <c r="HG1" s="718"/>
      <c r="HH1" s="719"/>
      <c r="HI1" s="719"/>
      <c r="HJ1" s="719"/>
      <c r="HK1" s="719"/>
      <c r="HL1" s="719"/>
      <c r="HM1" s="719"/>
      <c r="HN1" s="719"/>
      <c r="HO1" s="719"/>
      <c r="HP1" s="719"/>
      <c r="HQ1" s="719"/>
      <c r="HR1" s="719"/>
      <c r="HS1" s="719"/>
      <c r="HT1" s="719"/>
      <c r="HU1" s="719"/>
      <c r="HV1" s="719"/>
      <c r="HW1" s="719"/>
      <c r="HX1" s="719"/>
      <c r="HY1" s="719"/>
      <c r="HZ1" s="719"/>
      <c r="IA1" s="719"/>
      <c r="IB1" s="719"/>
      <c r="IC1" s="719"/>
      <c r="ID1" s="719"/>
      <c r="IE1" s="719"/>
      <c r="IF1" s="719"/>
      <c r="IG1" s="719"/>
      <c r="IH1" s="719"/>
      <c r="II1" s="720"/>
    </row>
    <row r="2" spans="1:243" s="119" customFormat="1" ht="97.2" thickBot="1">
      <c r="A2" s="84" t="s">
        <v>59</v>
      </c>
      <c r="B2" s="84" t="s">
        <v>56</v>
      </c>
      <c r="C2" s="108" t="s">
        <v>24</v>
      </c>
      <c r="D2" s="114" t="s">
        <v>25</v>
      </c>
      <c r="E2" s="494" t="s">
        <v>60</v>
      </c>
      <c r="F2" s="494" t="s">
        <v>61</v>
      </c>
      <c r="G2" s="494" t="s">
        <v>62</v>
      </c>
      <c r="H2" s="494" t="s">
        <v>63</v>
      </c>
      <c r="I2" s="109" t="s">
        <v>64</v>
      </c>
      <c r="J2" s="485" t="s">
        <v>32</v>
      </c>
      <c r="K2" s="486" t="s">
        <v>762</v>
      </c>
      <c r="L2" s="487" t="s">
        <v>763</v>
      </c>
      <c r="M2" s="488" t="s">
        <v>335</v>
      </c>
      <c r="N2" s="488" t="s">
        <v>284</v>
      </c>
      <c r="O2" s="488" t="s">
        <v>340</v>
      </c>
      <c r="P2" s="489" t="s">
        <v>45</v>
      </c>
      <c r="Q2" s="488" t="s">
        <v>547</v>
      </c>
      <c r="R2" s="488" t="s">
        <v>336</v>
      </c>
      <c r="S2" s="489" t="s">
        <v>43</v>
      </c>
      <c r="T2" s="488" t="s">
        <v>42</v>
      </c>
      <c r="U2" s="489" t="s">
        <v>367</v>
      </c>
      <c r="V2" s="489" t="s">
        <v>118</v>
      </c>
      <c r="W2" s="489" t="s">
        <v>364</v>
      </c>
      <c r="X2" s="489" t="s">
        <v>365</v>
      </c>
      <c r="Y2" s="489" t="s">
        <v>366</v>
      </c>
      <c r="Z2" s="489" t="s">
        <v>370</v>
      </c>
      <c r="AA2" s="489" t="s">
        <v>371</v>
      </c>
      <c r="AB2" s="489" t="s">
        <v>372</v>
      </c>
      <c r="AC2" s="489" t="s">
        <v>373</v>
      </c>
      <c r="AD2" s="490" t="s">
        <v>258</v>
      </c>
      <c r="AE2" s="490" t="s">
        <v>259</v>
      </c>
      <c r="AF2" s="490" t="s">
        <v>261</v>
      </c>
      <c r="AG2" s="490" t="s">
        <v>262</v>
      </c>
      <c r="AH2" s="491" t="s">
        <v>126</v>
      </c>
      <c r="AI2" s="491" t="s">
        <v>302</v>
      </c>
      <c r="AJ2" s="489" t="s">
        <v>117</v>
      </c>
      <c r="AK2" s="492" t="s">
        <v>119</v>
      </c>
      <c r="AL2" s="399" t="s">
        <v>28</v>
      </c>
      <c r="AM2" s="493" t="s">
        <v>26</v>
      </c>
      <c r="AN2" s="494" t="s">
        <v>27</v>
      </c>
      <c r="AO2" s="366" t="s">
        <v>74</v>
      </c>
      <c r="AP2" s="495" t="s">
        <v>75</v>
      </c>
      <c r="AQ2" s="496" t="s">
        <v>750</v>
      </c>
      <c r="AR2" s="497" t="s">
        <v>12</v>
      </c>
      <c r="AS2" s="305" t="s">
        <v>518</v>
      </c>
      <c r="AT2" s="306" t="s">
        <v>519</v>
      </c>
      <c r="AU2" s="488" t="s">
        <v>404</v>
      </c>
      <c r="AV2" s="488" t="s">
        <v>403</v>
      </c>
      <c r="AW2" s="488" t="s">
        <v>254</v>
      </c>
      <c r="AX2" s="488" t="s">
        <v>253</v>
      </c>
      <c r="AY2" s="488" t="s">
        <v>252</v>
      </c>
      <c r="AZ2" s="498" t="s">
        <v>156</v>
      </c>
      <c r="BA2" s="488" t="s">
        <v>268</v>
      </c>
      <c r="BB2" s="488" t="s">
        <v>1014</v>
      </c>
      <c r="BC2" s="488" t="s">
        <v>955</v>
      </c>
      <c r="BD2" s="489" t="s">
        <v>956</v>
      </c>
      <c r="BE2" s="489" t="s">
        <v>299</v>
      </c>
      <c r="BF2" s="489" t="s">
        <v>298</v>
      </c>
      <c r="BG2" s="489" t="s">
        <v>29</v>
      </c>
      <c r="BH2" s="489" t="s">
        <v>30</v>
      </c>
      <c r="BI2" s="489" t="s">
        <v>31</v>
      </c>
      <c r="BJ2" s="489" t="s">
        <v>83</v>
      </c>
      <c r="BK2" s="489" t="s">
        <v>266</v>
      </c>
      <c r="BL2" s="499" t="s">
        <v>526</v>
      </c>
      <c r="BM2" s="500" t="s">
        <v>529</v>
      </c>
      <c r="BN2" s="500" t="s">
        <v>1010</v>
      </c>
      <c r="BO2" s="501" t="s">
        <v>525</v>
      </c>
      <c r="BP2" s="502" t="s">
        <v>38</v>
      </c>
      <c r="BQ2" s="503" t="s">
        <v>33</v>
      </c>
      <c r="BR2" s="494" t="s">
        <v>247</v>
      </c>
      <c r="BS2" s="494" t="s">
        <v>78</v>
      </c>
      <c r="BT2" s="494" t="s">
        <v>34</v>
      </c>
      <c r="BU2" s="494" t="s">
        <v>35</v>
      </c>
      <c r="BV2" s="494" t="s">
        <v>36</v>
      </c>
      <c r="BW2" s="494" t="s">
        <v>41</v>
      </c>
      <c r="BX2" s="504" t="s">
        <v>50</v>
      </c>
      <c r="BY2" s="366" t="s">
        <v>569</v>
      </c>
      <c r="BZ2" s="505" t="s">
        <v>557</v>
      </c>
      <c r="CA2" s="506" t="s">
        <v>46</v>
      </c>
      <c r="CB2" s="492" t="s">
        <v>47</v>
      </c>
      <c r="CC2" s="502" t="s">
        <v>58</v>
      </c>
      <c r="CD2" s="494" t="s">
        <v>48</v>
      </c>
      <c r="CE2" s="503" t="s">
        <v>249</v>
      </c>
      <c r="CF2" s="494" t="s">
        <v>51</v>
      </c>
      <c r="CG2" s="494" t="s">
        <v>53</v>
      </c>
      <c r="CH2" s="495" t="s">
        <v>54</v>
      </c>
      <c r="CI2" s="507" t="s">
        <v>257</v>
      </c>
      <c r="CJ2" s="508" t="s">
        <v>957</v>
      </c>
      <c r="CK2" s="509" t="s">
        <v>256</v>
      </c>
      <c r="CL2" s="510" t="s">
        <v>55</v>
      </c>
      <c r="CM2" s="511" t="s">
        <v>343</v>
      </c>
      <c r="CN2" s="497" t="s">
        <v>146</v>
      </c>
      <c r="CO2" s="182" t="s">
        <v>407</v>
      </c>
      <c r="CP2" s="181" t="s">
        <v>408</v>
      </c>
      <c r="CQ2" s="181" t="s">
        <v>409</v>
      </c>
      <c r="CR2" s="185" t="s">
        <v>412</v>
      </c>
      <c r="CS2" s="186" t="s">
        <v>413</v>
      </c>
      <c r="CT2" s="187" t="s">
        <v>407</v>
      </c>
      <c r="CU2" s="180" t="s">
        <v>408</v>
      </c>
      <c r="CV2" s="180" t="s">
        <v>409</v>
      </c>
      <c r="CW2" s="188" t="s">
        <v>414</v>
      </c>
      <c r="CX2" s="28" t="s">
        <v>415</v>
      </c>
      <c r="CY2" s="29" t="s">
        <v>435</v>
      </c>
      <c r="CZ2" s="29" t="s">
        <v>436</v>
      </c>
      <c r="DA2" s="181" t="s">
        <v>439</v>
      </c>
      <c r="DB2" s="181" t="s">
        <v>440</v>
      </c>
      <c r="DC2" s="181" t="s">
        <v>441</v>
      </c>
      <c r="DD2" s="181" t="s">
        <v>442</v>
      </c>
      <c r="DE2" s="181" t="s">
        <v>443</v>
      </c>
      <c r="DF2" s="181" t="s">
        <v>444</v>
      </c>
      <c r="DG2" s="181" t="s">
        <v>445</v>
      </c>
      <c r="DH2" s="181" t="s">
        <v>437</v>
      </c>
      <c r="DI2" s="196" t="s">
        <v>438</v>
      </c>
      <c r="DJ2" s="32" t="s">
        <v>435</v>
      </c>
      <c r="DK2" s="32" t="s">
        <v>436</v>
      </c>
      <c r="DL2" s="180" t="s">
        <v>448</v>
      </c>
      <c r="DM2" s="180" t="s">
        <v>449</v>
      </c>
      <c r="DN2" s="180" t="s">
        <v>450</v>
      </c>
      <c r="DO2" s="180" t="s">
        <v>451</v>
      </c>
      <c r="DP2" s="180" t="s">
        <v>452</v>
      </c>
      <c r="DQ2" s="180" t="s">
        <v>453</v>
      </c>
      <c r="DR2" s="180" t="s">
        <v>454</v>
      </c>
      <c r="DS2" s="180" t="s">
        <v>437</v>
      </c>
      <c r="DT2" s="197" t="s">
        <v>438</v>
      </c>
      <c r="DU2" s="29" t="s">
        <v>435</v>
      </c>
      <c r="DV2" s="29" t="s">
        <v>436</v>
      </c>
      <c r="DW2" s="181" t="s">
        <v>456</v>
      </c>
      <c r="DX2" s="181" t="s">
        <v>457</v>
      </c>
      <c r="DY2" s="181" t="s">
        <v>458</v>
      </c>
      <c r="DZ2" s="181" t="s">
        <v>459</v>
      </c>
      <c r="EA2" s="181" t="s">
        <v>460</v>
      </c>
      <c r="EB2" s="181" t="s">
        <v>461</v>
      </c>
      <c r="EC2" s="181" t="s">
        <v>462</v>
      </c>
      <c r="ED2" s="181" t="s">
        <v>437</v>
      </c>
      <c r="EE2" s="196" t="s">
        <v>438</v>
      </c>
      <c r="EF2" s="32" t="s">
        <v>407</v>
      </c>
      <c r="EG2" s="180" t="s">
        <v>408</v>
      </c>
      <c r="EH2" s="180" t="s">
        <v>409</v>
      </c>
      <c r="EI2" s="27" t="s">
        <v>465</v>
      </c>
      <c r="EJ2" s="179" t="s">
        <v>466</v>
      </c>
      <c r="EK2" s="29" t="s">
        <v>407</v>
      </c>
      <c r="EL2" s="181" t="s">
        <v>408</v>
      </c>
      <c r="EM2" s="181" t="s">
        <v>409</v>
      </c>
      <c r="EN2" s="30" t="s">
        <v>468</v>
      </c>
      <c r="EO2" s="31" t="s">
        <v>469</v>
      </c>
      <c r="EP2" s="32" t="s">
        <v>407</v>
      </c>
      <c r="EQ2" s="180" t="s">
        <v>408</v>
      </c>
      <c r="ER2" s="180" t="s">
        <v>409</v>
      </c>
      <c r="ES2" s="27" t="s">
        <v>474</v>
      </c>
      <c r="ET2" s="179" t="s">
        <v>475</v>
      </c>
      <c r="EU2" s="29" t="s">
        <v>407</v>
      </c>
      <c r="EV2" s="181" t="s">
        <v>408</v>
      </c>
      <c r="EW2" s="181" t="s">
        <v>409</v>
      </c>
      <c r="EX2" s="30" t="s">
        <v>476</v>
      </c>
      <c r="EY2" s="31" t="s">
        <v>477</v>
      </c>
      <c r="EZ2" s="32" t="s">
        <v>407</v>
      </c>
      <c r="FA2" s="180" t="s">
        <v>408</v>
      </c>
      <c r="FB2" s="180" t="s">
        <v>409</v>
      </c>
      <c r="FC2" s="27" t="s">
        <v>476</v>
      </c>
      <c r="FD2" s="179" t="s">
        <v>477</v>
      </c>
      <c r="FE2" s="29" t="s">
        <v>407</v>
      </c>
      <c r="FF2" s="181" t="s">
        <v>408</v>
      </c>
      <c r="FG2" s="181" t="s">
        <v>409</v>
      </c>
      <c r="FH2" s="181" t="s">
        <v>478</v>
      </c>
      <c r="FI2" s="196" t="s">
        <v>479</v>
      </c>
      <c r="FJ2" s="32" t="s">
        <v>407</v>
      </c>
      <c r="FK2" s="180" t="s">
        <v>408</v>
      </c>
      <c r="FL2" s="180" t="s">
        <v>409</v>
      </c>
      <c r="FM2" s="27" t="s">
        <v>483</v>
      </c>
      <c r="FN2" s="179" t="s">
        <v>484</v>
      </c>
      <c r="FO2" s="29" t="s">
        <v>407</v>
      </c>
      <c r="FP2" s="181" t="s">
        <v>408</v>
      </c>
      <c r="FQ2" s="181" t="s">
        <v>409</v>
      </c>
      <c r="FR2" s="30" t="s">
        <v>476</v>
      </c>
      <c r="FS2" s="31" t="s">
        <v>477</v>
      </c>
      <c r="FT2" s="32" t="s">
        <v>407</v>
      </c>
      <c r="FU2" s="180" t="s">
        <v>408</v>
      </c>
      <c r="FV2" s="180" t="s">
        <v>409</v>
      </c>
      <c r="FW2" s="27" t="s">
        <v>476</v>
      </c>
      <c r="FX2" s="179" t="s">
        <v>477</v>
      </c>
      <c r="FY2" s="29" t="s">
        <v>407</v>
      </c>
      <c r="FZ2" s="181" t="s">
        <v>408</v>
      </c>
      <c r="GA2" s="181" t="s">
        <v>409</v>
      </c>
      <c r="GB2" s="30" t="s">
        <v>476</v>
      </c>
      <c r="GC2" s="31" t="s">
        <v>477</v>
      </c>
      <c r="GD2" s="32" t="s">
        <v>407</v>
      </c>
      <c r="GE2" s="180" t="s">
        <v>408</v>
      </c>
      <c r="GF2" s="180" t="s">
        <v>409</v>
      </c>
      <c r="GG2" s="27" t="s">
        <v>476</v>
      </c>
      <c r="GH2" s="179" t="s">
        <v>477</v>
      </c>
      <c r="GI2" s="29" t="s">
        <v>407</v>
      </c>
      <c r="GJ2" s="181" t="s">
        <v>408</v>
      </c>
      <c r="GK2" s="181" t="s">
        <v>409</v>
      </c>
      <c r="GL2" s="30" t="s">
        <v>488</v>
      </c>
      <c r="GM2" s="31" t="s">
        <v>489</v>
      </c>
      <c r="GN2" s="32" t="s">
        <v>407</v>
      </c>
      <c r="GO2" s="180" t="s">
        <v>408</v>
      </c>
      <c r="GP2" s="180" t="s">
        <v>409</v>
      </c>
      <c r="GQ2" s="27" t="s">
        <v>476</v>
      </c>
      <c r="GR2" s="179" t="s">
        <v>477</v>
      </c>
      <c r="GS2" s="29" t="s">
        <v>407</v>
      </c>
      <c r="GT2" s="181" t="s">
        <v>408</v>
      </c>
      <c r="GU2" s="181" t="s">
        <v>409</v>
      </c>
      <c r="GV2" s="30" t="s">
        <v>476</v>
      </c>
      <c r="GW2" s="31" t="s">
        <v>477</v>
      </c>
      <c r="GX2" s="32" t="s">
        <v>265</v>
      </c>
      <c r="GY2" s="324" t="s">
        <v>297</v>
      </c>
      <c r="GZ2" s="180" t="s">
        <v>304</v>
      </c>
      <c r="HA2" s="180" t="s">
        <v>363</v>
      </c>
      <c r="HB2" s="180" t="s">
        <v>381</v>
      </c>
      <c r="HC2" s="180" t="s">
        <v>332</v>
      </c>
      <c r="HD2" s="27" t="s">
        <v>354</v>
      </c>
      <c r="HE2" s="179" t="s">
        <v>331</v>
      </c>
      <c r="HF2" s="512" t="s">
        <v>814</v>
      </c>
      <c r="HG2" s="513" t="s">
        <v>865</v>
      </c>
      <c r="HH2" s="514" t="s">
        <v>712</v>
      </c>
      <c r="HI2" s="30" t="s">
        <v>869</v>
      </c>
      <c r="HJ2" s="30" t="s">
        <v>870</v>
      </c>
      <c r="HK2" s="514" t="s">
        <v>845</v>
      </c>
      <c r="HL2" s="514" t="s">
        <v>844</v>
      </c>
      <c r="HM2" s="514" t="s">
        <v>577</v>
      </c>
      <c r="HN2" s="514" t="s">
        <v>862</v>
      </c>
      <c r="HO2" s="514" t="s">
        <v>556</v>
      </c>
      <c r="HP2" s="514" t="s">
        <v>553</v>
      </c>
      <c r="HQ2" s="514" t="s">
        <v>858</v>
      </c>
      <c r="HR2" s="514" t="s">
        <v>846</v>
      </c>
      <c r="HS2" s="514" t="s">
        <v>849</v>
      </c>
      <c r="HT2" s="514" t="s">
        <v>847</v>
      </c>
      <c r="HU2" s="514" t="s">
        <v>848</v>
      </c>
      <c r="HV2" s="514" t="s">
        <v>850</v>
      </c>
      <c r="HW2" s="30" t="s">
        <v>851</v>
      </c>
      <c r="HX2" s="514" t="s">
        <v>852</v>
      </c>
      <c r="HY2" s="514" t="s">
        <v>853</v>
      </c>
      <c r="HZ2" s="514" t="s">
        <v>850</v>
      </c>
      <c r="IA2" s="514" t="s">
        <v>854</v>
      </c>
      <c r="IB2" s="514" t="s">
        <v>855</v>
      </c>
      <c r="IC2" s="514" t="s">
        <v>856</v>
      </c>
      <c r="ID2" s="514" t="s">
        <v>871</v>
      </c>
      <c r="IE2" s="514" t="s">
        <v>867</v>
      </c>
      <c r="IF2" s="514" t="s">
        <v>864</v>
      </c>
      <c r="IG2" s="514" t="s">
        <v>863</v>
      </c>
      <c r="IH2" s="514" t="s">
        <v>859</v>
      </c>
      <c r="II2" s="33" t="s">
        <v>860</v>
      </c>
    </row>
    <row r="3" spans="1:243">
      <c r="A3" s="753" t="s">
        <v>330</v>
      </c>
      <c r="B3" s="90" t="s">
        <v>280</v>
      </c>
      <c r="C3" s="98" t="s">
        <v>265</v>
      </c>
      <c r="D3" s="98" t="s">
        <v>265</v>
      </c>
      <c r="E3" s="249" t="s">
        <v>265</v>
      </c>
      <c r="F3" s="249" t="s">
        <v>265</v>
      </c>
      <c r="G3" s="249" t="s">
        <v>265</v>
      </c>
      <c r="H3" s="249" t="s">
        <v>265</v>
      </c>
      <c r="I3" s="741" t="s">
        <v>124</v>
      </c>
      <c r="J3" s="515" t="s">
        <v>265</v>
      </c>
      <c r="K3" s="516" t="s">
        <v>265</v>
      </c>
      <c r="L3" s="517" t="s">
        <v>265</v>
      </c>
      <c r="M3" s="101" t="s">
        <v>265</v>
      </c>
      <c r="N3" s="101" t="s">
        <v>265</v>
      </c>
      <c r="O3" s="101" t="s">
        <v>265</v>
      </c>
      <c r="P3" s="98" t="s">
        <v>265</v>
      </c>
      <c r="Q3" s="98" t="s">
        <v>612</v>
      </c>
      <c r="R3" s="98" t="s">
        <v>265</v>
      </c>
      <c r="S3" s="249" t="s">
        <v>265</v>
      </c>
      <c r="T3" s="249" t="s">
        <v>265</v>
      </c>
      <c r="U3" s="249" t="s">
        <v>265</v>
      </c>
      <c r="V3" s="249" t="s">
        <v>265</v>
      </c>
      <c r="W3" s="249" t="s">
        <v>265</v>
      </c>
      <c r="X3" s="249" t="s">
        <v>265</v>
      </c>
      <c r="Y3" s="249" t="s">
        <v>265</v>
      </c>
      <c r="Z3" s="249" t="s">
        <v>265</v>
      </c>
      <c r="AA3" s="249" t="s">
        <v>265</v>
      </c>
      <c r="AB3" s="249" t="s">
        <v>265</v>
      </c>
      <c r="AC3" s="249" t="s">
        <v>265</v>
      </c>
      <c r="AD3" s="249" t="s">
        <v>265</v>
      </c>
      <c r="AE3" s="99" t="s">
        <v>265</v>
      </c>
      <c r="AF3" s="99" t="s">
        <v>265</v>
      </c>
      <c r="AG3" s="99" t="s">
        <v>265</v>
      </c>
      <c r="AH3" s="249" t="s">
        <v>265</v>
      </c>
      <c r="AI3" s="249" t="s">
        <v>265</v>
      </c>
      <c r="AJ3" s="249" t="s">
        <v>265</v>
      </c>
      <c r="AK3" s="91" t="s">
        <v>265</v>
      </c>
      <c r="AL3" s="477"/>
      <c r="AM3" s="249" t="s">
        <v>265</v>
      </c>
      <c r="AN3" s="249" t="s">
        <v>265</v>
      </c>
      <c r="AO3" s="249" t="s">
        <v>612</v>
      </c>
      <c r="AP3" s="249" t="s">
        <v>265</v>
      </c>
      <c r="AQ3" s="518" t="str">
        <f>IF(AM3="N.S", "N.S",IF(AN3="N.S","N.S",AM3*AN3))</f>
        <v>N.S</v>
      </c>
      <c r="AR3" s="519" t="s">
        <v>265</v>
      </c>
      <c r="AS3" s="334" t="s">
        <v>265</v>
      </c>
      <c r="AT3" s="334" t="s">
        <v>265</v>
      </c>
      <c r="AU3" s="334" t="s">
        <v>265</v>
      </c>
      <c r="AV3" s="334" t="s">
        <v>265</v>
      </c>
      <c r="AW3" s="334" t="s">
        <v>265</v>
      </c>
      <c r="AX3" s="334" t="s">
        <v>265</v>
      </c>
      <c r="AY3" s="249" t="s">
        <v>265</v>
      </c>
      <c r="AZ3" s="122" t="s">
        <v>265</v>
      </c>
      <c r="BA3" s="477" t="s">
        <v>265</v>
      </c>
      <c r="BB3" s="477" t="s">
        <v>265</v>
      </c>
      <c r="BC3" s="249" t="s">
        <v>265</v>
      </c>
      <c r="BD3" s="249" t="s">
        <v>265</v>
      </c>
      <c r="BE3" s="249" t="s">
        <v>265</v>
      </c>
      <c r="BF3" s="249" t="s">
        <v>265</v>
      </c>
      <c r="BG3" s="249" t="s">
        <v>265</v>
      </c>
      <c r="BH3" s="249" t="s">
        <v>265</v>
      </c>
      <c r="BI3" s="249" t="s">
        <v>265</v>
      </c>
      <c r="BJ3" s="249" t="s">
        <v>265</v>
      </c>
      <c r="BK3" s="249" t="s">
        <v>265</v>
      </c>
      <c r="BL3" s="122" t="s">
        <v>265</v>
      </c>
      <c r="BM3" s="520" t="s">
        <v>265</v>
      </c>
      <c r="BN3" s="656" t="str">
        <f>IF(BL3="N.S","N.S",IF(BH3="N.S","N.S",BH3/(BL3*3600)))</f>
        <v>N.S</v>
      </c>
      <c r="BO3" s="283" t="s">
        <v>265</v>
      </c>
      <c r="BP3" s="481" t="s">
        <v>265</v>
      </c>
      <c r="BQ3" s="249" t="s">
        <v>265</v>
      </c>
      <c r="BR3" s="249" t="s">
        <v>265</v>
      </c>
      <c r="BS3" s="249" t="s">
        <v>265</v>
      </c>
      <c r="BT3" s="249" t="s">
        <v>265</v>
      </c>
      <c r="BU3" s="249" t="s">
        <v>265</v>
      </c>
      <c r="BV3" s="249" t="s">
        <v>265</v>
      </c>
      <c r="BW3" s="98" t="s">
        <v>265</v>
      </c>
      <c r="BX3" s="338" t="s">
        <v>265</v>
      </c>
      <c r="BY3" s="381" t="s">
        <v>265</v>
      </c>
      <c r="BZ3" s="521" t="s">
        <v>265</v>
      </c>
      <c r="CA3" s="334" t="s">
        <v>265</v>
      </c>
      <c r="CB3" s="91" t="s">
        <v>265</v>
      </c>
      <c r="CC3" s="484" t="s">
        <v>265</v>
      </c>
      <c r="CD3" s="249" t="s">
        <v>265</v>
      </c>
      <c r="CE3" s="98" t="s">
        <v>265</v>
      </c>
      <c r="CF3" s="98" t="s">
        <v>265</v>
      </c>
      <c r="CG3" s="249" t="s">
        <v>265</v>
      </c>
      <c r="CH3" s="91" t="s">
        <v>265</v>
      </c>
      <c r="CI3" s="522" t="s">
        <v>265</v>
      </c>
      <c r="CJ3" s="122" t="s">
        <v>265</v>
      </c>
      <c r="CK3" s="523" t="s">
        <v>265</v>
      </c>
      <c r="CL3" s="481" t="s">
        <v>265</v>
      </c>
      <c r="CM3" s="120"/>
      <c r="CN3" s="477"/>
      <c r="CO3" s="183">
        <v>0</v>
      </c>
      <c r="CP3" s="127"/>
      <c r="CQ3" s="127"/>
      <c r="CR3" s="183"/>
      <c r="CS3" s="129"/>
      <c r="CT3" s="184">
        <v>0</v>
      </c>
      <c r="CU3" s="127"/>
      <c r="CV3" s="127"/>
      <c r="CW3" s="183"/>
      <c r="CX3" s="129"/>
      <c r="CY3" s="87">
        <v>0</v>
      </c>
      <c r="CZ3" s="41">
        <v>0</v>
      </c>
      <c r="DA3" s="41"/>
      <c r="DB3" s="41"/>
      <c r="DC3" s="41"/>
      <c r="DD3" s="41"/>
      <c r="DE3" s="41"/>
      <c r="DF3" s="41"/>
      <c r="DG3" s="41"/>
      <c r="DH3" s="41"/>
      <c r="DI3" s="123"/>
      <c r="DJ3" s="87"/>
      <c r="DK3" s="41"/>
      <c r="DL3" s="41"/>
      <c r="DM3" s="41"/>
      <c r="DN3" s="41"/>
      <c r="DO3" s="41"/>
      <c r="DP3" s="41"/>
      <c r="DQ3" s="41"/>
      <c r="DR3" s="41"/>
      <c r="DS3" s="41"/>
      <c r="DT3" s="88"/>
      <c r="DU3" s="87">
        <v>0</v>
      </c>
      <c r="DV3" s="41">
        <v>0</v>
      </c>
      <c r="DW3" s="41"/>
      <c r="DX3" s="41"/>
      <c r="DY3" s="41"/>
      <c r="DZ3" s="41"/>
      <c r="EA3" s="41"/>
      <c r="EB3" s="41"/>
      <c r="EC3" s="41"/>
      <c r="ED3" s="41"/>
      <c r="EE3" s="123"/>
      <c r="EF3" s="87">
        <v>0</v>
      </c>
      <c r="EG3" s="41"/>
      <c r="EH3" s="41"/>
      <c r="EI3" s="41"/>
      <c r="EJ3" s="88"/>
      <c r="EK3" s="87">
        <v>0</v>
      </c>
      <c r="EL3" s="41"/>
      <c r="EM3" s="41"/>
      <c r="EN3" s="41"/>
      <c r="EO3" s="88"/>
      <c r="EP3" s="87">
        <v>0</v>
      </c>
      <c r="EQ3" s="41"/>
      <c r="ER3" s="41"/>
      <c r="ES3" s="41"/>
      <c r="ET3" s="88"/>
      <c r="EU3" s="87">
        <v>0</v>
      </c>
      <c r="EV3" s="41"/>
      <c r="EW3" s="41"/>
      <c r="EX3" s="41"/>
      <c r="EY3" s="88"/>
      <c r="EZ3" s="87">
        <v>0</v>
      </c>
      <c r="FA3" s="41"/>
      <c r="FB3" s="41"/>
      <c r="FC3" s="41"/>
      <c r="FD3" s="88"/>
      <c r="FE3" s="87">
        <v>0</v>
      </c>
      <c r="FF3" s="127"/>
      <c r="FG3" s="127"/>
      <c r="FH3" s="127"/>
      <c r="FI3" s="123"/>
      <c r="FJ3" s="87">
        <v>0</v>
      </c>
      <c r="FK3" s="41"/>
      <c r="FL3" s="41"/>
      <c r="FM3" s="41"/>
      <c r="FN3" s="88"/>
      <c r="FO3" s="87">
        <v>0</v>
      </c>
      <c r="FP3" s="41"/>
      <c r="FQ3" s="41"/>
      <c r="FR3" s="41"/>
      <c r="FS3" s="88"/>
      <c r="FT3" s="87">
        <v>0</v>
      </c>
      <c r="FU3" s="41"/>
      <c r="FV3" s="41"/>
      <c r="FW3" s="41"/>
      <c r="FX3" s="88"/>
      <c r="FY3" s="87">
        <v>0</v>
      </c>
      <c r="FZ3" s="41"/>
      <c r="GA3" s="41"/>
      <c r="GB3" s="41"/>
      <c r="GC3" s="88"/>
      <c r="GD3" s="87">
        <v>0</v>
      </c>
      <c r="GE3" s="41"/>
      <c r="GF3" s="41"/>
      <c r="GG3" s="41"/>
      <c r="GH3" s="88"/>
      <c r="GI3" s="87">
        <v>0</v>
      </c>
      <c r="GJ3" s="41"/>
      <c r="GK3" s="127"/>
      <c r="GL3" s="41"/>
      <c r="GM3" s="88"/>
      <c r="GN3" s="87">
        <v>0</v>
      </c>
      <c r="GO3" s="41"/>
      <c r="GP3" s="41"/>
      <c r="GQ3" s="41"/>
      <c r="GR3" s="88"/>
      <c r="GS3" s="87">
        <v>0</v>
      </c>
      <c r="GT3" s="41"/>
      <c r="GU3" s="41"/>
      <c r="GV3" s="41"/>
      <c r="GW3" s="88"/>
      <c r="GX3" s="301" t="str">
        <f>IF(AR4="N.S",1,"")</f>
        <v/>
      </c>
      <c r="GY3" s="301" t="str">
        <f t="shared" ref="GY3:GY34" si="0">IF(AR4="WLCSP",1,"")</f>
        <v/>
      </c>
      <c r="GZ3" s="41" t="str">
        <f>IF(AR4="QFN (FK)",1,"")</f>
        <v/>
      </c>
      <c r="HA3" s="41" t="str">
        <f>IF(AR4="QFN24",1,"")</f>
        <v/>
      </c>
      <c r="HB3" s="41" t="str">
        <f>IF(AR4="QFN25",1,"")</f>
        <v/>
      </c>
      <c r="HC3" s="41" t="str">
        <f>IF(AR4="QFN",1,"")</f>
        <v/>
      </c>
      <c r="HD3" s="41" t="str">
        <f>IF(AR4="DFN",1,"")</f>
        <v/>
      </c>
      <c r="HE3" s="88" t="str">
        <f>IF(AR4="LGA-24L",1,"")</f>
        <v/>
      </c>
      <c r="HF3" s="524" t="s">
        <v>82</v>
      </c>
      <c r="HG3" s="41" t="s">
        <v>82</v>
      </c>
      <c r="HH3" s="41" t="s">
        <v>82</v>
      </c>
      <c r="HI3" s="41" t="s">
        <v>82</v>
      </c>
      <c r="HJ3" s="41" t="s">
        <v>82</v>
      </c>
      <c r="HK3" s="41" t="s">
        <v>82</v>
      </c>
      <c r="HL3" s="41" t="s">
        <v>82</v>
      </c>
      <c r="HM3" s="41" t="s">
        <v>82</v>
      </c>
      <c r="HN3" s="41" t="s">
        <v>82</v>
      </c>
      <c r="HO3" s="41" t="s">
        <v>82</v>
      </c>
      <c r="HP3" s="41" t="s">
        <v>82</v>
      </c>
      <c r="HQ3" s="41" t="s">
        <v>82</v>
      </c>
      <c r="HR3" s="41" t="s">
        <v>82</v>
      </c>
      <c r="HS3" s="41" t="s">
        <v>82</v>
      </c>
      <c r="HT3" s="41" t="s">
        <v>82</v>
      </c>
      <c r="HU3" s="41" t="s">
        <v>82</v>
      </c>
      <c r="HV3" s="41" t="s">
        <v>82</v>
      </c>
      <c r="HW3" s="41" t="s">
        <v>82</v>
      </c>
      <c r="HX3" s="41" t="s">
        <v>82</v>
      </c>
      <c r="HY3" s="41" t="s">
        <v>82</v>
      </c>
      <c r="HZ3" s="41" t="s">
        <v>82</v>
      </c>
      <c r="IA3" s="41" t="s">
        <v>82</v>
      </c>
      <c r="IB3" s="41" t="s">
        <v>82</v>
      </c>
      <c r="IC3" s="41" t="s">
        <v>82</v>
      </c>
      <c r="ID3" s="41" t="s">
        <v>82</v>
      </c>
      <c r="IE3" s="41" t="s">
        <v>82</v>
      </c>
      <c r="IF3" s="41" t="s">
        <v>82</v>
      </c>
      <c r="IG3" s="41" t="s">
        <v>82</v>
      </c>
      <c r="IH3" s="41" t="s">
        <v>82</v>
      </c>
      <c r="II3" s="88" t="s">
        <v>82</v>
      </c>
    </row>
    <row r="4" spans="1:243" ht="96.6">
      <c r="A4" s="754"/>
      <c r="B4" s="86" t="s">
        <v>278</v>
      </c>
      <c r="C4" s="738" t="s">
        <v>326</v>
      </c>
      <c r="D4" s="98" t="s">
        <v>290</v>
      </c>
      <c r="E4" s="96" t="s">
        <v>65</v>
      </c>
      <c r="F4" s="96" t="s">
        <v>124</v>
      </c>
      <c r="G4" s="41" t="s">
        <v>65</v>
      </c>
      <c r="H4" s="41" t="s">
        <v>65</v>
      </c>
      <c r="I4" s="742"/>
      <c r="J4" s="127">
        <v>2.6</v>
      </c>
      <c r="K4" s="183">
        <v>7</v>
      </c>
      <c r="L4" s="129">
        <v>2016</v>
      </c>
      <c r="M4" s="301" t="s">
        <v>229</v>
      </c>
      <c r="N4" s="477" t="s">
        <v>265</v>
      </c>
      <c r="O4" s="477" t="s">
        <v>265</v>
      </c>
      <c r="P4" s="477" t="s">
        <v>265</v>
      </c>
      <c r="Q4" s="477"/>
      <c r="R4" s="477" t="s">
        <v>265</v>
      </c>
      <c r="S4" s="41">
        <v>8</v>
      </c>
      <c r="T4" s="41">
        <v>1</v>
      </c>
      <c r="U4" s="477" t="s">
        <v>265</v>
      </c>
      <c r="V4" s="249">
        <v>12</v>
      </c>
      <c r="W4" s="477" t="s">
        <v>265</v>
      </c>
      <c r="X4" s="477" t="s">
        <v>265</v>
      </c>
      <c r="Y4" s="477" t="s">
        <v>265</v>
      </c>
      <c r="Z4" s="477" t="s">
        <v>265</v>
      </c>
      <c r="AA4" s="477" t="s">
        <v>265</v>
      </c>
      <c r="AB4" s="477" t="s">
        <v>265</v>
      </c>
      <c r="AC4" s="477" t="s">
        <v>265</v>
      </c>
      <c r="AD4" s="249">
        <v>1</v>
      </c>
      <c r="AE4" s="99" t="s">
        <v>260</v>
      </c>
      <c r="AF4" s="99">
        <v>11.1</v>
      </c>
      <c r="AG4" s="99">
        <v>69</v>
      </c>
      <c r="AH4" s="249">
        <v>100</v>
      </c>
      <c r="AI4" s="477" t="s">
        <v>265</v>
      </c>
      <c r="AJ4" s="249" t="s">
        <v>82</v>
      </c>
      <c r="AK4" s="91" t="s">
        <v>82</v>
      </c>
      <c r="AL4" s="477"/>
      <c r="AM4" s="249">
        <v>4</v>
      </c>
      <c r="AN4" s="249">
        <v>4</v>
      </c>
      <c r="AO4" s="249"/>
      <c r="AP4" s="249">
        <f>IF(MAX(AM4:AN4)=0,"N.S",MAX(AM4:AN4))</f>
        <v>4</v>
      </c>
      <c r="AQ4" s="518">
        <f>IF(AM4="N.S", "N.S",IF(AN4="N.S","N.S",AM4*AN4))</f>
        <v>16</v>
      </c>
      <c r="AR4" s="353" t="s">
        <v>248</v>
      </c>
      <c r="AS4" s="334">
        <v>1.8</v>
      </c>
      <c r="AT4" s="334">
        <v>3.8</v>
      </c>
      <c r="AU4" s="334">
        <v>0.75</v>
      </c>
      <c r="AV4" s="334">
        <f>0.0082*48</f>
        <v>0.39360000000000006</v>
      </c>
      <c r="AW4" s="334">
        <f>0.061*48</f>
        <v>2.9279999999999999</v>
      </c>
      <c r="AX4" s="334">
        <v>9.1</v>
      </c>
      <c r="AY4" s="249">
        <v>6.1</v>
      </c>
      <c r="AZ4" s="122">
        <f>SUM(AU4:AY4)</f>
        <v>19.271599999999999</v>
      </c>
      <c r="BA4" s="477" t="s">
        <v>265</v>
      </c>
      <c r="BB4" s="249">
        <v>1</v>
      </c>
      <c r="BC4" s="249">
        <v>0.1</v>
      </c>
      <c r="BD4" s="477" t="s">
        <v>265</v>
      </c>
      <c r="BE4" s="249" t="s">
        <v>84</v>
      </c>
      <c r="BF4" s="249">
        <v>1</v>
      </c>
      <c r="BG4" s="477" t="s">
        <v>265</v>
      </c>
      <c r="BH4" s="477" t="s">
        <v>265</v>
      </c>
      <c r="BI4" s="477" t="s">
        <v>265</v>
      </c>
      <c r="BJ4" s="477" t="s">
        <v>265</v>
      </c>
      <c r="BK4" s="477" t="s">
        <v>265</v>
      </c>
      <c r="BL4" s="122">
        <f>IF(AZ4="N.S","N.S",3*(AZ4*BL1+0.001*IF(BB4="N.S",0,BB4*(1-BL1))))</f>
        <v>0.58111800000000002</v>
      </c>
      <c r="BM4" s="477" t="s">
        <v>265</v>
      </c>
      <c r="BN4" s="656" t="str">
        <f>IF(BL4="N.S","N.S",IF(BH4="N.S","N.S",BH4/(BL4*3600)))</f>
        <v>N.S</v>
      </c>
      <c r="BO4" s="283">
        <f>IF(BL4="N.S","N.S",250*3/BL4)</f>
        <v>1290.6156753017458</v>
      </c>
      <c r="BP4" s="481" t="s">
        <v>246</v>
      </c>
      <c r="BQ4" s="249">
        <v>32</v>
      </c>
      <c r="BR4" s="249">
        <v>48</v>
      </c>
      <c r="BS4" s="249" t="s">
        <v>265</v>
      </c>
      <c r="BT4" s="249">
        <f>20+2+8</f>
        <v>30</v>
      </c>
      <c r="BU4" s="249">
        <v>128</v>
      </c>
      <c r="BV4" s="249" t="s">
        <v>265</v>
      </c>
      <c r="BW4" s="98" t="s">
        <v>251</v>
      </c>
      <c r="BX4" s="338">
        <v>1000000</v>
      </c>
      <c r="BY4" s="41" t="s">
        <v>265</v>
      </c>
      <c r="BZ4" s="525" t="s">
        <v>737</v>
      </c>
      <c r="CA4" s="303" t="s">
        <v>735</v>
      </c>
      <c r="CB4" s="477" t="s">
        <v>265</v>
      </c>
      <c r="CC4" s="87" t="s">
        <v>84</v>
      </c>
      <c r="CD4" s="41" t="s">
        <v>291</v>
      </c>
      <c r="CE4" s="41" t="s">
        <v>265</v>
      </c>
      <c r="CF4" s="41">
        <v>2400</v>
      </c>
      <c r="CG4" s="41">
        <v>-100</v>
      </c>
      <c r="CH4" s="88">
        <v>5</v>
      </c>
      <c r="CI4" s="520" t="s">
        <v>265</v>
      </c>
      <c r="CJ4" s="520" t="s">
        <v>265</v>
      </c>
      <c r="CK4" s="520" t="s">
        <v>265</v>
      </c>
      <c r="CL4" s="481" t="s">
        <v>274</v>
      </c>
      <c r="CM4" s="120"/>
      <c r="CN4" s="477"/>
      <c r="CO4" s="183">
        <v>1</v>
      </c>
      <c r="CP4" s="127"/>
      <c r="CQ4" s="127"/>
      <c r="CR4" s="183"/>
      <c r="CS4" s="129"/>
      <c r="CT4" s="184">
        <v>0</v>
      </c>
      <c r="CU4" s="127"/>
      <c r="CV4" s="127"/>
      <c r="CW4" s="183"/>
      <c r="CX4" s="129"/>
      <c r="CY4" s="87">
        <v>0</v>
      </c>
      <c r="CZ4" s="41">
        <v>0</v>
      </c>
      <c r="DA4" s="41"/>
      <c r="DB4" s="41"/>
      <c r="DC4" s="41"/>
      <c r="DD4" s="41"/>
      <c r="DE4" s="41"/>
      <c r="DF4" s="41"/>
      <c r="DG4" s="41"/>
      <c r="DH4" s="41"/>
      <c r="DI4" s="123"/>
      <c r="DJ4" s="87">
        <v>0</v>
      </c>
      <c r="DK4" s="41">
        <v>0</v>
      </c>
      <c r="DL4" s="41"/>
      <c r="DM4" s="41"/>
      <c r="DN4" s="41"/>
      <c r="DO4" s="41"/>
      <c r="DP4" s="41"/>
      <c r="DQ4" s="41"/>
      <c r="DR4" s="41"/>
      <c r="DS4" s="41"/>
      <c r="DT4" s="88"/>
      <c r="DU4" s="87">
        <v>0</v>
      </c>
      <c r="DV4" s="41">
        <v>0</v>
      </c>
      <c r="DW4" s="41"/>
      <c r="DX4" s="41"/>
      <c r="DY4" s="41"/>
      <c r="DZ4" s="41"/>
      <c r="EA4" s="41"/>
      <c r="EB4" s="41"/>
      <c r="EC4" s="41"/>
      <c r="ED4" s="41"/>
      <c r="EE4" s="123"/>
      <c r="EF4" s="87">
        <v>0</v>
      </c>
      <c r="EG4" s="41"/>
      <c r="EH4" s="41"/>
      <c r="EI4" s="41"/>
      <c r="EJ4" s="88"/>
      <c r="EK4" s="87">
        <v>0</v>
      </c>
      <c r="EL4" s="41"/>
      <c r="EM4" s="41"/>
      <c r="EN4" s="41"/>
      <c r="EO4" s="88"/>
      <c r="EP4" s="87">
        <v>0</v>
      </c>
      <c r="EQ4" s="41"/>
      <c r="ER4" s="41"/>
      <c r="ES4" s="41"/>
      <c r="ET4" s="88"/>
      <c r="EU4" s="87">
        <v>0</v>
      </c>
      <c r="EV4" s="41"/>
      <c r="EW4" s="41"/>
      <c r="EX4" s="41"/>
      <c r="EY4" s="88"/>
      <c r="EZ4" s="87">
        <v>0</v>
      </c>
      <c r="FA4" s="41"/>
      <c r="FB4" s="41"/>
      <c r="FC4" s="41"/>
      <c r="FD4" s="88"/>
      <c r="FE4" s="87">
        <v>0</v>
      </c>
      <c r="FF4" s="127"/>
      <c r="FG4" s="127"/>
      <c r="FH4" s="127"/>
      <c r="FI4" s="123"/>
      <c r="FJ4" s="87">
        <v>0</v>
      </c>
      <c r="FK4" s="41"/>
      <c r="FL4" s="41"/>
      <c r="FM4" s="41"/>
      <c r="FN4" s="88"/>
      <c r="FO4" s="87">
        <v>0</v>
      </c>
      <c r="FP4" s="41"/>
      <c r="FQ4" s="41"/>
      <c r="FR4" s="41"/>
      <c r="FS4" s="88"/>
      <c r="FT4" s="87">
        <v>0</v>
      </c>
      <c r="FU4" s="41"/>
      <c r="FV4" s="41"/>
      <c r="FW4" s="41"/>
      <c r="FX4" s="88"/>
      <c r="FY4" s="87">
        <v>0</v>
      </c>
      <c r="FZ4" s="41"/>
      <c r="GA4" s="41"/>
      <c r="GB4" s="41"/>
      <c r="GC4" s="88"/>
      <c r="GD4" s="87">
        <v>0</v>
      </c>
      <c r="GE4" s="41"/>
      <c r="GF4" s="41"/>
      <c r="GG4" s="41"/>
      <c r="GH4" s="88"/>
      <c r="GI4" s="87">
        <v>0</v>
      </c>
      <c r="GJ4" s="41"/>
      <c r="GK4" s="127"/>
      <c r="GL4" s="41"/>
      <c r="GM4" s="88"/>
      <c r="GN4" s="87">
        <v>0</v>
      </c>
      <c r="GO4" s="41"/>
      <c r="GP4" s="41"/>
      <c r="GQ4" s="41"/>
      <c r="GR4" s="88"/>
      <c r="GS4" s="87">
        <v>0</v>
      </c>
      <c r="GT4" s="41"/>
      <c r="GU4" s="41"/>
      <c r="GV4" s="41"/>
      <c r="GW4" s="88"/>
      <c r="GX4" s="301" t="str">
        <f t="shared" ref="GX4:GX64" si="1">IF(AR5="N.S",1,"")</f>
        <v/>
      </c>
      <c r="GY4" s="301" t="str">
        <f t="shared" si="0"/>
        <v/>
      </c>
      <c r="GZ4" s="41" t="str">
        <f t="shared" ref="GZ4:GZ64" si="2">IF(AR5="QFN (FK)",1,"")</f>
        <v/>
      </c>
      <c r="HA4" s="41" t="str">
        <f t="shared" ref="HA4:HA64" si="3">IF(AR5="QFN24",1,"")</f>
        <v/>
      </c>
      <c r="HB4" s="41" t="str">
        <f t="shared" ref="HB4:HB64" si="4">IF(AR5="QFN25",1,"")</f>
        <v/>
      </c>
      <c r="HC4" s="41" t="str">
        <f t="shared" ref="HC4:HC64" si="5">IF(AR5="QFN",1,"")</f>
        <v/>
      </c>
      <c r="HD4" s="41" t="str">
        <f t="shared" ref="HD4:HD64" si="6">IF(AR5="DFN",1,"")</f>
        <v/>
      </c>
      <c r="HE4" s="88" t="str">
        <f t="shared" ref="HE4:HE64" si="7">IF(AR5="LGA-24L",1,"")</f>
        <v/>
      </c>
      <c r="HF4" s="524">
        <v>1</v>
      </c>
      <c r="HG4" s="41">
        <v>1</v>
      </c>
      <c r="HH4" s="41">
        <v>1</v>
      </c>
      <c r="HI4" s="41" t="s">
        <v>82</v>
      </c>
      <c r="HJ4" s="41" t="s">
        <v>82</v>
      </c>
      <c r="HK4" s="41" t="s">
        <v>82</v>
      </c>
      <c r="HL4" s="41">
        <v>1</v>
      </c>
      <c r="HM4" s="41">
        <v>1</v>
      </c>
      <c r="HN4" s="41">
        <v>1</v>
      </c>
      <c r="HO4" s="41" t="s">
        <v>82</v>
      </c>
      <c r="HP4" s="41" t="s">
        <v>82</v>
      </c>
      <c r="HQ4" s="41" t="s">
        <v>82</v>
      </c>
      <c r="HR4" s="41" t="s">
        <v>82</v>
      </c>
      <c r="HS4" s="41" t="s">
        <v>82</v>
      </c>
      <c r="HT4" s="41" t="s">
        <v>82</v>
      </c>
      <c r="HU4" s="41" t="s">
        <v>82</v>
      </c>
      <c r="HV4" s="41" t="s">
        <v>82</v>
      </c>
      <c r="HW4" s="41" t="s">
        <v>82</v>
      </c>
      <c r="HX4" s="41" t="s">
        <v>82</v>
      </c>
      <c r="HY4" s="41" t="s">
        <v>82</v>
      </c>
      <c r="HZ4" s="41" t="s">
        <v>82</v>
      </c>
      <c r="IA4" s="41" t="s">
        <v>82</v>
      </c>
      <c r="IB4" s="41" t="s">
        <v>82</v>
      </c>
      <c r="IC4" s="41" t="s">
        <v>82</v>
      </c>
      <c r="ID4" s="41" t="s">
        <v>82</v>
      </c>
      <c r="IE4" s="41" t="s">
        <v>82</v>
      </c>
      <c r="IF4" s="41" t="s">
        <v>82</v>
      </c>
      <c r="IG4" s="41" t="s">
        <v>82</v>
      </c>
      <c r="IH4" s="41" t="s">
        <v>82</v>
      </c>
      <c r="II4" s="88" t="s">
        <v>82</v>
      </c>
    </row>
    <row r="5" spans="1:243" ht="82.8">
      <c r="A5" s="754"/>
      <c r="B5" s="90" t="s">
        <v>279</v>
      </c>
      <c r="C5" s="739"/>
      <c r="D5" s="100" t="s">
        <v>739</v>
      </c>
      <c r="E5" s="96" t="s">
        <v>65</v>
      </c>
      <c r="F5" s="96" t="s">
        <v>124</v>
      </c>
      <c r="G5" s="96" t="s">
        <v>65</v>
      </c>
      <c r="H5" s="41" t="s">
        <v>65</v>
      </c>
      <c r="I5" s="742"/>
      <c r="J5" s="127">
        <v>2.95</v>
      </c>
      <c r="K5" s="183">
        <v>7</v>
      </c>
      <c r="L5" s="129">
        <v>2016</v>
      </c>
      <c r="M5" s="101" t="s">
        <v>263</v>
      </c>
      <c r="N5" s="101" t="s">
        <v>265</v>
      </c>
      <c r="O5" s="477" t="s">
        <v>265</v>
      </c>
      <c r="P5" s="98" t="s">
        <v>91</v>
      </c>
      <c r="Q5" s="98"/>
      <c r="R5" s="98" t="s">
        <v>264</v>
      </c>
      <c r="S5" s="41">
        <v>8</v>
      </c>
      <c r="T5" s="41">
        <v>1</v>
      </c>
      <c r="U5" s="477" t="s">
        <v>265</v>
      </c>
      <c r="V5" s="249">
        <v>12</v>
      </c>
      <c r="W5" s="477" t="s">
        <v>265</v>
      </c>
      <c r="X5" s="477" t="s">
        <v>265</v>
      </c>
      <c r="Y5" s="477" t="s">
        <v>265</v>
      </c>
      <c r="Z5" s="477" t="s">
        <v>265</v>
      </c>
      <c r="AA5" s="477" t="s">
        <v>265</v>
      </c>
      <c r="AB5" s="477" t="s">
        <v>265</v>
      </c>
      <c r="AC5" s="477" t="s">
        <v>265</v>
      </c>
      <c r="AD5" s="249">
        <v>1</v>
      </c>
      <c r="AE5" s="103" t="s">
        <v>288</v>
      </c>
      <c r="AF5" s="99">
        <v>11.1</v>
      </c>
      <c r="AG5" s="99">
        <v>69</v>
      </c>
      <c r="AH5" s="249">
        <v>100</v>
      </c>
      <c r="AI5" s="477" t="s">
        <v>265</v>
      </c>
      <c r="AJ5" s="249" t="s">
        <v>82</v>
      </c>
      <c r="AK5" s="91" t="s">
        <v>82</v>
      </c>
      <c r="AL5" s="477"/>
      <c r="AM5" s="249">
        <v>4</v>
      </c>
      <c r="AN5" s="249">
        <v>4</v>
      </c>
      <c r="AO5" s="249"/>
      <c r="AP5" s="249">
        <f t="shared" ref="AP5:AP63" si="8">IF(MAX(AM5:AN5)=0,"N.S",MAX(AM5:AN5))</f>
        <v>4</v>
      </c>
      <c r="AQ5" s="518">
        <f t="shared" ref="AQ5:AQ64" si="9">IF(AM5="N.S", "N.S",IF(AN5="N.S","N.S",AM5*AN5))</f>
        <v>16</v>
      </c>
      <c r="AR5" s="353" t="s">
        <v>248</v>
      </c>
      <c r="AS5" s="334">
        <v>1.8</v>
      </c>
      <c r="AT5" s="334">
        <v>3.8</v>
      </c>
      <c r="AU5" s="334">
        <v>0.75</v>
      </c>
      <c r="AV5" s="334" t="s">
        <v>265</v>
      </c>
      <c r="AW5" s="334">
        <f>1.45+0.31*48</f>
        <v>16.329999999999998</v>
      </c>
      <c r="AX5" s="334">
        <v>9.1</v>
      </c>
      <c r="AY5" s="249">
        <v>6.1</v>
      </c>
      <c r="AZ5" s="122">
        <f>SUM(AU5:AY5)</f>
        <v>32.28</v>
      </c>
      <c r="BA5" s="249">
        <v>550</v>
      </c>
      <c r="BB5" s="249">
        <v>550</v>
      </c>
      <c r="BC5" s="249">
        <v>0.15</v>
      </c>
      <c r="BD5" s="477" t="s">
        <v>265</v>
      </c>
      <c r="BE5" s="249" t="s">
        <v>84</v>
      </c>
      <c r="BF5" s="249">
        <v>1</v>
      </c>
      <c r="BG5" s="477" t="s">
        <v>265</v>
      </c>
      <c r="BH5" s="477" t="s">
        <v>265</v>
      </c>
      <c r="BI5" s="477" t="s">
        <v>265</v>
      </c>
      <c r="BJ5" s="477" t="s">
        <v>265</v>
      </c>
      <c r="BK5" s="249" t="s">
        <v>84</v>
      </c>
      <c r="BL5" s="122">
        <f>IF(AZ5="N.S","N.S",3*(AZ5*BL1+0.001*IF(BB5="N.S",0,BB5*(1-BL1))))</f>
        <v>2.6018999999999997</v>
      </c>
      <c r="BM5" s="477" t="s">
        <v>265</v>
      </c>
      <c r="BN5" s="656" t="str">
        <f t="shared" ref="BN5:BN64" si="10">IF(BL5="N.S","N.S",IF(BH5="N.S","N.S",BH5/(BL5*3600)))</f>
        <v>N.S</v>
      </c>
      <c r="BO5" s="283">
        <f t="shared" ref="BO5:BO64" si="11">IF(BL5="N.S","N.S",250*3/BL5)</f>
        <v>288.25089357777011</v>
      </c>
      <c r="BP5" s="481" t="s">
        <v>293</v>
      </c>
      <c r="BQ5" s="249">
        <v>32</v>
      </c>
      <c r="BR5" s="249">
        <v>48</v>
      </c>
      <c r="BS5" s="249" t="s">
        <v>265</v>
      </c>
      <c r="BT5" s="249">
        <f>20+2+7</f>
        <v>29</v>
      </c>
      <c r="BU5" s="249">
        <v>127</v>
      </c>
      <c r="BV5" s="249" t="s">
        <v>265</v>
      </c>
      <c r="BW5" s="98" t="s">
        <v>251</v>
      </c>
      <c r="BX5" s="338">
        <v>999999</v>
      </c>
      <c r="BY5" s="526" t="s">
        <v>265</v>
      </c>
      <c r="BZ5" s="525" t="s">
        <v>738</v>
      </c>
      <c r="CA5" s="89" t="s">
        <v>265</v>
      </c>
      <c r="CB5" s="477" t="s">
        <v>265</v>
      </c>
      <c r="CC5" s="87" t="s">
        <v>84</v>
      </c>
      <c r="CD5" s="41" t="s">
        <v>292</v>
      </c>
      <c r="CE5" s="98" t="s">
        <v>250</v>
      </c>
      <c r="CF5" s="477">
        <v>2400</v>
      </c>
      <c r="CG5" s="41">
        <v>-100</v>
      </c>
      <c r="CH5" s="88">
        <v>4</v>
      </c>
      <c r="CI5" s="657">
        <v>14</v>
      </c>
      <c r="CJ5" s="658">
        <v>151</v>
      </c>
      <c r="CK5" s="659">
        <v>1015</v>
      </c>
      <c r="CL5" s="481" t="s">
        <v>274</v>
      </c>
      <c r="CM5" s="120"/>
      <c r="CN5" s="38"/>
      <c r="CO5" s="183">
        <v>1</v>
      </c>
      <c r="CP5" s="127">
        <f>LOG((CS5-CR5)/4,2)</f>
        <v>4.9657842846620879</v>
      </c>
      <c r="CQ5" s="127">
        <f>LOG((CS5-CR5)/10,2)</f>
        <v>3.6438561897747253</v>
      </c>
      <c r="CR5" s="183">
        <v>-40</v>
      </c>
      <c r="CS5" s="129">
        <v>85</v>
      </c>
      <c r="CT5" s="184">
        <v>0</v>
      </c>
      <c r="CU5" s="127"/>
      <c r="CV5" s="127"/>
      <c r="CW5" s="183"/>
      <c r="CX5" s="129"/>
      <c r="CY5" s="87">
        <v>0</v>
      </c>
      <c r="CZ5" s="41">
        <v>0</v>
      </c>
      <c r="DA5" s="41"/>
      <c r="DB5" s="41"/>
      <c r="DC5" s="41"/>
      <c r="DD5" s="41"/>
      <c r="DE5" s="41"/>
      <c r="DF5" s="41"/>
      <c r="DG5" s="41"/>
      <c r="DH5" s="41"/>
      <c r="DI5" s="123"/>
      <c r="DJ5" s="87">
        <v>0</v>
      </c>
      <c r="DK5" s="41">
        <v>0</v>
      </c>
      <c r="DL5" s="41"/>
      <c r="DM5" s="41"/>
      <c r="DN5" s="41"/>
      <c r="DO5" s="41"/>
      <c r="DP5" s="41"/>
      <c r="DQ5" s="41"/>
      <c r="DR5" s="41"/>
      <c r="DS5" s="41"/>
      <c r="DT5" s="88"/>
      <c r="DU5" s="87">
        <v>0</v>
      </c>
      <c r="DV5" s="41">
        <v>0</v>
      </c>
      <c r="DW5" s="41"/>
      <c r="DX5" s="41"/>
      <c r="DY5" s="41"/>
      <c r="DZ5" s="41"/>
      <c r="EA5" s="41"/>
      <c r="EB5" s="41"/>
      <c r="EC5" s="41"/>
      <c r="ED5" s="41"/>
      <c r="EE5" s="123"/>
      <c r="EF5" s="87">
        <v>0</v>
      </c>
      <c r="EG5" s="41"/>
      <c r="EH5" s="41"/>
      <c r="EI5" s="41"/>
      <c r="EJ5" s="88"/>
      <c r="EK5" s="87">
        <v>0</v>
      </c>
      <c r="EL5" s="41"/>
      <c r="EM5" s="41"/>
      <c r="EN5" s="41"/>
      <c r="EO5" s="88"/>
      <c r="EP5" s="87">
        <v>0</v>
      </c>
      <c r="EQ5" s="41"/>
      <c r="ER5" s="41"/>
      <c r="ES5" s="41"/>
      <c r="ET5" s="88"/>
      <c r="EU5" s="87">
        <v>0</v>
      </c>
      <c r="EV5" s="41"/>
      <c r="EW5" s="41"/>
      <c r="EX5" s="41"/>
      <c r="EY5" s="88"/>
      <c r="EZ5" s="87">
        <v>0</v>
      </c>
      <c r="FA5" s="41"/>
      <c r="FB5" s="41"/>
      <c r="FC5" s="41"/>
      <c r="FD5" s="88"/>
      <c r="FE5" s="87">
        <v>1</v>
      </c>
      <c r="FF5" s="127">
        <f>LOG(2/0.05,2)</f>
        <v>5.3219280948873626</v>
      </c>
      <c r="FG5" s="127">
        <f>LOG(2/0.013,2)</f>
        <v>7.2653445665209953</v>
      </c>
      <c r="FH5" s="127">
        <v>1.8</v>
      </c>
      <c r="FI5" s="123">
        <v>3.8</v>
      </c>
      <c r="FJ5" s="87">
        <v>0</v>
      </c>
      <c r="FK5" s="41"/>
      <c r="FL5" s="41"/>
      <c r="FM5" s="41"/>
      <c r="FN5" s="88"/>
      <c r="FO5" s="87">
        <v>0</v>
      </c>
      <c r="FP5" s="41"/>
      <c r="FQ5" s="41"/>
      <c r="FR5" s="41"/>
      <c r="FS5" s="88"/>
      <c r="FT5" s="87">
        <v>0</v>
      </c>
      <c r="FU5" s="41"/>
      <c r="FV5" s="41"/>
      <c r="FW5" s="41"/>
      <c r="FX5" s="88"/>
      <c r="FY5" s="87">
        <v>0</v>
      </c>
      <c r="FZ5" s="41"/>
      <c r="GA5" s="41"/>
      <c r="GB5" s="41"/>
      <c r="GC5" s="88"/>
      <c r="GD5" s="87">
        <v>0</v>
      </c>
      <c r="GE5" s="41"/>
      <c r="GF5" s="41"/>
      <c r="GG5" s="41"/>
      <c r="GH5" s="88"/>
      <c r="GI5" s="87">
        <v>0</v>
      </c>
      <c r="GJ5" s="41"/>
      <c r="GK5" s="127"/>
      <c r="GL5" s="41"/>
      <c r="GM5" s="88"/>
      <c r="GN5" s="87">
        <v>0</v>
      </c>
      <c r="GO5" s="41"/>
      <c r="GP5" s="41"/>
      <c r="GQ5" s="41"/>
      <c r="GR5" s="88"/>
      <c r="GS5" s="87">
        <v>0</v>
      </c>
      <c r="GT5" s="41"/>
      <c r="GU5" s="41"/>
      <c r="GV5" s="41"/>
      <c r="GW5" s="88"/>
      <c r="GX5" s="301" t="str">
        <f t="shared" si="1"/>
        <v/>
      </c>
      <c r="GY5" s="301" t="str">
        <f t="shared" si="0"/>
        <v/>
      </c>
      <c r="GZ5" s="41" t="str">
        <f t="shared" si="2"/>
        <v/>
      </c>
      <c r="HA5" s="41" t="str">
        <f t="shared" si="3"/>
        <v/>
      </c>
      <c r="HB5" s="41" t="str">
        <f t="shared" si="4"/>
        <v/>
      </c>
      <c r="HC5" s="41" t="str">
        <f t="shared" si="5"/>
        <v/>
      </c>
      <c r="HD5" s="41" t="str">
        <f t="shared" si="6"/>
        <v/>
      </c>
      <c r="HE5" s="88" t="str">
        <f t="shared" si="7"/>
        <v/>
      </c>
      <c r="HF5" s="524">
        <v>1</v>
      </c>
      <c r="HG5" s="41">
        <v>1</v>
      </c>
      <c r="HH5" s="41">
        <v>1</v>
      </c>
      <c r="HI5" s="41" t="s">
        <v>82</v>
      </c>
      <c r="HJ5" s="41" t="s">
        <v>82</v>
      </c>
      <c r="HK5" s="41" t="s">
        <v>82</v>
      </c>
      <c r="HL5" s="41">
        <v>1</v>
      </c>
      <c r="HM5" s="41">
        <v>1</v>
      </c>
      <c r="HN5" s="41">
        <v>1</v>
      </c>
      <c r="HO5" s="41" t="s">
        <v>82</v>
      </c>
      <c r="HP5" s="41" t="s">
        <v>82</v>
      </c>
      <c r="HQ5" s="41" t="s">
        <v>82</v>
      </c>
      <c r="HR5" s="41" t="s">
        <v>82</v>
      </c>
      <c r="HS5" s="41" t="s">
        <v>82</v>
      </c>
      <c r="HT5" s="41" t="s">
        <v>82</v>
      </c>
      <c r="HU5" s="41" t="s">
        <v>82</v>
      </c>
      <c r="HV5" s="41" t="s">
        <v>82</v>
      </c>
      <c r="HW5" s="41" t="s">
        <v>82</v>
      </c>
      <c r="HX5" s="41" t="s">
        <v>82</v>
      </c>
      <c r="HY5" s="41" t="s">
        <v>82</v>
      </c>
      <c r="HZ5" s="41" t="s">
        <v>82</v>
      </c>
      <c r="IA5" s="41" t="s">
        <v>82</v>
      </c>
      <c r="IB5" s="41" t="s">
        <v>82</v>
      </c>
      <c r="IC5" s="41" t="s">
        <v>82</v>
      </c>
      <c r="ID5" s="41" t="s">
        <v>82</v>
      </c>
      <c r="IE5" s="41" t="s">
        <v>82</v>
      </c>
      <c r="IF5" s="41" t="s">
        <v>82</v>
      </c>
      <c r="IG5" s="41" t="s">
        <v>82</v>
      </c>
      <c r="IH5" s="41" t="s">
        <v>82</v>
      </c>
      <c r="II5" s="88" t="s">
        <v>82</v>
      </c>
    </row>
    <row r="6" spans="1:243" ht="82.8">
      <c r="A6" s="754"/>
      <c r="B6" s="90" t="s">
        <v>244</v>
      </c>
      <c r="C6" s="739"/>
      <c r="D6" s="98" t="s">
        <v>245</v>
      </c>
      <c r="E6" s="94" t="s">
        <v>65</v>
      </c>
      <c r="F6" s="94" t="s">
        <v>124</v>
      </c>
      <c r="G6" s="62" t="s">
        <v>65</v>
      </c>
      <c r="H6" s="62" t="s">
        <v>65</v>
      </c>
      <c r="I6" s="742"/>
      <c r="J6" s="127">
        <v>2.15</v>
      </c>
      <c r="K6" s="183">
        <v>7</v>
      </c>
      <c r="L6" s="129">
        <v>2016</v>
      </c>
      <c r="M6" s="101" t="s">
        <v>263</v>
      </c>
      <c r="N6" s="101" t="s">
        <v>265</v>
      </c>
      <c r="O6" s="101" t="s">
        <v>265</v>
      </c>
      <c r="P6" s="98" t="s">
        <v>91</v>
      </c>
      <c r="Q6" s="98"/>
      <c r="R6" s="98" t="s">
        <v>264</v>
      </c>
      <c r="S6" s="41">
        <v>8</v>
      </c>
      <c r="T6" s="41">
        <v>1</v>
      </c>
      <c r="U6" s="249" t="s">
        <v>265</v>
      </c>
      <c r="V6" s="249">
        <v>12</v>
      </c>
      <c r="W6" s="249" t="s">
        <v>265</v>
      </c>
      <c r="X6" s="249" t="s">
        <v>265</v>
      </c>
      <c r="Y6" s="249" t="s">
        <v>265</v>
      </c>
      <c r="Z6" s="249" t="s">
        <v>265</v>
      </c>
      <c r="AA6" s="249" t="s">
        <v>265</v>
      </c>
      <c r="AB6" s="249" t="s">
        <v>265</v>
      </c>
      <c r="AC6" s="249" t="s">
        <v>265</v>
      </c>
      <c r="AD6" s="249">
        <v>1</v>
      </c>
      <c r="AE6" s="99" t="s">
        <v>260</v>
      </c>
      <c r="AF6" s="99">
        <v>11.1</v>
      </c>
      <c r="AG6" s="99">
        <v>69</v>
      </c>
      <c r="AH6" s="249">
        <v>100</v>
      </c>
      <c r="AI6" s="249" t="s">
        <v>265</v>
      </c>
      <c r="AJ6" s="249" t="s">
        <v>82</v>
      </c>
      <c r="AK6" s="91" t="s">
        <v>82</v>
      </c>
      <c r="AL6" s="477"/>
      <c r="AM6" s="249">
        <v>4</v>
      </c>
      <c r="AN6" s="249">
        <v>4</v>
      </c>
      <c r="AO6" s="249"/>
      <c r="AP6" s="249">
        <f t="shared" si="8"/>
        <v>4</v>
      </c>
      <c r="AQ6" s="518">
        <f t="shared" si="9"/>
        <v>16</v>
      </c>
      <c r="AR6" s="353" t="s">
        <v>248</v>
      </c>
      <c r="AS6" s="334">
        <v>1.8</v>
      </c>
      <c r="AT6" s="334">
        <v>3.8</v>
      </c>
      <c r="AU6" s="334">
        <v>0.75</v>
      </c>
      <c r="AV6" s="334" t="s">
        <v>265</v>
      </c>
      <c r="AW6" s="334">
        <f>1.45+0.31*48</f>
        <v>16.329999999999998</v>
      </c>
      <c r="AX6" s="334">
        <v>9.1</v>
      </c>
      <c r="AY6" s="249">
        <v>6.1</v>
      </c>
      <c r="AZ6" s="122">
        <f>SUM(AU6:AY6)</f>
        <v>32.28</v>
      </c>
      <c r="BA6" s="249">
        <v>550</v>
      </c>
      <c r="BB6" s="249">
        <v>550</v>
      </c>
      <c r="BC6" s="249">
        <v>0.15</v>
      </c>
      <c r="BD6" s="477" t="s">
        <v>265</v>
      </c>
      <c r="BE6" s="249" t="s">
        <v>84</v>
      </c>
      <c r="BF6" s="249">
        <v>1</v>
      </c>
      <c r="BG6" s="477" t="s">
        <v>265</v>
      </c>
      <c r="BH6" s="477" t="s">
        <v>265</v>
      </c>
      <c r="BI6" s="477" t="s">
        <v>265</v>
      </c>
      <c r="BJ6" s="477" t="s">
        <v>265</v>
      </c>
      <c r="BK6" s="249" t="s">
        <v>84</v>
      </c>
      <c r="BL6" s="122">
        <f>IF(AZ6="N.S","N.S",3*(AZ6*BL1+0.001*IF(BB6="N.S",0,BB6*(1-BL1))))</f>
        <v>2.6018999999999997</v>
      </c>
      <c r="BM6" s="477" t="s">
        <v>265</v>
      </c>
      <c r="BN6" s="656" t="str">
        <f t="shared" si="10"/>
        <v>N.S</v>
      </c>
      <c r="BO6" s="283">
        <f t="shared" si="11"/>
        <v>288.25089357777011</v>
      </c>
      <c r="BP6" s="481" t="s">
        <v>246</v>
      </c>
      <c r="BQ6" s="249">
        <v>32</v>
      </c>
      <c r="BR6" s="249">
        <v>48</v>
      </c>
      <c r="BS6" s="249" t="s">
        <v>265</v>
      </c>
      <c r="BT6" s="249">
        <f>20+2+8</f>
        <v>30</v>
      </c>
      <c r="BU6" s="249">
        <v>128</v>
      </c>
      <c r="BV6" s="249" t="s">
        <v>265</v>
      </c>
      <c r="BW6" s="98" t="s">
        <v>251</v>
      </c>
      <c r="BX6" s="338">
        <v>1000000</v>
      </c>
      <c r="BY6" s="526" t="s">
        <v>265</v>
      </c>
      <c r="BZ6" s="525" t="s">
        <v>738</v>
      </c>
      <c r="CA6" s="89" t="s">
        <v>265</v>
      </c>
      <c r="CB6" s="477" t="s">
        <v>265</v>
      </c>
      <c r="CC6" s="484" t="s">
        <v>84</v>
      </c>
      <c r="CD6" s="98" t="s">
        <v>287</v>
      </c>
      <c r="CE6" s="98" t="s">
        <v>250</v>
      </c>
      <c r="CF6" s="477">
        <v>2400</v>
      </c>
      <c r="CG6" s="249">
        <v>-97</v>
      </c>
      <c r="CH6" s="91">
        <v>5</v>
      </c>
      <c r="CI6" s="657">
        <v>14</v>
      </c>
      <c r="CJ6" s="658">
        <v>151</v>
      </c>
      <c r="CK6" s="659">
        <v>1015</v>
      </c>
      <c r="CL6" s="481" t="s">
        <v>274</v>
      </c>
      <c r="CM6" s="120"/>
      <c r="CN6" s="477"/>
      <c r="CO6" s="183">
        <v>1</v>
      </c>
      <c r="CP6" s="127">
        <f>LOG((CS6-CR6)/4,2)</f>
        <v>4.9657842846620879</v>
      </c>
      <c r="CQ6" s="127">
        <f>LOG((CS6-CR6)/10,2)</f>
        <v>3.6438561897747253</v>
      </c>
      <c r="CR6" s="183">
        <v>-40</v>
      </c>
      <c r="CS6" s="129">
        <v>85</v>
      </c>
      <c r="CT6" s="184">
        <v>0</v>
      </c>
      <c r="CU6" s="127"/>
      <c r="CV6" s="127"/>
      <c r="CW6" s="183"/>
      <c r="CX6" s="129"/>
      <c r="CY6" s="87">
        <v>0</v>
      </c>
      <c r="CZ6" s="41">
        <v>0</v>
      </c>
      <c r="DA6" s="41"/>
      <c r="DB6" s="41"/>
      <c r="DC6" s="41"/>
      <c r="DD6" s="41"/>
      <c r="DE6" s="41"/>
      <c r="DF6" s="41"/>
      <c r="DG6" s="41"/>
      <c r="DH6" s="41"/>
      <c r="DI6" s="123"/>
      <c r="DJ6" s="87">
        <v>0</v>
      </c>
      <c r="DK6" s="41">
        <v>0</v>
      </c>
      <c r="DL6" s="41"/>
      <c r="DM6" s="41"/>
      <c r="DN6" s="41"/>
      <c r="DO6" s="41"/>
      <c r="DP6" s="41"/>
      <c r="DQ6" s="41"/>
      <c r="DR6" s="41"/>
      <c r="DS6" s="41"/>
      <c r="DT6" s="88"/>
      <c r="DU6" s="87">
        <v>0</v>
      </c>
      <c r="DV6" s="41">
        <v>0</v>
      </c>
      <c r="DW6" s="41"/>
      <c r="DX6" s="41"/>
      <c r="DY6" s="41"/>
      <c r="DZ6" s="41"/>
      <c r="EA6" s="41"/>
      <c r="EB6" s="41"/>
      <c r="EC6" s="41"/>
      <c r="ED6" s="41"/>
      <c r="EE6" s="123"/>
      <c r="EF6" s="87">
        <v>0</v>
      </c>
      <c r="EG6" s="41"/>
      <c r="EH6" s="41"/>
      <c r="EI6" s="41"/>
      <c r="EJ6" s="88"/>
      <c r="EK6" s="87">
        <v>0</v>
      </c>
      <c r="EL6" s="41"/>
      <c r="EM6" s="41"/>
      <c r="EN6" s="41"/>
      <c r="EO6" s="88"/>
      <c r="EP6" s="87">
        <v>0</v>
      </c>
      <c r="EQ6" s="41"/>
      <c r="ER6" s="41"/>
      <c r="ES6" s="41"/>
      <c r="ET6" s="88"/>
      <c r="EU6" s="87">
        <v>0</v>
      </c>
      <c r="EV6" s="41"/>
      <c r="EW6" s="41"/>
      <c r="EX6" s="41"/>
      <c r="EY6" s="88"/>
      <c r="EZ6" s="87">
        <v>0</v>
      </c>
      <c r="FA6" s="41"/>
      <c r="FB6" s="41"/>
      <c r="FC6" s="41"/>
      <c r="FD6" s="88"/>
      <c r="FE6" s="87">
        <v>1</v>
      </c>
      <c r="FF6" s="127">
        <f>LOG(2/0.05,2)</f>
        <v>5.3219280948873626</v>
      </c>
      <c r="FG6" s="127">
        <f>LOG(2/0.013,2)</f>
        <v>7.2653445665209953</v>
      </c>
      <c r="FH6" s="127">
        <v>1.8</v>
      </c>
      <c r="FI6" s="123">
        <v>3.8</v>
      </c>
      <c r="FJ6" s="87">
        <v>0</v>
      </c>
      <c r="FK6" s="41"/>
      <c r="FL6" s="41"/>
      <c r="FM6" s="41"/>
      <c r="FN6" s="88"/>
      <c r="FO6" s="87">
        <v>0</v>
      </c>
      <c r="FP6" s="41"/>
      <c r="FQ6" s="41"/>
      <c r="FR6" s="41"/>
      <c r="FS6" s="88"/>
      <c r="FT6" s="87">
        <v>0</v>
      </c>
      <c r="FU6" s="41"/>
      <c r="FV6" s="41"/>
      <c r="FW6" s="41"/>
      <c r="FX6" s="88"/>
      <c r="FY6" s="87">
        <v>0</v>
      </c>
      <c r="FZ6" s="41"/>
      <c r="GA6" s="41"/>
      <c r="GB6" s="41"/>
      <c r="GC6" s="88"/>
      <c r="GD6" s="87">
        <v>0</v>
      </c>
      <c r="GE6" s="41"/>
      <c r="GF6" s="41"/>
      <c r="GG6" s="41"/>
      <c r="GH6" s="88"/>
      <c r="GI6" s="87">
        <v>0</v>
      </c>
      <c r="GJ6" s="41"/>
      <c r="GK6" s="127"/>
      <c r="GL6" s="41"/>
      <c r="GM6" s="88"/>
      <c r="GN6" s="87">
        <v>0</v>
      </c>
      <c r="GO6" s="41"/>
      <c r="GP6" s="41"/>
      <c r="GQ6" s="41"/>
      <c r="GR6" s="88"/>
      <c r="GS6" s="87">
        <v>0</v>
      </c>
      <c r="GT6" s="41"/>
      <c r="GU6" s="41"/>
      <c r="GV6" s="41"/>
      <c r="GW6" s="88"/>
      <c r="GX6" s="301" t="str">
        <f t="shared" si="1"/>
        <v/>
      </c>
      <c r="GY6" s="301" t="str">
        <f t="shared" si="0"/>
        <v/>
      </c>
      <c r="GZ6" s="41" t="str">
        <f t="shared" si="2"/>
        <v/>
      </c>
      <c r="HA6" s="41" t="str">
        <f t="shared" si="3"/>
        <v/>
      </c>
      <c r="HB6" s="41" t="str">
        <f t="shared" si="4"/>
        <v/>
      </c>
      <c r="HC6" s="41" t="str">
        <f t="shared" si="5"/>
        <v/>
      </c>
      <c r="HD6" s="41" t="str">
        <f t="shared" si="6"/>
        <v/>
      </c>
      <c r="HE6" s="88" t="str">
        <f t="shared" si="7"/>
        <v/>
      </c>
      <c r="HF6" s="524">
        <v>1</v>
      </c>
      <c r="HG6" s="41">
        <v>1</v>
      </c>
      <c r="HH6" s="41">
        <v>1</v>
      </c>
      <c r="HI6" s="41" t="s">
        <v>82</v>
      </c>
      <c r="HJ6" s="41" t="s">
        <v>82</v>
      </c>
      <c r="HK6" s="41" t="s">
        <v>82</v>
      </c>
      <c r="HL6" s="41">
        <v>1</v>
      </c>
      <c r="HM6" s="41">
        <v>1</v>
      </c>
      <c r="HN6" s="41">
        <v>1</v>
      </c>
      <c r="HO6" s="41" t="s">
        <v>82</v>
      </c>
      <c r="HP6" s="41" t="s">
        <v>82</v>
      </c>
      <c r="HQ6" s="41" t="s">
        <v>82</v>
      </c>
      <c r="HR6" s="41" t="s">
        <v>82</v>
      </c>
      <c r="HS6" s="41" t="s">
        <v>82</v>
      </c>
      <c r="HT6" s="41" t="s">
        <v>82</v>
      </c>
      <c r="HU6" s="41" t="s">
        <v>82</v>
      </c>
      <c r="HV6" s="41" t="s">
        <v>82</v>
      </c>
      <c r="HW6" s="41" t="s">
        <v>82</v>
      </c>
      <c r="HX6" s="41" t="s">
        <v>82</v>
      </c>
      <c r="HY6" s="41" t="s">
        <v>82</v>
      </c>
      <c r="HZ6" s="41" t="s">
        <v>82</v>
      </c>
      <c r="IA6" s="41" t="s">
        <v>82</v>
      </c>
      <c r="IB6" s="41" t="s">
        <v>82</v>
      </c>
      <c r="IC6" s="41" t="s">
        <v>82</v>
      </c>
      <c r="ID6" s="41" t="s">
        <v>82</v>
      </c>
      <c r="IE6" s="41" t="s">
        <v>82</v>
      </c>
      <c r="IF6" s="41" t="s">
        <v>82</v>
      </c>
      <c r="IG6" s="41" t="s">
        <v>82</v>
      </c>
      <c r="IH6" s="41" t="s">
        <v>82</v>
      </c>
      <c r="II6" s="88" t="s">
        <v>82</v>
      </c>
    </row>
    <row r="7" spans="1:243" ht="96.6">
      <c r="A7" s="754"/>
      <c r="B7" s="86" t="s">
        <v>269</v>
      </c>
      <c r="C7" s="739"/>
      <c r="D7" s="98" t="s">
        <v>289</v>
      </c>
      <c r="E7" s="94" t="s">
        <v>65</v>
      </c>
      <c r="F7" s="94" t="s">
        <v>124</v>
      </c>
      <c r="G7" s="62" t="s">
        <v>65</v>
      </c>
      <c r="H7" s="62" t="s">
        <v>65</v>
      </c>
      <c r="I7" s="742"/>
      <c r="J7" s="127">
        <v>3.3</v>
      </c>
      <c r="K7" s="183">
        <v>7</v>
      </c>
      <c r="L7" s="129">
        <v>2016</v>
      </c>
      <c r="M7" s="101" t="s">
        <v>263</v>
      </c>
      <c r="N7" s="101" t="s">
        <v>265</v>
      </c>
      <c r="O7" s="101" t="s">
        <v>265</v>
      </c>
      <c r="P7" s="98" t="s">
        <v>91</v>
      </c>
      <c r="Q7" s="98"/>
      <c r="R7" s="98" t="s">
        <v>264</v>
      </c>
      <c r="S7" s="41">
        <v>8</v>
      </c>
      <c r="T7" s="41">
        <v>1</v>
      </c>
      <c r="U7" s="249" t="s">
        <v>265</v>
      </c>
      <c r="V7" s="41">
        <v>12</v>
      </c>
      <c r="W7" s="249" t="s">
        <v>265</v>
      </c>
      <c r="X7" s="249" t="s">
        <v>265</v>
      </c>
      <c r="Y7" s="249" t="s">
        <v>265</v>
      </c>
      <c r="Z7" s="249" t="s">
        <v>265</v>
      </c>
      <c r="AA7" s="249" t="s">
        <v>265</v>
      </c>
      <c r="AB7" s="249" t="s">
        <v>265</v>
      </c>
      <c r="AC7" s="249" t="s">
        <v>265</v>
      </c>
      <c r="AD7" s="249">
        <v>1</v>
      </c>
      <c r="AE7" s="103" t="s">
        <v>288</v>
      </c>
      <c r="AF7" s="99">
        <v>11.1</v>
      </c>
      <c r="AG7" s="99">
        <v>69</v>
      </c>
      <c r="AH7" s="41">
        <v>100</v>
      </c>
      <c r="AI7" s="249" t="s">
        <v>265</v>
      </c>
      <c r="AJ7" s="249" t="s">
        <v>82</v>
      </c>
      <c r="AK7" s="91" t="s">
        <v>82</v>
      </c>
      <c r="AL7" s="477"/>
      <c r="AM7" s="41">
        <v>4</v>
      </c>
      <c r="AN7" s="41">
        <v>4</v>
      </c>
      <c r="AO7" s="249"/>
      <c r="AP7" s="249">
        <f t="shared" si="8"/>
        <v>4</v>
      </c>
      <c r="AQ7" s="518">
        <f t="shared" si="9"/>
        <v>16</v>
      </c>
      <c r="AR7" s="353" t="s">
        <v>248</v>
      </c>
      <c r="AS7" s="334">
        <v>1.8</v>
      </c>
      <c r="AT7" s="334">
        <v>3.8</v>
      </c>
      <c r="AU7" s="334">
        <v>0.75</v>
      </c>
      <c r="AV7" s="334" t="s">
        <v>265</v>
      </c>
      <c r="AW7" s="334">
        <f>1.45+0.31*48</f>
        <v>16.329999999999998</v>
      </c>
      <c r="AX7" s="334">
        <v>9.1</v>
      </c>
      <c r="AY7" s="249">
        <v>6.1</v>
      </c>
      <c r="AZ7" s="122">
        <f>SUM(AU7:AY7)</f>
        <v>32.28</v>
      </c>
      <c r="BA7" s="41">
        <v>550</v>
      </c>
      <c r="BB7" s="41">
        <v>550</v>
      </c>
      <c r="BC7" s="41">
        <v>0.15</v>
      </c>
      <c r="BD7" s="477" t="s">
        <v>265</v>
      </c>
      <c r="BE7" s="249" t="s">
        <v>84</v>
      </c>
      <c r="BF7" s="249">
        <v>1</v>
      </c>
      <c r="BG7" s="477" t="s">
        <v>265</v>
      </c>
      <c r="BH7" s="477" t="s">
        <v>265</v>
      </c>
      <c r="BI7" s="477" t="s">
        <v>265</v>
      </c>
      <c r="BJ7" s="477" t="s">
        <v>265</v>
      </c>
      <c r="BK7" s="249" t="s">
        <v>84</v>
      </c>
      <c r="BL7" s="122">
        <f>IF(AZ7="N.S","N.S",3*(AZ7*BL1+0.001*IF(BB7="N.S",0,BB7*(1-BL1))))</f>
        <v>2.6018999999999997</v>
      </c>
      <c r="BM7" s="477" t="s">
        <v>265</v>
      </c>
      <c r="BN7" s="656" t="str">
        <f t="shared" si="10"/>
        <v>N.S</v>
      </c>
      <c r="BO7" s="283">
        <f t="shared" si="11"/>
        <v>288.25089357777011</v>
      </c>
      <c r="BP7" s="481" t="s">
        <v>285</v>
      </c>
      <c r="BQ7" s="249">
        <v>32</v>
      </c>
      <c r="BR7" s="41">
        <v>48</v>
      </c>
      <c r="BS7" s="249" t="s">
        <v>265</v>
      </c>
      <c r="BT7" s="249">
        <f>20+2+9</f>
        <v>31</v>
      </c>
      <c r="BU7" s="41">
        <v>128</v>
      </c>
      <c r="BV7" s="249" t="s">
        <v>265</v>
      </c>
      <c r="BW7" s="98" t="s">
        <v>251</v>
      </c>
      <c r="BX7" s="339">
        <v>1000000</v>
      </c>
      <c r="BY7" s="526" t="s">
        <v>265</v>
      </c>
      <c r="BZ7" s="525" t="s">
        <v>738</v>
      </c>
      <c r="CA7" s="89" t="s">
        <v>265</v>
      </c>
      <c r="CB7" s="477" t="s">
        <v>265</v>
      </c>
      <c r="CC7" s="484" t="s">
        <v>84</v>
      </c>
      <c r="CD7" s="100" t="s">
        <v>286</v>
      </c>
      <c r="CE7" s="98" t="s">
        <v>250</v>
      </c>
      <c r="CF7" s="477">
        <v>2400</v>
      </c>
      <c r="CG7" s="249">
        <v>-97</v>
      </c>
      <c r="CH7" s="88">
        <v>5</v>
      </c>
      <c r="CI7" s="657">
        <v>14</v>
      </c>
      <c r="CJ7" s="658">
        <v>151</v>
      </c>
      <c r="CK7" s="659">
        <v>1015</v>
      </c>
      <c r="CL7" s="481" t="s">
        <v>274</v>
      </c>
      <c r="CM7" s="120"/>
      <c r="CN7" s="38"/>
      <c r="CO7" s="183">
        <v>1</v>
      </c>
      <c r="CP7" s="127">
        <f>LOG((CS7-CR7)/4,2)</f>
        <v>4.9657842846620879</v>
      </c>
      <c r="CQ7" s="127">
        <f>LOG((CS7-CR7)/10,2)</f>
        <v>3.6438561897747253</v>
      </c>
      <c r="CR7" s="183">
        <v>-40</v>
      </c>
      <c r="CS7" s="129">
        <v>85</v>
      </c>
      <c r="CT7" s="184">
        <v>0</v>
      </c>
      <c r="CU7" s="127"/>
      <c r="CV7" s="127"/>
      <c r="CW7" s="183"/>
      <c r="CX7" s="129"/>
      <c r="CY7" s="87">
        <v>0</v>
      </c>
      <c r="CZ7" s="41">
        <v>0</v>
      </c>
      <c r="DA7" s="41"/>
      <c r="DB7" s="41"/>
      <c r="DC7" s="41"/>
      <c r="DD7" s="41"/>
      <c r="DE7" s="41"/>
      <c r="DF7" s="41"/>
      <c r="DG7" s="41"/>
      <c r="DH7" s="41"/>
      <c r="DI7" s="123"/>
      <c r="DJ7" s="87">
        <v>0</v>
      </c>
      <c r="DK7" s="41">
        <v>0</v>
      </c>
      <c r="DL7" s="41"/>
      <c r="DM7" s="41"/>
      <c r="DN7" s="41"/>
      <c r="DO7" s="41"/>
      <c r="DP7" s="41"/>
      <c r="DQ7" s="41"/>
      <c r="DR7" s="41"/>
      <c r="DS7" s="41"/>
      <c r="DT7" s="88"/>
      <c r="DU7" s="87">
        <v>0</v>
      </c>
      <c r="DV7" s="41">
        <v>0</v>
      </c>
      <c r="DW7" s="41"/>
      <c r="DX7" s="41"/>
      <c r="DY7" s="41"/>
      <c r="DZ7" s="41"/>
      <c r="EA7" s="41"/>
      <c r="EB7" s="41"/>
      <c r="EC7" s="41"/>
      <c r="ED7" s="41"/>
      <c r="EE7" s="123"/>
      <c r="EF7" s="87">
        <v>0</v>
      </c>
      <c r="EG7" s="41"/>
      <c r="EH7" s="41"/>
      <c r="EI7" s="41"/>
      <c r="EJ7" s="88"/>
      <c r="EK7" s="87">
        <v>0</v>
      </c>
      <c r="EL7" s="41"/>
      <c r="EM7" s="41"/>
      <c r="EN7" s="41"/>
      <c r="EO7" s="88"/>
      <c r="EP7" s="87">
        <v>0</v>
      </c>
      <c r="EQ7" s="41"/>
      <c r="ER7" s="41"/>
      <c r="ES7" s="41"/>
      <c r="ET7" s="88"/>
      <c r="EU7" s="87">
        <v>0</v>
      </c>
      <c r="EV7" s="41"/>
      <c r="EW7" s="41"/>
      <c r="EX7" s="41"/>
      <c r="EY7" s="88"/>
      <c r="EZ7" s="87">
        <v>0</v>
      </c>
      <c r="FA7" s="41"/>
      <c r="FB7" s="41"/>
      <c r="FC7" s="41"/>
      <c r="FD7" s="88"/>
      <c r="FE7" s="87">
        <v>1</v>
      </c>
      <c r="FF7" s="127">
        <f>LOG(2/0.05,2)</f>
        <v>5.3219280948873626</v>
      </c>
      <c r="FG7" s="127">
        <f>LOG(2/0.013,2)</f>
        <v>7.2653445665209953</v>
      </c>
      <c r="FH7" s="127">
        <v>1.8</v>
      </c>
      <c r="FI7" s="123">
        <v>3.8</v>
      </c>
      <c r="FJ7" s="87">
        <v>0</v>
      </c>
      <c r="FK7" s="41"/>
      <c r="FL7" s="41"/>
      <c r="FM7" s="41"/>
      <c r="FN7" s="88"/>
      <c r="FO7" s="87">
        <v>0</v>
      </c>
      <c r="FP7" s="41"/>
      <c r="FQ7" s="41"/>
      <c r="FR7" s="41"/>
      <c r="FS7" s="88"/>
      <c r="FT7" s="87">
        <v>0</v>
      </c>
      <c r="FU7" s="41"/>
      <c r="FV7" s="41"/>
      <c r="FW7" s="41"/>
      <c r="FX7" s="88"/>
      <c r="FY7" s="87">
        <v>0</v>
      </c>
      <c r="FZ7" s="41"/>
      <c r="GA7" s="41"/>
      <c r="GB7" s="41"/>
      <c r="GC7" s="88"/>
      <c r="GD7" s="87">
        <v>0</v>
      </c>
      <c r="GE7" s="41"/>
      <c r="GF7" s="41"/>
      <c r="GG7" s="41"/>
      <c r="GH7" s="88"/>
      <c r="GI7" s="87">
        <v>0</v>
      </c>
      <c r="GJ7" s="41"/>
      <c r="GK7" s="127"/>
      <c r="GL7" s="41"/>
      <c r="GM7" s="88"/>
      <c r="GN7" s="87">
        <v>0</v>
      </c>
      <c r="GO7" s="41"/>
      <c r="GP7" s="41"/>
      <c r="GQ7" s="41"/>
      <c r="GR7" s="88"/>
      <c r="GS7" s="87">
        <v>0</v>
      </c>
      <c r="GT7" s="41"/>
      <c r="GU7" s="41"/>
      <c r="GV7" s="41"/>
      <c r="GW7" s="88"/>
      <c r="GX7" s="301">
        <f t="shared" si="1"/>
        <v>1</v>
      </c>
      <c r="GY7" s="301" t="str">
        <f t="shared" si="0"/>
        <v/>
      </c>
      <c r="GZ7" s="41" t="str">
        <f t="shared" si="2"/>
        <v/>
      </c>
      <c r="HA7" s="41" t="str">
        <f t="shared" si="3"/>
        <v/>
      </c>
      <c r="HB7" s="41" t="str">
        <f t="shared" si="4"/>
        <v/>
      </c>
      <c r="HC7" s="41" t="str">
        <f t="shared" si="5"/>
        <v/>
      </c>
      <c r="HD7" s="41" t="str">
        <f t="shared" si="6"/>
        <v/>
      </c>
      <c r="HE7" s="88" t="str">
        <f t="shared" si="7"/>
        <v/>
      </c>
      <c r="HF7" s="524">
        <v>1</v>
      </c>
      <c r="HG7" s="41">
        <v>1</v>
      </c>
      <c r="HH7" s="41">
        <v>1</v>
      </c>
      <c r="HI7" s="41" t="s">
        <v>82</v>
      </c>
      <c r="HJ7" s="41" t="s">
        <v>82</v>
      </c>
      <c r="HK7" s="41" t="s">
        <v>82</v>
      </c>
      <c r="HL7" s="41">
        <v>1</v>
      </c>
      <c r="HM7" s="41">
        <v>1</v>
      </c>
      <c r="HN7" s="41">
        <v>1</v>
      </c>
      <c r="HO7" s="41" t="s">
        <v>82</v>
      </c>
      <c r="HP7" s="41" t="s">
        <v>82</v>
      </c>
      <c r="HQ7" s="41" t="s">
        <v>82</v>
      </c>
      <c r="HR7" s="41" t="s">
        <v>82</v>
      </c>
      <c r="HS7" s="41" t="s">
        <v>82</v>
      </c>
      <c r="HT7" s="41" t="s">
        <v>82</v>
      </c>
      <c r="HU7" s="41" t="s">
        <v>82</v>
      </c>
      <c r="HV7" s="41" t="s">
        <v>82</v>
      </c>
      <c r="HW7" s="41" t="s">
        <v>82</v>
      </c>
      <c r="HX7" s="41" t="s">
        <v>82</v>
      </c>
      <c r="HY7" s="41" t="s">
        <v>82</v>
      </c>
      <c r="HZ7" s="41" t="s">
        <v>82</v>
      </c>
      <c r="IA7" s="41" t="s">
        <v>82</v>
      </c>
      <c r="IB7" s="41" t="s">
        <v>82</v>
      </c>
      <c r="IC7" s="41" t="s">
        <v>82</v>
      </c>
      <c r="ID7" s="41" t="s">
        <v>82</v>
      </c>
      <c r="IE7" s="41" t="s">
        <v>82</v>
      </c>
      <c r="IF7" s="41" t="s">
        <v>82</v>
      </c>
      <c r="IG7" s="41" t="s">
        <v>82</v>
      </c>
      <c r="IH7" s="41" t="s">
        <v>82</v>
      </c>
      <c r="II7" s="88" t="s">
        <v>82</v>
      </c>
    </row>
    <row r="8" spans="1:243" ht="110.4">
      <c r="A8" s="754"/>
      <c r="B8" s="97" t="s">
        <v>277</v>
      </c>
      <c r="C8" s="739"/>
      <c r="D8" s="93" t="s">
        <v>740</v>
      </c>
      <c r="E8" s="81" t="s">
        <v>65</v>
      </c>
      <c r="F8" s="81" t="s">
        <v>124</v>
      </c>
      <c r="G8" s="81" t="s">
        <v>65</v>
      </c>
      <c r="H8" s="85" t="s">
        <v>65</v>
      </c>
      <c r="I8" s="742"/>
      <c r="J8" s="127">
        <v>29</v>
      </c>
      <c r="K8" s="183">
        <v>3</v>
      </c>
      <c r="L8" s="129">
        <v>2015</v>
      </c>
      <c r="M8" s="349" t="s">
        <v>446</v>
      </c>
      <c r="N8" s="102" t="s">
        <v>82</v>
      </c>
      <c r="O8" s="101" t="s">
        <v>265</v>
      </c>
      <c r="P8" s="98" t="s">
        <v>91</v>
      </c>
      <c r="Q8" s="93"/>
      <c r="R8" s="85" t="s">
        <v>270</v>
      </c>
      <c r="S8" s="41">
        <v>8</v>
      </c>
      <c r="T8" s="41">
        <v>1</v>
      </c>
      <c r="U8" s="249" t="s">
        <v>265</v>
      </c>
      <c r="V8" s="85">
        <v>12</v>
      </c>
      <c r="W8" s="249" t="s">
        <v>265</v>
      </c>
      <c r="X8" s="249" t="s">
        <v>265</v>
      </c>
      <c r="Y8" s="249" t="s">
        <v>265</v>
      </c>
      <c r="Z8" s="249" t="s">
        <v>265</v>
      </c>
      <c r="AA8" s="249" t="s">
        <v>265</v>
      </c>
      <c r="AB8" s="249" t="s">
        <v>265</v>
      </c>
      <c r="AC8" s="249" t="s">
        <v>265</v>
      </c>
      <c r="AD8" s="249">
        <v>0</v>
      </c>
      <c r="AE8" s="103" t="s">
        <v>741</v>
      </c>
      <c r="AF8" s="99">
        <v>11.1</v>
      </c>
      <c r="AG8" s="99">
        <v>69</v>
      </c>
      <c r="AH8" s="85">
        <v>100</v>
      </c>
      <c r="AI8" s="249" t="s">
        <v>265</v>
      </c>
      <c r="AJ8" s="249" t="s">
        <v>82</v>
      </c>
      <c r="AK8" s="91" t="s">
        <v>82</v>
      </c>
      <c r="AL8" s="477" t="s">
        <v>881</v>
      </c>
      <c r="AM8" s="41" t="s">
        <v>265</v>
      </c>
      <c r="AN8" s="41" t="s">
        <v>265</v>
      </c>
      <c r="AO8" s="249" t="s">
        <v>265</v>
      </c>
      <c r="AP8" s="249" t="str">
        <f t="shared" si="8"/>
        <v>N.S</v>
      </c>
      <c r="AQ8" s="518" t="s">
        <v>265</v>
      </c>
      <c r="AR8" s="88" t="s">
        <v>265</v>
      </c>
      <c r="AS8" s="318" t="s">
        <v>265</v>
      </c>
      <c r="AT8" s="41" t="s">
        <v>265</v>
      </c>
      <c r="AU8" s="41" t="s">
        <v>265</v>
      </c>
      <c r="AV8" s="41" t="s">
        <v>265</v>
      </c>
      <c r="AW8" s="41" t="s">
        <v>265</v>
      </c>
      <c r="AX8" s="41" t="s">
        <v>265</v>
      </c>
      <c r="AY8" s="41" t="s">
        <v>265</v>
      </c>
      <c r="AZ8" s="41" t="s">
        <v>265</v>
      </c>
      <c r="BA8" s="41" t="s">
        <v>265</v>
      </c>
      <c r="BB8" s="41" t="s">
        <v>265</v>
      </c>
      <c r="BC8" s="41" t="s">
        <v>265</v>
      </c>
      <c r="BD8" s="477" t="s">
        <v>265</v>
      </c>
      <c r="BE8" s="477" t="s">
        <v>84</v>
      </c>
      <c r="BF8" s="477" t="s">
        <v>265</v>
      </c>
      <c r="BG8" s="477" t="s">
        <v>265</v>
      </c>
      <c r="BH8" s="477" t="s">
        <v>265</v>
      </c>
      <c r="BI8" s="477" t="s">
        <v>265</v>
      </c>
      <c r="BJ8" s="477" t="s">
        <v>265</v>
      </c>
      <c r="BK8" s="249" t="s">
        <v>84</v>
      </c>
      <c r="BL8" s="122" t="str">
        <f>IF(AZ8="N.S","N.S",3*(AZ8*BL1+0.001*IF(BB8="N.S",0,BB8*(1-BL1))))</f>
        <v>N.S</v>
      </c>
      <c r="BM8" s="477" t="s">
        <v>265</v>
      </c>
      <c r="BN8" s="656" t="str">
        <f t="shared" si="10"/>
        <v>N.S</v>
      </c>
      <c r="BO8" s="283" t="str">
        <f t="shared" si="11"/>
        <v>N.S</v>
      </c>
      <c r="BP8" s="481" t="s">
        <v>246</v>
      </c>
      <c r="BQ8" s="85">
        <v>32</v>
      </c>
      <c r="BR8" s="85">
        <v>48</v>
      </c>
      <c r="BS8" s="85" t="s">
        <v>265</v>
      </c>
      <c r="BT8" s="85">
        <f>4+20</f>
        <v>24</v>
      </c>
      <c r="BU8" s="85">
        <v>128</v>
      </c>
      <c r="BV8" s="526" t="s">
        <v>265</v>
      </c>
      <c r="BW8" s="85" t="s">
        <v>283</v>
      </c>
      <c r="BX8" s="339" t="s">
        <v>265</v>
      </c>
      <c r="BY8" s="526" t="s">
        <v>265</v>
      </c>
      <c r="BZ8" s="525" t="s">
        <v>738</v>
      </c>
      <c r="CA8" s="304" t="s">
        <v>276</v>
      </c>
      <c r="CB8" s="477" t="s">
        <v>265</v>
      </c>
      <c r="CC8" s="483" t="s">
        <v>84</v>
      </c>
      <c r="CD8" s="93" t="s">
        <v>282</v>
      </c>
      <c r="CE8" s="68" t="s">
        <v>250</v>
      </c>
      <c r="CF8" s="477">
        <v>2401</v>
      </c>
      <c r="CG8" s="249">
        <v>-97</v>
      </c>
      <c r="CH8" s="88">
        <v>5</v>
      </c>
      <c r="CI8" s="527" t="s">
        <v>265</v>
      </c>
      <c r="CJ8" s="124" t="s">
        <v>265</v>
      </c>
      <c r="CK8" s="528" t="s">
        <v>265</v>
      </c>
      <c r="CL8" s="483" t="s">
        <v>273</v>
      </c>
      <c r="CM8" s="106"/>
      <c r="CN8" s="476"/>
      <c r="CO8" s="183">
        <v>1</v>
      </c>
      <c r="CP8" s="127"/>
      <c r="CQ8" s="127"/>
      <c r="CR8" s="183"/>
      <c r="CS8" s="129"/>
      <c r="CT8" s="184">
        <v>1</v>
      </c>
      <c r="CU8" s="127"/>
      <c r="CV8" s="127"/>
      <c r="CW8" s="183"/>
      <c r="CX8" s="129"/>
      <c r="CY8" s="87">
        <v>0</v>
      </c>
      <c r="CZ8" s="41">
        <v>1</v>
      </c>
      <c r="DA8" s="41"/>
      <c r="DB8" s="41"/>
      <c r="DC8" s="41"/>
      <c r="DD8" s="41"/>
      <c r="DE8" s="41"/>
      <c r="DF8" s="41"/>
      <c r="DG8" s="41"/>
      <c r="DH8" s="41"/>
      <c r="DI8" s="123"/>
      <c r="DJ8" s="87">
        <v>0</v>
      </c>
      <c r="DK8" s="41">
        <v>1</v>
      </c>
      <c r="DL8" s="41"/>
      <c r="DM8" s="41"/>
      <c r="DN8" s="41"/>
      <c r="DO8" s="41"/>
      <c r="DP8" s="41"/>
      <c r="DQ8" s="41"/>
      <c r="DR8" s="41"/>
      <c r="DS8" s="41"/>
      <c r="DT8" s="88"/>
      <c r="DU8" s="87">
        <v>0</v>
      </c>
      <c r="DV8" s="41">
        <v>1</v>
      </c>
      <c r="DW8" s="41"/>
      <c r="DX8" s="41"/>
      <c r="DY8" s="41"/>
      <c r="DZ8" s="41"/>
      <c r="EA8" s="41"/>
      <c r="EB8" s="41"/>
      <c r="EC8" s="41"/>
      <c r="ED8" s="41"/>
      <c r="EE8" s="123"/>
      <c r="EF8" s="87">
        <v>1</v>
      </c>
      <c r="EG8" s="41"/>
      <c r="EH8" s="41"/>
      <c r="EI8" s="41"/>
      <c r="EJ8" s="88"/>
      <c r="EK8" s="87">
        <v>0</v>
      </c>
      <c r="EL8" s="41"/>
      <c r="EM8" s="41"/>
      <c r="EN8" s="41"/>
      <c r="EO8" s="88"/>
      <c r="EP8" s="87">
        <v>1</v>
      </c>
      <c r="EQ8" s="41"/>
      <c r="ER8" s="41"/>
      <c r="ES8" s="41"/>
      <c r="ET8" s="88"/>
      <c r="EU8" s="87">
        <v>1</v>
      </c>
      <c r="EV8" s="41"/>
      <c r="EW8" s="41"/>
      <c r="EX8" s="41"/>
      <c r="EY8" s="88"/>
      <c r="EZ8" s="87">
        <v>0</v>
      </c>
      <c r="FA8" s="41"/>
      <c r="FB8" s="41"/>
      <c r="FC8" s="41"/>
      <c r="FD8" s="88"/>
      <c r="FE8" s="87">
        <v>0</v>
      </c>
      <c r="FF8" s="127"/>
      <c r="FG8" s="127"/>
      <c r="FH8" s="127"/>
      <c r="FI8" s="123"/>
      <c r="FJ8" s="87">
        <v>0</v>
      </c>
      <c r="FK8" s="41"/>
      <c r="FL8" s="41"/>
      <c r="FM8" s="41"/>
      <c r="FN8" s="88"/>
      <c r="FO8" s="87">
        <v>0</v>
      </c>
      <c r="FP8" s="41"/>
      <c r="FQ8" s="41"/>
      <c r="FR8" s="41"/>
      <c r="FS8" s="88"/>
      <c r="FT8" s="87">
        <v>0</v>
      </c>
      <c r="FU8" s="41"/>
      <c r="FV8" s="41"/>
      <c r="FW8" s="41"/>
      <c r="FX8" s="88"/>
      <c r="FY8" s="87">
        <v>0</v>
      </c>
      <c r="FZ8" s="41"/>
      <c r="GA8" s="41"/>
      <c r="GB8" s="41"/>
      <c r="GC8" s="88"/>
      <c r="GD8" s="87">
        <v>0</v>
      </c>
      <c r="GE8" s="41"/>
      <c r="GF8" s="41"/>
      <c r="GG8" s="41"/>
      <c r="GH8" s="88"/>
      <c r="GI8" s="87">
        <v>0</v>
      </c>
      <c r="GJ8" s="41"/>
      <c r="GK8" s="127"/>
      <c r="GL8" s="41"/>
      <c r="GM8" s="88"/>
      <c r="GN8" s="87">
        <v>0</v>
      </c>
      <c r="GO8" s="41"/>
      <c r="GP8" s="41"/>
      <c r="GQ8" s="41"/>
      <c r="GR8" s="88"/>
      <c r="GS8" s="87">
        <v>0</v>
      </c>
      <c r="GT8" s="41"/>
      <c r="GU8" s="41"/>
      <c r="GV8" s="41"/>
      <c r="GW8" s="88"/>
      <c r="GX8" s="301" t="str">
        <f t="shared" si="1"/>
        <v/>
      </c>
      <c r="GY8" s="301" t="str">
        <f t="shared" si="0"/>
        <v/>
      </c>
      <c r="GZ8" s="41" t="str">
        <f t="shared" si="2"/>
        <v/>
      </c>
      <c r="HA8" s="41" t="str">
        <f t="shared" si="3"/>
        <v/>
      </c>
      <c r="HB8" s="41" t="str">
        <f t="shared" si="4"/>
        <v/>
      </c>
      <c r="HC8" s="41">
        <f t="shared" si="5"/>
        <v>1</v>
      </c>
      <c r="HD8" s="41" t="str">
        <f t="shared" si="6"/>
        <v/>
      </c>
      <c r="HE8" s="88" t="str">
        <f t="shared" si="7"/>
        <v/>
      </c>
      <c r="HF8" s="524">
        <v>1</v>
      </c>
      <c r="HG8" s="41">
        <v>1</v>
      </c>
      <c r="HH8" s="41">
        <v>1</v>
      </c>
      <c r="HI8" s="41" t="s">
        <v>82</v>
      </c>
      <c r="HJ8" s="41" t="s">
        <v>82</v>
      </c>
      <c r="HK8" s="41" t="s">
        <v>82</v>
      </c>
      <c r="HL8" s="41">
        <v>1</v>
      </c>
      <c r="HM8" s="41">
        <v>1</v>
      </c>
      <c r="HN8" s="41">
        <v>1</v>
      </c>
      <c r="HO8" s="41" t="s">
        <v>82</v>
      </c>
      <c r="HP8" s="41" t="s">
        <v>82</v>
      </c>
      <c r="HQ8" s="41" t="s">
        <v>82</v>
      </c>
      <c r="HR8" s="41" t="s">
        <v>82</v>
      </c>
      <c r="HS8" s="41" t="s">
        <v>82</v>
      </c>
      <c r="HT8" s="41" t="s">
        <v>82</v>
      </c>
      <c r="HU8" s="41" t="s">
        <v>82</v>
      </c>
      <c r="HV8" s="41" t="s">
        <v>82</v>
      </c>
      <c r="HW8" s="41" t="s">
        <v>82</v>
      </c>
      <c r="HX8" s="41" t="s">
        <v>82</v>
      </c>
      <c r="HY8" s="41" t="s">
        <v>82</v>
      </c>
      <c r="HZ8" s="41" t="s">
        <v>82</v>
      </c>
      <c r="IA8" s="41" t="s">
        <v>82</v>
      </c>
      <c r="IB8" s="41" t="s">
        <v>82</v>
      </c>
      <c r="IC8" s="41" t="s">
        <v>82</v>
      </c>
      <c r="ID8" s="41" t="s">
        <v>82</v>
      </c>
      <c r="IE8" s="41" t="s">
        <v>82</v>
      </c>
      <c r="IF8" s="41" t="s">
        <v>82</v>
      </c>
      <c r="IG8" s="41" t="s">
        <v>82</v>
      </c>
      <c r="IH8" s="41" t="s">
        <v>82</v>
      </c>
      <c r="II8" s="88" t="s">
        <v>82</v>
      </c>
    </row>
    <row r="9" spans="1:243" s="92" customFormat="1" ht="69">
      <c r="A9" s="754"/>
      <c r="B9" s="567" t="s">
        <v>281</v>
      </c>
      <c r="C9" s="739"/>
      <c r="D9" s="100" t="s">
        <v>830</v>
      </c>
      <c r="E9" s="96" t="s">
        <v>65</v>
      </c>
      <c r="F9" s="96" t="s">
        <v>124</v>
      </c>
      <c r="G9" s="41" t="s">
        <v>65</v>
      </c>
      <c r="H9" s="41" t="s">
        <v>65</v>
      </c>
      <c r="I9" s="41" t="s">
        <v>65</v>
      </c>
      <c r="J9" s="127">
        <v>5.54</v>
      </c>
      <c r="K9" s="183">
        <v>4</v>
      </c>
      <c r="L9" s="129">
        <v>2014</v>
      </c>
      <c r="M9" s="349" t="s">
        <v>265</v>
      </c>
      <c r="N9" s="301" t="s">
        <v>265</v>
      </c>
      <c r="O9" s="301" t="s">
        <v>265</v>
      </c>
      <c r="P9" s="301" t="s">
        <v>265</v>
      </c>
      <c r="Q9" s="301"/>
      <c r="R9" s="301" t="s">
        <v>265</v>
      </c>
      <c r="S9" s="41" t="s">
        <v>265</v>
      </c>
      <c r="T9" s="41">
        <v>4</v>
      </c>
      <c r="U9" s="301" t="s">
        <v>265</v>
      </c>
      <c r="V9" s="301">
        <v>12</v>
      </c>
      <c r="W9" s="301" t="s">
        <v>265</v>
      </c>
      <c r="X9" s="301" t="s">
        <v>265</v>
      </c>
      <c r="Y9" s="301" t="s">
        <v>265</v>
      </c>
      <c r="Z9" s="301" t="s">
        <v>265</v>
      </c>
      <c r="AA9" s="301" t="s">
        <v>265</v>
      </c>
      <c r="AB9" s="301" t="s">
        <v>265</v>
      </c>
      <c r="AC9" s="301" t="s">
        <v>265</v>
      </c>
      <c r="AD9" s="301" t="s">
        <v>265</v>
      </c>
      <c r="AE9" s="301" t="s">
        <v>265</v>
      </c>
      <c r="AF9" s="301" t="s">
        <v>265</v>
      </c>
      <c r="AG9" s="301" t="s">
        <v>265</v>
      </c>
      <c r="AH9" s="301" t="s">
        <v>265</v>
      </c>
      <c r="AI9" s="301" t="s">
        <v>265</v>
      </c>
      <c r="AJ9" s="301" t="s">
        <v>265</v>
      </c>
      <c r="AK9" s="88" t="s">
        <v>265</v>
      </c>
      <c r="AL9" s="477"/>
      <c r="AM9" s="249">
        <v>9</v>
      </c>
      <c r="AN9" s="249">
        <v>9</v>
      </c>
      <c r="AO9" s="249"/>
      <c r="AP9" s="249">
        <f t="shared" si="8"/>
        <v>9</v>
      </c>
      <c r="AQ9" s="518" t="s">
        <v>265</v>
      </c>
      <c r="AR9" s="88" t="s">
        <v>332</v>
      </c>
      <c r="AS9" s="301">
        <v>2.1</v>
      </c>
      <c r="AT9" s="477">
        <v>3.6</v>
      </c>
      <c r="AU9" s="477" t="s">
        <v>265</v>
      </c>
      <c r="AV9" s="477" t="s">
        <v>265</v>
      </c>
      <c r="AW9" s="477" t="s">
        <v>265</v>
      </c>
      <c r="AX9" s="477">
        <v>59</v>
      </c>
      <c r="AY9" s="477">
        <v>229</v>
      </c>
      <c r="AZ9" s="477">
        <v>278</v>
      </c>
      <c r="BA9" s="477" t="s">
        <v>265</v>
      </c>
      <c r="BB9" s="477">
        <v>250</v>
      </c>
      <c r="BC9" s="477">
        <v>4</v>
      </c>
      <c r="BD9" s="477" t="s">
        <v>265</v>
      </c>
      <c r="BE9" s="477" t="s">
        <v>265</v>
      </c>
      <c r="BF9" s="477" t="s">
        <v>265</v>
      </c>
      <c r="BG9" s="477" t="s">
        <v>265</v>
      </c>
      <c r="BH9" s="477" t="s">
        <v>265</v>
      </c>
      <c r="BI9" s="477" t="s">
        <v>265</v>
      </c>
      <c r="BJ9" s="477" t="s">
        <v>265</v>
      </c>
      <c r="BK9" s="477" t="s">
        <v>265</v>
      </c>
      <c r="BL9" s="477" t="s">
        <v>265</v>
      </c>
      <c r="BM9" s="477" t="s">
        <v>265</v>
      </c>
      <c r="BN9" s="656" t="str">
        <f t="shared" si="10"/>
        <v>N.S</v>
      </c>
      <c r="BO9" s="283" t="str">
        <f t="shared" si="11"/>
        <v>N.S</v>
      </c>
      <c r="BP9" s="95" t="s">
        <v>831</v>
      </c>
      <c r="BQ9" s="41">
        <v>32</v>
      </c>
      <c r="BR9" s="41">
        <v>80</v>
      </c>
      <c r="BS9" s="41" t="s">
        <v>265</v>
      </c>
      <c r="BT9" s="41" t="s">
        <v>265</v>
      </c>
      <c r="BU9" s="41">
        <v>256</v>
      </c>
      <c r="BV9" s="41" t="s">
        <v>265</v>
      </c>
      <c r="BW9" s="41" t="s">
        <v>265</v>
      </c>
      <c r="BX9" s="339" t="s">
        <v>265</v>
      </c>
      <c r="BY9" s="41" t="s">
        <v>265</v>
      </c>
      <c r="BZ9" s="525" t="s">
        <v>832</v>
      </c>
      <c r="CA9" s="89" t="s">
        <v>265</v>
      </c>
      <c r="CB9" s="477" t="s">
        <v>265</v>
      </c>
      <c r="CC9" s="87" t="s">
        <v>84</v>
      </c>
      <c r="CD9" s="41" t="s">
        <v>665</v>
      </c>
      <c r="CE9" s="41" t="s">
        <v>265</v>
      </c>
      <c r="CF9" s="41">
        <v>2400</v>
      </c>
      <c r="CG9" s="41">
        <v>-95.7</v>
      </c>
      <c r="CH9" s="88">
        <v>18</v>
      </c>
      <c r="CI9" s="529" t="s">
        <v>265</v>
      </c>
      <c r="CJ9" s="127" t="s">
        <v>265</v>
      </c>
      <c r="CK9" s="123" t="s">
        <v>265</v>
      </c>
      <c r="CL9" s="87" t="s">
        <v>265</v>
      </c>
      <c r="CM9" s="92" t="s">
        <v>265</v>
      </c>
      <c r="CN9" s="38" t="s">
        <v>265</v>
      </c>
      <c r="CO9" s="183">
        <v>0</v>
      </c>
      <c r="CP9" s="127"/>
      <c r="CQ9" s="127"/>
      <c r="CR9" s="183"/>
      <c r="CS9" s="129"/>
      <c r="CT9" s="184">
        <v>0</v>
      </c>
      <c r="CU9" s="127"/>
      <c r="CV9" s="127"/>
      <c r="CW9" s="183"/>
      <c r="CX9" s="129"/>
      <c r="CY9" s="87">
        <v>0</v>
      </c>
      <c r="CZ9" s="41">
        <v>0</v>
      </c>
      <c r="DA9" s="41"/>
      <c r="DB9" s="41"/>
      <c r="DC9" s="41"/>
      <c r="DD9" s="41"/>
      <c r="DE9" s="41"/>
      <c r="DF9" s="41"/>
      <c r="DG9" s="41"/>
      <c r="DH9" s="41"/>
      <c r="DI9" s="123"/>
      <c r="DJ9" s="87">
        <v>0</v>
      </c>
      <c r="DK9" s="41">
        <v>0</v>
      </c>
      <c r="DL9" s="41"/>
      <c r="DM9" s="41"/>
      <c r="DN9" s="41"/>
      <c r="DO9" s="41"/>
      <c r="DP9" s="41"/>
      <c r="DQ9" s="41"/>
      <c r="DR9" s="41"/>
      <c r="DS9" s="41"/>
      <c r="DT9" s="88"/>
      <c r="DU9" s="87">
        <v>0</v>
      </c>
      <c r="DV9" s="41">
        <v>0</v>
      </c>
      <c r="DW9" s="41"/>
      <c r="DX9" s="41"/>
      <c r="DY9" s="41"/>
      <c r="DZ9" s="41"/>
      <c r="EA9" s="41"/>
      <c r="EB9" s="41"/>
      <c r="EC9" s="41"/>
      <c r="ED9" s="41"/>
      <c r="EE9" s="123"/>
      <c r="EF9" s="87">
        <v>0</v>
      </c>
      <c r="EG9" s="41"/>
      <c r="EH9" s="41"/>
      <c r="EI9" s="41"/>
      <c r="EJ9" s="88"/>
      <c r="EK9" s="87">
        <v>0</v>
      </c>
      <c r="EL9" s="41"/>
      <c r="EM9" s="41"/>
      <c r="EN9" s="41"/>
      <c r="EO9" s="88"/>
      <c r="EP9" s="87">
        <v>0</v>
      </c>
      <c r="EQ9" s="41"/>
      <c r="ER9" s="41"/>
      <c r="ES9" s="41"/>
      <c r="ET9" s="88"/>
      <c r="EU9" s="87">
        <v>0</v>
      </c>
      <c r="EV9" s="41"/>
      <c r="EW9" s="41"/>
      <c r="EX9" s="41"/>
      <c r="EY9" s="88"/>
      <c r="EZ9" s="87">
        <v>0</v>
      </c>
      <c r="FA9" s="41"/>
      <c r="FB9" s="41"/>
      <c r="FC9" s="41"/>
      <c r="FD9" s="88"/>
      <c r="FE9" s="87">
        <v>0</v>
      </c>
      <c r="FF9" s="127"/>
      <c r="FG9" s="127"/>
      <c r="FH9" s="127"/>
      <c r="FI9" s="123"/>
      <c r="FJ9" s="87">
        <v>0</v>
      </c>
      <c r="FK9" s="41"/>
      <c r="FL9" s="41"/>
      <c r="FM9" s="41"/>
      <c r="FN9" s="88"/>
      <c r="FO9" s="87">
        <v>0</v>
      </c>
      <c r="FP9" s="41"/>
      <c r="FQ9" s="41"/>
      <c r="FR9" s="41"/>
      <c r="FS9" s="88"/>
      <c r="FT9" s="87">
        <v>0</v>
      </c>
      <c r="FU9" s="41"/>
      <c r="FV9" s="41"/>
      <c r="FW9" s="41"/>
      <c r="FX9" s="88"/>
      <c r="FY9" s="87">
        <v>0</v>
      </c>
      <c r="FZ9" s="41"/>
      <c r="GA9" s="41"/>
      <c r="GB9" s="41"/>
      <c r="GC9" s="88"/>
      <c r="GD9" s="87">
        <v>0</v>
      </c>
      <c r="GE9" s="41"/>
      <c r="GF9" s="41"/>
      <c r="GG9" s="41"/>
      <c r="GH9" s="88"/>
      <c r="GI9" s="87">
        <v>0</v>
      </c>
      <c r="GJ9" s="41"/>
      <c r="GK9" s="127"/>
      <c r="GL9" s="41"/>
      <c r="GM9" s="88"/>
      <c r="GN9" s="87">
        <v>0</v>
      </c>
      <c r="GO9" s="41"/>
      <c r="GP9" s="41"/>
      <c r="GQ9" s="41"/>
      <c r="GR9" s="88"/>
      <c r="GS9" s="87">
        <v>0</v>
      </c>
      <c r="GT9" s="41"/>
      <c r="GU9" s="41"/>
      <c r="GV9" s="41"/>
      <c r="GW9" s="88"/>
      <c r="GX9" s="301"/>
      <c r="GY9" s="301" t="str">
        <f t="shared" si="0"/>
        <v/>
      </c>
      <c r="GZ9" s="41">
        <v>1</v>
      </c>
      <c r="HA9" s="41" t="str">
        <f t="shared" si="3"/>
        <v/>
      </c>
      <c r="HB9" s="41" t="str">
        <f t="shared" si="4"/>
        <v/>
      </c>
      <c r="HC9" s="41" t="str">
        <f t="shared" si="5"/>
        <v/>
      </c>
      <c r="HD9" s="41" t="str">
        <f t="shared" si="6"/>
        <v/>
      </c>
      <c r="HE9" s="88" t="str">
        <f t="shared" si="7"/>
        <v/>
      </c>
      <c r="HF9" s="524">
        <v>1</v>
      </c>
      <c r="HG9" s="41" t="s">
        <v>82</v>
      </c>
      <c r="HH9" s="41">
        <v>1</v>
      </c>
      <c r="HI9" s="41" t="s">
        <v>82</v>
      </c>
      <c r="HJ9" s="41" t="s">
        <v>82</v>
      </c>
      <c r="HK9" s="41" t="s">
        <v>82</v>
      </c>
      <c r="HL9" s="41">
        <v>1</v>
      </c>
      <c r="HM9" s="41">
        <v>1</v>
      </c>
      <c r="HN9" s="41">
        <v>1</v>
      </c>
      <c r="HO9" s="41" t="s">
        <v>82</v>
      </c>
      <c r="HP9" s="41" t="s">
        <v>82</v>
      </c>
      <c r="HQ9" s="41" t="s">
        <v>82</v>
      </c>
      <c r="HR9" s="41" t="s">
        <v>82</v>
      </c>
      <c r="HS9" s="41" t="s">
        <v>82</v>
      </c>
      <c r="HT9" s="41" t="s">
        <v>82</v>
      </c>
      <c r="HU9" s="41" t="s">
        <v>82</v>
      </c>
      <c r="HV9" s="41" t="s">
        <v>82</v>
      </c>
      <c r="HW9" s="41" t="s">
        <v>82</v>
      </c>
      <c r="HX9" s="41" t="s">
        <v>82</v>
      </c>
      <c r="HY9" s="41" t="s">
        <v>82</v>
      </c>
      <c r="HZ9" s="41" t="s">
        <v>82</v>
      </c>
      <c r="IA9" s="41" t="s">
        <v>82</v>
      </c>
      <c r="IB9" s="41" t="s">
        <v>82</v>
      </c>
      <c r="IC9" s="41" t="s">
        <v>82</v>
      </c>
      <c r="ID9" s="41" t="s">
        <v>82</v>
      </c>
      <c r="IE9" s="41" t="s">
        <v>82</v>
      </c>
      <c r="IF9" s="41" t="s">
        <v>82</v>
      </c>
      <c r="IG9" s="41" t="s">
        <v>82</v>
      </c>
      <c r="IH9" s="41" t="s">
        <v>82</v>
      </c>
      <c r="II9" s="88" t="s">
        <v>82</v>
      </c>
    </row>
    <row r="10" spans="1:243" s="92" customFormat="1">
      <c r="A10" s="754"/>
      <c r="B10" s="86"/>
      <c r="C10" s="739"/>
      <c r="D10" s="100"/>
      <c r="E10" s="41" t="s">
        <v>65</v>
      </c>
      <c r="F10" s="41" t="s">
        <v>65</v>
      </c>
      <c r="G10" s="41" t="s">
        <v>65</v>
      </c>
      <c r="H10" s="41" t="s">
        <v>65</v>
      </c>
      <c r="I10" s="41" t="s">
        <v>65</v>
      </c>
      <c r="J10" s="127"/>
      <c r="K10" s="183"/>
      <c r="L10" s="129"/>
      <c r="M10" s="349" t="s">
        <v>265</v>
      </c>
      <c r="N10" s="301" t="s">
        <v>265</v>
      </c>
      <c r="O10" s="301" t="s">
        <v>265</v>
      </c>
      <c r="P10" s="301" t="s">
        <v>422</v>
      </c>
      <c r="Q10" s="301"/>
      <c r="R10" s="301" t="s">
        <v>265</v>
      </c>
      <c r="S10" s="41" t="s">
        <v>265</v>
      </c>
      <c r="T10" s="41" t="s">
        <v>265</v>
      </c>
      <c r="U10" s="301" t="s">
        <v>265</v>
      </c>
      <c r="V10" s="301" t="s">
        <v>265</v>
      </c>
      <c r="W10" s="301" t="s">
        <v>265</v>
      </c>
      <c r="X10" s="301" t="s">
        <v>265</v>
      </c>
      <c r="Y10" s="301" t="s">
        <v>265</v>
      </c>
      <c r="Z10" s="301" t="s">
        <v>265</v>
      </c>
      <c r="AA10" s="301" t="s">
        <v>265</v>
      </c>
      <c r="AB10" s="301" t="s">
        <v>265</v>
      </c>
      <c r="AC10" s="301" t="s">
        <v>265</v>
      </c>
      <c r="AD10" s="301" t="s">
        <v>265</v>
      </c>
      <c r="AE10" s="301" t="s">
        <v>265</v>
      </c>
      <c r="AF10" s="301" t="s">
        <v>265</v>
      </c>
      <c r="AG10" s="301" t="s">
        <v>265</v>
      </c>
      <c r="AH10" s="301" t="s">
        <v>265</v>
      </c>
      <c r="AI10" s="301" t="s">
        <v>265</v>
      </c>
      <c r="AJ10" s="301" t="s">
        <v>265</v>
      </c>
      <c r="AK10" s="88" t="s">
        <v>265</v>
      </c>
      <c r="AL10" s="38"/>
      <c r="AM10" s="41" t="s">
        <v>265</v>
      </c>
      <c r="AN10" s="41" t="s">
        <v>265</v>
      </c>
      <c r="AO10" s="249"/>
      <c r="AP10" s="249" t="str">
        <f t="shared" si="8"/>
        <v>N.S</v>
      </c>
      <c r="AQ10" s="518" t="str">
        <f t="shared" si="9"/>
        <v>N.S</v>
      </c>
      <c r="AR10" s="88" t="s">
        <v>265</v>
      </c>
      <c r="AS10" s="301" t="s">
        <v>265</v>
      </c>
      <c r="AT10" s="477" t="s">
        <v>265</v>
      </c>
      <c r="AU10" s="477" t="s">
        <v>265</v>
      </c>
      <c r="AV10" s="477" t="s">
        <v>265</v>
      </c>
      <c r="AW10" s="477" t="s">
        <v>265</v>
      </c>
      <c r="AX10" s="477" t="s">
        <v>265</v>
      </c>
      <c r="AY10" s="477" t="s">
        <v>265</v>
      </c>
      <c r="AZ10" s="477" t="s">
        <v>265</v>
      </c>
      <c r="BA10" s="477" t="s">
        <v>265</v>
      </c>
      <c r="BB10" s="477" t="s">
        <v>265</v>
      </c>
      <c r="BC10" s="477" t="s">
        <v>265</v>
      </c>
      <c r="BD10" s="477" t="s">
        <v>265</v>
      </c>
      <c r="BE10" s="477" t="s">
        <v>265</v>
      </c>
      <c r="BF10" s="477" t="s">
        <v>265</v>
      </c>
      <c r="BG10" s="477" t="s">
        <v>265</v>
      </c>
      <c r="BH10" s="477" t="s">
        <v>265</v>
      </c>
      <c r="BI10" s="477" t="s">
        <v>265</v>
      </c>
      <c r="BJ10" s="477" t="s">
        <v>265</v>
      </c>
      <c r="BK10" s="477" t="s">
        <v>84</v>
      </c>
      <c r="BL10" s="122" t="str">
        <f>IF(AZ10="N.S","N.S",3*(AZ10*BL1+0.001*IF(BB10="N.S",0,BB10*(1-BL1))))</f>
        <v>N.S</v>
      </c>
      <c r="BM10" s="477" t="s">
        <v>265</v>
      </c>
      <c r="BN10" s="656" t="str">
        <f t="shared" si="10"/>
        <v>N.S</v>
      </c>
      <c r="BO10" s="283" t="str">
        <f t="shared" si="11"/>
        <v>N.S</v>
      </c>
      <c r="BP10" s="87" t="s">
        <v>265</v>
      </c>
      <c r="BQ10" s="41" t="s">
        <v>265</v>
      </c>
      <c r="BR10" s="41" t="s">
        <v>265</v>
      </c>
      <c r="BS10" s="41" t="s">
        <v>265</v>
      </c>
      <c r="BT10" s="41" t="s">
        <v>265</v>
      </c>
      <c r="BU10" s="41" t="s">
        <v>265</v>
      </c>
      <c r="BV10" s="41" t="s">
        <v>265</v>
      </c>
      <c r="BW10" s="41" t="s">
        <v>265</v>
      </c>
      <c r="BX10" s="339" t="s">
        <v>265</v>
      </c>
      <c r="BY10" s="41" t="s">
        <v>265</v>
      </c>
      <c r="BZ10" s="525" t="s">
        <v>265</v>
      </c>
      <c r="CA10" s="89" t="s">
        <v>265</v>
      </c>
      <c r="CB10" s="477" t="s">
        <v>265</v>
      </c>
      <c r="CC10" s="87" t="s">
        <v>265</v>
      </c>
      <c r="CD10" s="41" t="s">
        <v>265</v>
      </c>
      <c r="CE10" s="41" t="s">
        <v>265</v>
      </c>
      <c r="CF10" s="41" t="s">
        <v>265</v>
      </c>
      <c r="CG10" s="41" t="s">
        <v>265</v>
      </c>
      <c r="CH10" s="88" t="s">
        <v>265</v>
      </c>
      <c r="CI10" s="529" t="s">
        <v>265</v>
      </c>
      <c r="CJ10" s="127" t="s">
        <v>265</v>
      </c>
      <c r="CK10" s="123" t="s">
        <v>265</v>
      </c>
      <c r="CL10" s="87" t="s">
        <v>265</v>
      </c>
      <c r="CM10" s="92" t="s">
        <v>265</v>
      </c>
      <c r="CN10" s="38" t="s">
        <v>265</v>
      </c>
      <c r="CO10" s="183">
        <v>0</v>
      </c>
      <c r="CP10" s="127"/>
      <c r="CQ10" s="127"/>
      <c r="CR10" s="183"/>
      <c r="CS10" s="129"/>
      <c r="CT10" s="184">
        <v>0</v>
      </c>
      <c r="CU10" s="127"/>
      <c r="CV10" s="127"/>
      <c r="CW10" s="183"/>
      <c r="CX10" s="129"/>
      <c r="CY10" s="87">
        <v>0</v>
      </c>
      <c r="CZ10" s="41">
        <v>0</v>
      </c>
      <c r="DA10" s="41"/>
      <c r="DB10" s="41"/>
      <c r="DC10" s="41"/>
      <c r="DD10" s="41"/>
      <c r="DE10" s="41"/>
      <c r="DF10" s="41"/>
      <c r="DG10" s="41"/>
      <c r="DH10" s="41"/>
      <c r="DI10" s="123"/>
      <c r="DJ10" s="87">
        <v>0</v>
      </c>
      <c r="DK10" s="41">
        <v>0</v>
      </c>
      <c r="DL10" s="41"/>
      <c r="DM10" s="41"/>
      <c r="DN10" s="41"/>
      <c r="DO10" s="41"/>
      <c r="DP10" s="41"/>
      <c r="DQ10" s="41"/>
      <c r="DR10" s="41"/>
      <c r="DS10" s="41"/>
      <c r="DT10" s="88"/>
      <c r="DU10" s="87">
        <v>0</v>
      </c>
      <c r="DV10" s="41">
        <v>0</v>
      </c>
      <c r="DW10" s="41"/>
      <c r="DX10" s="41"/>
      <c r="DY10" s="41"/>
      <c r="DZ10" s="41"/>
      <c r="EA10" s="41"/>
      <c r="EB10" s="41"/>
      <c r="EC10" s="41"/>
      <c r="ED10" s="41"/>
      <c r="EE10" s="123"/>
      <c r="EF10" s="87">
        <v>0</v>
      </c>
      <c r="EG10" s="41"/>
      <c r="EH10" s="41"/>
      <c r="EI10" s="41"/>
      <c r="EJ10" s="88"/>
      <c r="EK10" s="87">
        <v>0</v>
      </c>
      <c r="EL10" s="41"/>
      <c r="EM10" s="41"/>
      <c r="EN10" s="41"/>
      <c r="EO10" s="88"/>
      <c r="EP10" s="87">
        <v>0</v>
      </c>
      <c r="EQ10" s="41"/>
      <c r="ER10" s="41"/>
      <c r="ES10" s="41"/>
      <c r="ET10" s="88"/>
      <c r="EU10" s="87">
        <v>0</v>
      </c>
      <c r="EV10" s="41"/>
      <c r="EW10" s="41"/>
      <c r="EX10" s="41"/>
      <c r="EY10" s="88"/>
      <c r="EZ10" s="87">
        <v>0</v>
      </c>
      <c r="FA10" s="41"/>
      <c r="FB10" s="41"/>
      <c r="FC10" s="41"/>
      <c r="FD10" s="88"/>
      <c r="FE10" s="87">
        <v>0</v>
      </c>
      <c r="FF10" s="127"/>
      <c r="FG10" s="127"/>
      <c r="FH10" s="127"/>
      <c r="FI10" s="123"/>
      <c r="FJ10" s="87">
        <v>0</v>
      </c>
      <c r="FK10" s="41"/>
      <c r="FL10" s="41"/>
      <c r="FM10" s="41"/>
      <c r="FN10" s="88"/>
      <c r="FO10" s="87">
        <v>0</v>
      </c>
      <c r="FP10" s="41"/>
      <c r="FQ10" s="41"/>
      <c r="FR10" s="41"/>
      <c r="FS10" s="88"/>
      <c r="FT10" s="87">
        <v>0</v>
      </c>
      <c r="FU10" s="41"/>
      <c r="FV10" s="41"/>
      <c r="FW10" s="41"/>
      <c r="FX10" s="88"/>
      <c r="FY10" s="87">
        <v>0</v>
      </c>
      <c r="FZ10" s="41"/>
      <c r="GA10" s="41"/>
      <c r="GB10" s="41"/>
      <c r="GC10" s="88"/>
      <c r="GD10" s="87">
        <v>0</v>
      </c>
      <c r="GE10" s="41"/>
      <c r="GF10" s="41"/>
      <c r="GG10" s="41"/>
      <c r="GH10" s="88"/>
      <c r="GI10" s="87">
        <v>0</v>
      </c>
      <c r="GJ10" s="41"/>
      <c r="GK10" s="127"/>
      <c r="GL10" s="41"/>
      <c r="GM10" s="88"/>
      <c r="GN10" s="87">
        <v>0</v>
      </c>
      <c r="GO10" s="41"/>
      <c r="GP10" s="41"/>
      <c r="GQ10" s="41"/>
      <c r="GR10" s="88"/>
      <c r="GS10" s="87">
        <v>0</v>
      </c>
      <c r="GT10" s="41"/>
      <c r="GU10" s="41"/>
      <c r="GV10" s="41"/>
      <c r="GW10" s="88"/>
      <c r="GX10" s="301">
        <f t="shared" si="1"/>
        <v>1</v>
      </c>
      <c r="GY10" s="301" t="str">
        <f t="shared" si="0"/>
        <v/>
      </c>
      <c r="GZ10" s="41" t="str">
        <f t="shared" si="2"/>
        <v/>
      </c>
      <c r="HA10" s="41" t="str">
        <f t="shared" si="3"/>
        <v/>
      </c>
      <c r="HB10" s="41" t="str">
        <f t="shared" si="4"/>
        <v/>
      </c>
      <c r="HC10" s="41" t="str">
        <f t="shared" si="5"/>
        <v/>
      </c>
      <c r="HD10" s="41" t="str">
        <f t="shared" si="6"/>
        <v/>
      </c>
      <c r="HE10" s="88" t="str">
        <f t="shared" si="7"/>
        <v/>
      </c>
      <c r="HF10" s="524" t="s">
        <v>82</v>
      </c>
      <c r="HG10" s="41" t="s">
        <v>82</v>
      </c>
      <c r="HH10" s="41" t="s">
        <v>82</v>
      </c>
      <c r="HI10" s="41" t="s">
        <v>82</v>
      </c>
      <c r="HJ10" s="41" t="s">
        <v>82</v>
      </c>
      <c r="HK10" s="41" t="s">
        <v>82</v>
      </c>
      <c r="HL10" s="41" t="s">
        <v>82</v>
      </c>
      <c r="HM10" s="41" t="s">
        <v>82</v>
      </c>
      <c r="HN10" s="41" t="s">
        <v>82</v>
      </c>
      <c r="HO10" s="41" t="s">
        <v>82</v>
      </c>
      <c r="HP10" s="41" t="s">
        <v>82</v>
      </c>
      <c r="HQ10" s="41" t="s">
        <v>82</v>
      </c>
      <c r="HR10" s="41" t="s">
        <v>82</v>
      </c>
      <c r="HS10" s="41" t="s">
        <v>82</v>
      </c>
      <c r="HT10" s="41" t="s">
        <v>82</v>
      </c>
      <c r="HU10" s="41" t="s">
        <v>82</v>
      </c>
      <c r="HV10" s="41" t="s">
        <v>82</v>
      </c>
      <c r="HW10" s="41" t="s">
        <v>82</v>
      </c>
      <c r="HX10" s="41" t="s">
        <v>82</v>
      </c>
      <c r="HY10" s="41" t="s">
        <v>82</v>
      </c>
      <c r="HZ10" s="41" t="s">
        <v>82</v>
      </c>
      <c r="IA10" s="41" t="s">
        <v>82</v>
      </c>
      <c r="IB10" s="41" t="s">
        <v>82</v>
      </c>
      <c r="IC10" s="41" t="s">
        <v>82</v>
      </c>
      <c r="ID10" s="41" t="s">
        <v>82</v>
      </c>
      <c r="IE10" s="41" t="s">
        <v>82</v>
      </c>
      <c r="IF10" s="41" t="s">
        <v>82</v>
      </c>
      <c r="IG10" s="41" t="s">
        <v>82</v>
      </c>
      <c r="IH10" s="41" t="s">
        <v>82</v>
      </c>
      <c r="II10" s="88" t="s">
        <v>82</v>
      </c>
    </row>
    <row r="11" spans="1:243" s="92" customFormat="1">
      <c r="A11" s="754"/>
      <c r="B11" s="86"/>
      <c r="C11" s="739"/>
      <c r="D11" s="100"/>
      <c r="E11" s="41" t="s">
        <v>65</v>
      </c>
      <c r="F11" s="41" t="s">
        <v>65</v>
      </c>
      <c r="G11" s="41" t="s">
        <v>65</v>
      </c>
      <c r="H11" s="41" t="s">
        <v>65</v>
      </c>
      <c r="I11" s="41" t="s">
        <v>65</v>
      </c>
      <c r="J11" s="127"/>
      <c r="K11" s="183"/>
      <c r="L11" s="129"/>
      <c r="M11" s="349" t="s">
        <v>265</v>
      </c>
      <c r="N11" s="301" t="s">
        <v>265</v>
      </c>
      <c r="O11" s="301" t="s">
        <v>265</v>
      </c>
      <c r="P11" s="301" t="s">
        <v>265</v>
      </c>
      <c r="Q11" s="301"/>
      <c r="R11" s="301" t="s">
        <v>265</v>
      </c>
      <c r="S11" s="41" t="s">
        <v>265</v>
      </c>
      <c r="T11" s="41" t="s">
        <v>265</v>
      </c>
      <c r="U11" s="301" t="s">
        <v>265</v>
      </c>
      <c r="V11" s="301" t="s">
        <v>265</v>
      </c>
      <c r="W11" s="301" t="s">
        <v>265</v>
      </c>
      <c r="X11" s="301" t="s">
        <v>265</v>
      </c>
      <c r="Y11" s="301" t="s">
        <v>265</v>
      </c>
      <c r="Z11" s="301" t="s">
        <v>265</v>
      </c>
      <c r="AA11" s="301" t="s">
        <v>265</v>
      </c>
      <c r="AB11" s="301" t="s">
        <v>265</v>
      </c>
      <c r="AC11" s="301" t="s">
        <v>265</v>
      </c>
      <c r="AD11" s="301" t="s">
        <v>265</v>
      </c>
      <c r="AE11" s="301" t="s">
        <v>265</v>
      </c>
      <c r="AF11" s="301" t="s">
        <v>265</v>
      </c>
      <c r="AG11" s="301" t="s">
        <v>265</v>
      </c>
      <c r="AH11" s="301" t="s">
        <v>265</v>
      </c>
      <c r="AI11" s="301" t="s">
        <v>265</v>
      </c>
      <c r="AJ11" s="301" t="s">
        <v>265</v>
      </c>
      <c r="AK11" s="88" t="s">
        <v>265</v>
      </c>
      <c r="AL11" s="38"/>
      <c r="AM11" s="41" t="s">
        <v>265</v>
      </c>
      <c r="AN11" s="41" t="s">
        <v>265</v>
      </c>
      <c r="AO11" s="249"/>
      <c r="AP11" s="249" t="str">
        <f t="shared" si="8"/>
        <v>N.S</v>
      </c>
      <c r="AQ11" s="518" t="str">
        <f t="shared" si="9"/>
        <v>N.S</v>
      </c>
      <c r="AR11" s="88" t="s">
        <v>265</v>
      </c>
      <c r="AS11" s="301" t="s">
        <v>265</v>
      </c>
      <c r="AT11" s="477" t="s">
        <v>265</v>
      </c>
      <c r="AU11" s="477" t="s">
        <v>265</v>
      </c>
      <c r="AV11" s="477" t="s">
        <v>265</v>
      </c>
      <c r="AW11" s="477" t="s">
        <v>265</v>
      </c>
      <c r="AX11" s="477" t="s">
        <v>265</v>
      </c>
      <c r="AY11" s="477" t="s">
        <v>265</v>
      </c>
      <c r="AZ11" s="477" t="s">
        <v>265</v>
      </c>
      <c r="BA11" s="477" t="s">
        <v>265</v>
      </c>
      <c r="BB11" s="477" t="s">
        <v>265</v>
      </c>
      <c r="BC11" s="477" t="s">
        <v>265</v>
      </c>
      <c r="BD11" s="477" t="s">
        <v>265</v>
      </c>
      <c r="BE11" s="477" t="s">
        <v>265</v>
      </c>
      <c r="BF11" s="477" t="s">
        <v>265</v>
      </c>
      <c r="BG11" s="477" t="s">
        <v>265</v>
      </c>
      <c r="BH11" s="477" t="s">
        <v>265</v>
      </c>
      <c r="BI11" s="477" t="s">
        <v>265</v>
      </c>
      <c r="BJ11" s="477" t="s">
        <v>265</v>
      </c>
      <c r="BK11" s="477" t="s">
        <v>265</v>
      </c>
      <c r="BL11" s="122" t="str">
        <f>IF(AZ11="N.S","N.S",3*(AZ11*BL1+0.001*IF(BB11="N.S",0,BB11*(1-BL1))))</f>
        <v>N.S</v>
      </c>
      <c r="BM11" s="477" t="s">
        <v>265</v>
      </c>
      <c r="BN11" s="656" t="str">
        <f t="shared" si="10"/>
        <v>N.S</v>
      </c>
      <c r="BO11" s="283" t="str">
        <f t="shared" si="11"/>
        <v>N.S</v>
      </c>
      <c r="BP11" s="87" t="s">
        <v>265</v>
      </c>
      <c r="BQ11" s="41" t="s">
        <v>265</v>
      </c>
      <c r="BR11" s="41" t="s">
        <v>265</v>
      </c>
      <c r="BS11" s="41" t="s">
        <v>265</v>
      </c>
      <c r="BT11" s="41" t="s">
        <v>265</v>
      </c>
      <c r="BU11" s="41" t="s">
        <v>265</v>
      </c>
      <c r="BV11" s="41" t="s">
        <v>265</v>
      </c>
      <c r="BW11" s="41" t="s">
        <v>265</v>
      </c>
      <c r="BX11" s="339" t="s">
        <v>265</v>
      </c>
      <c r="BY11" s="41" t="s">
        <v>265</v>
      </c>
      <c r="BZ11" s="525" t="s">
        <v>265</v>
      </c>
      <c r="CA11" s="89" t="s">
        <v>265</v>
      </c>
      <c r="CB11" s="477" t="s">
        <v>265</v>
      </c>
      <c r="CC11" s="87" t="s">
        <v>265</v>
      </c>
      <c r="CD11" s="41" t="s">
        <v>265</v>
      </c>
      <c r="CE11" s="41" t="s">
        <v>265</v>
      </c>
      <c r="CF11" s="41" t="s">
        <v>265</v>
      </c>
      <c r="CG11" s="41" t="s">
        <v>265</v>
      </c>
      <c r="CH11" s="88" t="s">
        <v>265</v>
      </c>
      <c r="CI11" s="529" t="s">
        <v>265</v>
      </c>
      <c r="CJ11" s="127" t="s">
        <v>265</v>
      </c>
      <c r="CK11" s="123" t="s">
        <v>265</v>
      </c>
      <c r="CL11" s="87" t="s">
        <v>265</v>
      </c>
      <c r="CM11" s="92" t="s">
        <v>265</v>
      </c>
      <c r="CN11" s="38" t="s">
        <v>265</v>
      </c>
      <c r="CO11" s="183">
        <v>0</v>
      </c>
      <c r="CP11" s="127"/>
      <c r="CQ11" s="127"/>
      <c r="CR11" s="183"/>
      <c r="CS11" s="129"/>
      <c r="CT11" s="184">
        <v>0</v>
      </c>
      <c r="CU11" s="127"/>
      <c r="CV11" s="127"/>
      <c r="CW11" s="183"/>
      <c r="CX11" s="129"/>
      <c r="CY11" s="87">
        <v>0</v>
      </c>
      <c r="CZ11" s="41">
        <v>0</v>
      </c>
      <c r="DA11" s="41"/>
      <c r="DB11" s="41"/>
      <c r="DC11" s="41"/>
      <c r="DD11" s="41"/>
      <c r="DE11" s="41"/>
      <c r="DF11" s="41"/>
      <c r="DG11" s="41"/>
      <c r="DH11" s="41"/>
      <c r="DI11" s="123"/>
      <c r="DJ11" s="87">
        <v>0</v>
      </c>
      <c r="DK11" s="41">
        <v>0</v>
      </c>
      <c r="DL11" s="41"/>
      <c r="DM11" s="41"/>
      <c r="DN11" s="41"/>
      <c r="DO11" s="41"/>
      <c r="DP11" s="41"/>
      <c r="DQ11" s="41"/>
      <c r="DR11" s="41"/>
      <c r="DS11" s="41"/>
      <c r="DT11" s="88"/>
      <c r="DU11" s="87">
        <v>0</v>
      </c>
      <c r="DV11" s="41">
        <v>0</v>
      </c>
      <c r="DW11" s="41"/>
      <c r="DX11" s="41"/>
      <c r="DY11" s="41"/>
      <c r="DZ11" s="41"/>
      <c r="EA11" s="41"/>
      <c r="EB11" s="41"/>
      <c r="EC11" s="41"/>
      <c r="ED11" s="41"/>
      <c r="EE11" s="123"/>
      <c r="EF11" s="87">
        <v>0</v>
      </c>
      <c r="EG11" s="41"/>
      <c r="EH11" s="41"/>
      <c r="EI11" s="41"/>
      <c r="EJ11" s="88"/>
      <c r="EK11" s="87">
        <v>0</v>
      </c>
      <c r="EL11" s="41"/>
      <c r="EM11" s="41"/>
      <c r="EN11" s="41"/>
      <c r="EO11" s="88"/>
      <c r="EP11" s="87">
        <v>0</v>
      </c>
      <c r="EQ11" s="41"/>
      <c r="ER11" s="41"/>
      <c r="ES11" s="41"/>
      <c r="ET11" s="88"/>
      <c r="EU11" s="87">
        <v>0</v>
      </c>
      <c r="EV11" s="41"/>
      <c r="EW11" s="41"/>
      <c r="EX11" s="41"/>
      <c r="EY11" s="88"/>
      <c r="EZ11" s="87">
        <v>0</v>
      </c>
      <c r="FA11" s="41"/>
      <c r="FB11" s="41"/>
      <c r="FC11" s="41"/>
      <c r="FD11" s="88"/>
      <c r="FE11" s="87">
        <v>0</v>
      </c>
      <c r="FF11" s="127"/>
      <c r="FG11" s="127"/>
      <c r="FH11" s="127"/>
      <c r="FI11" s="123"/>
      <c r="FJ11" s="87">
        <v>0</v>
      </c>
      <c r="FK11" s="41"/>
      <c r="FL11" s="41"/>
      <c r="FM11" s="41"/>
      <c r="FN11" s="88"/>
      <c r="FO11" s="87">
        <v>0</v>
      </c>
      <c r="FP11" s="41"/>
      <c r="FQ11" s="41"/>
      <c r="FR11" s="41"/>
      <c r="FS11" s="88"/>
      <c r="FT11" s="87">
        <v>0</v>
      </c>
      <c r="FU11" s="41"/>
      <c r="FV11" s="41"/>
      <c r="FW11" s="41"/>
      <c r="FX11" s="88"/>
      <c r="FY11" s="87">
        <v>0</v>
      </c>
      <c r="FZ11" s="41"/>
      <c r="GA11" s="41"/>
      <c r="GB11" s="41"/>
      <c r="GC11" s="88"/>
      <c r="GD11" s="87">
        <v>0</v>
      </c>
      <c r="GE11" s="41"/>
      <c r="GF11" s="41"/>
      <c r="GG11" s="41"/>
      <c r="GH11" s="88"/>
      <c r="GI11" s="87">
        <v>0</v>
      </c>
      <c r="GJ11" s="41"/>
      <c r="GK11" s="127"/>
      <c r="GL11" s="41"/>
      <c r="GM11" s="88"/>
      <c r="GN11" s="87">
        <v>0</v>
      </c>
      <c r="GO11" s="41"/>
      <c r="GP11" s="41"/>
      <c r="GQ11" s="41"/>
      <c r="GR11" s="88"/>
      <c r="GS11" s="87">
        <v>0</v>
      </c>
      <c r="GT11" s="41"/>
      <c r="GU11" s="41"/>
      <c r="GV11" s="41"/>
      <c r="GW11" s="88"/>
      <c r="GX11" s="301">
        <f t="shared" si="1"/>
        <v>1</v>
      </c>
      <c r="GY11" s="301" t="str">
        <f t="shared" si="0"/>
        <v/>
      </c>
      <c r="GZ11" s="41" t="str">
        <f t="shared" si="2"/>
        <v/>
      </c>
      <c r="HA11" s="41" t="str">
        <f t="shared" si="3"/>
        <v/>
      </c>
      <c r="HB11" s="41" t="str">
        <f t="shared" si="4"/>
        <v/>
      </c>
      <c r="HC11" s="41" t="str">
        <f t="shared" si="5"/>
        <v/>
      </c>
      <c r="HD11" s="41" t="str">
        <f t="shared" si="6"/>
        <v/>
      </c>
      <c r="HE11" s="88" t="str">
        <f t="shared" si="7"/>
        <v/>
      </c>
      <c r="HF11" s="524" t="s">
        <v>82</v>
      </c>
      <c r="HG11" s="41" t="s">
        <v>82</v>
      </c>
      <c r="HH11" s="41" t="s">
        <v>82</v>
      </c>
      <c r="HI11" s="41" t="s">
        <v>82</v>
      </c>
      <c r="HJ11" s="41" t="s">
        <v>82</v>
      </c>
      <c r="HK11" s="41" t="s">
        <v>82</v>
      </c>
      <c r="HL11" s="41" t="s">
        <v>82</v>
      </c>
      <c r="HM11" s="41" t="s">
        <v>82</v>
      </c>
      <c r="HN11" s="41" t="s">
        <v>82</v>
      </c>
      <c r="HO11" s="41" t="s">
        <v>82</v>
      </c>
      <c r="HP11" s="41" t="s">
        <v>82</v>
      </c>
      <c r="HQ11" s="41" t="s">
        <v>82</v>
      </c>
      <c r="HR11" s="41" t="s">
        <v>82</v>
      </c>
      <c r="HS11" s="41" t="s">
        <v>82</v>
      </c>
      <c r="HT11" s="41" t="s">
        <v>82</v>
      </c>
      <c r="HU11" s="41" t="s">
        <v>82</v>
      </c>
      <c r="HV11" s="41" t="s">
        <v>82</v>
      </c>
      <c r="HW11" s="41" t="s">
        <v>82</v>
      </c>
      <c r="HX11" s="41" t="s">
        <v>82</v>
      </c>
      <c r="HY11" s="41" t="s">
        <v>82</v>
      </c>
      <c r="HZ11" s="41" t="s">
        <v>82</v>
      </c>
      <c r="IA11" s="41" t="s">
        <v>82</v>
      </c>
      <c r="IB11" s="41" t="s">
        <v>82</v>
      </c>
      <c r="IC11" s="41" t="s">
        <v>82</v>
      </c>
      <c r="ID11" s="41" t="s">
        <v>82</v>
      </c>
      <c r="IE11" s="41" t="s">
        <v>82</v>
      </c>
      <c r="IF11" s="41" t="s">
        <v>82</v>
      </c>
      <c r="IG11" s="41" t="s">
        <v>82</v>
      </c>
      <c r="IH11" s="41" t="s">
        <v>82</v>
      </c>
      <c r="II11" s="88" t="s">
        <v>82</v>
      </c>
    </row>
    <row r="12" spans="1:243" s="92" customFormat="1">
      <c r="A12" s="754"/>
      <c r="B12" s="86"/>
      <c r="C12" s="739"/>
      <c r="D12" s="136"/>
      <c r="E12" s="64" t="s">
        <v>65</v>
      </c>
      <c r="F12" s="64" t="s">
        <v>65</v>
      </c>
      <c r="G12" s="64" t="s">
        <v>65</v>
      </c>
      <c r="H12" s="64" t="s">
        <v>65</v>
      </c>
      <c r="I12" s="64" t="s">
        <v>65</v>
      </c>
      <c r="J12" s="357"/>
      <c r="K12" s="530"/>
      <c r="L12" s="531"/>
      <c r="M12" s="532" t="s">
        <v>265</v>
      </c>
      <c r="N12" s="533" t="s">
        <v>265</v>
      </c>
      <c r="O12" s="533" t="s">
        <v>265</v>
      </c>
      <c r="P12" s="533" t="s">
        <v>265</v>
      </c>
      <c r="Q12" s="533"/>
      <c r="R12" s="533" t="s">
        <v>265</v>
      </c>
      <c r="S12" s="64" t="s">
        <v>265</v>
      </c>
      <c r="T12" s="64" t="s">
        <v>265</v>
      </c>
      <c r="U12" s="533" t="s">
        <v>265</v>
      </c>
      <c r="V12" s="533" t="s">
        <v>265</v>
      </c>
      <c r="W12" s="533" t="s">
        <v>265</v>
      </c>
      <c r="X12" s="533" t="s">
        <v>265</v>
      </c>
      <c r="Y12" s="533" t="s">
        <v>265</v>
      </c>
      <c r="Z12" s="533" t="s">
        <v>265</v>
      </c>
      <c r="AA12" s="533" t="s">
        <v>265</v>
      </c>
      <c r="AB12" s="533" t="s">
        <v>265</v>
      </c>
      <c r="AC12" s="533" t="s">
        <v>265</v>
      </c>
      <c r="AD12" s="533" t="s">
        <v>265</v>
      </c>
      <c r="AE12" s="533" t="s">
        <v>265</v>
      </c>
      <c r="AF12" s="533" t="s">
        <v>265</v>
      </c>
      <c r="AG12" s="533" t="s">
        <v>265</v>
      </c>
      <c r="AH12" s="533" t="s">
        <v>265</v>
      </c>
      <c r="AI12" s="533" t="s">
        <v>265</v>
      </c>
      <c r="AJ12" s="533" t="s">
        <v>265</v>
      </c>
      <c r="AK12" s="534" t="s">
        <v>265</v>
      </c>
      <c r="AL12" s="475"/>
      <c r="AM12" s="64" t="s">
        <v>265</v>
      </c>
      <c r="AN12" s="41" t="s">
        <v>265</v>
      </c>
      <c r="AO12" s="85"/>
      <c r="AP12" s="85" t="str">
        <f t="shared" si="8"/>
        <v>N.S</v>
      </c>
      <c r="AQ12" s="535" t="str">
        <f t="shared" si="9"/>
        <v>N.S</v>
      </c>
      <c r="AR12" s="534" t="s">
        <v>265</v>
      </c>
      <c r="AS12" s="533" t="s">
        <v>265</v>
      </c>
      <c r="AT12" s="476" t="s">
        <v>265</v>
      </c>
      <c r="AU12" s="476" t="s">
        <v>265</v>
      </c>
      <c r="AV12" s="476" t="s">
        <v>265</v>
      </c>
      <c r="AW12" s="476" t="s">
        <v>265</v>
      </c>
      <c r="AX12" s="476" t="s">
        <v>265</v>
      </c>
      <c r="AY12" s="476" t="s">
        <v>265</v>
      </c>
      <c r="AZ12" s="476" t="s">
        <v>265</v>
      </c>
      <c r="BA12" s="476" t="s">
        <v>265</v>
      </c>
      <c r="BB12" s="476" t="s">
        <v>265</v>
      </c>
      <c r="BC12" s="476" t="s">
        <v>265</v>
      </c>
      <c r="BD12" s="476" t="s">
        <v>265</v>
      </c>
      <c r="BE12" s="476" t="s">
        <v>265</v>
      </c>
      <c r="BF12" s="476" t="s">
        <v>265</v>
      </c>
      <c r="BG12" s="476" t="s">
        <v>265</v>
      </c>
      <c r="BH12" s="476" t="s">
        <v>265</v>
      </c>
      <c r="BI12" s="476" t="s">
        <v>265</v>
      </c>
      <c r="BJ12" s="476" t="s">
        <v>265</v>
      </c>
      <c r="BK12" s="476" t="s">
        <v>265</v>
      </c>
      <c r="BL12" s="124" t="str">
        <f>IF(AZ12="N.S","N.S",3*(AZ12*BL1+0.001*IF(BB12="N.S",0,BB12*(1-BL1))))</f>
        <v>N.S</v>
      </c>
      <c r="BM12" s="476" t="s">
        <v>265</v>
      </c>
      <c r="BN12" s="656" t="str">
        <f t="shared" si="10"/>
        <v>N.S</v>
      </c>
      <c r="BO12" s="283" t="str">
        <f t="shared" si="11"/>
        <v>N.S</v>
      </c>
      <c r="BP12" s="482" t="s">
        <v>265</v>
      </c>
      <c r="BQ12" s="64" t="s">
        <v>265</v>
      </c>
      <c r="BR12" s="64" t="s">
        <v>265</v>
      </c>
      <c r="BS12" s="64" t="s">
        <v>265</v>
      </c>
      <c r="BT12" s="64" t="s">
        <v>265</v>
      </c>
      <c r="BU12" s="64" t="s">
        <v>265</v>
      </c>
      <c r="BV12" s="64" t="s">
        <v>265</v>
      </c>
      <c r="BW12" s="64" t="s">
        <v>265</v>
      </c>
      <c r="BX12" s="536" t="s">
        <v>265</v>
      </c>
      <c r="BY12" s="64" t="s">
        <v>265</v>
      </c>
      <c r="BZ12" s="537" t="s">
        <v>265</v>
      </c>
      <c r="CA12" s="106" t="s">
        <v>265</v>
      </c>
      <c r="CB12" s="476" t="s">
        <v>265</v>
      </c>
      <c r="CC12" s="482" t="s">
        <v>265</v>
      </c>
      <c r="CD12" s="64" t="s">
        <v>265</v>
      </c>
      <c r="CE12" s="64" t="s">
        <v>265</v>
      </c>
      <c r="CF12" s="64" t="s">
        <v>265</v>
      </c>
      <c r="CG12" s="64" t="s">
        <v>265</v>
      </c>
      <c r="CH12" s="534" t="s">
        <v>265</v>
      </c>
      <c r="CI12" s="538" t="s">
        <v>265</v>
      </c>
      <c r="CJ12" s="357" t="s">
        <v>265</v>
      </c>
      <c r="CK12" s="539" t="s">
        <v>265</v>
      </c>
      <c r="CL12" s="482" t="s">
        <v>265</v>
      </c>
      <c r="CM12" s="540" t="s">
        <v>265</v>
      </c>
      <c r="CN12" s="475" t="s">
        <v>265</v>
      </c>
      <c r="CO12" s="183">
        <v>0</v>
      </c>
      <c r="CP12" s="127"/>
      <c r="CQ12" s="127"/>
      <c r="CR12" s="183"/>
      <c r="CS12" s="129"/>
      <c r="CT12" s="184">
        <v>0</v>
      </c>
      <c r="CU12" s="127"/>
      <c r="CV12" s="127"/>
      <c r="CW12" s="183"/>
      <c r="CX12" s="129"/>
      <c r="CY12" s="87">
        <v>0</v>
      </c>
      <c r="CZ12" s="41">
        <v>0</v>
      </c>
      <c r="DA12" s="41"/>
      <c r="DB12" s="41"/>
      <c r="DC12" s="41"/>
      <c r="DD12" s="41"/>
      <c r="DE12" s="41"/>
      <c r="DF12" s="41"/>
      <c r="DG12" s="41"/>
      <c r="DH12" s="41"/>
      <c r="DI12" s="123"/>
      <c r="DJ12" s="87">
        <v>0</v>
      </c>
      <c r="DK12" s="41">
        <v>0</v>
      </c>
      <c r="DL12" s="41"/>
      <c r="DM12" s="41"/>
      <c r="DN12" s="41"/>
      <c r="DO12" s="41"/>
      <c r="DP12" s="41"/>
      <c r="DQ12" s="41"/>
      <c r="DR12" s="41"/>
      <c r="DS12" s="41"/>
      <c r="DT12" s="88"/>
      <c r="DU12" s="87">
        <v>0</v>
      </c>
      <c r="DV12" s="41">
        <v>0</v>
      </c>
      <c r="DW12" s="41"/>
      <c r="DX12" s="41"/>
      <c r="DY12" s="41"/>
      <c r="DZ12" s="41"/>
      <c r="EA12" s="41"/>
      <c r="EB12" s="41"/>
      <c r="EC12" s="41"/>
      <c r="ED12" s="41"/>
      <c r="EE12" s="123"/>
      <c r="EF12" s="87">
        <v>0</v>
      </c>
      <c r="EG12" s="41"/>
      <c r="EH12" s="41"/>
      <c r="EI12" s="41"/>
      <c r="EJ12" s="88"/>
      <c r="EK12" s="87">
        <v>0</v>
      </c>
      <c r="EL12" s="41"/>
      <c r="EM12" s="41"/>
      <c r="EN12" s="41"/>
      <c r="EO12" s="88"/>
      <c r="EP12" s="87">
        <v>0</v>
      </c>
      <c r="EQ12" s="41"/>
      <c r="ER12" s="41"/>
      <c r="ES12" s="41"/>
      <c r="ET12" s="88"/>
      <c r="EU12" s="87">
        <v>0</v>
      </c>
      <c r="EV12" s="41"/>
      <c r="EW12" s="41"/>
      <c r="EX12" s="41"/>
      <c r="EY12" s="88"/>
      <c r="EZ12" s="87">
        <v>0</v>
      </c>
      <c r="FA12" s="41"/>
      <c r="FB12" s="41"/>
      <c r="FC12" s="41"/>
      <c r="FD12" s="88"/>
      <c r="FE12" s="87">
        <v>0</v>
      </c>
      <c r="FF12" s="127"/>
      <c r="FG12" s="127"/>
      <c r="FH12" s="127"/>
      <c r="FI12" s="123"/>
      <c r="FJ12" s="87">
        <v>0</v>
      </c>
      <c r="FK12" s="41"/>
      <c r="FL12" s="41"/>
      <c r="FM12" s="41"/>
      <c r="FN12" s="88"/>
      <c r="FO12" s="87">
        <v>0</v>
      </c>
      <c r="FP12" s="41"/>
      <c r="FQ12" s="41"/>
      <c r="FR12" s="41"/>
      <c r="FS12" s="88"/>
      <c r="FT12" s="87">
        <v>0</v>
      </c>
      <c r="FU12" s="41"/>
      <c r="FV12" s="41"/>
      <c r="FW12" s="41"/>
      <c r="FX12" s="88"/>
      <c r="FY12" s="87">
        <v>0</v>
      </c>
      <c r="FZ12" s="41"/>
      <c r="GA12" s="41"/>
      <c r="GB12" s="41"/>
      <c r="GC12" s="88"/>
      <c r="GD12" s="87">
        <v>0</v>
      </c>
      <c r="GE12" s="41"/>
      <c r="GF12" s="41"/>
      <c r="GG12" s="41"/>
      <c r="GH12" s="88"/>
      <c r="GI12" s="87">
        <v>0</v>
      </c>
      <c r="GJ12" s="41"/>
      <c r="GK12" s="127"/>
      <c r="GL12" s="41"/>
      <c r="GM12" s="88"/>
      <c r="GN12" s="87">
        <v>0</v>
      </c>
      <c r="GO12" s="41"/>
      <c r="GP12" s="41"/>
      <c r="GQ12" s="41"/>
      <c r="GR12" s="88"/>
      <c r="GS12" s="87">
        <v>0</v>
      </c>
      <c r="GT12" s="41"/>
      <c r="GU12" s="41"/>
      <c r="GV12" s="41"/>
      <c r="GW12" s="88"/>
      <c r="GX12" s="301">
        <f t="shared" si="1"/>
        <v>1</v>
      </c>
      <c r="GY12" s="301" t="str">
        <f t="shared" si="0"/>
        <v/>
      </c>
      <c r="GZ12" s="41" t="str">
        <f t="shared" si="2"/>
        <v/>
      </c>
      <c r="HA12" s="41" t="str">
        <f t="shared" si="3"/>
        <v/>
      </c>
      <c r="HB12" s="41" t="str">
        <f t="shared" si="4"/>
        <v/>
      </c>
      <c r="HC12" s="41" t="str">
        <f t="shared" si="5"/>
        <v/>
      </c>
      <c r="HD12" s="41" t="str">
        <f t="shared" si="6"/>
        <v/>
      </c>
      <c r="HE12" s="88" t="str">
        <f t="shared" si="7"/>
        <v/>
      </c>
      <c r="HF12" s="524" t="s">
        <v>82</v>
      </c>
      <c r="HG12" s="41" t="s">
        <v>82</v>
      </c>
      <c r="HH12" s="41" t="s">
        <v>82</v>
      </c>
      <c r="HI12" s="41" t="s">
        <v>82</v>
      </c>
      <c r="HJ12" s="41" t="s">
        <v>82</v>
      </c>
      <c r="HK12" s="41" t="s">
        <v>82</v>
      </c>
      <c r="HL12" s="41" t="s">
        <v>82</v>
      </c>
      <c r="HM12" s="41" t="s">
        <v>82</v>
      </c>
      <c r="HN12" s="41" t="s">
        <v>82</v>
      </c>
      <c r="HO12" s="41" t="s">
        <v>82</v>
      </c>
      <c r="HP12" s="41" t="s">
        <v>82</v>
      </c>
      <c r="HQ12" s="41" t="s">
        <v>82</v>
      </c>
      <c r="HR12" s="41" t="s">
        <v>82</v>
      </c>
      <c r="HS12" s="41" t="s">
        <v>82</v>
      </c>
      <c r="HT12" s="41" t="s">
        <v>82</v>
      </c>
      <c r="HU12" s="41" t="s">
        <v>82</v>
      </c>
      <c r="HV12" s="41" t="s">
        <v>82</v>
      </c>
      <c r="HW12" s="41" t="s">
        <v>82</v>
      </c>
      <c r="HX12" s="41" t="s">
        <v>82</v>
      </c>
      <c r="HY12" s="41" t="s">
        <v>82</v>
      </c>
      <c r="HZ12" s="41" t="s">
        <v>82</v>
      </c>
      <c r="IA12" s="41" t="s">
        <v>82</v>
      </c>
      <c r="IB12" s="41" t="s">
        <v>82</v>
      </c>
      <c r="IC12" s="41" t="s">
        <v>82</v>
      </c>
      <c r="ID12" s="41" t="s">
        <v>82</v>
      </c>
      <c r="IE12" s="41" t="s">
        <v>82</v>
      </c>
      <c r="IF12" s="41" t="s">
        <v>82</v>
      </c>
      <c r="IG12" s="41" t="s">
        <v>82</v>
      </c>
      <c r="IH12" s="41" t="s">
        <v>82</v>
      </c>
      <c r="II12" s="88" t="s">
        <v>82</v>
      </c>
    </row>
    <row r="13" spans="1:243" s="92" customFormat="1">
      <c r="A13" s="754"/>
      <c r="B13" s="86"/>
      <c r="C13" s="740"/>
      <c r="D13" s="100"/>
      <c r="E13" s="41" t="s">
        <v>65</v>
      </c>
      <c r="F13" s="41" t="s">
        <v>65</v>
      </c>
      <c r="G13" s="41" t="s">
        <v>65</v>
      </c>
      <c r="H13" s="41" t="s">
        <v>65</v>
      </c>
      <c r="I13" s="41" t="s">
        <v>65</v>
      </c>
      <c r="J13" s="41"/>
      <c r="K13" s="183"/>
      <c r="L13" s="129"/>
      <c r="M13" s="349" t="s">
        <v>265</v>
      </c>
      <c r="N13" s="301" t="s">
        <v>265</v>
      </c>
      <c r="O13" s="301" t="s">
        <v>265</v>
      </c>
      <c r="P13" s="301" t="s">
        <v>265</v>
      </c>
      <c r="Q13" s="301"/>
      <c r="R13" s="301" t="s">
        <v>265</v>
      </c>
      <c r="S13" s="41" t="s">
        <v>265</v>
      </c>
      <c r="T13" s="41" t="s">
        <v>265</v>
      </c>
      <c r="U13" s="301" t="s">
        <v>265</v>
      </c>
      <c r="V13" s="301" t="s">
        <v>265</v>
      </c>
      <c r="W13" s="301" t="s">
        <v>265</v>
      </c>
      <c r="X13" s="301" t="s">
        <v>265</v>
      </c>
      <c r="Y13" s="301" t="s">
        <v>265</v>
      </c>
      <c r="Z13" s="301" t="s">
        <v>265</v>
      </c>
      <c r="AA13" s="301" t="s">
        <v>265</v>
      </c>
      <c r="AB13" s="301" t="s">
        <v>265</v>
      </c>
      <c r="AC13" s="301" t="s">
        <v>265</v>
      </c>
      <c r="AD13" s="301" t="s">
        <v>265</v>
      </c>
      <c r="AE13" s="301" t="s">
        <v>265</v>
      </c>
      <c r="AF13" s="301" t="s">
        <v>265</v>
      </c>
      <c r="AG13" s="301" t="s">
        <v>265</v>
      </c>
      <c r="AH13" s="301" t="s">
        <v>265</v>
      </c>
      <c r="AI13" s="301" t="s">
        <v>265</v>
      </c>
      <c r="AJ13" s="301" t="s">
        <v>265</v>
      </c>
      <c r="AK13" s="88" t="s">
        <v>265</v>
      </c>
      <c r="AL13" s="38"/>
      <c r="AM13" s="41" t="s">
        <v>265</v>
      </c>
      <c r="AN13" s="41" t="s">
        <v>265</v>
      </c>
      <c r="AO13" s="41"/>
      <c r="AP13" s="41" t="str">
        <f t="shared" si="8"/>
        <v>N.S</v>
      </c>
      <c r="AQ13" s="541" t="str">
        <f t="shared" si="9"/>
        <v>N.S</v>
      </c>
      <c r="AR13" s="88" t="s">
        <v>265</v>
      </c>
      <c r="AS13" s="301" t="s">
        <v>265</v>
      </c>
      <c r="AT13" s="38" t="s">
        <v>265</v>
      </c>
      <c r="AU13" s="38" t="s">
        <v>265</v>
      </c>
      <c r="AV13" s="38" t="s">
        <v>265</v>
      </c>
      <c r="AW13" s="38" t="s">
        <v>265</v>
      </c>
      <c r="AX13" s="38" t="s">
        <v>265</v>
      </c>
      <c r="AY13" s="38" t="s">
        <v>265</v>
      </c>
      <c r="AZ13" s="38" t="s">
        <v>265</v>
      </c>
      <c r="BA13" s="38" t="s">
        <v>265</v>
      </c>
      <c r="BB13" s="38" t="s">
        <v>265</v>
      </c>
      <c r="BC13" s="38" t="s">
        <v>265</v>
      </c>
      <c r="BD13" s="38" t="s">
        <v>265</v>
      </c>
      <c r="BE13" s="38" t="s">
        <v>265</v>
      </c>
      <c r="BF13" s="38" t="s">
        <v>265</v>
      </c>
      <c r="BG13" s="38" t="s">
        <v>265</v>
      </c>
      <c r="BH13" s="38" t="s">
        <v>265</v>
      </c>
      <c r="BI13" s="38" t="s">
        <v>265</v>
      </c>
      <c r="BJ13" s="38" t="s">
        <v>265</v>
      </c>
      <c r="BK13" s="38" t="s">
        <v>265</v>
      </c>
      <c r="BL13" s="127" t="str">
        <f>IF(AZ13="N.S","N.S",3*(AZ13*BL1+0.001*IF(BB13="N.S",0,BB13*(1-BL1))))</f>
        <v>N.S</v>
      </c>
      <c r="BM13" s="38" t="s">
        <v>265</v>
      </c>
      <c r="BN13" s="656" t="str">
        <f t="shared" si="10"/>
        <v>N.S</v>
      </c>
      <c r="BO13" s="283" t="str">
        <f t="shared" si="11"/>
        <v>N.S</v>
      </c>
      <c r="BP13" s="87" t="s">
        <v>265</v>
      </c>
      <c r="BQ13" s="41" t="s">
        <v>265</v>
      </c>
      <c r="BR13" s="41" t="s">
        <v>265</v>
      </c>
      <c r="BS13" s="41" t="s">
        <v>265</v>
      </c>
      <c r="BT13" s="41" t="s">
        <v>265</v>
      </c>
      <c r="BU13" s="41" t="s">
        <v>265</v>
      </c>
      <c r="BV13" s="41" t="s">
        <v>265</v>
      </c>
      <c r="BW13" s="41" t="s">
        <v>265</v>
      </c>
      <c r="BX13" s="339" t="s">
        <v>265</v>
      </c>
      <c r="BY13" s="41" t="s">
        <v>265</v>
      </c>
      <c r="BZ13" s="525" t="s">
        <v>265</v>
      </c>
      <c r="CA13" s="92" t="s">
        <v>265</v>
      </c>
      <c r="CB13" s="38" t="s">
        <v>265</v>
      </c>
      <c r="CC13" s="87" t="s">
        <v>265</v>
      </c>
      <c r="CD13" s="41" t="s">
        <v>265</v>
      </c>
      <c r="CE13" s="41" t="s">
        <v>265</v>
      </c>
      <c r="CF13" s="41" t="s">
        <v>265</v>
      </c>
      <c r="CG13" s="41" t="s">
        <v>265</v>
      </c>
      <c r="CH13" s="88" t="s">
        <v>265</v>
      </c>
      <c r="CI13" s="529" t="s">
        <v>265</v>
      </c>
      <c r="CJ13" s="127" t="s">
        <v>265</v>
      </c>
      <c r="CK13" s="123" t="s">
        <v>265</v>
      </c>
      <c r="CL13" s="87" t="s">
        <v>265</v>
      </c>
      <c r="CM13" s="92" t="s">
        <v>265</v>
      </c>
      <c r="CN13" s="41" t="s">
        <v>265</v>
      </c>
      <c r="CO13" s="183">
        <v>0</v>
      </c>
      <c r="CP13" s="127"/>
      <c r="CQ13" s="127"/>
      <c r="CR13" s="183"/>
      <c r="CS13" s="129"/>
      <c r="CT13" s="184">
        <v>0</v>
      </c>
      <c r="CU13" s="127"/>
      <c r="CV13" s="127"/>
      <c r="CW13" s="183"/>
      <c r="CX13" s="129"/>
      <c r="CY13" s="87">
        <v>0</v>
      </c>
      <c r="CZ13" s="41">
        <v>0</v>
      </c>
      <c r="DA13" s="41"/>
      <c r="DB13" s="41"/>
      <c r="DC13" s="41"/>
      <c r="DD13" s="41"/>
      <c r="DE13" s="41"/>
      <c r="DF13" s="41"/>
      <c r="DG13" s="41"/>
      <c r="DH13" s="41"/>
      <c r="DI13" s="123"/>
      <c r="DJ13" s="87">
        <v>0</v>
      </c>
      <c r="DK13" s="41">
        <v>0</v>
      </c>
      <c r="DL13" s="41"/>
      <c r="DM13" s="41"/>
      <c r="DN13" s="41"/>
      <c r="DO13" s="41"/>
      <c r="DP13" s="41"/>
      <c r="DQ13" s="41"/>
      <c r="DR13" s="41"/>
      <c r="DS13" s="41"/>
      <c r="DT13" s="88"/>
      <c r="DU13" s="87">
        <v>0</v>
      </c>
      <c r="DV13" s="41">
        <v>0</v>
      </c>
      <c r="DW13" s="41"/>
      <c r="DX13" s="41"/>
      <c r="DY13" s="41"/>
      <c r="DZ13" s="41"/>
      <c r="EA13" s="41"/>
      <c r="EB13" s="41"/>
      <c r="EC13" s="41"/>
      <c r="ED13" s="41"/>
      <c r="EE13" s="123"/>
      <c r="EF13" s="87">
        <v>0</v>
      </c>
      <c r="EG13" s="41"/>
      <c r="EH13" s="41"/>
      <c r="EI13" s="41"/>
      <c r="EJ13" s="88"/>
      <c r="EK13" s="87">
        <v>0</v>
      </c>
      <c r="EL13" s="41"/>
      <c r="EM13" s="41"/>
      <c r="EN13" s="41"/>
      <c r="EO13" s="88"/>
      <c r="EP13" s="87">
        <v>0</v>
      </c>
      <c r="EQ13" s="41"/>
      <c r="ER13" s="41"/>
      <c r="ES13" s="41"/>
      <c r="ET13" s="88"/>
      <c r="EU13" s="87">
        <v>0</v>
      </c>
      <c r="EV13" s="41"/>
      <c r="EW13" s="41"/>
      <c r="EX13" s="41"/>
      <c r="EY13" s="88"/>
      <c r="EZ13" s="87">
        <v>0</v>
      </c>
      <c r="FA13" s="41"/>
      <c r="FB13" s="41"/>
      <c r="FC13" s="41"/>
      <c r="FD13" s="88"/>
      <c r="FE13" s="87">
        <v>0</v>
      </c>
      <c r="FF13" s="127"/>
      <c r="FG13" s="127"/>
      <c r="FH13" s="127"/>
      <c r="FI13" s="123"/>
      <c r="FJ13" s="87">
        <v>0</v>
      </c>
      <c r="FK13" s="41"/>
      <c r="FL13" s="41"/>
      <c r="FM13" s="41"/>
      <c r="FN13" s="88"/>
      <c r="FO13" s="87">
        <v>0</v>
      </c>
      <c r="FP13" s="41"/>
      <c r="FQ13" s="41"/>
      <c r="FR13" s="41"/>
      <c r="FS13" s="88"/>
      <c r="FT13" s="87">
        <v>0</v>
      </c>
      <c r="FU13" s="41"/>
      <c r="FV13" s="41"/>
      <c r="FW13" s="41"/>
      <c r="FX13" s="88"/>
      <c r="FY13" s="87">
        <v>0</v>
      </c>
      <c r="FZ13" s="41"/>
      <c r="GA13" s="41"/>
      <c r="GB13" s="41"/>
      <c r="GC13" s="88"/>
      <c r="GD13" s="87">
        <v>0</v>
      </c>
      <c r="GE13" s="41"/>
      <c r="GF13" s="41"/>
      <c r="GG13" s="41"/>
      <c r="GH13" s="88"/>
      <c r="GI13" s="87">
        <v>0</v>
      </c>
      <c r="GJ13" s="41"/>
      <c r="GK13" s="127"/>
      <c r="GL13" s="41"/>
      <c r="GM13" s="88"/>
      <c r="GN13" s="87">
        <v>0</v>
      </c>
      <c r="GO13" s="41"/>
      <c r="GP13" s="41"/>
      <c r="GQ13" s="41"/>
      <c r="GR13" s="88"/>
      <c r="GS13" s="87">
        <v>0</v>
      </c>
      <c r="GT13" s="41"/>
      <c r="GU13" s="41"/>
      <c r="GV13" s="41"/>
      <c r="GW13" s="88"/>
      <c r="GX13" s="301" t="str">
        <f t="shared" si="1"/>
        <v/>
      </c>
      <c r="GY13" s="301">
        <f t="shared" si="0"/>
        <v>1</v>
      </c>
      <c r="GZ13" s="41" t="str">
        <f t="shared" si="2"/>
        <v/>
      </c>
      <c r="HA13" s="41" t="str">
        <f t="shared" si="3"/>
        <v/>
      </c>
      <c r="HB13" s="41" t="str">
        <f t="shared" si="4"/>
        <v/>
      </c>
      <c r="HC13" s="41" t="str">
        <f t="shared" si="5"/>
        <v/>
      </c>
      <c r="HD13" s="41" t="str">
        <f t="shared" si="6"/>
        <v/>
      </c>
      <c r="HE13" s="88" t="str">
        <f t="shared" si="7"/>
        <v/>
      </c>
      <c r="HF13" s="524" t="s">
        <v>82</v>
      </c>
      <c r="HG13" s="41" t="s">
        <v>82</v>
      </c>
      <c r="HH13" s="41" t="s">
        <v>82</v>
      </c>
      <c r="HI13" s="41" t="s">
        <v>82</v>
      </c>
      <c r="HJ13" s="41" t="s">
        <v>82</v>
      </c>
      <c r="HK13" s="41" t="s">
        <v>82</v>
      </c>
      <c r="HL13" s="41" t="s">
        <v>82</v>
      </c>
      <c r="HM13" s="41" t="s">
        <v>82</v>
      </c>
      <c r="HN13" s="41" t="s">
        <v>82</v>
      </c>
      <c r="HO13" s="41" t="s">
        <v>82</v>
      </c>
      <c r="HP13" s="41" t="s">
        <v>82</v>
      </c>
      <c r="HQ13" s="41" t="s">
        <v>82</v>
      </c>
      <c r="HR13" s="41" t="s">
        <v>82</v>
      </c>
      <c r="HS13" s="41" t="s">
        <v>82</v>
      </c>
      <c r="HT13" s="41" t="s">
        <v>82</v>
      </c>
      <c r="HU13" s="41" t="s">
        <v>82</v>
      </c>
      <c r="HV13" s="41" t="s">
        <v>82</v>
      </c>
      <c r="HW13" s="41" t="s">
        <v>82</v>
      </c>
      <c r="HX13" s="41" t="s">
        <v>82</v>
      </c>
      <c r="HY13" s="41" t="s">
        <v>82</v>
      </c>
      <c r="HZ13" s="41" t="s">
        <v>82</v>
      </c>
      <c r="IA13" s="41" t="s">
        <v>82</v>
      </c>
      <c r="IB13" s="41" t="s">
        <v>82</v>
      </c>
      <c r="IC13" s="41" t="s">
        <v>82</v>
      </c>
      <c r="ID13" s="41" t="s">
        <v>82</v>
      </c>
      <c r="IE13" s="41" t="s">
        <v>82</v>
      </c>
      <c r="IF13" s="41" t="s">
        <v>82</v>
      </c>
      <c r="IG13" s="41" t="s">
        <v>82</v>
      </c>
      <c r="IH13" s="41" t="s">
        <v>82</v>
      </c>
      <c r="II13" s="88" t="s">
        <v>82</v>
      </c>
    </row>
    <row r="14" spans="1:243" s="89" customFormat="1" ht="41.4">
      <c r="A14" s="754"/>
      <c r="B14" s="90" t="s">
        <v>301</v>
      </c>
      <c r="C14" s="739" t="s">
        <v>760</v>
      </c>
      <c r="D14" s="98" t="s">
        <v>300</v>
      </c>
      <c r="E14" s="345" t="s">
        <v>65</v>
      </c>
      <c r="F14" s="345" t="s">
        <v>124</v>
      </c>
      <c r="G14" s="345" t="s">
        <v>124</v>
      </c>
      <c r="H14" s="345" t="s">
        <v>65</v>
      </c>
      <c r="I14" s="249" t="s">
        <v>65</v>
      </c>
      <c r="J14" s="358">
        <v>0.85</v>
      </c>
      <c r="K14" s="542">
        <v>5</v>
      </c>
      <c r="L14" s="543">
        <v>2013</v>
      </c>
      <c r="M14" s="334" t="s">
        <v>229</v>
      </c>
      <c r="N14" s="334" t="s">
        <v>265</v>
      </c>
      <c r="O14" s="334" t="s">
        <v>265</v>
      </c>
      <c r="P14" s="249" t="s">
        <v>265</v>
      </c>
      <c r="Q14" s="249"/>
      <c r="R14" s="249" t="s">
        <v>265</v>
      </c>
      <c r="S14" s="249" t="s">
        <v>265</v>
      </c>
      <c r="T14" s="249">
        <v>1</v>
      </c>
      <c r="U14" s="249" t="s">
        <v>265</v>
      </c>
      <c r="V14" s="249">
        <v>12</v>
      </c>
      <c r="W14" s="249" t="s">
        <v>265</v>
      </c>
      <c r="X14" s="249" t="s">
        <v>265</v>
      </c>
      <c r="Y14" s="249" t="s">
        <v>265</v>
      </c>
      <c r="Z14" s="249" t="s">
        <v>265</v>
      </c>
      <c r="AA14" s="249" t="s">
        <v>265</v>
      </c>
      <c r="AB14" s="249" t="s">
        <v>265</v>
      </c>
      <c r="AC14" s="249" t="s">
        <v>265</v>
      </c>
      <c r="AD14" s="249">
        <v>1.9</v>
      </c>
      <c r="AE14" s="249">
        <v>2.7</v>
      </c>
      <c r="AF14" s="249" t="s">
        <v>265</v>
      </c>
      <c r="AG14" s="249" t="s">
        <v>265</v>
      </c>
      <c r="AH14" s="249" t="s">
        <v>303</v>
      </c>
      <c r="AI14" s="249">
        <v>5</v>
      </c>
      <c r="AJ14" s="249">
        <v>1</v>
      </c>
      <c r="AK14" s="91">
        <v>6</v>
      </c>
      <c r="AM14" s="249">
        <v>1.99</v>
      </c>
      <c r="AN14" s="249">
        <v>1.94</v>
      </c>
      <c r="AO14" s="249"/>
      <c r="AP14" s="249">
        <f t="shared" si="8"/>
        <v>1.99</v>
      </c>
      <c r="AQ14" s="544">
        <f t="shared" si="9"/>
        <v>3.8605999999999998</v>
      </c>
      <c r="AR14" s="91" t="s">
        <v>297</v>
      </c>
      <c r="AS14" s="334">
        <v>1.71</v>
      </c>
      <c r="AT14" s="249">
        <v>3.6</v>
      </c>
      <c r="AU14" s="334">
        <v>1.7</v>
      </c>
      <c r="AV14" s="334" t="s">
        <v>265</v>
      </c>
      <c r="AW14" s="334">
        <v>6</v>
      </c>
      <c r="AX14" s="334" t="s">
        <v>265</v>
      </c>
      <c r="AY14" s="249" t="s">
        <v>265</v>
      </c>
      <c r="AZ14" s="122">
        <f>SUM(AU14:AY14)</f>
        <v>7.7</v>
      </c>
      <c r="BA14" s="477" t="s">
        <v>265</v>
      </c>
      <c r="BB14" s="249" t="s">
        <v>265</v>
      </c>
      <c r="BC14" s="249" t="s">
        <v>265</v>
      </c>
      <c r="BD14" s="249" t="s">
        <v>265</v>
      </c>
      <c r="BE14" s="249" t="s">
        <v>265</v>
      </c>
      <c r="BF14" s="249" t="s">
        <v>265</v>
      </c>
      <c r="BG14" s="249" t="s">
        <v>265</v>
      </c>
      <c r="BH14" s="249" t="s">
        <v>265</v>
      </c>
      <c r="BI14" s="249" t="s">
        <v>265</v>
      </c>
      <c r="BJ14" s="249" t="s">
        <v>265</v>
      </c>
      <c r="BK14" s="249" t="s">
        <v>265</v>
      </c>
      <c r="BL14" s="122">
        <f>IF(AZ14="N.S","N.S",3*(AZ14*BL1+0.001*IF(BB14="N.S",0,BB14*(1-BL1))))</f>
        <v>0.23099999999999998</v>
      </c>
      <c r="BM14" s="520" t="s">
        <v>265</v>
      </c>
      <c r="BN14" s="656" t="str">
        <f t="shared" si="10"/>
        <v>N.S</v>
      </c>
      <c r="BO14" s="283">
        <f t="shared" si="11"/>
        <v>3246.7532467532469</v>
      </c>
      <c r="BP14" s="481" t="s">
        <v>295</v>
      </c>
      <c r="BQ14" s="249">
        <v>32</v>
      </c>
      <c r="BR14" s="249">
        <v>48</v>
      </c>
      <c r="BS14" s="249" t="s">
        <v>265</v>
      </c>
      <c r="BT14" s="249">
        <v>4</v>
      </c>
      <c r="BU14" s="249">
        <v>32</v>
      </c>
      <c r="BV14" s="249" t="s">
        <v>265</v>
      </c>
      <c r="BW14" s="249">
        <v>16</v>
      </c>
      <c r="BX14" s="338" t="s">
        <v>265</v>
      </c>
      <c r="BY14" s="249" t="s">
        <v>265</v>
      </c>
      <c r="BZ14" s="545" t="s">
        <v>764</v>
      </c>
      <c r="CA14" s="334" t="s">
        <v>265</v>
      </c>
      <c r="CB14" s="91" t="s">
        <v>265</v>
      </c>
      <c r="CC14" s="484" t="s">
        <v>82</v>
      </c>
      <c r="CD14" s="249" t="s">
        <v>265</v>
      </c>
      <c r="CE14" s="249" t="s">
        <v>265</v>
      </c>
      <c r="CF14" s="249" t="s">
        <v>265</v>
      </c>
      <c r="CG14" s="249" t="s">
        <v>265</v>
      </c>
      <c r="CH14" s="91" t="s">
        <v>265</v>
      </c>
      <c r="CI14" s="660">
        <v>4</v>
      </c>
      <c r="CJ14" s="661">
        <v>42</v>
      </c>
      <c r="CK14" s="662">
        <v>93</v>
      </c>
      <c r="CL14" s="484" t="s">
        <v>296</v>
      </c>
      <c r="CN14" s="68" t="s">
        <v>958</v>
      </c>
      <c r="CO14" s="183">
        <v>1</v>
      </c>
      <c r="CP14" s="127"/>
      <c r="CQ14" s="127"/>
      <c r="CR14" s="183"/>
      <c r="CS14" s="129"/>
      <c r="CT14" s="184">
        <v>0</v>
      </c>
      <c r="CU14" s="127"/>
      <c r="CV14" s="127"/>
      <c r="CW14" s="183"/>
      <c r="CX14" s="129"/>
      <c r="CY14" s="87">
        <v>0</v>
      </c>
      <c r="CZ14" s="41">
        <v>0</v>
      </c>
      <c r="DA14" s="41"/>
      <c r="DB14" s="41"/>
      <c r="DC14" s="41"/>
      <c r="DD14" s="41"/>
      <c r="DE14" s="41"/>
      <c r="DF14" s="41"/>
      <c r="DG14" s="41"/>
      <c r="DH14" s="41"/>
      <c r="DI14" s="123"/>
      <c r="DJ14" s="87">
        <v>0</v>
      </c>
      <c r="DK14" s="41">
        <v>0</v>
      </c>
      <c r="DL14" s="41"/>
      <c r="DM14" s="41"/>
      <c r="DN14" s="41"/>
      <c r="DO14" s="41"/>
      <c r="DP14" s="41"/>
      <c r="DQ14" s="41"/>
      <c r="DR14" s="41"/>
      <c r="DS14" s="41"/>
      <c r="DT14" s="88"/>
      <c r="DU14" s="87">
        <v>0</v>
      </c>
      <c r="DV14" s="41">
        <v>0</v>
      </c>
      <c r="DW14" s="41"/>
      <c r="DX14" s="41"/>
      <c r="DY14" s="41"/>
      <c r="DZ14" s="41"/>
      <c r="EA14" s="41"/>
      <c r="EB14" s="41"/>
      <c r="EC14" s="41"/>
      <c r="ED14" s="41"/>
      <c r="EE14" s="123"/>
      <c r="EF14" s="87">
        <v>0</v>
      </c>
      <c r="EG14" s="41"/>
      <c r="EH14" s="41"/>
      <c r="EI14" s="41"/>
      <c r="EJ14" s="88"/>
      <c r="EK14" s="87">
        <v>0</v>
      </c>
      <c r="EL14" s="41"/>
      <c r="EM14" s="41"/>
      <c r="EN14" s="41"/>
      <c r="EO14" s="88"/>
      <c r="EP14" s="87">
        <v>0</v>
      </c>
      <c r="EQ14" s="41"/>
      <c r="ER14" s="41"/>
      <c r="ES14" s="41"/>
      <c r="ET14" s="88"/>
      <c r="EU14" s="87">
        <v>0</v>
      </c>
      <c r="EV14" s="41"/>
      <c r="EW14" s="41"/>
      <c r="EX14" s="41"/>
      <c r="EY14" s="88"/>
      <c r="EZ14" s="87">
        <v>0</v>
      </c>
      <c r="FA14" s="41"/>
      <c r="FB14" s="41"/>
      <c r="FC14" s="41"/>
      <c r="FD14" s="88"/>
      <c r="FE14" s="87">
        <v>0</v>
      </c>
      <c r="FF14" s="127"/>
      <c r="FG14" s="127"/>
      <c r="FH14" s="127"/>
      <c r="FI14" s="123"/>
      <c r="FJ14" s="87">
        <v>0</v>
      </c>
      <c r="FK14" s="41"/>
      <c r="FL14" s="41"/>
      <c r="FM14" s="41"/>
      <c r="FN14" s="88"/>
      <c r="FO14" s="87">
        <v>0</v>
      </c>
      <c r="FP14" s="41"/>
      <c r="FQ14" s="41"/>
      <c r="FR14" s="41"/>
      <c r="FS14" s="88"/>
      <c r="FT14" s="87">
        <v>0</v>
      </c>
      <c r="FU14" s="41"/>
      <c r="FV14" s="41"/>
      <c r="FW14" s="41"/>
      <c r="FX14" s="88"/>
      <c r="FY14" s="87">
        <v>0</v>
      </c>
      <c r="FZ14" s="41"/>
      <c r="GA14" s="41"/>
      <c r="GB14" s="41"/>
      <c r="GC14" s="88"/>
      <c r="GD14" s="87">
        <v>0</v>
      </c>
      <c r="GE14" s="41"/>
      <c r="GF14" s="41"/>
      <c r="GG14" s="41"/>
      <c r="GH14" s="88"/>
      <c r="GI14" s="87">
        <v>0</v>
      </c>
      <c r="GJ14" s="41"/>
      <c r="GK14" s="127"/>
      <c r="GL14" s="41"/>
      <c r="GM14" s="88"/>
      <c r="GN14" s="87">
        <v>0</v>
      </c>
      <c r="GO14" s="41"/>
      <c r="GP14" s="41"/>
      <c r="GQ14" s="41"/>
      <c r="GR14" s="88"/>
      <c r="GS14" s="87">
        <v>0</v>
      </c>
      <c r="GT14" s="41"/>
      <c r="GU14" s="41"/>
      <c r="GV14" s="41"/>
      <c r="GW14" s="88"/>
      <c r="GX14" s="301" t="str">
        <f t="shared" si="1"/>
        <v/>
      </c>
      <c r="GY14" s="301">
        <f t="shared" si="0"/>
        <v>1</v>
      </c>
      <c r="GZ14" s="41" t="str">
        <f t="shared" si="2"/>
        <v/>
      </c>
      <c r="HA14" s="41" t="str">
        <f t="shared" si="3"/>
        <v/>
      </c>
      <c r="HB14" s="41" t="str">
        <f t="shared" si="4"/>
        <v/>
      </c>
      <c r="HC14" s="41" t="str">
        <f t="shared" si="5"/>
        <v/>
      </c>
      <c r="HD14" s="41" t="str">
        <f t="shared" si="6"/>
        <v/>
      </c>
      <c r="HE14" s="88" t="str">
        <f t="shared" si="7"/>
        <v/>
      </c>
      <c r="HF14" s="524" t="s">
        <v>82</v>
      </c>
      <c r="HG14" s="41" t="s">
        <v>82</v>
      </c>
      <c r="HH14" s="41">
        <v>1</v>
      </c>
      <c r="HI14" s="41" t="s">
        <v>82</v>
      </c>
      <c r="HJ14" s="41" t="s">
        <v>82</v>
      </c>
      <c r="HK14" s="41" t="s">
        <v>82</v>
      </c>
      <c r="HL14" s="41">
        <v>1</v>
      </c>
      <c r="HM14" s="41">
        <v>1</v>
      </c>
      <c r="HN14" s="41" t="s">
        <v>82</v>
      </c>
      <c r="HO14" s="41" t="s">
        <v>82</v>
      </c>
      <c r="HP14" s="41" t="s">
        <v>82</v>
      </c>
      <c r="HQ14" s="41" t="s">
        <v>82</v>
      </c>
      <c r="HR14" s="41" t="s">
        <v>82</v>
      </c>
      <c r="HS14" s="41" t="s">
        <v>82</v>
      </c>
      <c r="HT14" s="41" t="s">
        <v>82</v>
      </c>
      <c r="HU14" s="41" t="s">
        <v>82</v>
      </c>
      <c r="HV14" s="41" t="s">
        <v>82</v>
      </c>
      <c r="HW14" s="41" t="s">
        <v>82</v>
      </c>
      <c r="HX14" s="41" t="s">
        <v>82</v>
      </c>
      <c r="HY14" s="41" t="s">
        <v>82</v>
      </c>
      <c r="HZ14" s="41" t="s">
        <v>82</v>
      </c>
      <c r="IA14" s="41" t="s">
        <v>82</v>
      </c>
      <c r="IB14" s="41" t="s">
        <v>82</v>
      </c>
      <c r="IC14" s="41" t="s">
        <v>82</v>
      </c>
      <c r="ID14" s="41" t="s">
        <v>82</v>
      </c>
      <c r="IE14" s="41" t="s">
        <v>82</v>
      </c>
      <c r="IF14" s="41" t="s">
        <v>82</v>
      </c>
      <c r="IG14" s="41" t="s">
        <v>82</v>
      </c>
      <c r="IH14" s="41" t="s">
        <v>82</v>
      </c>
      <c r="II14" s="88" t="s">
        <v>82</v>
      </c>
    </row>
    <row r="15" spans="1:243" s="89" customFormat="1" ht="41.4">
      <c r="A15" s="754"/>
      <c r="B15" s="38" t="s">
        <v>294</v>
      </c>
      <c r="C15" s="739"/>
      <c r="D15" s="43" t="s">
        <v>300</v>
      </c>
      <c r="E15" s="77" t="s">
        <v>65</v>
      </c>
      <c r="F15" s="77" t="s">
        <v>124</v>
      </c>
      <c r="G15" s="77" t="s">
        <v>124</v>
      </c>
      <c r="H15" s="77" t="s">
        <v>65</v>
      </c>
      <c r="I15" s="10" t="s">
        <v>65</v>
      </c>
      <c r="J15" s="351">
        <v>0.8</v>
      </c>
      <c r="K15" s="546">
        <v>7</v>
      </c>
      <c r="L15" s="547">
        <v>2014</v>
      </c>
      <c r="M15" s="295" t="s">
        <v>229</v>
      </c>
      <c r="N15" s="334" t="s">
        <v>265</v>
      </c>
      <c r="O15" s="334" t="s">
        <v>265</v>
      </c>
      <c r="P15" s="249" t="s">
        <v>265</v>
      </c>
      <c r="Q15" s="249"/>
      <c r="R15" s="249" t="s">
        <v>265</v>
      </c>
      <c r="S15" s="41" t="s">
        <v>265</v>
      </c>
      <c r="T15" s="41">
        <v>1</v>
      </c>
      <c r="U15" s="41" t="s">
        <v>368</v>
      </c>
      <c r="V15" s="100">
        <v>12</v>
      </c>
      <c r="W15" s="100" t="s">
        <v>265</v>
      </c>
      <c r="X15" s="100" t="s">
        <v>265</v>
      </c>
      <c r="Y15" s="100" t="s">
        <v>265</v>
      </c>
      <c r="Z15" s="100" t="s">
        <v>265</v>
      </c>
      <c r="AA15" s="100" t="s">
        <v>265</v>
      </c>
      <c r="AB15" s="100" t="s">
        <v>265</v>
      </c>
      <c r="AC15" s="100" t="s">
        <v>265</v>
      </c>
      <c r="AD15" s="41" t="s">
        <v>265</v>
      </c>
      <c r="AE15" s="41" t="s">
        <v>265</v>
      </c>
      <c r="AF15" s="41" t="s">
        <v>265</v>
      </c>
      <c r="AG15" s="41" t="s">
        <v>265</v>
      </c>
      <c r="AH15" s="41" t="s">
        <v>265</v>
      </c>
      <c r="AI15" s="41" t="s">
        <v>265</v>
      </c>
      <c r="AJ15" s="41">
        <v>1</v>
      </c>
      <c r="AK15" s="91">
        <v>6</v>
      </c>
      <c r="AL15" s="477"/>
      <c r="AM15" s="249">
        <v>2</v>
      </c>
      <c r="AN15" s="249">
        <v>1.6</v>
      </c>
      <c r="AO15" s="249"/>
      <c r="AP15" s="249">
        <f t="shared" si="8"/>
        <v>2</v>
      </c>
      <c r="AQ15" s="518">
        <f t="shared" si="9"/>
        <v>3.2</v>
      </c>
      <c r="AR15" s="88" t="s">
        <v>297</v>
      </c>
      <c r="AS15" s="301">
        <v>1.71</v>
      </c>
      <c r="AT15" s="41">
        <v>3.6</v>
      </c>
      <c r="AU15" s="334">
        <v>1.7</v>
      </c>
      <c r="AV15" s="334" t="s">
        <v>265</v>
      </c>
      <c r="AW15" s="334">
        <v>6.69</v>
      </c>
      <c r="AX15" s="334" t="s">
        <v>265</v>
      </c>
      <c r="AY15" s="249" t="s">
        <v>265</v>
      </c>
      <c r="AZ15" s="122" t="s">
        <v>265</v>
      </c>
      <c r="BA15" s="477">
        <v>750</v>
      </c>
      <c r="BB15" s="249">
        <v>181</v>
      </c>
      <c r="BC15" s="89">
        <v>1.94</v>
      </c>
      <c r="BD15" s="249" t="s">
        <v>265</v>
      </c>
      <c r="BE15" s="249" t="s">
        <v>265</v>
      </c>
      <c r="BF15" s="249" t="s">
        <v>265</v>
      </c>
      <c r="BG15" s="249" t="s">
        <v>265</v>
      </c>
      <c r="BH15" s="249" t="s">
        <v>265</v>
      </c>
      <c r="BI15" s="249" t="s">
        <v>265</v>
      </c>
      <c r="BJ15" s="249" t="s">
        <v>265</v>
      </c>
      <c r="BK15" s="249" t="s">
        <v>265</v>
      </c>
      <c r="BL15" s="122" t="str">
        <f>IF(AZ15="N.S","N.S",3*(AZ15*BL1+0.001*IF(BA15="N.S",0,BA15*(1-BL1))))</f>
        <v>N.S</v>
      </c>
      <c r="BM15" s="520" t="s">
        <v>265</v>
      </c>
      <c r="BN15" s="656" t="str">
        <f t="shared" si="10"/>
        <v>N.S</v>
      </c>
      <c r="BO15" s="283" t="str">
        <f t="shared" si="11"/>
        <v>N.S</v>
      </c>
      <c r="BP15" s="95" t="s">
        <v>295</v>
      </c>
      <c r="BQ15" s="10">
        <v>32</v>
      </c>
      <c r="BR15" s="249">
        <v>48</v>
      </c>
      <c r="BS15" s="249" t="s">
        <v>265</v>
      </c>
      <c r="BT15" s="10">
        <v>2</v>
      </c>
      <c r="BU15" s="10">
        <v>32</v>
      </c>
      <c r="BV15" s="249" t="s">
        <v>265</v>
      </c>
      <c r="BW15" s="249">
        <v>16</v>
      </c>
      <c r="BX15" s="338" t="s">
        <v>265</v>
      </c>
      <c r="BY15" s="41" t="s">
        <v>265</v>
      </c>
      <c r="BZ15" s="353" t="s">
        <v>764</v>
      </c>
      <c r="CA15" s="334" t="s">
        <v>265</v>
      </c>
      <c r="CB15" s="91" t="s">
        <v>265</v>
      </c>
      <c r="CC15" s="484" t="s">
        <v>82</v>
      </c>
      <c r="CD15" s="249" t="s">
        <v>265</v>
      </c>
      <c r="CE15" s="249" t="s">
        <v>265</v>
      </c>
      <c r="CF15" s="249" t="s">
        <v>265</v>
      </c>
      <c r="CG15" s="249" t="s">
        <v>265</v>
      </c>
      <c r="CH15" s="91" t="s">
        <v>265</v>
      </c>
      <c r="CI15" s="660">
        <v>7.5</v>
      </c>
      <c r="CJ15" s="661">
        <v>93</v>
      </c>
      <c r="CK15" s="662">
        <v>152</v>
      </c>
      <c r="CL15" s="484" t="s">
        <v>296</v>
      </c>
      <c r="CN15" s="477" t="s">
        <v>761</v>
      </c>
      <c r="CO15" s="183">
        <v>1</v>
      </c>
      <c r="CP15" s="127"/>
      <c r="CQ15" s="127"/>
      <c r="CR15" s="183"/>
      <c r="CS15" s="129"/>
      <c r="CT15" s="184">
        <v>0</v>
      </c>
      <c r="CU15" s="127"/>
      <c r="CV15" s="127"/>
      <c r="CW15" s="183"/>
      <c r="CX15" s="129"/>
      <c r="CY15" s="87">
        <v>0</v>
      </c>
      <c r="CZ15" s="41">
        <v>0</v>
      </c>
      <c r="DA15" s="41"/>
      <c r="DB15" s="41"/>
      <c r="DC15" s="41"/>
      <c r="DD15" s="41"/>
      <c r="DE15" s="41"/>
      <c r="DF15" s="41"/>
      <c r="DG15" s="41"/>
      <c r="DH15" s="41"/>
      <c r="DI15" s="123"/>
      <c r="DJ15" s="87">
        <v>0</v>
      </c>
      <c r="DK15" s="41">
        <v>0</v>
      </c>
      <c r="DL15" s="41"/>
      <c r="DM15" s="41"/>
      <c r="DN15" s="41"/>
      <c r="DO15" s="41"/>
      <c r="DP15" s="41"/>
      <c r="DQ15" s="41"/>
      <c r="DR15" s="41"/>
      <c r="DS15" s="41"/>
      <c r="DT15" s="88"/>
      <c r="DU15" s="87">
        <v>0</v>
      </c>
      <c r="DV15" s="41">
        <v>0</v>
      </c>
      <c r="DW15" s="41"/>
      <c r="DX15" s="41"/>
      <c r="DY15" s="41"/>
      <c r="DZ15" s="41"/>
      <c r="EA15" s="41"/>
      <c r="EB15" s="41"/>
      <c r="EC15" s="41"/>
      <c r="ED15" s="41"/>
      <c r="EE15" s="123"/>
      <c r="EF15" s="87">
        <v>0</v>
      </c>
      <c r="EG15" s="41"/>
      <c r="EH15" s="41"/>
      <c r="EI15" s="41"/>
      <c r="EJ15" s="88"/>
      <c r="EK15" s="87">
        <v>0</v>
      </c>
      <c r="EL15" s="41"/>
      <c r="EM15" s="41"/>
      <c r="EN15" s="41"/>
      <c r="EO15" s="88"/>
      <c r="EP15" s="87">
        <v>0</v>
      </c>
      <c r="EQ15" s="41"/>
      <c r="ER15" s="41"/>
      <c r="ES15" s="41"/>
      <c r="ET15" s="88"/>
      <c r="EU15" s="87">
        <v>0</v>
      </c>
      <c r="EV15" s="41"/>
      <c r="EW15" s="41"/>
      <c r="EX15" s="41"/>
      <c r="EY15" s="88"/>
      <c r="EZ15" s="87">
        <v>0</v>
      </c>
      <c r="FA15" s="41"/>
      <c r="FB15" s="41"/>
      <c r="FC15" s="41"/>
      <c r="FD15" s="88"/>
      <c r="FE15" s="87">
        <v>0</v>
      </c>
      <c r="FF15" s="127"/>
      <c r="FG15" s="127"/>
      <c r="FH15" s="127"/>
      <c r="FI15" s="123"/>
      <c r="FJ15" s="87">
        <v>0</v>
      </c>
      <c r="FK15" s="41"/>
      <c r="FL15" s="41"/>
      <c r="FM15" s="41"/>
      <c r="FN15" s="88"/>
      <c r="FO15" s="87">
        <v>0</v>
      </c>
      <c r="FP15" s="41"/>
      <c r="FQ15" s="41"/>
      <c r="FR15" s="41"/>
      <c r="FS15" s="88"/>
      <c r="FT15" s="87">
        <v>0</v>
      </c>
      <c r="FU15" s="41"/>
      <c r="FV15" s="41"/>
      <c r="FW15" s="41"/>
      <c r="FX15" s="88"/>
      <c r="FY15" s="87">
        <v>0</v>
      </c>
      <c r="FZ15" s="41"/>
      <c r="GA15" s="41"/>
      <c r="GB15" s="41"/>
      <c r="GC15" s="88"/>
      <c r="GD15" s="87">
        <v>0</v>
      </c>
      <c r="GE15" s="41"/>
      <c r="GF15" s="41"/>
      <c r="GG15" s="41"/>
      <c r="GH15" s="88"/>
      <c r="GI15" s="87">
        <v>0</v>
      </c>
      <c r="GJ15" s="41"/>
      <c r="GK15" s="127"/>
      <c r="GL15" s="41"/>
      <c r="GM15" s="88"/>
      <c r="GN15" s="87">
        <v>0</v>
      </c>
      <c r="GO15" s="41"/>
      <c r="GP15" s="41"/>
      <c r="GQ15" s="41"/>
      <c r="GR15" s="88"/>
      <c r="GS15" s="87">
        <v>0</v>
      </c>
      <c r="GT15" s="41"/>
      <c r="GU15" s="41"/>
      <c r="GV15" s="41"/>
      <c r="GW15" s="88"/>
      <c r="GX15" s="301" t="str">
        <f t="shared" si="1"/>
        <v/>
      </c>
      <c r="GY15" s="301" t="str">
        <f t="shared" si="0"/>
        <v/>
      </c>
      <c r="GZ15" s="41">
        <f t="shared" si="2"/>
        <v>1</v>
      </c>
      <c r="HA15" s="41" t="str">
        <f t="shared" si="3"/>
        <v/>
      </c>
      <c r="HB15" s="41" t="str">
        <f t="shared" si="4"/>
        <v/>
      </c>
      <c r="HC15" s="41" t="str">
        <f t="shared" si="5"/>
        <v/>
      </c>
      <c r="HD15" s="41" t="str">
        <f t="shared" si="6"/>
        <v/>
      </c>
      <c r="HE15" s="88" t="str">
        <f t="shared" si="7"/>
        <v/>
      </c>
      <c r="HF15" s="524" t="s">
        <v>82</v>
      </c>
      <c r="HG15" s="41" t="s">
        <v>82</v>
      </c>
      <c r="HH15" s="41">
        <v>2</v>
      </c>
      <c r="HI15" s="41" t="s">
        <v>82</v>
      </c>
      <c r="HJ15" s="41" t="s">
        <v>82</v>
      </c>
      <c r="HK15" s="41" t="s">
        <v>82</v>
      </c>
      <c r="HL15" s="41">
        <v>1</v>
      </c>
      <c r="HM15" s="41">
        <v>1</v>
      </c>
      <c r="HN15" s="41" t="s">
        <v>82</v>
      </c>
      <c r="HO15" s="41" t="s">
        <v>82</v>
      </c>
      <c r="HP15" s="41" t="s">
        <v>82</v>
      </c>
      <c r="HQ15" s="41" t="s">
        <v>82</v>
      </c>
      <c r="HR15" s="41" t="s">
        <v>82</v>
      </c>
      <c r="HS15" s="41" t="s">
        <v>82</v>
      </c>
      <c r="HT15" s="41" t="s">
        <v>82</v>
      </c>
      <c r="HU15" s="41" t="s">
        <v>82</v>
      </c>
      <c r="HV15" s="41" t="s">
        <v>82</v>
      </c>
      <c r="HW15" s="41" t="s">
        <v>82</v>
      </c>
      <c r="HX15" s="41" t="s">
        <v>82</v>
      </c>
      <c r="HY15" s="41" t="s">
        <v>82</v>
      </c>
      <c r="HZ15" s="41" t="s">
        <v>82</v>
      </c>
      <c r="IA15" s="41" t="s">
        <v>82</v>
      </c>
      <c r="IB15" s="41" t="s">
        <v>82</v>
      </c>
      <c r="IC15" s="41" t="s">
        <v>82</v>
      </c>
      <c r="ID15" s="41" t="s">
        <v>82</v>
      </c>
      <c r="IE15" s="41" t="s">
        <v>82</v>
      </c>
      <c r="IF15" s="41" t="s">
        <v>82</v>
      </c>
      <c r="IG15" s="41" t="s">
        <v>82</v>
      </c>
      <c r="IH15" s="41" t="s">
        <v>82</v>
      </c>
      <c r="II15" s="88" t="s">
        <v>82</v>
      </c>
    </row>
    <row r="16" spans="1:243" s="89" customFormat="1" ht="41.4">
      <c r="A16" s="754"/>
      <c r="B16" s="105" t="s">
        <v>306</v>
      </c>
      <c r="C16" s="739"/>
      <c r="D16" s="43" t="s">
        <v>300</v>
      </c>
      <c r="E16" s="94" t="s">
        <v>124</v>
      </c>
      <c r="F16" s="94" t="s">
        <v>124</v>
      </c>
      <c r="G16" s="94" t="s">
        <v>65</v>
      </c>
      <c r="H16" s="62" t="s">
        <v>65</v>
      </c>
      <c r="I16" s="62" t="s">
        <v>65</v>
      </c>
      <c r="J16" s="352">
        <v>1.08</v>
      </c>
      <c r="K16" s="548">
        <v>9</v>
      </c>
      <c r="L16" s="549">
        <v>2012</v>
      </c>
      <c r="M16" s="334" t="s">
        <v>229</v>
      </c>
      <c r="N16" s="334" t="s">
        <v>265</v>
      </c>
      <c r="O16" s="334" t="s">
        <v>265</v>
      </c>
      <c r="P16" s="249" t="s">
        <v>265</v>
      </c>
      <c r="Q16" s="249"/>
      <c r="R16" s="249" t="s">
        <v>265</v>
      </c>
      <c r="S16" s="41" t="s">
        <v>265</v>
      </c>
      <c r="T16" s="41">
        <v>1</v>
      </c>
      <c r="U16" s="41" t="s">
        <v>265</v>
      </c>
      <c r="V16" s="41">
        <v>12</v>
      </c>
      <c r="W16" s="41" t="s">
        <v>265</v>
      </c>
      <c r="X16" s="41" t="s">
        <v>265</v>
      </c>
      <c r="Y16" s="41" t="s">
        <v>265</v>
      </c>
      <c r="Z16" s="41" t="s">
        <v>265</v>
      </c>
      <c r="AA16" s="41" t="s">
        <v>265</v>
      </c>
      <c r="AB16" s="41" t="s">
        <v>265</v>
      </c>
      <c r="AC16" s="41" t="s">
        <v>265</v>
      </c>
      <c r="AD16" s="41">
        <v>1.9</v>
      </c>
      <c r="AE16" s="41">
        <v>2.7</v>
      </c>
      <c r="AF16" s="41" t="s">
        <v>265</v>
      </c>
      <c r="AG16" s="41" t="s">
        <v>265</v>
      </c>
      <c r="AH16" s="41" t="s">
        <v>303</v>
      </c>
      <c r="AI16" s="41">
        <v>5</v>
      </c>
      <c r="AJ16" s="41">
        <v>1</v>
      </c>
      <c r="AK16" s="91">
        <v>6</v>
      </c>
      <c r="AL16" s="477"/>
      <c r="AM16" s="249">
        <v>4</v>
      </c>
      <c r="AN16" s="249">
        <v>4</v>
      </c>
      <c r="AO16" s="249"/>
      <c r="AP16" s="249">
        <f t="shared" si="8"/>
        <v>4</v>
      </c>
      <c r="AQ16" s="518">
        <f t="shared" si="9"/>
        <v>16</v>
      </c>
      <c r="AR16" s="88" t="s">
        <v>304</v>
      </c>
      <c r="AS16" s="301">
        <v>1.71</v>
      </c>
      <c r="AT16" s="41">
        <v>3.6</v>
      </c>
      <c r="AU16" s="334" t="s">
        <v>265</v>
      </c>
      <c r="AV16" s="334" t="s">
        <v>265</v>
      </c>
      <c r="AW16" s="334">
        <v>6.2</v>
      </c>
      <c r="AX16" s="334" t="s">
        <v>265</v>
      </c>
      <c r="AY16" s="249" t="s">
        <v>265</v>
      </c>
      <c r="AZ16" s="122" t="s">
        <v>265</v>
      </c>
      <c r="BA16" s="477">
        <v>313</v>
      </c>
      <c r="BB16" s="249">
        <v>170</v>
      </c>
      <c r="BC16" s="89">
        <v>0.54</v>
      </c>
      <c r="BD16" s="249" t="s">
        <v>265</v>
      </c>
      <c r="BE16" s="249" t="s">
        <v>265</v>
      </c>
      <c r="BF16" s="249" t="s">
        <v>265</v>
      </c>
      <c r="BG16" s="249" t="s">
        <v>265</v>
      </c>
      <c r="BH16" s="249" t="s">
        <v>265</v>
      </c>
      <c r="BI16" s="249" t="s">
        <v>265</v>
      </c>
      <c r="BJ16" s="249" t="s">
        <v>265</v>
      </c>
      <c r="BK16" s="249" t="s">
        <v>265</v>
      </c>
      <c r="BL16" s="122" t="str">
        <f>IF(AZ16="N.S","N.S",3*(AZ16*BL1+0.001*IF(BA16="N.S",0,BA16*(1-BL1))))</f>
        <v>N.S</v>
      </c>
      <c r="BM16" s="520" t="s">
        <v>265</v>
      </c>
      <c r="BN16" s="656" t="str">
        <f t="shared" si="10"/>
        <v>N.S</v>
      </c>
      <c r="BO16" s="283" t="str">
        <f t="shared" si="11"/>
        <v>N.S</v>
      </c>
      <c r="BP16" s="481" t="s">
        <v>295</v>
      </c>
      <c r="BQ16" s="249">
        <v>32</v>
      </c>
      <c r="BR16" s="249">
        <v>48</v>
      </c>
      <c r="BS16" s="249" t="s">
        <v>265</v>
      </c>
      <c r="BT16" s="249">
        <v>4</v>
      </c>
      <c r="BU16" s="249">
        <v>32</v>
      </c>
      <c r="BV16" s="249" t="s">
        <v>265</v>
      </c>
      <c r="BW16" s="249">
        <v>16</v>
      </c>
      <c r="BX16" s="338" t="s">
        <v>265</v>
      </c>
      <c r="BY16" s="41" t="s">
        <v>265</v>
      </c>
      <c r="BZ16" s="353" t="s">
        <v>764</v>
      </c>
      <c r="CA16" s="334" t="s">
        <v>265</v>
      </c>
      <c r="CB16" s="91" t="s">
        <v>265</v>
      </c>
      <c r="CC16" s="484" t="s">
        <v>82</v>
      </c>
      <c r="CD16" s="249" t="s">
        <v>265</v>
      </c>
      <c r="CE16" s="249" t="s">
        <v>265</v>
      </c>
      <c r="CF16" s="249" t="s">
        <v>265</v>
      </c>
      <c r="CG16" s="249" t="s">
        <v>265</v>
      </c>
      <c r="CH16" s="91" t="s">
        <v>265</v>
      </c>
      <c r="CI16" s="660">
        <v>4</v>
      </c>
      <c r="CJ16" s="661">
        <v>42</v>
      </c>
      <c r="CK16" s="662">
        <v>93</v>
      </c>
      <c r="CL16" s="484" t="s">
        <v>305</v>
      </c>
      <c r="CN16" s="477" t="s">
        <v>761</v>
      </c>
      <c r="CO16" s="183">
        <v>1</v>
      </c>
      <c r="CP16" s="127"/>
      <c r="CQ16" s="127"/>
      <c r="CR16" s="183"/>
      <c r="CS16" s="129"/>
      <c r="CT16" s="184">
        <v>0</v>
      </c>
      <c r="CU16" s="127"/>
      <c r="CV16" s="127"/>
      <c r="CW16" s="183"/>
      <c r="CX16" s="129"/>
      <c r="CY16" s="87">
        <v>0</v>
      </c>
      <c r="CZ16" s="41">
        <v>0</v>
      </c>
      <c r="DA16" s="41"/>
      <c r="DB16" s="41"/>
      <c r="DC16" s="41"/>
      <c r="DD16" s="41"/>
      <c r="DE16" s="41"/>
      <c r="DF16" s="41"/>
      <c r="DG16" s="41"/>
      <c r="DH16" s="41"/>
      <c r="DI16" s="123"/>
      <c r="DJ16" s="87">
        <v>0</v>
      </c>
      <c r="DK16" s="41">
        <v>0</v>
      </c>
      <c r="DL16" s="41"/>
      <c r="DM16" s="41"/>
      <c r="DN16" s="41"/>
      <c r="DO16" s="41"/>
      <c r="DP16" s="41"/>
      <c r="DQ16" s="41"/>
      <c r="DR16" s="41"/>
      <c r="DS16" s="41"/>
      <c r="DT16" s="88"/>
      <c r="DU16" s="87">
        <v>0</v>
      </c>
      <c r="DV16" s="41">
        <v>0</v>
      </c>
      <c r="DW16" s="41"/>
      <c r="DX16" s="41"/>
      <c r="DY16" s="41"/>
      <c r="DZ16" s="41"/>
      <c r="EA16" s="41"/>
      <c r="EB16" s="41"/>
      <c r="EC16" s="41"/>
      <c r="ED16" s="41"/>
      <c r="EE16" s="123"/>
      <c r="EF16" s="87">
        <v>0</v>
      </c>
      <c r="EG16" s="41"/>
      <c r="EH16" s="41"/>
      <c r="EI16" s="41"/>
      <c r="EJ16" s="88"/>
      <c r="EK16" s="87">
        <v>0</v>
      </c>
      <c r="EL16" s="41"/>
      <c r="EM16" s="41"/>
      <c r="EN16" s="41"/>
      <c r="EO16" s="88"/>
      <c r="EP16" s="87">
        <v>0</v>
      </c>
      <c r="EQ16" s="41"/>
      <c r="ER16" s="41"/>
      <c r="ES16" s="41"/>
      <c r="ET16" s="88"/>
      <c r="EU16" s="87">
        <v>0</v>
      </c>
      <c r="EV16" s="41"/>
      <c r="EW16" s="41"/>
      <c r="EX16" s="41"/>
      <c r="EY16" s="88"/>
      <c r="EZ16" s="87">
        <v>0</v>
      </c>
      <c r="FA16" s="41"/>
      <c r="FB16" s="41"/>
      <c r="FC16" s="41"/>
      <c r="FD16" s="88"/>
      <c r="FE16" s="87">
        <v>0</v>
      </c>
      <c r="FF16" s="127"/>
      <c r="FG16" s="127"/>
      <c r="FH16" s="127"/>
      <c r="FI16" s="123"/>
      <c r="FJ16" s="87">
        <v>0</v>
      </c>
      <c r="FK16" s="41"/>
      <c r="FL16" s="41"/>
      <c r="FM16" s="41"/>
      <c r="FN16" s="88"/>
      <c r="FO16" s="87">
        <v>0</v>
      </c>
      <c r="FP16" s="41"/>
      <c r="FQ16" s="41"/>
      <c r="FR16" s="41"/>
      <c r="FS16" s="88"/>
      <c r="FT16" s="87">
        <v>0</v>
      </c>
      <c r="FU16" s="41"/>
      <c r="FV16" s="41"/>
      <c r="FW16" s="41"/>
      <c r="FX16" s="88"/>
      <c r="FY16" s="87">
        <v>0</v>
      </c>
      <c r="FZ16" s="41"/>
      <c r="GA16" s="41"/>
      <c r="GB16" s="41"/>
      <c r="GC16" s="88"/>
      <c r="GD16" s="87">
        <v>0</v>
      </c>
      <c r="GE16" s="41"/>
      <c r="GF16" s="41"/>
      <c r="GG16" s="41"/>
      <c r="GH16" s="88"/>
      <c r="GI16" s="87">
        <v>0</v>
      </c>
      <c r="GJ16" s="41"/>
      <c r="GK16" s="127"/>
      <c r="GL16" s="41"/>
      <c r="GM16" s="88"/>
      <c r="GN16" s="87">
        <v>0</v>
      </c>
      <c r="GO16" s="41"/>
      <c r="GP16" s="41"/>
      <c r="GQ16" s="41"/>
      <c r="GR16" s="88"/>
      <c r="GS16" s="87">
        <v>0</v>
      </c>
      <c r="GT16" s="41"/>
      <c r="GU16" s="41"/>
      <c r="GV16" s="41"/>
      <c r="GW16" s="88"/>
      <c r="GX16" s="301" t="str">
        <f t="shared" si="1"/>
        <v/>
      </c>
      <c r="GY16" s="301" t="str">
        <f t="shared" si="0"/>
        <v/>
      </c>
      <c r="GZ16" s="41">
        <f t="shared" si="2"/>
        <v>1</v>
      </c>
      <c r="HA16" s="41" t="str">
        <f t="shared" si="3"/>
        <v/>
      </c>
      <c r="HB16" s="41" t="str">
        <f t="shared" si="4"/>
        <v/>
      </c>
      <c r="HC16" s="41" t="str">
        <f t="shared" si="5"/>
        <v/>
      </c>
      <c r="HD16" s="41" t="str">
        <f t="shared" si="6"/>
        <v/>
      </c>
      <c r="HE16" s="88" t="str">
        <f t="shared" si="7"/>
        <v/>
      </c>
      <c r="HF16" s="524" t="s">
        <v>82</v>
      </c>
      <c r="HG16" s="41" t="s">
        <v>82</v>
      </c>
      <c r="HH16" s="41">
        <v>3</v>
      </c>
      <c r="HI16" s="41" t="s">
        <v>82</v>
      </c>
      <c r="HJ16" s="41" t="s">
        <v>82</v>
      </c>
      <c r="HK16" s="41" t="s">
        <v>82</v>
      </c>
      <c r="HL16" s="41">
        <v>1</v>
      </c>
      <c r="HM16" s="41">
        <v>1</v>
      </c>
      <c r="HN16" s="41" t="s">
        <v>82</v>
      </c>
      <c r="HO16" s="41" t="s">
        <v>82</v>
      </c>
      <c r="HP16" s="41" t="s">
        <v>82</v>
      </c>
      <c r="HQ16" s="41" t="s">
        <v>82</v>
      </c>
      <c r="HR16" s="41" t="s">
        <v>82</v>
      </c>
      <c r="HS16" s="41" t="s">
        <v>82</v>
      </c>
      <c r="HT16" s="41" t="s">
        <v>82</v>
      </c>
      <c r="HU16" s="41" t="s">
        <v>82</v>
      </c>
      <c r="HV16" s="41" t="s">
        <v>82</v>
      </c>
      <c r="HW16" s="41" t="s">
        <v>82</v>
      </c>
      <c r="HX16" s="41" t="s">
        <v>82</v>
      </c>
      <c r="HY16" s="41" t="s">
        <v>82</v>
      </c>
      <c r="HZ16" s="41" t="s">
        <v>82</v>
      </c>
      <c r="IA16" s="41" t="s">
        <v>82</v>
      </c>
      <c r="IB16" s="41" t="s">
        <v>82</v>
      </c>
      <c r="IC16" s="41" t="s">
        <v>82</v>
      </c>
      <c r="ID16" s="41" t="s">
        <v>82</v>
      </c>
      <c r="IE16" s="41" t="s">
        <v>82</v>
      </c>
      <c r="IF16" s="41" t="s">
        <v>82</v>
      </c>
      <c r="IG16" s="41" t="s">
        <v>82</v>
      </c>
      <c r="IH16" s="41" t="s">
        <v>82</v>
      </c>
      <c r="II16" s="88" t="s">
        <v>82</v>
      </c>
    </row>
    <row r="17" spans="1:243" s="89" customFormat="1" ht="41.4">
      <c r="A17" s="754"/>
      <c r="B17" s="105" t="s">
        <v>307</v>
      </c>
      <c r="C17" s="739"/>
      <c r="D17" s="43" t="s">
        <v>300</v>
      </c>
      <c r="E17" s="94" t="s">
        <v>124</v>
      </c>
      <c r="F17" s="94" t="s">
        <v>65</v>
      </c>
      <c r="G17" s="62" t="s">
        <v>65</v>
      </c>
      <c r="H17" s="62" t="s">
        <v>65</v>
      </c>
      <c r="I17" s="62" t="s">
        <v>65</v>
      </c>
      <c r="J17" s="127">
        <v>1.06</v>
      </c>
      <c r="K17" s="183">
        <v>9</v>
      </c>
      <c r="L17" s="129">
        <v>2012</v>
      </c>
      <c r="M17" s="334" t="s">
        <v>229</v>
      </c>
      <c r="N17" s="334" t="s">
        <v>265</v>
      </c>
      <c r="O17" s="334" t="s">
        <v>265</v>
      </c>
      <c r="P17" s="249" t="s">
        <v>265</v>
      </c>
      <c r="Q17" s="249"/>
      <c r="R17" s="249" t="s">
        <v>265</v>
      </c>
      <c r="S17" s="41" t="s">
        <v>265</v>
      </c>
      <c r="T17" s="41">
        <v>1</v>
      </c>
      <c r="U17" s="41" t="s">
        <v>265</v>
      </c>
      <c r="V17" s="41">
        <v>12</v>
      </c>
      <c r="W17" s="41" t="s">
        <v>265</v>
      </c>
      <c r="X17" s="41" t="s">
        <v>265</v>
      </c>
      <c r="Y17" s="41" t="s">
        <v>265</v>
      </c>
      <c r="Z17" s="41" t="s">
        <v>265</v>
      </c>
      <c r="AA17" s="41" t="s">
        <v>265</v>
      </c>
      <c r="AB17" s="41" t="s">
        <v>265</v>
      </c>
      <c r="AC17" s="41" t="s">
        <v>265</v>
      </c>
      <c r="AD17" s="41">
        <v>1.9</v>
      </c>
      <c r="AE17" s="41">
        <v>2.7</v>
      </c>
      <c r="AF17" s="41" t="s">
        <v>265</v>
      </c>
      <c r="AG17" s="41" t="s">
        <v>265</v>
      </c>
      <c r="AH17" s="41" t="s">
        <v>308</v>
      </c>
      <c r="AI17" s="41">
        <v>6</v>
      </c>
      <c r="AJ17" s="41">
        <v>1</v>
      </c>
      <c r="AK17" s="91">
        <v>12</v>
      </c>
      <c r="AL17" s="477"/>
      <c r="AM17" s="249">
        <v>4</v>
      </c>
      <c r="AN17" s="249">
        <v>4</v>
      </c>
      <c r="AO17" s="249"/>
      <c r="AP17" s="249">
        <f t="shared" si="8"/>
        <v>4</v>
      </c>
      <c r="AQ17" s="518">
        <f t="shared" si="9"/>
        <v>16</v>
      </c>
      <c r="AR17" s="88" t="s">
        <v>304</v>
      </c>
      <c r="AS17" s="301">
        <v>1.71</v>
      </c>
      <c r="AT17" s="41">
        <v>3.6</v>
      </c>
      <c r="AU17" s="334" t="s">
        <v>265</v>
      </c>
      <c r="AV17" s="334" t="s">
        <v>265</v>
      </c>
      <c r="AW17" s="334">
        <v>6.2</v>
      </c>
      <c r="AX17" s="334" t="s">
        <v>265</v>
      </c>
      <c r="AY17" s="249" t="s">
        <v>265</v>
      </c>
      <c r="AZ17" s="122" t="s">
        <v>265</v>
      </c>
      <c r="BA17" s="477">
        <v>313</v>
      </c>
      <c r="BB17" s="249">
        <v>170</v>
      </c>
      <c r="BC17" s="89">
        <v>0.54</v>
      </c>
      <c r="BD17" s="249" t="s">
        <v>265</v>
      </c>
      <c r="BE17" s="249" t="s">
        <v>265</v>
      </c>
      <c r="BF17" s="249" t="s">
        <v>265</v>
      </c>
      <c r="BG17" s="249" t="s">
        <v>265</v>
      </c>
      <c r="BH17" s="249" t="s">
        <v>265</v>
      </c>
      <c r="BI17" s="249" t="s">
        <v>265</v>
      </c>
      <c r="BJ17" s="249" t="s">
        <v>265</v>
      </c>
      <c r="BK17" s="249" t="s">
        <v>265</v>
      </c>
      <c r="BL17" s="122" t="str">
        <f>IF(AZ17="N.S","N.S",3*(AZ17*BL1+0.001*IF(BB17="N.S",0,BB17*(1-BL1))))</f>
        <v>N.S</v>
      </c>
      <c r="BM17" s="520" t="s">
        <v>265</v>
      </c>
      <c r="BN17" s="656" t="str">
        <f t="shared" si="10"/>
        <v>N.S</v>
      </c>
      <c r="BO17" s="283" t="str">
        <f t="shared" si="11"/>
        <v>N.S</v>
      </c>
      <c r="BP17" s="481" t="s">
        <v>295</v>
      </c>
      <c r="BQ17" s="249">
        <v>32</v>
      </c>
      <c r="BR17" s="249">
        <v>48</v>
      </c>
      <c r="BS17" s="249" t="s">
        <v>265</v>
      </c>
      <c r="BT17" s="249">
        <v>4</v>
      </c>
      <c r="BU17" s="249">
        <v>32</v>
      </c>
      <c r="BV17" s="249" t="s">
        <v>265</v>
      </c>
      <c r="BW17" s="249">
        <v>16</v>
      </c>
      <c r="BX17" s="338" t="s">
        <v>265</v>
      </c>
      <c r="BY17" s="41" t="s">
        <v>265</v>
      </c>
      <c r="BZ17" s="353" t="s">
        <v>764</v>
      </c>
      <c r="CA17" s="334" t="s">
        <v>265</v>
      </c>
      <c r="CB17" s="91" t="s">
        <v>265</v>
      </c>
      <c r="CC17" s="484" t="s">
        <v>82</v>
      </c>
      <c r="CD17" s="249" t="s">
        <v>265</v>
      </c>
      <c r="CE17" s="249" t="s">
        <v>265</v>
      </c>
      <c r="CF17" s="249" t="s">
        <v>265</v>
      </c>
      <c r="CG17" s="249" t="s">
        <v>265</v>
      </c>
      <c r="CH17" s="91" t="s">
        <v>265</v>
      </c>
      <c r="CI17" s="660">
        <v>4</v>
      </c>
      <c r="CJ17" s="661">
        <v>42</v>
      </c>
      <c r="CK17" s="662">
        <v>93</v>
      </c>
      <c r="CL17" s="484" t="s">
        <v>305</v>
      </c>
      <c r="CN17" s="477" t="s">
        <v>761</v>
      </c>
      <c r="CO17" s="183">
        <v>1</v>
      </c>
      <c r="CP17" s="127"/>
      <c r="CQ17" s="127"/>
      <c r="CR17" s="183"/>
      <c r="CS17" s="129"/>
      <c r="CT17" s="184">
        <v>0</v>
      </c>
      <c r="CU17" s="127"/>
      <c r="CV17" s="127"/>
      <c r="CW17" s="183"/>
      <c r="CX17" s="129"/>
      <c r="CY17" s="87">
        <v>0</v>
      </c>
      <c r="CZ17" s="41">
        <v>0</v>
      </c>
      <c r="DA17" s="41"/>
      <c r="DB17" s="41"/>
      <c r="DC17" s="41"/>
      <c r="DD17" s="41"/>
      <c r="DE17" s="41"/>
      <c r="DF17" s="41"/>
      <c r="DG17" s="41"/>
      <c r="DH17" s="41"/>
      <c r="DI17" s="123"/>
      <c r="DJ17" s="87">
        <v>0</v>
      </c>
      <c r="DK17" s="41">
        <v>0</v>
      </c>
      <c r="DL17" s="41"/>
      <c r="DM17" s="41"/>
      <c r="DN17" s="41"/>
      <c r="DO17" s="41"/>
      <c r="DP17" s="41"/>
      <c r="DQ17" s="41"/>
      <c r="DR17" s="41"/>
      <c r="DS17" s="41"/>
      <c r="DT17" s="88"/>
      <c r="DU17" s="87">
        <v>0</v>
      </c>
      <c r="DV17" s="41">
        <v>0</v>
      </c>
      <c r="DW17" s="41"/>
      <c r="DX17" s="41"/>
      <c r="DY17" s="41"/>
      <c r="DZ17" s="41"/>
      <c r="EA17" s="41"/>
      <c r="EB17" s="41"/>
      <c r="EC17" s="41"/>
      <c r="ED17" s="41"/>
      <c r="EE17" s="123"/>
      <c r="EF17" s="87">
        <v>0</v>
      </c>
      <c r="EG17" s="41"/>
      <c r="EH17" s="41"/>
      <c r="EI17" s="41"/>
      <c r="EJ17" s="88"/>
      <c r="EK17" s="87">
        <v>0</v>
      </c>
      <c r="EL17" s="41"/>
      <c r="EM17" s="41"/>
      <c r="EN17" s="41"/>
      <c r="EO17" s="88"/>
      <c r="EP17" s="87">
        <v>0</v>
      </c>
      <c r="EQ17" s="41"/>
      <c r="ER17" s="41"/>
      <c r="ES17" s="41"/>
      <c r="ET17" s="88"/>
      <c r="EU17" s="87">
        <v>0</v>
      </c>
      <c r="EV17" s="41"/>
      <c r="EW17" s="41"/>
      <c r="EX17" s="41"/>
      <c r="EY17" s="88"/>
      <c r="EZ17" s="87">
        <v>0</v>
      </c>
      <c r="FA17" s="41"/>
      <c r="FB17" s="41"/>
      <c r="FC17" s="41"/>
      <c r="FD17" s="88"/>
      <c r="FE17" s="87">
        <v>0</v>
      </c>
      <c r="FF17" s="127"/>
      <c r="FG17" s="127"/>
      <c r="FH17" s="127"/>
      <c r="FI17" s="123"/>
      <c r="FJ17" s="87">
        <v>0</v>
      </c>
      <c r="FK17" s="41"/>
      <c r="FL17" s="41"/>
      <c r="FM17" s="41"/>
      <c r="FN17" s="88"/>
      <c r="FO17" s="87">
        <v>0</v>
      </c>
      <c r="FP17" s="41"/>
      <c r="FQ17" s="41"/>
      <c r="FR17" s="41"/>
      <c r="FS17" s="88"/>
      <c r="FT17" s="87">
        <v>0</v>
      </c>
      <c r="FU17" s="41"/>
      <c r="FV17" s="41"/>
      <c r="FW17" s="41"/>
      <c r="FX17" s="88"/>
      <c r="FY17" s="87">
        <v>0</v>
      </c>
      <c r="FZ17" s="41"/>
      <c r="GA17" s="41"/>
      <c r="GB17" s="41"/>
      <c r="GC17" s="88"/>
      <c r="GD17" s="87">
        <v>0</v>
      </c>
      <c r="GE17" s="41"/>
      <c r="GF17" s="41"/>
      <c r="GG17" s="41"/>
      <c r="GH17" s="88"/>
      <c r="GI17" s="87">
        <v>0</v>
      </c>
      <c r="GJ17" s="41"/>
      <c r="GK17" s="127"/>
      <c r="GL17" s="41"/>
      <c r="GM17" s="88"/>
      <c r="GN17" s="87">
        <v>0</v>
      </c>
      <c r="GO17" s="41"/>
      <c r="GP17" s="41"/>
      <c r="GQ17" s="41"/>
      <c r="GR17" s="88"/>
      <c r="GS17" s="87">
        <v>0</v>
      </c>
      <c r="GT17" s="41"/>
      <c r="GU17" s="41"/>
      <c r="GV17" s="41"/>
      <c r="GW17" s="88"/>
      <c r="GX17" s="301">
        <f t="shared" si="1"/>
        <v>1</v>
      </c>
      <c r="GY17" s="301" t="str">
        <f t="shared" si="0"/>
        <v/>
      </c>
      <c r="GZ17" s="41" t="str">
        <f t="shared" si="2"/>
        <v/>
      </c>
      <c r="HA17" s="41" t="str">
        <f t="shared" si="3"/>
        <v/>
      </c>
      <c r="HB17" s="41" t="str">
        <f t="shared" si="4"/>
        <v/>
      </c>
      <c r="HC17" s="41" t="str">
        <f t="shared" si="5"/>
        <v/>
      </c>
      <c r="HD17" s="41" t="str">
        <f t="shared" si="6"/>
        <v/>
      </c>
      <c r="HE17" s="88" t="str">
        <f t="shared" si="7"/>
        <v/>
      </c>
      <c r="HF17" s="524" t="s">
        <v>82</v>
      </c>
      <c r="HG17" s="41" t="s">
        <v>82</v>
      </c>
      <c r="HH17" s="41">
        <v>4</v>
      </c>
      <c r="HI17" s="41" t="s">
        <v>82</v>
      </c>
      <c r="HJ17" s="41" t="s">
        <v>82</v>
      </c>
      <c r="HK17" s="41" t="s">
        <v>82</v>
      </c>
      <c r="HL17" s="41">
        <v>1</v>
      </c>
      <c r="HM17" s="41">
        <v>1</v>
      </c>
      <c r="HN17" s="41" t="s">
        <v>82</v>
      </c>
      <c r="HO17" s="41" t="s">
        <v>82</v>
      </c>
      <c r="HP17" s="41" t="s">
        <v>82</v>
      </c>
      <c r="HQ17" s="41" t="s">
        <v>82</v>
      </c>
      <c r="HR17" s="41" t="s">
        <v>82</v>
      </c>
      <c r="HS17" s="41" t="s">
        <v>82</v>
      </c>
      <c r="HT17" s="41" t="s">
        <v>82</v>
      </c>
      <c r="HU17" s="41" t="s">
        <v>82</v>
      </c>
      <c r="HV17" s="41" t="s">
        <v>82</v>
      </c>
      <c r="HW17" s="41" t="s">
        <v>82</v>
      </c>
      <c r="HX17" s="41" t="s">
        <v>82</v>
      </c>
      <c r="HY17" s="41" t="s">
        <v>82</v>
      </c>
      <c r="HZ17" s="41" t="s">
        <v>82</v>
      </c>
      <c r="IA17" s="41" t="s">
        <v>82</v>
      </c>
      <c r="IB17" s="41" t="s">
        <v>82</v>
      </c>
      <c r="IC17" s="41" t="s">
        <v>82</v>
      </c>
      <c r="ID17" s="41" t="s">
        <v>82</v>
      </c>
      <c r="IE17" s="41" t="s">
        <v>82</v>
      </c>
      <c r="IF17" s="41" t="s">
        <v>82</v>
      </c>
      <c r="IG17" s="41" t="s">
        <v>82</v>
      </c>
      <c r="IH17" s="41" t="s">
        <v>82</v>
      </c>
      <c r="II17" s="88" t="s">
        <v>82</v>
      </c>
    </row>
    <row r="18" spans="1:243" s="331" customFormat="1">
      <c r="A18" s="754"/>
      <c r="B18" s="90"/>
      <c r="C18" s="740"/>
      <c r="D18" s="98"/>
      <c r="E18" s="300"/>
      <c r="F18" s="300"/>
      <c r="G18" s="300"/>
      <c r="H18" s="300"/>
      <c r="I18" s="300"/>
      <c r="J18" s="127" t="s">
        <v>766</v>
      </c>
      <c r="K18" s="183" t="s">
        <v>265</v>
      </c>
      <c r="L18" s="129" t="s">
        <v>265</v>
      </c>
      <c r="M18" s="334" t="s">
        <v>265</v>
      </c>
      <c r="N18" s="334" t="s">
        <v>265</v>
      </c>
      <c r="O18" s="334" t="s">
        <v>265</v>
      </c>
      <c r="P18" s="249" t="s">
        <v>265</v>
      </c>
      <c r="Q18" s="249"/>
      <c r="R18" s="249" t="s">
        <v>265</v>
      </c>
      <c r="S18" s="41" t="s">
        <v>265</v>
      </c>
      <c r="T18" s="41" t="s">
        <v>265</v>
      </c>
      <c r="U18" s="41" t="s">
        <v>265</v>
      </c>
      <c r="V18" s="41" t="s">
        <v>265</v>
      </c>
      <c r="W18" s="41" t="s">
        <v>265</v>
      </c>
      <c r="X18" s="41" t="s">
        <v>265</v>
      </c>
      <c r="Y18" s="41" t="s">
        <v>265</v>
      </c>
      <c r="Z18" s="41" t="s">
        <v>265</v>
      </c>
      <c r="AA18" s="41" t="s">
        <v>265</v>
      </c>
      <c r="AB18" s="41" t="s">
        <v>265</v>
      </c>
      <c r="AC18" s="41" t="s">
        <v>265</v>
      </c>
      <c r="AD18" s="41" t="s">
        <v>265</v>
      </c>
      <c r="AE18" s="41" t="s">
        <v>265</v>
      </c>
      <c r="AF18" s="41" t="s">
        <v>265</v>
      </c>
      <c r="AG18" s="249" t="s">
        <v>265</v>
      </c>
      <c r="AH18" s="249" t="s">
        <v>265</v>
      </c>
      <c r="AI18" s="249" t="s">
        <v>265</v>
      </c>
      <c r="AJ18" s="249" t="s">
        <v>265</v>
      </c>
      <c r="AK18" s="91" t="s">
        <v>265</v>
      </c>
      <c r="AL18" s="477"/>
      <c r="AM18" s="41" t="s">
        <v>265</v>
      </c>
      <c r="AN18" s="249" t="s">
        <v>265</v>
      </c>
      <c r="AO18" s="249"/>
      <c r="AP18" s="249" t="str">
        <f t="shared" si="8"/>
        <v>N.S</v>
      </c>
      <c r="AQ18" s="518" t="str">
        <f t="shared" si="9"/>
        <v>N.S</v>
      </c>
      <c r="AR18" s="88" t="s">
        <v>265</v>
      </c>
      <c r="AS18" s="334" t="s">
        <v>265</v>
      </c>
      <c r="AT18" s="334" t="s">
        <v>265</v>
      </c>
      <c r="AU18" s="334" t="s">
        <v>265</v>
      </c>
      <c r="AV18" s="334" t="s">
        <v>265</v>
      </c>
      <c r="AW18" s="334" t="s">
        <v>265</v>
      </c>
      <c r="AX18" s="334" t="s">
        <v>265</v>
      </c>
      <c r="AY18" s="249" t="s">
        <v>265</v>
      </c>
      <c r="AZ18" s="122" t="s">
        <v>265</v>
      </c>
      <c r="BA18" s="477" t="s">
        <v>265</v>
      </c>
      <c r="BB18" s="477" t="s">
        <v>265</v>
      </c>
      <c r="BC18" s="249" t="s">
        <v>265</v>
      </c>
      <c r="BD18" s="249" t="s">
        <v>265</v>
      </c>
      <c r="BE18" s="249" t="s">
        <v>265</v>
      </c>
      <c r="BF18" s="249" t="s">
        <v>265</v>
      </c>
      <c r="BG18" s="249" t="s">
        <v>265</v>
      </c>
      <c r="BH18" s="249" t="s">
        <v>265</v>
      </c>
      <c r="BI18" s="249" t="s">
        <v>265</v>
      </c>
      <c r="BJ18" s="249" t="s">
        <v>265</v>
      </c>
      <c r="BK18" s="249" t="s">
        <v>265</v>
      </c>
      <c r="BL18" s="122" t="str">
        <f>IF(AZ18="N.S","N.S",3*(AZ18*BL1+0.001*IF(BB18="N.S",0,BB18*(1-BL1))))</f>
        <v>N.S</v>
      </c>
      <c r="BM18" s="520" t="s">
        <v>265</v>
      </c>
      <c r="BN18" s="656" t="str">
        <f t="shared" si="10"/>
        <v>N.S</v>
      </c>
      <c r="BO18" s="283" t="str">
        <f t="shared" si="11"/>
        <v>N.S</v>
      </c>
      <c r="BP18" s="484" t="s">
        <v>265</v>
      </c>
      <c r="BQ18" s="249" t="s">
        <v>265</v>
      </c>
      <c r="BR18" s="249" t="s">
        <v>265</v>
      </c>
      <c r="BS18" s="249" t="s">
        <v>265</v>
      </c>
      <c r="BT18" s="249" t="s">
        <v>265</v>
      </c>
      <c r="BU18" s="249" t="s">
        <v>265</v>
      </c>
      <c r="BV18" s="249" t="s">
        <v>265</v>
      </c>
      <c r="BW18" s="249" t="s">
        <v>265</v>
      </c>
      <c r="BX18" s="338" t="s">
        <v>265</v>
      </c>
      <c r="BY18" s="41" t="s">
        <v>265</v>
      </c>
      <c r="BZ18" s="88" t="s">
        <v>265</v>
      </c>
      <c r="CA18" s="334" t="s">
        <v>265</v>
      </c>
      <c r="CB18" s="91" t="s">
        <v>265</v>
      </c>
      <c r="CC18" s="484" t="s">
        <v>265</v>
      </c>
      <c r="CD18" s="249" t="s">
        <v>265</v>
      </c>
      <c r="CE18" s="249" t="s">
        <v>265</v>
      </c>
      <c r="CF18" s="249" t="s">
        <v>265</v>
      </c>
      <c r="CG18" s="249" t="s">
        <v>265</v>
      </c>
      <c r="CH18" s="91" t="s">
        <v>265</v>
      </c>
      <c r="CI18" s="550" t="s">
        <v>265</v>
      </c>
      <c r="CJ18" s="127" t="s">
        <v>265</v>
      </c>
      <c r="CK18" s="550" t="s">
        <v>265</v>
      </c>
      <c r="CL18" s="484" t="s">
        <v>265</v>
      </c>
      <c r="CM18" s="89" t="s">
        <v>265</v>
      </c>
      <c r="CN18" s="477"/>
      <c r="CO18" s="183">
        <v>0</v>
      </c>
      <c r="CP18" s="127"/>
      <c r="CQ18" s="127"/>
      <c r="CR18" s="183"/>
      <c r="CS18" s="129"/>
      <c r="CT18" s="184">
        <v>0</v>
      </c>
      <c r="CU18" s="127"/>
      <c r="CV18" s="127"/>
      <c r="CW18" s="183"/>
      <c r="CX18" s="129"/>
      <c r="CY18" s="87">
        <v>0</v>
      </c>
      <c r="CZ18" s="41">
        <v>0</v>
      </c>
      <c r="DA18" s="41"/>
      <c r="DB18" s="41"/>
      <c r="DC18" s="41"/>
      <c r="DD18" s="41"/>
      <c r="DE18" s="41"/>
      <c r="DF18" s="41"/>
      <c r="DG18" s="41"/>
      <c r="DH18" s="41"/>
      <c r="DI18" s="123"/>
      <c r="DJ18" s="87">
        <v>0</v>
      </c>
      <c r="DK18" s="41">
        <v>0</v>
      </c>
      <c r="DL18" s="41"/>
      <c r="DM18" s="41"/>
      <c r="DN18" s="41"/>
      <c r="DO18" s="41"/>
      <c r="DP18" s="41"/>
      <c r="DQ18" s="41"/>
      <c r="DR18" s="41"/>
      <c r="DS18" s="41"/>
      <c r="DT18" s="88"/>
      <c r="DU18" s="87">
        <v>0</v>
      </c>
      <c r="DV18" s="41">
        <v>0</v>
      </c>
      <c r="DW18" s="41"/>
      <c r="DX18" s="41"/>
      <c r="DY18" s="41"/>
      <c r="DZ18" s="41"/>
      <c r="EA18" s="41"/>
      <c r="EB18" s="41"/>
      <c r="EC18" s="41"/>
      <c r="ED18" s="41"/>
      <c r="EE18" s="123"/>
      <c r="EF18" s="87">
        <v>0</v>
      </c>
      <c r="EG18" s="41"/>
      <c r="EH18" s="41"/>
      <c r="EI18" s="41"/>
      <c r="EJ18" s="88"/>
      <c r="EK18" s="87">
        <v>0</v>
      </c>
      <c r="EL18" s="41"/>
      <c r="EM18" s="41"/>
      <c r="EN18" s="41"/>
      <c r="EO18" s="88"/>
      <c r="EP18" s="87">
        <v>0</v>
      </c>
      <c r="EQ18" s="41"/>
      <c r="ER18" s="41"/>
      <c r="ES18" s="41"/>
      <c r="ET18" s="88"/>
      <c r="EU18" s="87">
        <v>0</v>
      </c>
      <c r="EV18" s="41"/>
      <c r="EW18" s="41"/>
      <c r="EX18" s="41"/>
      <c r="EY18" s="88"/>
      <c r="EZ18" s="87">
        <v>0</v>
      </c>
      <c r="FA18" s="41"/>
      <c r="FB18" s="41"/>
      <c r="FC18" s="41"/>
      <c r="FD18" s="88"/>
      <c r="FE18" s="87">
        <v>0</v>
      </c>
      <c r="FF18" s="127"/>
      <c r="FG18" s="127"/>
      <c r="FH18" s="127"/>
      <c r="FI18" s="123"/>
      <c r="FJ18" s="87">
        <v>0</v>
      </c>
      <c r="FK18" s="41"/>
      <c r="FL18" s="41"/>
      <c r="FM18" s="41"/>
      <c r="FN18" s="88"/>
      <c r="FO18" s="87">
        <v>0</v>
      </c>
      <c r="FP18" s="41"/>
      <c r="FQ18" s="41"/>
      <c r="FR18" s="41"/>
      <c r="FS18" s="88"/>
      <c r="FT18" s="87">
        <v>0</v>
      </c>
      <c r="FU18" s="41"/>
      <c r="FV18" s="41"/>
      <c r="FW18" s="41"/>
      <c r="FX18" s="88"/>
      <c r="FY18" s="87">
        <v>0</v>
      </c>
      <c r="FZ18" s="41"/>
      <c r="GA18" s="41"/>
      <c r="GB18" s="41"/>
      <c r="GC18" s="88"/>
      <c r="GD18" s="87">
        <v>0</v>
      </c>
      <c r="GE18" s="41"/>
      <c r="GF18" s="41"/>
      <c r="GG18" s="41"/>
      <c r="GH18" s="88"/>
      <c r="GI18" s="87">
        <v>0</v>
      </c>
      <c r="GJ18" s="41"/>
      <c r="GK18" s="127"/>
      <c r="GL18" s="41"/>
      <c r="GM18" s="88"/>
      <c r="GN18" s="87">
        <v>0</v>
      </c>
      <c r="GO18" s="41"/>
      <c r="GP18" s="41"/>
      <c r="GQ18" s="41"/>
      <c r="GR18" s="88"/>
      <c r="GS18" s="87">
        <v>0</v>
      </c>
      <c r="GT18" s="41"/>
      <c r="GU18" s="41"/>
      <c r="GV18" s="41"/>
      <c r="GW18" s="88"/>
      <c r="GX18" s="301" t="str">
        <f t="shared" si="1"/>
        <v/>
      </c>
      <c r="GY18" s="301" t="str">
        <f t="shared" si="0"/>
        <v/>
      </c>
      <c r="GZ18" s="41" t="str">
        <f t="shared" si="2"/>
        <v/>
      </c>
      <c r="HA18" s="41">
        <f t="shared" si="3"/>
        <v>1</v>
      </c>
      <c r="HB18" s="41" t="str">
        <f t="shared" si="4"/>
        <v/>
      </c>
      <c r="HC18" s="41" t="str">
        <f t="shared" si="5"/>
        <v/>
      </c>
      <c r="HD18" s="41" t="str">
        <f t="shared" si="6"/>
        <v/>
      </c>
      <c r="HE18" s="88" t="str">
        <f t="shared" si="7"/>
        <v/>
      </c>
      <c r="HF18" s="524" t="s">
        <v>82</v>
      </c>
      <c r="HG18" s="41" t="s">
        <v>82</v>
      </c>
      <c r="HH18" s="41" t="s">
        <v>82</v>
      </c>
      <c r="HI18" s="41" t="s">
        <v>82</v>
      </c>
      <c r="HJ18" s="41" t="s">
        <v>82</v>
      </c>
      <c r="HK18" s="41" t="s">
        <v>82</v>
      </c>
      <c r="HL18" s="41" t="s">
        <v>82</v>
      </c>
      <c r="HM18" s="41" t="s">
        <v>82</v>
      </c>
      <c r="HN18" s="41" t="s">
        <v>82</v>
      </c>
      <c r="HO18" s="41" t="s">
        <v>82</v>
      </c>
      <c r="HP18" s="41" t="s">
        <v>82</v>
      </c>
      <c r="HQ18" s="41" t="s">
        <v>82</v>
      </c>
      <c r="HR18" s="41" t="s">
        <v>82</v>
      </c>
      <c r="HS18" s="41" t="s">
        <v>82</v>
      </c>
      <c r="HT18" s="41" t="s">
        <v>82</v>
      </c>
      <c r="HU18" s="41" t="s">
        <v>82</v>
      </c>
      <c r="HV18" s="41" t="s">
        <v>82</v>
      </c>
      <c r="HW18" s="41" t="s">
        <v>82</v>
      </c>
      <c r="HX18" s="41" t="s">
        <v>82</v>
      </c>
      <c r="HY18" s="41" t="s">
        <v>82</v>
      </c>
      <c r="HZ18" s="41" t="s">
        <v>82</v>
      </c>
      <c r="IA18" s="41" t="s">
        <v>82</v>
      </c>
      <c r="IB18" s="41" t="s">
        <v>82</v>
      </c>
      <c r="IC18" s="41" t="s">
        <v>82</v>
      </c>
      <c r="ID18" s="41" t="s">
        <v>82</v>
      </c>
      <c r="IE18" s="41" t="s">
        <v>82</v>
      </c>
      <c r="IF18" s="41" t="s">
        <v>82</v>
      </c>
      <c r="IG18" s="41" t="s">
        <v>82</v>
      </c>
      <c r="IH18" s="41" t="s">
        <v>82</v>
      </c>
      <c r="II18" s="88" t="s">
        <v>82</v>
      </c>
    </row>
    <row r="19" spans="1:243" s="135" customFormat="1" ht="82.8">
      <c r="A19" s="754"/>
      <c r="B19" s="90" t="s">
        <v>361</v>
      </c>
      <c r="C19" s="738" t="s">
        <v>325</v>
      </c>
      <c r="D19" s="98" t="s">
        <v>376</v>
      </c>
      <c r="E19" s="131" t="s">
        <v>65</v>
      </c>
      <c r="F19" s="134" t="s">
        <v>65</v>
      </c>
      <c r="G19" s="131" t="s">
        <v>124</v>
      </c>
      <c r="H19" s="134" t="s">
        <v>65</v>
      </c>
      <c r="I19" s="132" t="s">
        <v>65</v>
      </c>
      <c r="J19" s="127">
        <v>1.95</v>
      </c>
      <c r="K19" s="183" t="s">
        <v>265</v>
      </c>
      <c r="L19" s="129" t="s">
        <v>265</v>
      </c>
      <c r="M19" s="334" t="s">
        <v>357</v>
      </c>
      <c r="N19" s="334" t="s">
        <v>84</v>
      </c>
      <c r="O19" s="334" t="s">
        <v>82</v>
      </c>
      <c r="P19" s="249" t="s">
        <v>84</v>
      </c>
      <c r="Q19" s="249"/>
      <c r="R19" s="249" t="s">
        <v>115</v>
      </c>
      <c r="S19" s="41">
        <v>5</v>
      </c>
      <c r="T19" s="41">
        <v>1</v>
      </c>
      <c r="U19" s="249" t="s">
        <v>368</v>
      </c>
      <c r="V19" s="249">
        <v>10</v>
      </c>
      <c r="W19" s="249">
        <v>8</v>
      </c>
      <c r="X19" s="41" t="s">
        <v>265</v>
      </c>
      <c r="Y19" s="41" t="s">
        <v>265</v>
      </c>
      <c r="Z19" s="41" t="s">
        <v>265</v>
      </c>
      <c r="AA19" s="41" t="s">
        <v>265</v>
      </c>
      <c r="AB19" s="41" t="s">
        <v>265</v>
      </c>
      <c r="AC19" s="41" t="s">
        <v>265</v>
      </c>
      <c r="AD19" s="249">
        <v>1</v>
      </c>
      <c r="AE19" s="249">
        <v>1</v>
      </c>
      <c r="AF19" s="249">
        <v>9.34</v>
      </c>
      <c r="AG19" s="249">
        <v>58</v>
      </c>
      <c r="AH19" s="249">
        <v>150</v>
      </c>
      <c r="AI19" s="249">
        <v>30</v>
      </c>
      <c r="AJ19" s="249">
        <v>1</v>
      </c>
      <c r="AK19" s="91">
        <v>6</v>
      </c>
      <c r="AL19" s="477"/>
      <c r="AM19" s="249">
        <v>4</v>
      </c>
      <c r="AN19" s="249">
        <v>4</v>
      </c>
      <c r="AO19" s="249"/>
      <c r="AP19" s="249">
        <f t="shared" si="8"/>
        <v>4</v>
      </c>
      <c r="AQ19" s="518">
        <f t="shared" si="9"/>
        <v>16</v>
      </c>
      <c r="AR19" s="88" t="s">
        <v>363</v>
      </c>
      <c r="AS19" s="334">
        <v>1.8</v>
      </c>
      <c r="AT19" s="334">
        <v>3.6</v>
      </c>
      <c r="AU19" s="334">
        <v>0.8</v>
      </c>
      <c r="AV19" s="334">
        <v>3.5000000000000003E-2</v>
      </c>
      <c r="AW19" s="334">
        <v>5</v>
      </c>
      <c r="AX19" s="249" t="s">
        <v>265</v>
      </c>
      <c r="AY19" s="249" t="s">
        <v>265</v>
      </c>
      <c r="AZ19" s="122">
        <f>SUM(AU19:AY19)</f>
        <v>5.835</v>
      </c>
      <c r="BA19" s="249">
        <v>84</v>
      </c>
      <c r="BB19" s="249">
        <v>0.6</v>
      </c>
      <c r="BC19" s="249" t="s">
        <v>265</v>
      </c>
      <c r="BD19" s="249" t="s">
        <v>265</v>
      </c>
      <c r="BE19" s="249" t="s">
        <v>82</v>
      </c>
      <c r="BF19" s="249" t="s">
        <v>265</v>
      </c>
      <c r="BG19" s="249" t="s">
        <v>265</v>
      </c>
      <c r="BH19" s="249" t="s">
        <v>265</v>
      </c>
      <c r="BI19" s="249" t="s">
        <v>265</v>
      </c>
      <c r="BJ19" s="249" t="s">
        <v>265</v>
      </c>
      <c r="BK19" s="249" t="s">
        <v>82</v>
      </c>
      <c r="BL19" s="122">
        <f>IF(AZ19="N.S","N.S",3*(AZ19*BL1+0.001*IF(BB19="N.S",0,BB19*(1-BL1))))</f>
        <v>0.17683199999999999</v>
      </c>
      <c r="BM19" s="520" t="s">
        <v>265</v>
      </c>
      <c r="BN19" s="656" t="str">
        <f t="shared" si="10"/>
        <v>N.S</v>
      </c>
      <c r="BO19" s="283">
        <f t="shared" si="11"/>
        <v>4241.3137893593921</v>
      </c>
      <c r="BP19" s="484">
        <v>8051</v>
      </c>
      <c r="BQ19" s="249">
        <v>8</v>
      </c>
      <c r="BR19" s="249">
        <v>25</v>
      </c>
      <c r="BS19" s="249" t="s">
        <v>265</v>
      </c>
      <c r="BT19" s="249">
        <v>4.3520000000000003</v>
      </c>
      <c r="BU19" s="249">
        <v>64</v>
      </c>
      <c r="BV19" s="249" t="s">
        <v>265</v>
      </c>
      <c r="BW19" s="249" t="s">
        <v>362</v>
      </c>
      <c r="BX19" s="338" t="s">
        <v>265</v>
      </c>
      <c r="BY19" s="41" t="s">
        <v>265</v>
      </c>
      <c r="BZ19" s="353" t="s">
        <v>767</v>
      </c>
      <c r="CA19" s="334" t="s">
        <v>265</v>
      </c>
      <c r="CB19" s="91" t="s">
        <v>265</v>
      </c>
      <c r="CC19" s="484" t="s">
        <v>82</v>
      </c>
      <c r="CD19" s="249" t="s">
        <v>265</v>
      </c>
      <c r="CE19" s="249" t="s">
        <v>265</v>
      </c>
      <c r="CF19" s="249" t="s">
        <v>265</v>
      </c>
      <c r="CG19" s="249" t="s">
        <v>265</v>
      </c>
      <c r="CH19" s="91" t="s">
        <v>265</v>
      </c>
      <c r="CI19" s="660">
        <v>0.15</v>
      </c>
      <c r="CJ19" s="658">
        <v>1.3</v>
      </c>
      <c r="CK19" s="659">
        <v>2</v>
      </c>
      <c r="CL19" s="484" t="s">
        <v>374</v>
      </c>
      <c r="CM19" s="663" t="s">
        <v>1012</v>
      </c>
      <c r="CN19" s="477" t="s">
        <v>375</v>
      </c>
      <c r="CO19" s="183">
        <v>1</v>
      </c>
      <c r="CP19" s="127"/>
      <c r="CQ19" s="127"/>
      <c r="CR19" s="183"/>
      <c r="CS19" s="129"/>
      <c r="CT19" s="184">
        <v>0</v>
      </c>
      <c r="CU19" s="127"/>
      <c r="CV19" s="127"/>
      <c r="CW19" s="183"/>
      <c r="CX19" s="129"/>
      <c r="CY19" s="87">
        <v>0</v>
      </c>
      <c r="CZ19" s="41">
        <v>0</v>
      </c>
      <c r="DA19" s="41"/>
      <c r="DB19" s="41"/>
      <c r="DC19" s="41"/>
      <c r="DD19" s="41"/>
      <c r="DE19" s="41"/>
      <c r="DF19" s="41"/>
      <c r="DG19" s="41"/>
      <c r="DH19" s="41"/>
      <c r="DI19" s="123"/>
      <c r="DJ19" s="87">
        <v>0</v>
      </c>
      <c r="DK19" s="41">
        <v>0</v>
      </c>
      <c r="DL19" s="41"/>
      <c r="DM19" s="41"/>
      <c r="DN19" s="41"/>
      <c r="DO19" s="41"/>
      <c r="DP19" s="41"/>
      <c r="DQ19" s="41"/>
      <c r="DR19" s="41"/>
      <c r="DS19" s="41"/>
      <c r="DT19" s="88"/>
      <c r="DU19" s="87">
        <v>0</v>
      </c>
      <c r="DV19" s="41">
        <v>0</v>
      </c>
      <c r="DW19" s="41"/>
      <c r="DX19" s="41"/>
      <c r="DY19" s="41"/>
      <c r="DZ19" s="41"/>
      <c r="EA19" s="41"/>
      <c r="EB19" s="41"/>
      <c r="EC19" s="41"/>
      <c r="ED19" s="41"/>
      <c r="EE19" s="123"/>
      <c r="EF19" s="87">
        <v>0</v>
      </c>
      <c r="EG19" s="41"/>
      <c r="EH19" s="41"/>
      <c r="EI19" s="41"/>
      <c r="EJ19" s="88"/>
      <c r="EK19" s="87">
        <v>0</v>
      </c>
      <c r="EL19" s="41"/>
      <c r="EM19" s="41"/>
      <c r="EN19" s="41"/>
      <c r="EO19" s="88"/>
      <c r="EP19" s="87">
        <v>0</v>
      </c>
      <c r="EQ19" s="41"/>
      <c r="ER19" s="41"/>
      <c r="ES19" s="41"/>
      <c r="ET19" s="88"/>
      <c r="EU19" s="87">
        <v>0</v>
      </c>
      <c r="EV19" s="41"/>
      <c r="EW19" s="41"/>
      <c r="EX19" s="41"/>
      <c r="EY19" s="88"/>
      <c r="EZ19" s="87">
        <v>0</v>
      </c>
      <c r="FA19" s="41"/>
      <c r="FB19" s="41"/>
      <c r="FC19" s="41"/>
      <c r="FD19" s="88"/>
      <c r="FE19" s="87">
        <v>0</v>
      </c>
      <c r="FF19" s="127"/>
      <c r="FG19" s="127"/>
      <c r="FH19" s="127"/>
      <c r="FI19" s="123"/>
      <c r="FJ19" s="87">
        <v>0</v>
      </c>
      <c r="FK19" s="41"/>
      <c r="FL19" s="41"/>
      <c r="FM19" s="41"/>
      <c r="FN19" s="88"/>
      <c r="FO19" s="87">
        <v>0</v>
      </c>
      <c r="FP19" s="41"/>
      <c r="FQ19" s="41"/>
      <c r="FR19" s="41"/>
      <c r="FS19" s="88"/>
      <c r="FT19" s="87">
        <v>0</v>
      </c>
      <c r="FU19" s="41"/>
      <c r="FV19" s="41"/>
      <c r="FW19" s="41"/>
      <c r="FX19" s="88"/>
      <c r="FY19" s="87">
        <v>0</v>
      </c>
      <c r="FZ19" s="41"/>
      <c r="GA19" s="41"/>
      <c r="GB19" s="41"/>
      <c r="GC19" s="88"/>
      <c r="GD19" s="87">
        <v>0</v>
      </c>
      <c r="GE19" s="41"/>
      <c r="GF19" s="41"/>
      <c r="GG19" s="41"/>
      <c r="GH19" s="88"/>
      <c r="GI19" s="87">
        <v>0</v>
      </c>
      <c r="GJ19" s="41"/>
      <c r="GK19" s="127"/>
      <c r="GL19" s="41"/>
      <c r="GM19" s="88"/>
      <c r="GN19" s="87">
        <v>0</v>
      </c>
      <c r="GO19" s="41"/>
      <c r="GP19" s="41"/>
      <c r="GQ19" s="41"/>
      <c r="GR19" s="88"/>
      <c r="GS19" s="87">
        <v>0</v>
      </c>
      <c r="GT19" s="41"/>
      <c r="GU19" s="41"/>
      <c r="GV19" s="41"/>
      <c r="GW19" s="88"/>
      <c r="GX19" s="301" t="str">
        <f t="shared" si="1"/>
        <v/>
      </c>
      <c r="GY19" s="301" t="str">
        <f t="shared" si="0"/>
        <v/>
      </c>
      <c r="GZ19" s="41" t="str">
        <f t="shared" si="2"/>
        <v/>
      </c>
      <c r="HA19" s="41">
        <f t="shared" si="3"/>
        <v>1</v>
      </c>
      <c r="HB19" s="41" t="str">
        <f t="shared" si="4"/>
        <v/>
      </c>
      <c r="HC19" s="41" t="str">
        <f t="shared" si="5"/>
        <v/>
      </c>
      <c r="HD19" s="41" t="str">
        <f t="shared" si="6"/>
        <v/>
      </c>
      <c r="HE19" s="88" t="str">
        <f t="shared" si="7"/>
        <v/>
      </c>
      <c r="HF19" s="524" t="s">
        <v>82</v>
      </c>
      <c r="HG19" s="41" t="s">
        <v>82</v>
      </c>
      <c r="HH19" s="41">
        <v>1</v>
      </c>
      <c r="HI19" s="41" t="s">
        <v>82</v>
      </c>
      <c r="HJ19" s="41" t="s">
        <v>82</v>
      </c>
      <c r="HK19" s="41" t="s">
        <v>82</v>
      </c>
      <c r="HL19" s="41">
        <v>1</v>
      </c>
      <c r="HM19" s="41">
        <v>1</v>
      </c>
      <c r="HN19" s="41" t="s">
        <v>82</v>
      </c>
      <c r="HO19" s="41" t="s">
        <v>82</v>
      </c>
      <c r="HP19" s="41" t="s">
        <v>82</v>
      </c>
      <c r="HQ19" s="41" t="s">
        <v>82</v>
      </c>
      <c r="HR19" s="41" t="s">
        <v>82</v>
      </c>
      <c r="HS19" s="41" t="s">
        <v>82</v>
      </c>
      <c r="HT19" s="41" t="s">
        <v>82</v>
      </c>
      <c r="HU19" s="41" t="s">
        <v>82</v>
      </c>
      <c r="HV19" s="41" t="s">
        <v>82</v>
      </c>
      <c r="HW19" s="41" t="s">
        <v>82</v>
      </c>
      <c r="HX19" s="41" t="s">
        <v>82</v>
      </c>
      <c r="HY19" s="41" t="s">
        <v>82</v>
      </c>
      <c r="HZ19" s="41" t="s">
        <v>82</v>
      </c>
      <c r="IA19" s="41" t="s">
        <v>82</v>
      </c>
      <c r="IB19" s="41" t="s">
        <v>82</v>
      </c>
      <c r="IC19" s="41" t="s">
        <v>82</v>
      </c>
      <c r="ID19" s="41" t="s">
        <v>82</v>
      </c>
      <c r="IE19" s="41" t="s">
        <v>82</v>
      </c>
      <c r="IF19" s="41" t="s">
        <v>82</v>
      </c>
      <c r="IG19" s="41" t="s">
        <v>82</v>
      </c>
      <c r="IH19" s="41" t="s">
        <v>82</v>
      </c>
      <c r="II19" s="88" t="s">
        <v>82</v>
      </c>
    </row>
    <row r="20" spans="1:243" s="89" customFormat="1" ht="69">
      <c r="A20" s="754"/>
      <c r="B20" s="138" t="s">
        <v>378</v>
      </c>
      <c r="C20" s="739"/>
      <c r="D20" s="98" t="s">
        <v>377</v>
      </c>
      <c r="E20" s="94" t="s">
        <v>65</v>
      </c>
      <c r="F20" s="133" t="s">
        <v>124</v>
      </c>
      <c r="G20" s="249" t="s">
        <v>65</v>
      </c>
      <c r="H20" s="62" t="s">
        <v>65</v>
      </c>
      <c r="I20" s="730" t="s">
        <v>65</v>
      </c>
      <c r="J20" s="127">
        <v>2.12</v>
      </c>
      <c r="K20" s="183">
        <v>12</v>
      </c>
      <c r="L20" s="129">
        <v>2014</v>
      </c>
      <c r="M20" s="101" t="s">
        <v>959</v>
      </c>
      <c r="N20" s="334" t="s">
        <v>82</v>
      </c>
      <c r="O20" s="334" t="s">
        <v>82</v>
      </c>
      <c r="P20" s="249" t="s">
        <v>82</v>
      </c>
      <c r="Q20" s="249"/>
      <c r="R20" s="249" t="s">
        <v>82</v>
      </c>
      <c r="S20" s="41">
        <v>1</v>
      </c>
      <c r="T20" s="41">
        <v>1</v>
      </c>
      <c r="U20" s="249" t="s">
        <v>368</v>
      </c>
      <c r="V20" s="249">
        <v>12</v>
      </c>
      <c r="W20" s="249" t="s">
        <v>265</v>
      </c>
      <c r="X20" s="249" t="s">
        <v>265</v>
      </c>
      <c r="Y20" s="249" t="s">
        <v>265</v>
      </c>
      <c r="Z20" s="249" t="s">
        <v>265</v>
      </c>
      <c r="AA20" s="249" t="s">
        <v>265</v>
      </c>
      <c r="AB20" s="249" t="s">
        <v>265</v>
      </c>
      <c r="AC20" s="249" t="s">
        <v>265</v>
      </c>
      <c r="AD20" s="249">
        <v>4</v>
      </c>
      <c r="AE20" s="249">
        <v>1.2</v>
      </c>
      <c r="AF20" s="249">
        <f>(AG20-1.76)/6.02</f>
        <v>11.169435215946844</v>
      </c>
      <c r="AG20" s="249">
        <v>69</v>
      </c>
      <c r="AH20" s="249">
        <v>500</v>
      </c>
      <c r="AI20" s="249">
        <v>2</v>
      </c>
      <c r="AJ20" s="249">
        <v>1</v>
      </c>
      <c r="AK20" s="91">
        <v>4</v>
      </c>
      <c r="AL20" s="477"/>
      <c r="AM20" s="249">
        <v>5</v>
      </c>
      <c r="AN20" s="249">
        <v>5</v>
      </c>
      <c r="AO20" s="249"/>
      <c r="AP20" s="249">
        <f t="shared" si="8"/>
        <v>5</v>
      </c>
      <c r="AQ20" s="518">
        <f t="shared" si="9"/>
        <v>25</v>
      </c>
      <c r="AR20" s="88" t="s">
        <v>363</v>
      </c>
      <c r="AS20" s="334">
        <v>1.98</v>
      </c>
      <c r="AT20" s="334">
        <v>3.8</v>
      </c>
      <c r="AU20" s="334">
        <f>0.51+0.062</f>
        <v>0.57200000000000006</v>
      </c>
      <c r="AV20" s="334" t="s">
        <v>265</v>
      </c>
      <c r="AW20" s="334">
        <f>0.158*25</f>
        <v>3.95</v>
      </c>
      <c r="AX20" s="334" t="s">
        <v>265</v>
      </c>
      <c r="AY20" s="249">
        <f>(7.5+6.25+8.75+2.5+5.31+2.81+8.12)*25/1000</f>
        <v>1.0309999999999997</v>
      </c>
      <c r="AZ20" s="122">
        <f>SUM(AU20:AY20)</f>
        <v>5.5529999999999999</v>
      </c>
      <c r="BA20" s="249">
        <v>0.9</v>
      </c>
      <c r="BB20" s="249">
        <v>0.6</v>
      </c>
      <c r="BC20" s="249">
        <v>0.02</v>
      </c>
      <c r="BD20" s="249" t="s">
        <v>265</v>
      </c>
      <c r="BE20" s="249" t="s">
        <v>82</v>
      </c>
      <c r="BF20" s="249" t="s">
        <v>265</v>
      </c>
      <c r="BG20" s="249" t="s">
        <v>265</v>
      </c>
      <c r="BH20" s="249" t="s">
        <v>265</v>
      </c>
      <c r="BI20" s="249" t="s">
        <v>265</v>
      </c>
      <c r="BJ20" s="249" t="s">
        <v>265</v>
      </c>
      <c r="BK20" s="249" t="s">
        <v>82</v>
      </c>
      <c r="BL20" s="122">
        <f>IF(AZ20="N.S","N.S",3*(AZ20*BL1+0.001*IF(BB20="N.S",0,BB20*(1-BL1))))</f>
        <v>0.16837199999999999</v>
      </c>
      <c r="BM20" s="520" t="s">
        <v>265</v>
      </c>
      <c r="BN20" s="656" t="str">
        <f t="shared" si="10"/>
        <v>N.S</v>
      </c>
      <c r="BO20" s="283">
        <f t="shared" si="11"/>
        <v>4454.4223505095861</v>
      </c>
      <c r="BP20" s="481" t="s">
        <v>327</v>
      </c>
      <c r="BQ20" s="249">
        <v>32</v>
      </c>
      <c r="BR20" s="249">
        <v>25</v>
      </c>
      <c r="BS20" s="249" t="s">
        <v>265</v>
      </c>
      <c r="BT20" s="249">
        <v>8</v>
      </c>
      <c r="BU20" s="249">
        <v>64</v>
      </c>
      <c r="BV20" s="249" t="s">
        <v>265</v>
      </c>
      <c r="BW20" s="98" t="s">
        <v>379</v>
      </c>
      <c r="BX20" s="338" t="s">
        <v>265</v>
      </c>
      <c r="BY20" s="41" t="s">
        <v>265</v>
      </c>
      <c r="BZ20" s="353" t="s">
        <v>771</v>
      </c>
      <c r="CA20" s="334" t="s">
        <v>265</v>
      </c>
      <c r="CB20" s="91" t="s">
        <v>265</v>
      </c>
      <c r="CC20" s="484" t="s">
        <v>82</v>
      </c>
      <c r="CD20" s="249" t="s">
        <v>265</v>
      </c>
      <c r="CE20" s="249" t="s">
        <v>265</v>
      </c>
      <c r="CF20" s="249" t="s">
        <v>265</v>
      </c>
      <c r="CG20" s="249" t="s">
        <v>265</v>
      </c>
      <c r="CH20" s="91" t="s">
        <v>265</v>
      </c>
      <c r="CI20" s="657">
        <v>2</v>
      </c>
      <c r="CJ20" s="658"/>
      <c r="CK20" s="659">
        <v>163</v>
      </c>
      <c r="CL20" s="484" t="s">
        <v>265</v>
      </c>
      <c r="CM20" s="89" t="s">
        <v>380</v>
      </c>
      <c r="CN20" s="477"/>
      <c r="CO20" s="183">
        <v>1</v>
      </c>
      <c r="CP20" s="127"/>
      <c r="CQ20" s="127"/>
      <c r="CR20" s="183"/>
      <c r="CS20" s="129"/>
      <c r="CT20" s="184">
        <v>0</v>
      </c>
      <c r="CU20" s="127"/>
      <c r="CV20" s="127"/>
      <c r="CW20" s="183"/>
      <c r="CX20" s="129"/>
      <c r="CY20" s="87">
        <v>0</v>
      </c>
      <c r="CZ20" s="41">
        <v>0</v>
      </c>
      <c r="DA20" s="41"/>
      <c r="DB20" s="41"/>
      <c r="DC20" s="41"/>
      <c r="DD20" s="41"/>
      <c r="DE20" s="41"/>
      <c r="DF20" s="41"/>
      <c r="DG20" s="41"/>
      <c r="DH20" s="41"/>
      <c r="DI20" s="123"/>
      <c r="DJ20" s="87">
        <v>0</v>
      </c>
      <c r="DK20" s="41">
        <v>0</v>
      </c>
      <c r="DL20" s="41"/>
      <c r="DM20" s="41"/>
      <c r="DN20" s="41"/>
      <c r="DO20" s="41"/>
      <c r="DP20" s="41"/>
      <c r="DQ20" s="41"/>
      <c r="DR20" s="41"/>
      <c r="DS20" s="41"/>
      <c r="DT20" s="88"/>
      <c r="DU20" s="87">
        <v>0</v>
      </c>
      <c r="DV20" s="41">
        <v>0</v>
      </c>
      <c r="DW20" s="41"/>
      <c r="DX20" s="41"/>
      <c r="DY20" s="41"/>
      <c r="DZ20" s="41"/>
      <c r="EA20" s="41"/>
      <c r="EB20" s="41"/>
      <c r="EC20" s="41"/>
      <c r="ED20" s="41"/>
      <c r="EE20" s="123"/>
      <c r="EF20" s="87">
        <v>0</v>
      </c>
      <c r="EG20" s="41"/>
      <c r="EH20" s="41"/>
      <c r="EI20" s="41"/>
      <c r="EJ20" s="88"/>
      <c r="EK20" s="87">
        <v>0</v>
      </c>
      <c r="EL20" s="41"/>
      <c r="EM20" s="41"/>
      <c r="EN20" s="41"/>
      <c r="EO20" s="88"/>
      <c r="EP20" s="87">
        <v>0</v>
      </c>
      <c r="EQ20" s="41"/>
      <c r="ER20" s="41"/>
      <c r="ES20" s="41"/>
      <c r="ET20" s="88"/>
      <c r="EU20" s="87">
        <v>0</v>
      </c>
      <c r="EV20" s="41"/>
      <c r="EW20" s="41"/>
      <c r="EX20" s="41"/>
      <c r="EY20" s="88"/>
      <c r="EZ20" s="87">
        <v>0</v>
      </c>
      <c r="FA20" s="41"/>
      <c r="FB20" s="41"/>
      <c r="FC20" s="41"/>
      <c r="FD20" s="88"/>
      <c r="FE20" s="87">
        <v>0</v>
      </c>
      <c r="FF20" s="127"/>
      <c r="FG20" s="127"/>
      <c r="FH20" s="127"/>
      <c r="FI20" s="123"/>
      <c r="FJ20" s="87">
        <v>0</v>
      </c>
      <c r="FK20" s="41"/>
      <c r="FL20" s="41"/>
      <c r="FM20" s="41"/>
      <c r="FN20" s="88"/>
      <c r="FO20" s="87">
        <v>0</v>
      </c>
      <c r="FP20" s="41"/>
      <c r="FQ20" s="41"/>
      <c r="FR20" s="41"/>
      <c r="FS20" s="88"/>
      <c r="FT20" s="87">
        <v>0</v>
      </c>
      <c r="FU20" s="41"/>
      <c r="FV20" s="41"/>
      <c r="FW20" s="41"/>
      <c r="FX20" s="88"/>
      <c r="FY20" s="87">
        <v>0</v>
      </c>
      <c r="FZ20" s="41"/>
      <c r="GA20" s="41"/>
      <c r="GB20" s="41"/>
      <c r="GC20" s="88"/>
      <c r="GD20" s="87">
        <v>0</v>
      </c>
      <c r="GE20" s="41"/>
      <c r="GF20" s="41"/>
      <c r="GG20" s="41"/>
      <c r="GH20" s="88"/>
      <c r="GI20" s="87">
        <v>1</v>
      </c>
      <c r="GJ20" s="41"/>
      <c r="GK20" s="127"/>
      <c r="GL20" s="41"/>
      <c r="GM20" s="88"/>
      <c r="GN20" s="87">
        <v>0</v>
      </c>
      <c r="GO20" s="41"/>
      <c r="GP20" s="41"/>
      <c r="GQ20" s="41"/>
      <c r="GR20" s="88"/>
      <c r="GS20" s="87">
        <v>0</v>
      </c>
      <c r="GT20" s="41"/>
      <c r="GU20" s="41"/>
      <c r="GV20" s="41"/>
      <c r="GW20" s="88"/>
      <c r="GX20" s="301" t="str">
        <f t="shared" si="1"/>
        <v/>
      </c>
      <c r="GY20" s="301" t="str">
        <f t="shared" si="0"/>
        <v/>
      </c>
      <c r="GZ20" s="41" t="str">
        <f t="shared" si="2"/>
        <v/>
      </c>
      <c r="HA20" s="41">
        <f t="shared" si="3"/>
        <v>1</v>
      </c>
      <c r="HB20" s="41" t="str">
        <f t="shared" si="4"/>
        <v/>
      </c>
      <c r="HC20" s="41" t="str">
        <f t="shared" si="5"/>
        <v/>
      </c>
      <c r="HD20" s="41" t="str">
        <f t="shared" si="6"/>
        <v/>
      </c>
      <c r="HE20" s="88" t="str">
        <f t="shared" si="7"/>
        <v/>
      </c>
      <c r="HF20" s="524" t="s">
        <v>82</v>
      </c>
      <c r="HG20" s="41" t="s">
        <v>82</v>
      </c>
      <c r="HH20" s="41" t="s">
        <v>82</v>
      </c>
      <c r="HI20" s="41">
        <v>1</v>
      </c>
      <c r="HJ20" s="41" t="s">
        <v>82</v>
      </c>
      <c r="HK20" s="41">
        <v>1</v>
      </c>
      <c r="HL20" s="41">
        <v>1</v>
      </c>
      <c r="HM20" s="41">
        <v>1</v>
      </c>
      <c r="HN20" s="41" t="s">
        <v>82</v>
      </c>
      <c r="HO20" s="41" t="s">
        <v>82</v>
      </c>
      <c r="HP20" s="41" t="s">
        <v>82</v>
      </c>
      <c r="HQ20" s="41" t="s">
        <v>82</v>
      </c>
      <c r="HR20" s="41" t="s">
        <v>82</v>
      </c>
      <c r="HS20" s="41">
        <v>1</v>
      </c>
      <c r="HT20" s="41" t="s">
        <v>82</v>
      </c>
      <c r="HU20" s="41" t="s">
        <v>82</v>
      </c>
      <c r="HV20" s="41" t="s">
        <v>82</v>
      </c>
      <c r="HW20" s="41" t="s">
        <v>82</v>
      </c>
      <c r="HX20" s="41" t="s">
        <v>82</v>
      </c>
      <c r="HY20" s="41" t="s">
        <v>82</v>
      </c>
      <c r="HZ20" s="41" t="s">
        <v>82</v>
      </c>
      <c r="IA20" s="41" t="s">
        <v>82</v>
      </c>
      <c r="IB20" s="41" t="s">
        <v>82</v>
      </c>
      <c r="IC20" s="41" t="s">
        <v>82</v>
      </c>
      <c r="ID20" s="41" t="s">
        <v>82</v>
      </c>
      <c r="IE20" s="41" t="s">
        <v>82</v>
      </c>
      <c r="IF20" s="41" t="s">
        <v>82</v>
      </c>
      <c r="IG20" s="41" t="s">
        <v>82</v>
      </c>
      <c r="IH20" s="41" t="s">
        <v>82</v>
      </c>
      <c r="II20" s="88" t="s">
        <v>82</v>
      </c>
    </row>
    <row r="21" spans="1:243" s="89" customFormat="1" ht="69">
      <c r="A21" s="754"/>
      <c r="B21" s="138" t="s">
        <v>382</v>
      </c>
      <c r="C21" s="739"/>
      <c r="D21" s="98" t="s">
        <v>383</v>
      </c>
      <c r="E21" s="94" t="s">
        <v>65</v>
      </c>
      <c r="F21" s="133" t="s">
        <v>124</v>
      </c>
      <c r="G21" s="133" t="s">
        <v>65</v>
      </c>
      <c r="H21" s="62" t="s">
        <v>65</v>
      </c>
      <c r="I21" s="731"/>
      <c r="J21" s="127">
        <v>1.42</v>
      </c>
      <c r="K21" s="183">
        <v>3</v>
      </c>
      <c r="L21" s="129">
        <v>2010</v>
      </c>
      <c r="M21" s="101" t="s">
        <v>768</v>
      </c>
      <c r="N21" s="334" t="s">
        <v>265</v>
      </c>
      <c r="O21" s="334" t="s">
        <v>772</v>
      </c>
      <c r="P21" s="249" t="s">
        <v>265</v>
      </c>
      <c r="Q21" s="249"/>
      <c r="R21" s="249" t="s">
        <v>265</v>
      </c>
      <c r="S21" s="41" t="s">
        <v>265</v>
      </c>
      <c r="T21" s="41">
        <v>1</v>
      </c>
      <c r="U21" s="249" t="s">
        <v>368</v>
      </c>
      <c r="V21" s="249">
        <v>12</v>
      </c>
      <c r="W21" s="249" t="s">
        <v>265</v>
      </c>
      <c r="X21" s="249" t="s">
        <v>265</v>
      </c>
      <c r="Y21" s="249" t="s">
        <v>265</v>
      </c>
      <c r="Z21" s="249" t="s">
        <v>265</v>
      </c>
      <c r="AA21" s="249" t="s">
        <v>265</v>
      </c>
      <c r="AB21" s="249" t="s">
        <v>265</v>
      </c>
      <c r="AC21" s="249" t="s">
        <v>265</v>
      </c>
      <c r="AD21" s="249">
        <v>1.2</v>
      </c>
      <c r="AE21" s="249">
        <v>0.7</v>
      </c>
      <c r="AF21" s="249">
        <v>9.34</v>
      </c>
      <c r="AG21" s="249">
        <v>58</v>
      </c>
      <c r="AH21" s="249">
        <v>500</v>
      </c>
      <c r="AI21" s="249">
        <v>2</v>
      </c>
      <c r="AJ21" s="249">
        <v>1</v>
      </c>
      <c r="AK21" s="91">
        <v>12</v>
      </c>
      <c r="AL21" s="477"/>
      <c r="AM21" s="249">
        <v>4</v>
      </c>
      <c r="AN21" s="249">
        <v>4</v>
      </c>
      <c r="AO21" s="249"/>
      <c r="AP21" s="249">
        <f t="shared" si="8"/>
        <v>4</v>
      </c>
      <c r="AQ21" s="518">
        <f t="shared" si="9"/>
        <v>16</v>
      </c>
      <c r="AR21" s="88" t="s">
        <v>363</v>
      </c>
      <c r="AS21" s="334">
        <v>1.98</v>
      </c>
      <c r="AT21" s="334">
        <v>3.8</v>
      </c>
      <c r="AU21" s="334">
        <f>0.377+0.4</f>
        <v>0.77700000000000002</v>
      </c>
      <c r="AV21" s="334" t="s">
        <v>265</v>
      </c>
      <c r="AW21" s="122">
        <f>5.024</f>
        <v>5.024</v>
      </c>
      <c r="AX21" s="334" t="s">
        <v>265</v>
      </c>
      <c r="AY21" s="249" t="s">
        <v>265</v>
      </c>
      <c r="AZ21" s="122">
        <f>SUM(AU21:AY21)</f>
        <v>5.8010000000000002</v>
      </c>
      <c r="BA21" s="477">
        <v>1</v>
      </c>
      <c r="BB21" s="477">
        <v>0.6</v>
      </c>
      <c r="BC21" s="249">
        <v>0.02</v>
      </c>
      <c r="BD21" s="249" t="s">
        <v>265</v>
      </c>
      <c r="BE21" s="249" t="s">
        <v>265</v>
      </c>
      <c r="BF21" s="249" t="s">
        <v>265</v>
      </c>
      <c r="BG21" s="249" t="s">
        <v>265</v>
      </c>
      <c r="BH21" s="249" t="s">
        <v>265</v>
      </c>
      <c r="BI21" s="249" t="s">
        <v>265</v>
      </c>
      <c r="BJ21" s="249" t="s">
        <v>265</v>
      </c>
      <c r="BK21" s="249" t="s">
        <v>265</v>
      </c>
      <c r="BL21" s="122">
        <f>IF(AW21="N.S","N.S",3*(AW21*BL1+0.001*IF(BB21="N.S",0,BB21*(1-BL1))))</f>
        <v>0.152502</v>
      </c>
      <c r="BM21" s="520" t="s">
        <v>265</v>
      </c>
      <c r="BN21" s="656" t="str">
        <f t="shared" si="10"/>
        <v>N.S</v>
      </c>
      <c r="BO21" s="283">
        <f t="shared" si="11"/>
        <v>4917.968288940473</v>
      </c>
      <c r="BP21" s="481" t="s">
        <v>328</v>
      </c>
      <c r="BQ21" s="249">
        <v>32</v>
      </c>
      <c r="BR21" s="249">
        <v>32</v>
      </c>
      <c r="BS21" s="249" t="s">
        <v>265</v>
      </c>
      <c r="BT21" s="249">
        <v>4</v>
      </c>
      <c r="BU21" s="249">
        <v>32</v>
      </c>
      <c r="BV21" s="249" t="s">
        <v>265</v>
      </c>
      <c r="BW21" s="98" t="s">
        <v>769</v>
      </c>
      <c r="BX21" s="338" t="s">
        <v>265</v>
      </c>
      <c r="BY21" s="41" t="s">
        <v>265</v>
      </c>
      <c r="BZ21" s="353" t="s">
        <v>770</v>
      </c>
      <c r="CA21" s="334" t="s">
        <v>265</v>
      </c>
      <c r="CB21" s="91" t="s">
        <v>265</v>
      </c>
      <c r="CC21" s="484" t="s">
        <v>82</v>
      </c>
      <c r="CD21" s="249" t="s">
        <v>265</v>
      </c>
      <c r="CE21" s="249" t="s">
        <v>265</v>
      </c>
      <c r="CF21" s="249" t="s">
        <v>265</v>
      </c>
      <c r="CG21" s="249" t="s">
        <v>265</v>
      </c>
      <c r="CH21" s="91" t="s">
        <v>265</v>
      </c>
      <c r="CI21" s="657">
        <v>2</v>
      </c>
      <c r="CJ21" s="658"/>
      <c r="CK21" s="659">
        <v>163</v>
      </c>
      <c r="CL21" s="484" t="s">
        <v>265</v>
      </c>
      <c r="CM21" s="89" t="s">
        <v>786</v>
      </c>
      <c r="CN21" s="477"/>
      <c r="CO21" s="183">
        <v>1</v>
      </c>
      <c r="CP21" s="127"/>
      <c r="CQ21" s="127"/>
      <c r="CR21" s="183"/>
      <c r="CS21" s="129"/>
      <c r="CT21" s="184">
        <v>0</v>
      </c>
      <c r="CU21" s="127"/>
      <c r="CV21" s="127"/>
      <c r="CW21" s="183"/>
      <c r="CX21" s="129"/>
      <c r="CY21" s="87">
        <v>0</v>
      </c>
      <c r="CZ21" s="41">
        <v>0</v>
      </c>
      <c r="DA21" s="41"/>
      <c r="DB21" s="41"/>
      <c r="DC21" s="41"/>
      <c r="DD21" s="41"/>
      <c r="DE21" s="41"/>
      <c r="DF21" s="41"/>
      <c r="DG21" s="41"/>
      <c r="DH21" s="41"/>
      <c r="DI21" s="123"/>
      <c r="DJ21" s="87">
        <v>0</v>
      </c>
      <c r="DK21" s="41">
        <v>0</v>
      </c>
      <c r="DL21" s="41"/>
      <c r="DM21" s="41"/>
      <c r="DN21" s="41"/>
      <c r="DO21" s="41"/>
      <c r="DP21" s="41"/>
      <c r="DQ21" s="41"/>
      <c r="DR21" s="41"/>
      <c r="DS21" s="41"/>
      <c r="DT21" s="88"/>
      <c r="DU21" s="87">
        <v>0</v>
      </c>
      <c r="DV21" s="41">
        <v>0</v>
      </c>
      <c r="DW21" s="41"/>
      <c r="DX21" s="41"/>
      <c r="DY21" s="41"/>
      <c r="DZ21" s="41"/>
      <c r="EA21" s="41"/>
      <c r="EB21" s="41"/>
      <c r="EC21" s="41"/>
      <c r="ED21" s="41"/>
      <c r="EE21" s="123"/>
      <c r="EF21" s="87">
        <v>0</v>
      </c>
      <c r="EG21" s="41"/>
      <c r="EH21" s="41"/>
      <c r="EI21" s="41"/>
      <c r="EJ21" s="88"/>
      <c r="EK21" s="87">
        <v>0</v>
      </c>
      <c r="EL21" s="41"/>
      <c r="EM21" s="41"/>
      <c r="EN21" s="41"/>
      <c r="EO21" s="88"/>
      <c r="EP21" s="87">
        <v>0</v>
      </c>
      <c r="EQ21" s="41"/>
      <c r="ER21" s="41"/>
      <c r="ES21" s="41"/>
      <c r="ET21" s="88"/>
      <c r="EU21" s="87">
        <v>0</v>
      </c>
      <c r="EV21" s="41"/>
      <c r="EW21" s="41"/>
      <c r="EX21" s="41"/>
      <c r="EY21" s="88"/>
      <c r="EZ21" s="87">
        <v>0</v>
      </c>
      <c r="FA21" s="41"/>
      <c r="FB21" s="41"/>
      <c r="FC21" s="41"/>
      <c r="FD21" s="88"/>
      <c r="FE21" s="87">
        <v>0</v>
      </c>
      <c r="FF21" s="127"/>
      <c r="FG21" s="127"/>
      <c r="FH21" s="127"/>
      <c r="FI21" s="123"/>
      <c r="FJ21" s="87">
        <v>0</v>
      </c>
      <c r="FK21" s="41"/>
      <c r="FL21" s="41"/>
      <c r="FM21" s="41"/>
      <c r="FN21" s="88"/>
      <c r="FO21" s="87">
        <v>0</v>
      </c>
      <c r="FP21" s="41"/>
      <c r="FQ21" s="41"/>
      <c r="FR21" s="41"/>
      <c r="FS21" s="88"/>
      <c r="FT21" s="87">
        <v>0</v>
      </c>
      <c r="FU21" s="41"/>
      <c r="FV21" s="41"/>
      <c r="FW21" s="41"/>
      <c r="FX21" s="88"/>
      <c r="FY21" s="87">
        <v>0</v>
      </c>
      <c r="FZ21" s="41"/>
      <c r="GA21" s="41"/>
      <c r="GB21" s="41"/>
      <c r="GC21" s="88"/>
      <c r="GD21" s="87">
        <v>0</v>
      </c>
      <c r="GE21" s="41"/>
      <c r="GF21" s="41"/>
      <c r="GG21" s="41"/>
      <c r="GH21" s="88"/>
      <c r="GI21" s="87">
        <v>1</v>
      </c>
      <c r="GJ21" s="41"/>
      <c r="GK21" s="127"/>
      <c r="GL21" s="41"/>
      <c r="GM21" s="88"/>
      <c r="GN21" s="87">
        <v>0</v>
      </c>
      <c r="GO21" s="41"/>
      <c r="GP21" s="41"/>
      <c r="GQ21" s="41"/>
      <c r="GR21" s="88"/>
      <c r="GS21" s="87">
        <v>0</v>
      </c>
      <c r="GT21" s="41"/>
      <c r="GU21" s="41"/>
      <c r="GV21" s="41"/>
      <c r="GW21" s="88"/>
      <c r="GX21" s="301" t="str">
        <f t="shared" si="1"/>
        <v/>
      </c>
      <c r="GY21" s="301" t="str">
        <f t="shared" si="0"/>
        <v/>
      </c>
      <c r="GZ21" s="41" t="str">
        <f t="shared" si="2"/>
        <v/>
      </c>
      <c r="HA21" s="41" t="str">
        <f t="shared" si="3"/>
        <v/>
      </c>
      <c r="HB21" s="41">
        <f t="shared" si="4"/>
        <v>1</v>
      </c>
      <c r="HC21" s="41" t="str">
        <f t="shared" si="5"/>
        <v/>
      </c>
      <c r="HD21" s="41" t="str">
        <f t="shared" si="6"/>
        <v/>
      </c>
      <c r="HE21" s="88" t="str">
        <f t="shared" si="7"/>
        <v/>
      </c>
      <c r="HF21" s="524" t="s">
        <v>82</v>
      </c>
      <c r="HG21" s="41" t="s">
        <v>82</v>
      </c>
      <c r="HH21" s="41">
        <v>1</v>
      </c>
      <c r="HI21" s="41">
        <v>1</v>
      </c>
      <c r="HJ21" s="41" t="s">
        <v>82</v>
      </c>
      <c r="HK21" s="41">
        <v>1</v>
      </c>
      <c r="HL21" s="41" t="s">
        <v>82</v>
      </c>
      <c r="HM21" s="41">
        <v>1</v>
      </c>
      <c r="HN21" s="41">
        <v>1</v>
      </c>
      <c r="HO21" s="41" t="s">
        <v>82</v>
      </c>
      <c r="HP21" s="41" t="s">
        <v>82</v>
      </c>
      <c r="HQ21" s="41" t="s">
        <v>82</v>
      </c>
      <c r="HR21" s="41" t="s">
        <v>82</v>
      </c>
      <c r="HS21" s="41" t="s">
        <v>82</v>
      </c>
      <c r="HT21" s="41" t="s">
        <v>82</v>
      </c>
      <c r="HU21" s="41" t="s">
        <v>82</v>
      </c>
      <c r="HV21" s="41" t="s">
        <v>82</v>
      </c>
      <c r="HW21" s="41" t="s">
        <v>82</v>
      </c>
      <c r="HX21" s="41" t="s">
        <v>82</v>
      </c>
      <c r="HY21" s="41" t="s">
        <v>82</v>
      </c>
      <c r="HZ21" s="41" t="s">
        <v>82</v>
      </c>
      <c r="IA21" s="41" t="s">
        <v>82</v>
      </c>
      <c r="IB21" s="41" t="s">
        <v>82</v>
      </c>
      <c r="IC21" s="41" t="s">
        <v>82</v>
      </c>
      <c r="ID21" s="41" t="s">
        <v>82</v>
      </c>
      <c r="IE21" s="41" t="s">
        <v>82</v>
      </c>
      <c r="IF21" s="41" t="s">
        <v>82</v>
      </c>
      <c r="IG21" s="41" t="s">
        <v>82</v>
      </c>
      <c r="IH21" s="41" t="s">
        <v>82</v>
      </c>
      <c r="II21" s="88" t="s">
        <v>82</v>
      </c>
    </row>
    <row r="22" spans="1:243" s="89" customFormat="1" ht="69">
      <c r="A22" s="754"/>
      <c r="B22" s="138" t="s">
        <v>384</v>
      </c>
      <c r="C22" s="739"/>
      <c r="D22" s="98" t="s">
        <v>385</v>
      </c>
      <c r="E22" s="94" t="s">
        <v>65</v>
      </c>
      <c r="F22" s="133" t="s">
        <v>124</v>
      </c>
      <c r="G22" s="133" t="s">
        <v>65</v>
      </c>
      <c r="H22" s="62" t="s">
        <v>65</v>
      </c>
      <c r="I22" s="732"/>
      <c r="J22" s="127">
        <v>3.83</v>
      </c>
      <c r="K22" s="183">
        <v>2</v>
      </c>
      <c r="L22" s="129">
        <v>2012</v>
      </c>
      <c r="M22" s="101" t="s">
        <v>768</v>
      </c>
      <c r="N22" s="334" t="s">
        <v>265</v>
      </c>
      <c r="O22" s="334" t="s">
        <v>772</v>
      </c>
      <c r="P22" s="249" t="s">
        <v>265</v>
      </c>
      <c r="Q22" s="249"/>
      <c r="R22" s="249" t="s">
        <v>265</v>
      </c>
      <c r="S22" s="41" t="s">
        <v>265</v>
      </c>
      <c r="T22" s="41">
        <v>1</v>
      </c>
      <c r="U22" s="249" t="s">
        <v>368</v>
      </c>
      <c r="V22" s="249">
        <v>12</v>
      </c>
      <c r="W22" s="249" t="s">
        <v>265</v>
      </c>
      <c r="X22" s="249" t="s">
        <v>265</v>
      </c>
      <c r="Y22" s="249" t="s">
        <v>265</v>
      </c>
      <c r="Z22" s="249" t="s">
        <v>265</v>
      </c>
      <c r="AA22" s="249" t="s">
        <v>265</v>
      </c>
      <c r="AB22" s="249" t="s">
        <v>265</v>
      </c>
      <c r="AC22" s="249" t="s">
        <v>265</v>
      </c>
      <c r="AD22" s="249">
        <v>1.2</v>
      </c>
      <c r="AE22" s="249">
        <v>0.7</v>
      </c>
      <c r="AF22" s="249">
        <v>9.34</v>
      </c>
      <c r="AG22" s="249">
        <v>58</v>
      </c>
      <c r="AH22" s="249">
        <v>500</v>
      </c>
      <c r="AI22" s="249">
        <v>2</v>
      </c>
      <c r="AJ22" s="249">
        <v>1</v>
      </c>
      <c r="AK22" s="91">
        <v>12</v>
      </c>
      <c r="AL22" s="477"/>
      <c r="AM22" s="41">
        <v>7</v>
      </c>
      <c r="AN22" s="249">
        <v>7</v>
      </c>
      <c r="AO22" s="249"/>
      <c r="AP22" s="249">
        <f t="shared" si="8"/>
        <v>7</v>
      </c>
      <c r="AQ22" s="518">
        <f t="shared" si="9"/>
        <v>49</v>
      </c>
      <c r="AR22" s="88" t="s">
        <v>381</v>
      </c>
      <c r="AS22" s="334">
        <v>1.98</v>
      </c>
      <c r="AT22" s="334">
        <v>3.8</v>
      </c>
      <c r="AU22" s="334">
        <f>0.377+0.4</f>
        <v>0.77700000000000002</v>
      </c>
      <c r="AV22" s="334" t="s">
        <v>265</v>
      </c>
      <c r="AW22" s="334">
        <v>11.3</v>
      </c>
      <c r="AX22" s="334" t="s">
        <v>265</v>
      </c>
      <c r="AY22" s="249" t="s">
        <v>265</v>
      </c>
      <c r="AZ22" s="122">
        <f>SUM(AU22:AY22)</f>
        <v>12.077</v>
      </c>
      <c r="BA22" s="477">
        <v>0.95</v>
      </c>
      <c r="BB22" s="477">
        <v>0.65</v>
      </c>
      <c r="BC22" s="249">
        <v>0.02</v>
      </c>
      <c r="BD22" s="249" t="s">
        <v>265</v>
      </c>
      <c r="BE22" s="249" t="s">
        <v>265</v>
      </c>
      <c r="BF22" s="249" t="s">
        <v>265</v>
      </c>
      <c r="BG22" s="249" t="s">
        <v>265</v>
      </c>
      <c r="BH22" s="249" t="s">
        <v>265</v>
      </c>
      <c r="BI22" s="249" t="s">
        <v>265</v>
      </c>
      <c r="BJ22" s="249" t="s">
        <v>265</v>
      </c>
      <c r="BK22" s="249" t="s">
        <v>265</v>
      </c>
      <c r="BL22" s="122">
        <f>IF(AZ22="N.S","N.S",3*(AZ22*BL1+0.001*IF(BB22="N.S",0,BB22*(1-BL1))))</f>
        <v>0.36424050000000002</v>
      </c>
      <c r="BM22" s="520" t="s">
        <v>265</v>
      </c>
      <c r="BN22" s="656" t="str">
        <f t="shared" si="10"/>
        <v>N.S</v>
      </c>
      <c r="BO22" s="283">
        <f t="shared" si="11"/>
        <v>2059.0790974644497</v>
      </c>
      <c r="BP22" s="481" t="s">
        <v>329</v>
      </c>
      <c r="BQ22" s="249">
        <v>32</v>
      </c>
      <c r="BR22" s="249">
        <v>48</v>
      </c>
      <c r="BS22" s="249" t="s">
        <v>265</v>
      </c>
      <c r="BT22" s="249">
        <v>32</v>
      </c>
      <c r="BU22" s="249">
        <v>256</v>
      </c>
      <c r="BV22" s="249" t="s">
        <v>265</v>
      </c>
      <c r="BW22" s="98" t="s">
        <v>776</v>
      </c>
      <c r="BX22" s="338" t="s">
        <v>265</v>
      </c>
      <c r="BY22" s="41" t="s">
        <v>775</v>
      </c>
      <c r="BZ22" s="353" t="s">
        <v>773</v>
      </c>
      <c r="CA22" s="334" t="s">
        <v>265</v>
      </c>
      <c r="CB22" s="91" t="s">
        <v>265</v>
      </c>
      <c r="CC22" s="484" t="s">
        <v>82</v>
      </c>
      <c r="CD22" s="249" t="s">
        <v>265</v>
      </c>
      <c r="CE22" s="249" t="s">
        <v>265</v>
      </c>
      <c r="CF22" s="249" t="s">
        <v>265</v>
      </c>
      <c r="CG22" s="249" t="s">
        <v>265</v>
      </c>
      <c r="CH22" s="91" t="s">
        <v>265</v>
      </c>
      <c r="CI22" s="657">
        <v>2</v>
      </c>
      <c r="CJ22" s="658"/>
      <c r="CK22" s="659">
        <v>163</v>
      </c>
      <c r="CL22" s="484" t="s">
        <v>265</v>
      </c>
      <c r="CM22" s="89" t="s">
        <v>786</v>
      </c>
      <c r="CN22" s="477"/>
      <c r="CO22" s="183">
        <v>1</v>
      </c>
      <c r="CP22" s="127"/>
      <c r="CQ22" s="127"/>
      <c r="CR22" s="183"/>
      <c r="CS22" s="129"/>
      <c r="CT22" s="184">
        <v>0</v>
      </c>
      <c r="CU22" s="127"/>
      <c r="CV22" s="127"/>
      <c r="CW22" s="183"/>
      <c r="CX22" s="129"/>
      <c r="CY22" s="87">
        <v>0</v>
      </c>
      <c r="CZ22" s="41">
        <v>0</v>
      </c>
      <c r="DA22" s="41"/>
      <c r="DB22" s="41"/>
      <c r="DC22" s="41"/>
      <c r="DD22" s="41"/>
      <c r="DE22" s="41"/>
      <c r="DF22" s="41"/>
      <c r="DG22" s="41"/>
      <c r="DH22" s="41"/>
      <c r="DI22" s="123"/>
      <c r="DJ22" s="87">
        <v>0</v>
      </c>
      <c r="DK22" s="41">
        <v>0</v>
      </c>
      <c r="DL22" s="41"/>
      <c r="DM22" s="41"/>
      <c r="DN22" s="41"/>
      <c r="DO22" s="41"/>
      <c r="DP22" s="41"/>
      <c r="DQ22" s="41"/>
      <c r="DR22" s="41"/>
      <c r="DS22" s="41"/>
      <c r="DT22" s="88"/>
      <c r="DU22" s="87">
        <v>0</v>
      </c>
      <c r="DV22" s="41">
        <v>0</v>
      </c>
      <c r="DW22" s="41"/>
      <c r="DX22" s="41"/>
      <c r="DY22" s="41"/>
      <c r="DZ22" s="41"/>
      <c r="EA22" s="41"/>
      <c r="EB22" s="41"/>
      <c r="EC22" s="41"/>
      <c r="ED22" s="41"/>
      <c r="EE22" s="123"/>
      <c r="EF22" s="87">
        <v>0</v>
      </c>
      <c r="EG22" s="41"/>
      <c r="EH22" s="41"/>
      <c r="EI22" s="41"/>
      <c r="EJ22" s="88"/>
      <c r="EK22" s="87">
        <v>0</v>
      </c>
      <c r="EL22" s="41"/>
      <c r="EM22" s="41"/>
      <c r="EN22" s="41"/>
      <c r="EO22" s="88"/>
      <c r="EP22" s="87">
        <v>0</v>
      </c>
      <c r="EQ22" s="41"/>
      <c r="ER22" s="41"/>
      <c r="ES22" s="41"/>
      <c r="ET22" s="88"/>
      <c r="EU22" s="87">
        <v>0</v>
      </c>
      <c r="EV22" s="41"/>
      <c r="EW22" s="41"/>
      <c r="EX22" s="41"/>
      <c r="EY22" s="88"/>
      <c r="EZ22" s="87">
        <v>0</v>
      </c>
      <c r="FA22" s="41"/>
      <c r="FB22" s="41"/>
      <c r="FC22" s="41"/>
      <c r="FD22" s="88"/>
      <c r="FE22" s="87">
        <v>0</v>
      </c>
      <c r="FF22" s="127"/>
      <c r="FG22" s="127"/>
      <c r="FH22" s="127"/>
      <c r="FI22" s="123"/>
      <c r="FJ22" s="87">
        <v>0</v>
      </c>
      <c r="FK22" s="41"/>
      <c r="FL22" s="41"/>
      <c r="FM22" s="41"/>
      <c r="FN22" s="88"/>
      <c r="FO22" s="87">
        <v>0</v>
      </c>
      <c r="FP22" s="41"/>
      <c r="FQ22" s="41"/>
      <c r="FR22" s="41"/>
      <c r="FS22" s="88"/>
      <c r="FT22" s="87">
        <v>0</v>
      </c>
      <c r="FU22" s="41"/>
      <c r="FV22" s="41"/>
      <c r="FW22" s="41"/>
      <c r="FX22" s="88"/>
      <c r="FY22" s="87">
        <v>0</v>
      </c>
      <c r="FZ22" s="41"/>
      <c r="GA22" s="41"/>
      <c r="GB22" s="41"/>
      <c r="GC22" s="88"/>
      <c r="GD22" s="87">
        <v>0</v>
      </c>
      <c r="GE22" s="41"/>
      <c r="GF22" s="41"/>
      <c r="GG22" s="41"/>
      <c r="GH22" s="88"/>
      <c r="GI22" s="87">
        <v>1</v>
      </c>
      <c r="GJ22" s="41"/>
      <c r="GK22" s="127"/>
      <c r="GL22" s="41"/>
      <c r="GM22" s="88"/>
      <c r="GN22" s="87">
        <v>0</v>
      </c>
      <c r="GO22" s="41"/>
      <c r="GP22" s="41"/>
      <c r="GQ22" s="41"/>
      <c r="GR22" s="88"/>
      <c r="GS22" s="87">
        <v>0</v>
      </c>
      <c r="GT22" s="41"/>
      <c r="GU22" s="41"/>
      <c r="GV22" s="41"/>
      <c r="GW22" s="88"/>
      <c r="GX22" s="301" t="str">
        <f t="shared" si="1"/>
        <v/>
      </c>
      <c r="GY22" s="301" t="str">
        <f t="shared" si="0"/>
        <v/>
      </c>
      <c r="GZ22" s="41" t="str">
        <f t="shared" si="2"/>
        <v/>
      </c>
      <c r="HA22" s="41" t="str">
        <f t="shared" si="3"/>
        <v/>
      </c>
      <c r="HB22" s="41" t="str">
        <f t="shared" si="4"/>
        <v/>
      </c>
      <c r="HC22" s="41" t="str">
        <f t="shared" si="5"/>
        <v/>
      </c>
      <c r="HD22" s="41" t="str">
        <f t="shared" si="6"/>
        <v/>
      </c>
      <c r="HE22" s="88" t="str">
        <f t="shared" si="7"/>
        <v/>
      </c>
      <c r="HF22" s="524" t="s">
        <v>82</v>
      </c>
      <c r="HG22" s="41" t="s">
        <v>82</v>
      </c>
      <c r="HH22" s="41">
        <v>1</v>
      </c>
      <c r="HI22" s="41">
        <v>1</v>
      </c>
      <c r="HJ22" s="41" t="s">
        <v>82</v>
      </c>
      <c r="HK22" s="41">
        <v>1</v>
      </c>
      <c r="HL22" s="41" t="s">
        <v>82</v>
      </c>
      <c r="HM22" s="41">
        <v>1</v>
      </c>
      <c r="HN22" s="41" t="s">
        <v>82</v>
      </c>
      <c r="HO22" s="41">
        <v>1</v>
      </c>
      <c r="HP22" s="41" t="s">
        <v>82</v>
      </c>
      <c r="HQ22" s="41" t="s">
        <v>82</v>
      </c>
      <c r="HR22" s="41" t="s">
        <v>82</v>
      </c>
      <c r="HS22" s="41" t="s">
        <v>82</v>
      </c>
      <c r="HT22" s="41" t="s">
        <v>82</v>
      </c>
      <c r="HU22" s="41" t="s">
        <v>82</v>
      </c>
      <c r="HV22" s="41" t="s">
        <v>82</v>
      </c>
      <c r="HW22" s="41" t="s">
        <v>82</v>
      </c>
      <c r="HX22" s="41" t="s">
        <v>82</v>
      </c>
      <c r="HY22" s="41" t="s">
        <v>82</v>
      </c>
      <c r="HZ22" s="41" t="s">
        <v>82</v>
      </c>
      <c r="IA22" s="41" t="s">
        <v>82</v>
      </c>
      <c r="IB22" s="41" t="s">
        <v>82</v>
      </c>
      <c r="IC22" s="41" t="s">
        <v>82</v>
      </c>
      <c r="ID22" s="41" t="s">
        <v>82</v>
      </c>
      <c r="IE22" s="41" t="s">
        <v>82</v>
      </c>
      <c r="IF22" s="41" t="s">
        <v>82</v>
      </c>
      <c r="IG22" s="41" t="s">
        <v>82</v>
      </c>
      <c r="IH22" s="41" t="s">
        <v>82</v>
      </c>
      <c r="II22" s="88" t="s">
        <v>82</v>
      </c>
    </row>
    <row r="23" spans="1:243" s="89" customFormat="1" ht="55.2">
      <c r="A23" s="754"/>
      <c r="B23" s="138" t="s">
        <v>386</v>
      </c>
      <c r="C23" s="739"/>
      <c r="D23" s="98" t="s">
        <v>387</v>
      </c>
      <c r="E23" s="332" t="s">
        <v>65</v>
      </c>
      <c r="F23" s="133" t="s">
        <v>124</v>
      </c>
      <c r="G23" s="133" t="s">
        <v>65</v>
      </c>
      <c r="H23" s="62" t="s">
        <v>65</v>
      </c>
      <c r="I23" s="62" t="s">
        <v>65</v>
      </c>
      <c r="J23" s="127">
        <v>7</v>
      </c>
      <c r="K23" s="183" t="s">
        <v>265</v>
      </c>
      <c r="L23" s="129" t="s">
        <v>265</v>
      </c>
      <c r="M23" s="101" t="s">
        <v>783</v>
      </c>
      <c r="N23" s="334" t="s">
        <v>265</v>
      </c>
      <c r="O23" s="334" t="s">
        <v>772</v>
      </c>
      <c r="P23" s="249" t="s">
        <v>265</v>
      </c>
      <c r="Q23" s="249"/>
      <c r="R23" s="249" t="s">
        <v>784</v>
      </c>
      <c r="S23" s="41" t="s">
        <v>265</v>
      </c>
      <c r="T23" s="41">
        <v>2</v>
      </c>
      <c r="U23" s="249" t="s">
        <v>368</v>
      </c>
      <c r="V23" s="249">
        <v>13</v>
      </c>
      <c r="W23" s="249" t="s">
        <v>265</v>
      </c>
      <c r="X23" s="249" t="s">
        <v>265</v>
      </c>
      <c r="Y23" s="249" t="s">
        <v>265</v>
      </c>
      <c r="Z23" s="249" t="s">
        <v>265</v>
      </c>
      <c r="AA23" s="249" t="s">
        <v>265</v>
      </c>
      <c r="AB23" s="249" t="s">
        <v>265</v>
      </c>
      <c r="AC23" s="249" t="s">
        <v>265</v>
      </c>
      <c r="AD23" s="249">
        <v>1.2</v>
      </c>
      <c r="AE23" s="249">
        <v>0.7</v>
      </c>
      <c r="AF23" s="249">
        <v>9.34</v>
      </c>
      <c r="AG23" s="249">
        <v>58</v>
      </c>
      <c r="AH23" s="249">
        <v>500</v>
      </c>
      <c r="AI23" s="249">
        <v>2</v>
      </c>
      <c r="AJ23" s="249">
        <v>1</v>
      </c>
      <c r="AK23" s="91">
        <v>12</v>
      </c>
      <c r="AL23" s="477"/>
      <c r="AM23" s="41">
        <v>7.93</v>
      </c>
      <c r="AN23" s="249">
        <v>7.93</v>
      </c>
      <c r="AO23" s="249"/>
      <c r="AP23" s="249">
        <f t="shared" si="8"/>
        <v>7.93</v>
      </c>
      <c r="AQ23" s="518">
        <f t="shared" si="9"/>
        <v>62.884899999999995</v>
      </c>
      <c r="AR23" s="88" t="s">
        <v>780</v>
      </c>
      <c r="AS23" s="334">
        <v>1.98</v>
      </c>
      <c r="AT23" s="334">
        <v>3.8</v>
      </c>
      <c r="AU23" s="334">
        <f>0.35+0.4</f>
        <v>0.75</v>
      </c>
      <c r="AV23" s="334" t="s">
        <v>265</v>
      </c>
      <c r="AW23" s="334">
        <v>11.3</v>
      </c>
      <c r="AX23" s="334">
        <v>13</v>
      </c>
      <c r="AY23" s="249">
        <v>18</v>
      </c>
      <c r="AZ23" s="122">
        <f>SUM(AU23:AY23)</f>
        <v>43.05</v>
      </c>
      <c r="BA23" s="477">
        <v>1.7</v>
      </c>
      <c r="BB23" s="477">
        <v>0.65</v>
      </c>
      <c r="BC23" s="249">
        <v>0.02</v>
      </c>
      <c r="BD23" s="249" t="s">
        <v>265</v>
      </c>
      <c r="BE23" s="249" t="s">
        <v>265</v>
      </c>
      <c r="BF23" s="249" t="s">
        <v>265</v>
      </c>
      <c r="BG23" s="249" t="s">
        <v>265</v>
      </c>
      <c r="BH23" s="249" t="s">
        <v>265</v>
      </c>
      <c r="BI23" s="249" t="s">
        <v>265</v>
      </c>
      <c r="BJ23" s="249" t="s">
        <v>265</v>
      </c>
      <c r="BK23" s="249" t="s">
        <v>265</v>
      </c>
      <c r="BL23" s="122">
        <f>IF(AZ23="N.S","N.S",3*(AZ23*BL1+0.001*IF(BB23="N.S",0,BB23*(1-BL1))))</f>
        <v>1.2934304999999999</v>
      </c>
      <c r="BM23" s="520" t="s">
        <v>265</v>
      </c>
      <c r="BN23" s="656" t="str">
        <f t="shared" si="10"/>
        <v>N.S</v>
      </c>
      <c r="BO23" s="283">
        <f t="shared" si="11"/>
        <v>579.85334349236393</v>
      </c>
      <c r="BP23" s="481" t="s">
        <v>777</v>
      </c>
      <c r="BQ23" s="249">
        <v>32</v>
      </c>
      <c r="BR23" s="249">
        <v>48</v>
      </c>
      <c r="BS23" s="249" t="s">
        <v>265</v>
      </c>
      <c r="BT23" s="249">
        <v>32</v>
      </c>
      <c r="BU23" s="249">
        <v>256</v>
      </c>
      <c r="BV23" s="249" t="s">
        <v>265</v>
      </c>
      <c r="BW23" s="98" t="s">
        <v>785</v>
      </c>
      <c r="BX23" s="338">
        <v>1000000</v>
      </c>
      <c r="BY23" s="41" t="s">
        <v>775</v>
      </c>
      <c r="BZ23" s="353" t="s">
        <v>778</v>
      </c>
      <c r="CA23" s="334" t="s">
        <v>265</v>
      </c>
      <c r="CB23" s="91" t="s">
        <v>265</v>
      </c>
      <c r="CC23" s="484" t="s">
        <v>84</v>
      </c>
      <c r="CD23" s="98" t="s">
        <v>779</v>
      </c>
      <c r="CE23" s="98" t="s">
        <v>782</v>
      </c>
      <c r="CF23" s="249" t="s">
        <v>781</v>
      </c>
      <c r="CG23" s="249">
        <v>-132</v>
      </c>
      <c r="CH23" s="91">
        <v>20</v>
      </c>
      <c r="CI23" s="657">
        <v>2</v>
      </c>
      <c r="CJ23" s="658"/>
      <c r="CK23" s="659">
        <v>163</v>
      </c>
      <c r="CL23" s="484" t="s">
        <v>265</v>
      </c>
      <c r="CM23" s="89" t="s">
        <v>786</v>
      </c>
      <c r="CN23" s="477"/>
      <c r="CO23" s="183">
        <v>1</v>
      </c>
      <c r="CP23" s="127"/>
      <c r="CQ23" s="127"/>
      <c r="CR23" s="183"/>
      <c r="CS23" s="129"/>
      <c r="CT23" s="184">
        <v>0</v>
      </c>
      <c r="CU23" s="127"/>
      <c r="CV23" s="127"/>
      <c r="CW23" s="183"/>
      <c r="CX23" s="129"/>
      <c r="CY23" s="87">
        <v>0</v>
      </c>
      <c r="CZ23" s="41">
        <v>0</v>
      </c>
      <c r="DA23" s="41"/>
      <c r="DB23" s="41"/>
      <c r="DC23" s="41"/>
      <c r="DD23" s="41"/>
      <c r="DE23" s="41"/>
      <c r="DF23" s="41"/>
      <c r="DG23" s="41"/>
      <c r="DH23" s="41"/>
      <c r="DI23" s="123"/>
      <c r="DJ23" s="87">
        <v>0</v>
      </c>
      <c r="DK23" s="41">
        <v>0</v>
      </c>
      <c r="DL23" s="41"/>
      <c r="DM23" s="41"/>
      <c r="DN23" s="41"/>
      <c r="DO23" s="41"/>
      <c r="DP23" s="41"/>
      <c r="DQ23" s="41"/>
      <c r="DR23" s="41"/>
      <c r="DS23" s="41"/>
      <c r="DT23" s="88"/>
      <c r="DU23" s="87">
        <v>0</v>
      </c>
      <c r="DV23" s="41">
        <v>0</v>
      </c>
      <c r="DW23" s="41"/>
      <c r="DX23" s="41"/>
      <c r="DY23" s="41"/>
      <c r="DZ23" s="41"/>
      <c r="EA23" s="41"/>
      <c r="EB23" s="41"/>
      <c r="EC23" s="41"/>
      <c r="ED23" s="41"/>
      <c r="EE23" s="123"/>
      <c r="EF23" s="87">
        <v>0</v>
      </c>
      <c r="EG23" s="41"/>
      <c r="EH23" s="41"/>
      <c r="EI23" s="41"/>
      <c r="EJ23" s="88"/>
      <c r="EK23" s="87">
        <v>0</v>
      </c>
      <c r="EL23" s="41"/>
      <c r="EM23" s="41"/>
      <c r="EN23" s="41"/>
      <c r="EO23" s="88"/>
      <c r="EP23" s="87">
        <v>0</v>
      </c>
      <c r="EQ23" s="41"/>
      <c r="ER23" s="41"/>
      <c r="ES23" s="41"/>
      <c r="ET23" s="88"/>
      <c r="EU23" s="87">
        <v>0</v>
      </c>
      <c r="EV23" s="41"/>
      <c r="EW23" s="41"/>
      <c r="EX23" s="41"/>
      <c r="EY23" s="88"/>
      <c r="EZ23" s="87">
        <v>0</v>
      </c>
      <c r="FA23" s="41"/>
      <c r="FB23" s="41"/>
      <c r="FC23" s="41"/>
      <c r="FD23" s="88"/>
      <c r="FE23" s="87">
        <v>0</v>
      </c>
      <c r="FF23" s="127"/>
      <c r="FG23" s="127"/>
      <c r="FH23" s="127"/>
      <c r="FI23" s="123"/>
      <c r="FJ23" s="87">
        <v>0</v>
      </c>
      <c r="FK23" s="41"/>
      <c r="FL23" s="41"/>
      <c r="FM23" s="41"/>
      <c r="FN23" s="88"/>
      <c r="FO23" s="87">
        <v>0</v>
      </c>
      <c r="FP23" s="41"/>
      <c r="FQ23" s="41"/>
      <c r="FR23" s="41"/>
      <c r="FS23" s="88"/>
      <c r="FT23" s="87">
        <v>0</v>
      </c>
      <c r="FU23" s="41"/>
      <c r="FV23" s="41"/>
      <c r="FW23" s="41"/>
      <c r="FX23" s="88"/>
      <c r="FY23" s="87">
        <v>0</v>
      </c>
      <c r="FZ23" s="41"/>
      <c r="GA23" s="41"/>
      <c r="GB23" s="41"/>
      <c r="GC23" s="88"/>
      <c r="GD23" s="87">
        <v>0</v>
      </c>
      <c r="GE23" s="41"/>
      <c r="GF23" s="41"/>
      <c r="GG23" s="41"/>
      <c r="GH23" s="88"/>
      <c r="GI23" s="87">
        <v>0</v>
      </c>
      <c r="GJ23" s="41"/>
      <c r="GK23" s="127"/>
      <c r="GL23" s="41"/>
      <c r="GM23" s="88"/>
      <c r="GN23" s="87">
        <v>0</v>
      </c>
      <c r="GO23" s="41"/>
      <c r="GP23" s="41"/>
      <c r="GQ23" s="41"/>
      <c r="GR23" s="88"/>
      <c r="GS23" s="87">
        <v>0</v>
      </c>
      <c r="GT23" s="41"/>
      <c r="GU23" s="41"/>
      <c r="GV23" s="41"/>
      <c r="GW23" s="88"/>
      <c r="GX23" s="301">
        <f t="shared" si="1"/>
        <v>1</v>
      </c>
      <c r="GY23" s="301" t="str">
        <f t="shared" si="0"/>
        <v/>
      </c>
      <c r="GZ23" s="41" t="str">
        <f t="shared" si="2"/>
        <v/>
      </c>
      <c r="HA23" s="41" t="str">
        <f t="shared" si="3"/>
        <v/>
      </c>
      <c r="HB23" s="41" t="str">
        <f t="shared" si="4"/>
        <v/>
      </c>
      <c r="HC23" s="41" t="str">
        <f t="shared" si="5"/>
        <v/>
      </c>
      <c r="HD23" s="41" t="str">
        <f t="shared" si="6"/>
        <v/>
      </c>
      <c r="HE23" s="88" t="str">
        <f t="shared" si="7"/>
        <v/>
      </c>
      <c r="HF23" s="524" t="s">
        <v>82</v>
      </c>
      <c r="HG23" s="41" t="s">
        <v>82</v>
      </c>
      <c r="HH23" s="41" t="s">
        <v>82</v>
      </c>
      <c r="HI23" s="41">
        <v>1</v>
      </c>
      <c r="HJ23" s="41" t="s">
        <v>82</v>
      </c>
      <c r="HK23" s="41">
        <v>1</v>
      </c>
      <c r="HL23" s="41">
        <v>1</v>
      </c>
      <c r="HM23" s="41">
        <v>1</v>
      </c>
      <c r="HN23" s="41" t="s">
        <v>82</v>
      </c>
      <c r="HO23" s="41" t="s">
        <v>82</v>
      </c>
      <c r="HP23" s="41" t="s">
        <v>82</v>
      </c>
      <c r="HQ23" s="41" t="s">
        <v>82</v>
      </c>
      <c r="HR23" s="41" t="s">
        <v>82</v>
      </c>
      <c r="HS23" s="41" t="s">
        <v>82</v>
      </c>
      <c r="HT23" s="41" t="s">
        <v>82</v>
      </c>
      <c r="HU23" s="41" t="s">
        <v>82</v>
      </c>
      <c r="HV23" s="41" t="s">
        <v>82</v>
      </c>
      <c r="HW23" s="41" t="s">
        <v>82</v>
      </c>
      <c r="HX23" s="41" t="s">
        <v>82</v>
      </c>
      <c r="HY23" s="41" t="s">
        <v>82</v>
      </c>
      <c r="HZ23" s="41" t="s">
        <v>82</v>
      </c>
      <c r="IA23" s="41" t="s">
        <v>82</v>
      </c>
      <c r="IB23" s="41" t="s">
        <v>82</v>
      </c>
      <c r="IC23" s="41" t="s">
        <v>82</v>
      </c>
      <c r="ID23" s="41" t="s">
        <v>82</v>
      </c>
      <c r="IE23" s="41" t="s">
        <v>82</v>
      </c>
      <c r="IF23" s="41" t="s">
        <v>82</v>
      </c>
      <c r="IG23" s="41" t="s">
        <v>82</v>
      </c>
      <c r="IH23" s="41" t="s">
        <v>82</v>
      </c>
      <c r="II23" s="88" t="s">
        <v>82</v>
      </c>
    </row>
    <row r="24" spans="1:243" s="89" customFormat="1" ht="14.25" customHeight="1">
      <c r="A24" s="754"/>
      <c r="B24" s="568" t="s">
        <v>265</v>
      </c>
      <c r="C24" s="740"/>
      <c r="D24" s="98" t="s">
        <v>265</v>
      </c>
      <c r="E24" s="62" t="s">
        <v>65</v>
      </c>
      <c r="F24" s="62" t="s">
        <v>65</v>
      </c>
      <c r="G24" s="62" t="s">
        <v>65</v>
      </c>
      <c r="H24" s="62" t="s">
        <v>65</v>
      </c>
      <c r="I24" s="62" t="s">
        <v>65</v>
      </c>
      <c r="J24" s="183" t="s">
        <v>265</v>
      </c>
      <c r="K24" s="183" t="s">
        <v>265</v>
      </c>
      <c r="L24" s="129" t="s">
        <v>265</v>
      </c>
      <c r="M24" s="334" t="s">
        <v>265</v>
      </c>
      <c r="N24" s="334" t="s">
        <v>265</v>
      </c>
      <c r="O24" s="334" t="s">
        <v>265</v>
      </c>
      <c r="P24" s="249" t="s">
        <v>265</v>
      </c>
      <c r="Q24" s="249"/>
      <c r="R24" s="249" t="s">
        <v>265</v>
      </c>
      <c r="S24" s="41" t="s">
        <v>265</v>
      </c>
      <c r="T24" s="41" t="s">
        <v>265</v>
      </c>
      <c r="U24" s="249" t="s">
        <v>265</v>
      </c>
      <c r="V24" s="249" t="s">
        <v>265</v>
      </c>
      <c r="W24" s="249" t="s">
        <v>265</v>
      </c>
      <c r="X24" s="249" t="s">
        <v>265</v>
      </c>
      <c r="Y24" s="249" t="s">
        <v>265</v>
      </c>
      <c r="Z24" s="249" t="s">
        <v>265</v>
      </c>
      <c r="AA24" s="249" t="s">
        <v>265</v>
      </c>
      <c r="AB24" s="249" t="s">
        <v>265</v>
      </c>
      <c r="AC24" s="249" t="s">
        <v>265</v>
      </c>
      <c r="AD24" s="249" t="s">
        <v>265</v>
      </c>
      <c r="AE24" s="249" t="s">
        <v>265</v>
      </c>
      <c r="AF24" s="249" t="s">
        <v>265</v>
      </c>
      <c r="AG24" s="249" t="s">
        <v>265</v>
      </c>
      <c r="AH24" s="249" t="s">
        <v>265</v>
      </c>
      <c r="AI24" s="249" t="s">
        <v>265</v>
      </c>
      <c r="AJ24" s="249" t="s">
        <v>265</v>
      </c>
      <c r="AK24" s="91" t="s">
        <v>265</v>
      </c>
      <c r="AL24" s="477"/>
      <c r="AM24" s="249" t="s">
        <v>265</v>
      </c>
      <c r="AN24" s="249" t="s">
        <v>265</v>
      </c>
      <c r="AO24" s="249"/>
      <c r="AP24" s="249" t="str">
        <f t="shared" si="8"/>
        <v>N.S</v>
      </c>
      <c r="AQ24" s="249" t="str">
        <f t="shared" si="9"/>
        <v>N.S</v>
      </c>
      <c r="AR24" s="88" t="s">
        <v>265</v>
      </c>
      <c r="AS24" s="334" t="s">
        <v>265</v>
      </c>
      <c r="AT24" s="334" t="s">
        <v>265</v>
      </c>
      <c r="AU24" s="334" t="s">
        <v>265</v>
      </c>
      <c r="AV24" s="334" t="s">
        <v>265</v>
      </c>
      <c r="AW24" s="334" t="s">
        <v>265</v>
      </c>
      <c r="AX24" s="334" t="s">
        <v>265</v>
      </c>
      <c r="AY24" s="249" t="s">
        <v>265</v>
      </c>
      <c r="AZ24" s="122" t="s">
        <v>265</v>
      </c>
      <c r="BA24" s="334" t="s">
        <v>265</v>
      </c>
      <c r="BB24" s="334" t="s">
        <v>265</v>
      </c>
      <c r="BC24" s="249" t="s">
        <v>265</v>
      </c>
      <c r="BD24" s="249" t="s">
        <v>265</v>
      </c>
      <c r="BE24" s="249" t="s">
        <v>265</v>
      </c>
      <c r="BF24" s="249" t="s">
        <v>265</v>
      </c>
      <c r="BG24" s="249" t="s">
        <v>265</v>
      </c>
      <c r="BH24" s="249" t="s">
        <v>265</v>
      </c>
      <c r="BI24" s="249" t="s">
        <v>265</v>
      </c>
      <c r="BJ24" s="249" t="s">
        <v>265</v>
      </c>
      <c r="BK24" s="89" t="s">
        <v>265</v>
      </c>
      <c r="BL24" s="122" t="s">
        <v>265</v>
      </c>
      <c r="BM24" s="520" t="s">
        <v>265</v>
      </c>
      <c r="BN24" s="656" t="str">
        <f t="shared" si="10"/>
        <v>N.S</v>
      </c>
      <c r="BO24" s="283" t="str">
        <f t="shared" si="11"/>
        <v>N.S</v>
      </c>
      <c r="BP24" s="89" t="s">
        <v>265</v>
      </c>
      <c r="BQ24" s="249" t="s">
        <v>265</v>
      </c>
      <c r="BR24" s="89" t="s">
        <v>265</v>
      </c>
      <c r="BS24" s="249" t="s">
        <v>265</v>
      </c>
      <c r="BT24" s="89" t="s">
        <v>265</v>
      </c>
      <c r="BU24" s="249" t="s">
        <v>265</v>
      </c>
      <c r="BV24" s="249" t="s">
        <v>265</v>
      </c>
      <c r="BW24" s="249" t="s">
        <v>265</v>
      </c>
      <c r="BX24" s="338" t="s">
        <v>265</v>
      </c>
      <c r="BY24" s="41" t="s">
        <v>265</v>
      </c>
      <c r="BZ24" s="88" t="s">
        <v>265</v>
      </c>
      <c r="CA24" s="334" t="s">
        <v>265</v>
      </c>
      <c r="CB24" s="91" t="s">
        <v>265</v>
      </c>
      <c r="CC24" s="484" t="s">
        <v>265</v>
      </c>
      <c r="CD24" s="249" t="s">
        <v>265</v>
      </c>
      <c r="CE24" s="249" t="s">
        <v>265</v>
      </c>
      <c r="CF24" s="249" t="s">
        <v>265</v>
      </c>
      <c r="CG24" s="249" t="s">
        <v>265</v>
      </c>
      <c r="CH24" s="91" t="s">
        <v>265</v>
      </c>
      <c r="CI24" s="522" t="s">
        <v>265</v>
      </c>
      <c r="CJ24" s="122" t="s">
        <v>265</v>
      </c>
      <c r="CK24" s="523" t="s">
        <v>265</v>
      </c>
      <c r="CL24" s="484" t="s">
        <v>265</v>
      </c>
      <c r="CM24" s="89" t="s">
        <v>265</v>
      </c>
      <c r="CN24" s="477" t="s">
        <v>265</v>
      </c>
      <c r="CO24" s="183" t="s">
        <v>789</v>
      </c>
      <c r="CP24" s="127"/>
      <c r="CQ24" s="127"/>
      <c r="CR24" s="183"/>
      <c r="CS24" s="129"/>
      <c r="CT24" s="184">
        <v>0</v>
      </c>
      <c r="CU24" s="127"/>
      <c r="CV24" s="127"/>
      <c r="CW24" s="183"/>
      <c r="CX24" s="129"/>
      <c r="CY24" s="87">
        <v>0</v>
      </c>
      <c r="CZ24" s="41">
        <v>0</v>
      </c>
      <c r="DA24" s="41"/>
      <c r="DB24" s="41"/>
      <c r="DC24" s="41"/>
      <c r="DD24" s="41"/>
      <c r="DE24" s="41"/>
      <c r="DF24" s="41"/>
      <c r="DG24" s="41"/>
      <c r="DH24" s="41"/>
      <c r="DI24" s="123"/>
      <c r="DJ24" s="87">
        <v>0</v>
      </c>
      <c r="DK24" s="41">
        <v>0</v>
      </c>
      <c r="DL24" s="41"/>
      <c r="DM24" s="41"/>
      <c r="DN24" s="41"/>
      <c r="DO24" s="41"/>
      <c r="DP24" s="41"/>
      <c r="DQ24" s="41"/>
      <c r="DR24" s="41"/>
      <c r="DS24" s="41"/>
      <c r="DT24" s="88"/>
      <c r="DU24" s="87">
        <v>0</v>
      </c>
      <c r="DV24" s="41">
        <v>0</v>
      </c>
      <c r="DW24" s="41"/>
      <c r="DX24" s="41"/>
      <c r="DY24" s="41"/>
      <c r="DZ24" s="41"/>
      <c r="EA24" s="41"/>
      <c r="EB24" s="41"/>
      <c r="EC24" s="41"/>
      <c r="ED24" s="41"/>
      <c r="EE24" s="123"/>
      <c r="EF24" s="87">
        <v>0</v>
      </c>
      <c r="EG24" s="41"/>
      <c r="EH24" s="41"/>
      <c r="EI24" s="41"/>
      <c r="EJ24" s="88"/>
      <c r="EK24" s="87">
        <v>0</v>
      </c>
      <c r="EL24" s="41"/>
      <c r="EM24" s="41"/>
      <c r="EN24" s="41"/>
      <c r="EO24" s="88"/>
      <c r="EP24" s="87">
        <v>0</v>
      </c>
      <c r="EQ24" s="41"/>
      <c r="ER24" s="41"/>
      <c r="ES24" s="41"/>
      <c r="ET24" s="88"/>
      <c r="EU24" s="87">
        <v>0</v>
      </c>
      <c r="EV24" s="41"/>
      <c r="EW24" s="41"/>
      <c r="EX24" s="41"/>
      <c r="EY24" s="88"/>
      <c r="EZ24" s="87">
        <v>0</v>
      </c>
      <c r="FA24" s="41"/>
      <c r="FB24" s="41"/>
      <c r="FC24" s="41"/>
      <c r="FD24" s="88"/>
      <c r="FE24" s="87">
        <v>0</v>
      </c>
      <c r="FF24" s="127"/>
      <c r="FG24" s="127"/>
      <c r="FH24" s="127"/>
      <c r="FI24" s="123"/>
      <c r="FJ24" s="87">
        <v>0</v>
      </c>
      <c r="FK24" s="41"/>
      <c r="FL24" s="41"/>
      <c r="FM24" s="41"/>
      <c r="FN24" s="88"/>
      <c r="FO24" s="87">
        <v>0</v>
      </c>
      <c r="FP24" s="41"/>
      <c r="FQ24" s="41"/>
      <c r="FR24" s="41"/>
      <c r="FS24" s="88"/>
      <c r="FT24" s="87">
        <v>0</v>
      </c>
      <c r="FU24" s="41"/>
      <c r="FV24" s="41"/>
      <c r="FW24" s="41"/>
      <c r="FX24" s="88"/>
      <c r="FY24" s="87">
        <v>0</v>
      </c>
      <c r="FZ24" s="41"/>
      <c r="GA24" s="41"/>
      <c r="GB24" s="41"/>
      <c r="GC24" s="88"/>
      <c r="GD24" s="87">
        <v>0</v>
      </c>
      <c r="GE24" s="41"/>
      <c r="GF24" s="41"/>
      <c r="GG24" s="41"/>
      <c r="GH24" s="88"/>
      <c r="GI24" s="87">
        <v>0</v>
      </c>
      <c r="GJ24" s="41"/>
      <c r="GK24" s="127"/>
      <c r="GL24" s="41"/>
      <c r="GM24" s="88"/>
      <c r="GN24" s="87">
        <v>0</v>
      </c>
      <c r="GO24" s="41"/>
      <c r="GP24" s="41"/>
      <c r="GQ24" s="41"/>
      <c r="GR24" s="88"/>
      <c r="GS24" s="87">
        <v>0</v>
      </c>
      <c r="GT24" s="41"/>
      <c r="GU24" s="41"/>
      <c r="GV24" s="41"/>
      <c r="GW24" s="88"/>
      <c r="GX24" s="301" t="str">
        <f t="shared" si="1"/>
        <v/>
      </c>
      <c r="GY24" s="301" t="str">
        <f t="shared" si="0"/>
        <v/>
      </c>
      <c r="GZ24" s="41" t="str">
        <f t="shared" si="2"/>
        <v/>
      </c>
      <c r="HA24" s="41" t="str">
        <f t="shared" si="3"/>
        <v/>
      </c>
      <c r="HB24" s="41" t="str">
        <f t="shared" si="4"/>
        <v/>
      </c>
      <c r="HC24" s="41">
        <f t="shared" si="5"/>
        <v>1</v>
      </c>
      <c r="HD24" s="41" t="str">
        <f t="shared" si="6"/>
        <v/>
      </c>
      <c r="HE24" s="88" t="str">
        <f t="shared" si="7"/>
        <v/>
      </c>
      <c r="HF24" s="524" t="s">
        <v>82</v>
      </c>
      <c r="HG24" s="41" t="s">
        <v>82</v>
      </c>
      <c r="HH24" s="41" t="s">
        <v>82</v>
      </c>
      <c r="HI24" s="41" t="s">
        <v>82</v>
      </c>
      <c r="HJ24" s="41" t="s">
        <v>82</v>
      </c>
      <c r="HK24" s="41" t="s">
        <v>82</v>
      </c>
      <c r="HL24" s="41" t="s">
        <v>82</v>
      </c>
      <c r="HM24" s="41" t="s">
        <v>82</v>
      </c>
      <c r="HN24" s="41" t="s">
        <v>82</v>
      </c>
      <c r="HO24" s="41" t="s">
        <v>82</v>
      </c>
      <c r="HP24" s="41" t="s">
        <v>82</v>
      </c>
      <c r="HQ24" s="41" t="s">
        <v>82</v>
      </c>
      <c r="HR24" s="41" t="s">
        <v>82</v>
      </c>
      <c r="HS24" s="41" t="s">
        <v>82</v>
      </c>
      <c r="HT24" s="41" t="s">
        <v>82</v>
      </c>
      <c r="HU24" s="41" t="s">
        <v>82</v>
      </c>
      <c r="HV24" s="41" t="s">
        <v>82</v>
      </c>
      <c r="HW24" s="41" t="s">
        <v>82</v>
      </c>
      <c r="HX24" s="41" t="s">
        <v>82</v>
      </c>
      <c r="HY24" s="41" t="s">
        <v>82</v>
      </c>
      <c r="HZ24" s="41" t="s">
        <v>82</v>
      </c>
      <c r="IA24" s="41" t="s">
        <v>82</v>
      </c>
      <c r="IB24" s="41" t="s">
        <v>82</v>
      </c>
      <c r="IC24" s="41" t="s">
        <v>82</v>
      </c>
      <c r="ID24" s="41" t="s">
        <v>82</v>
      </c>
      <c r="IE24" s="41" t="s">
        <v>82</v>
      </c>
      <c r="IF24" s="41" t="s">
        <v>82</v>
      </c>
      <c r="IG24" s="41" t="s">
        <v>82</v>
      </c>
      <c r="IH24" s="41" t="s">
        <v>82</v>
      </c>
      <c r="II24" s="88" t="s">
        <v>82</v>
      </c>
    </row>
    <row r="25" spans="1:243" s="89" customFormat="1" ht="110.4">
      <c r="A25" s="754"/>
      <c r="B25" s="90" t="s">
        <v>393</v>
      </c>
      <c r="C25" s="772" t="s">
        <v>392</v>
      </c>
      <c r="D25" s="98" t="s">
        <v>200</v>
      </c>
      <c r="E25" s="133" t="s">
        <v>65</v>
      </c>
      <c r="F25" s="133" t="s">
        <v>124</v>
      </c>
      <c r="G25" s="133" t="s">
        <v>124</v>
      </c>
      <c r="H25" s="333" t="s">
        <v>65</v>
      </c>
      <c r="I25" s="62" t="s">
        <v>65</v>
      </c>
      <c r="J25" s="127">
        <v>11.15</v>
      </c>
      <c r="K25" s="183" t="s">
        <v>265</v>
      </c>
      <c r="L25" s="129" t="s">
        <v>265</v>
      </c>
      <c r="M25" s="101" t="s">
        <v>793</v>
      </c>
      <c r="N25" s="334" t="s">
        <v>265</v>
      </c>
      <c r="O25" s="334" t="s">
        <v>265</v>
      </c>
      <c r="P25" s="249" t="s">
        <v>265</v>
      </c>
      <c r="Q25" s="249"/>
      <c r="R25" s="249" t="s">
        <v>265</v>
      </c>
      <c r="S25" s="41" t="s">
        <v>265</v>
      </c>
      <c r="T25" s="41">
        <v>2</v>
      </c>
      <c r="U25" s="249" t="s">
        <v>790</v>
      </c>
      <c r="V25" s="249">
        <v>16</v>
      </c>
      <c r="W25" s="249" t="s">
        <v>265</v>
      </c>
      <c r="X25" s="249" t="s">
        <v>265</v>
      </c>
      <c r="Y25" s="249" t="s">
        <v>265</v>
      </c>
      <c r="Z25" s="249" t="s">
        <v>265</v>
      </c>
      <c r="AA25" s="249" t="s">
        <v>265</v>
      </c>
      <c r="AB25" s="249" t="s">
        <v>265</v>
      </c>
      <c r="AC25" s="249" t="s">
        <v>265</v>
      </c>
      <c r="AD25" s="249" t="s">
        <v>265</v>
      </c>
      <c r="AE25" s="249" t="s">
        <v>265</v>
      </c>
      <c r="AF25" s="249" t="s">
        <v>265</v>
      </c>
      <c r="AG25" s="249" t="s">
        <v>265</v>
      </c>
      <c r="AH25" s="249">
        <v>3.9</v>
      </c>
      <c r="AI25" s="249" t="s">
        <v>265</v>
      </c>
      <c r="AJ25" s="249">
        <v>2</v>
      </c>
      <c r="AK25" s="91">
        <v>10</v>
      </c>
      <c r="AL25" s="477"/>
      <c r="AM25" s="249" t="s">
        <v>265</v>
      </c>
      <c r="AN25" s="249" t="s">
        <v>265</v>
      </c>
      <c r="AO25" s="249"/>
      <c r="AP25" s="249" t="str">
        <f t="shared" si="8"/>
        <v>N.S</v>
      </c>
      <c r="AQ25" s="249" t="str">
        <f t="shared" si="9"/>
        <v>N.S</v>
      </c>
      <c r="AR25" s="88" t="s">
        <v>332</v>
      </c>
      <c r="AS25" s="334">
        <v>1.8</v>
      </c>
      <c r="AT25" s="334">
        <v>3.6</v>
      </c>
      <c r="AU25" s="334" t="s">
        <v>265</v>
      </c>
      <c r="AV25" s="334" t="s">
        <v>265</v>
      </c>
      <c r="AW25" s="334" t="s">
        <v>265</v>
      </c>
      <c r="AX25" s="334" t="s">
        <v>265</v>
      </c>
      <c r="AY25" s="249" t="s">
        <v>265</v>
      </c>
      <c r="AZ25" s="122">
        <v>60</v>
      </c>
      <c r="BA25" s="122">
        <v>12</v>
      </c>
      <c r="BB25" s="122" t="s">
        <v>265</v>
      </c>
      <c r="BC25" s="249">
        <v>0.9</v>
      </c>
      <c r="BD25" s="249" t="s">
        <v>265</v>
      </c>
      <c r="BE25" s="249" t="s">
        <v>265</v>
      </c>
      <c r="BF25" s="249" t="s">
        <v>265</v>
      </c>
      <c r="BG25" s="249" t="s">
        <v>265</v>
      </c>
      <c r="BH25" s="249" t="s">
        <v>265</v>
      </c>
      <c r="BI25" s="249" t="s">
        <v>265</v>
      </c>
      <c r="BJ25" s="249" t="s">
        <v>265</v>
      </c>
      <c r="BK25" s="249" t="s">
        <v>84</v>
      </c>
      <c r="BL25" s="122">
        <f>IF(AZ25="N.S","N.S",3*(AZ25*BL1+0.001*IF(BB25="N.S",0,BB25*(1-BL1))))</f>
        <v>1.7999999999999998</v>
      </c>
      <c r="BM25" s="520" t="s">
        <v>265</v>
      </c>
      <c r="BN25" s="656" t="str">
        <f t="shared" si="10"/>
        <v>N.S</v>
      </c>
      <c r="BO25" s="283">
        <f t="shared" si="11"/>
        <v>416.66666666666669</v>
      </c>
      <c r="BP25" s="481" t="s">
        <v>788</v>
      </c>
      <c r="BQ25" s="249">
        <v>32</v>
      </c>
      <c r="BR25" s="249">
        <v>200</v>
      </c>
      <c r="BS25" s="249" t="s">
        <v>265</v>
      </c>
      <c r="BT25" s="249">
        <f>512+4</f>
        <v>516</v>
      </c>
      <c r="BU25" s="249">
        <v>1000</v>
      </c>
      <c r="BV25" s="249" t="s">
        <v>265</v>
      </c>
      <c r="BW25" s="249" t="s">
        <v>791</v>
      </c>
      <c r="BX25" s="338" t="s">
        <v>265</v>
      </c>
      <c r="BY25" s="41" t="s">
        <v>265</v>
      </c>
      <c r="BZ25" s="353" t="s">
        <v>792</v>
      </c>
      <c r="CA25" s="334" t="s">
        <v>265</v>
      </c>
      <c r="CB25" s="91" t="s">
        <v>265</v>
      </c>
      <c r="CC25" s="484" t="s">
        <v>265</v>
      </c>
      <c r="CD25" s="249" t="s">
        <v>265</v>
      </c>
      <c r="CE25" s="249" t="s">
        <v>265</v>
      </c>
      <c r="CF25" s="249" t="s">
        <v>265</v>
      </c>
      <c r="CG25" s="249" t="s">
        <v>265</v>
      </c>
      <c r="CH25" s="91" t="s">
        <v>265</v>
      </c>
      <c r="CI25" s="522" t="s">
        <v>265</v>
      </c>
      <c r="CJ25" s="122" t="s">
        <v>265</v>
      </c>
      <c r="CK25" s="523" t="s">
        <v>265</v>
      </c>
      <c r="CL25" s="484" t="s">
        <v>787</v>
      </c>
      <c r="CN25" s="477"/>
      <c r="CO25" s="183">
        <v>1</v>
      </c>
      <c r="CP25" s="127"/>
      <c r="CQ25" s="127"/>
      <c r="CR25" s="183"/>
      <c r="CS25" s="129"/>
      <c r="CT25" s="184">
        <v>0</v>
      </c>
      <c r="CU25" s="127"/>
      <c r="CV25" s="127"/>
      <c r="CW25" s="183"/>
      <c r="CX25" s="129"/>
      <c r="CY25" s="87">
        <v>0</v>
      </c>
      <c r="CZ25" s="41">
        <v>0</v>
      </c>
      <c r="DA25" s="41"/>
      <c r="DB25" s="41"/>
      <c r="DC25" s="41"/>
      <c r="DD25" s="41"/>
      <c r="DE25" s="41"/>
      <c r="DF25" s="41"/>
      <c r="DG25" s="41"/>
      <c r="DH25" s="41"/>
      <c r="DI25" s="123"/>
      <c r="DJ25" s="87">
        <v>0</v>
      </c>
      <c r="DK25" s="41">
        <v>0</v>
      </c>
      <c r="DL25" s="41"/>
      <c r="DM25" s="41"/>
      <c r="DN25" s="41"/>
      <c r="DO25" s="41"/>
      <c r="DP25" s="41"/>
      <c r="DQ25" s="41"/>
      <c r="DR25" s="41"/>
      <c r="DS25" s="41"/>
      <c r="DT25" s="88"/>
      <c r="DU25" s="87">
        <v>0</v>
      </c>
      <c r="DV25" s="41">
        <v>0</v>
      </c>
      <c r="DW25" s="41"/>
      <c r="DX25" s="41"/>
      <c r="DY25" s="41"/>
      <c r="DZ25" s="41"/>
      <c r="EA25" s="41"/>
      <c r="EB25" s="41"/>
      <c r="EC25" s="41"/>
      <c r="ED25" s="41"/>
      <c r="EE25" s="123"/>
      <c r="EF25" s="87">
        <v>0</v>
      </c>
      <c r="EG25" s="41"/>
      <c r="EH25" s="41"/>
      <c r="EI25" s="41"/>
      <c r="EJ25" s="88"/>
      <c r="EK25" s="87">
        <v>0</v>
      </c>
      <c r="EL25" s="41"/>
      <c r="EM25" s="41"/>
      <c r="EN25" s="41"/>
      <c r="EO25" s="88"/>
      <c r="EP25" s="87">
        <v>0</v>
      </c>
      <c r="EQ25" s="41"/>
      <c r="ER25" s="41"/>
      <c r="ES25" s="41"/>
      <c r="ET25" s="88"/>
      <c r="EU25" s="87">
        <v>0</v>
      </c>
      <c r="EV25" s="41"/>
      <c r="EW25" s="41"/>
      <c r="EX25" s="41"/>
      <c r="EY25" s="88"/>
      <c r="EZ25" s="87">
        <v>0</v>
      </c>
      <c r="FA25" s="41"/>
      <c r="FB25" s="41"/>
      <c r="FC25" s="41"/>
      <c r="FD25" s="88"/>
      <c r="FE25" s="87">
        <v>1</v>
      </c>
      <c r="FF25" s="127"/>
      <c r="FG25" s="127"/>
      <c r="FH25" s="127"/>
      <c r="FI25" s="123"/>
      <c r="FJ25" s="87">
        <v>0</v>
      </c>
      <c r="FK25" s="41"/>
      <c r="FL25" s="41"/>
      <c r="FM25" s="41"/>
      <c r="FN25" s="88"/>
      <c r="FO25" s="87">
        <v>0</v>
      </c>
      <c r="FP25" s="41"/>
      <c r="FQ25" s="41"/>
      <c r="FR25" s="41"/>
      <c r="FS25" s="88"/>
      <c r="FT25" s="87">
        <v>0</v>
      </c>
      <c r="FU25" s="41"/>
      <c r="FV25" s="41"/>
      <c r="FW25" s="41"/>
      <c r="FX25" s="88"/>
      <c r="FY25" s="87">
        <v>0</v>
      </c>
      <c r="FZ25" s="41"/>
      <c r="GA25" s="41"/>
      <c r="GB25" s="41"/>
      <c r="GC25" s="88"/>
      <c r="GD25" s="87">
        <v>0</v>
      </c>
      <c r="GE25" s="41"/>
      <c r="GF25" s="41"/>
      <c r="GG25" s="41"/>
      <c r="GH25" s="88"/>
      <c r="GI25" s="87">
        <v>0</v>
      </c>
      <c r="GJ25" s="41"/>
      <c r="GK25" s="127"/>
      <c r="GL25" s="41"/>
      <c r="GM25" s="88"/>
      <c r="GN25" s="87">
        <v>0</v>
      </c>
      <c r="GO25" s="41"/>
      <c r="GP25" s="41"/>
      <c r="GQ25" s="41"/>
      <c r="GR25" s="88"/>
      <c r="GS25" s="87">
        <v>0</v>
      </c>
      <c r="GT25" s="41"/>
      <c r="GU25" s="41"/>
      <c r="GV25" s="41"/>
      <c r="GW25" s="88"/>
      <c r="GX25" s="301">
        <f t="shared" si="1"/>
        <v>1</v>
      </c>
      <c r="GY25" s="301" t="str">
        <f t="shared" si="0"/>
        <v/>
      </c>
      <c r="GZ25" s="41" t="str">
        <f t="shared" si="2"/>
        <v/>
      </c>
      <c r="HA25" s="41" t="str">
        <f t="shared" si="3"/>
        <v/>
      </c>
      <c r="HB25" s="41" t="str">
        <f t="shared" si="4"/>
        <v/>
      </c>
      <c r="HC25" s="41" t="str">
        <f t="shared" si="5"/>
        <v/>
      </c>
      <c r="HD25" s="41" t="str">
        <f t="shared" si="6"/>
        <v/>
      </c>
      <c r="HE25" s="88" t="str">
        <f t="shared" si="7"/>
        <v/>
      </c>
      <c r="HF25" s="524">
        <v>1</v>
      </c>
      <c r="HG25" s="41" t="s">
        <v>82</v>
      </c>
      <c r="HH25" s="41">
        <v>1</v>
      </c>
      <c r="HI25" s="41" t="s">
        <v>82</v>
      </c>
      <c r="HJ25" s="41" t="s">
        <v>82</v>
      </c>
      <c r="HK25" s="41" t="s">
        <v>82</v>
      </c>
      <c r="HL25" s="41">
        <v>1</v>
      </c>
      <c r="HM25" s="41">
        <v>1</v>
      </c>
      <c r="HN25" s="41">
        <v>1</v>
      </c>
      <c r="HO25" s="41" t="s">
        <v>82</v>
      </c>
      <c r="HP25" s="41">
        <v>1</v>
      </c>
      <c r="HQ25" s="41" t="s">
        <v>82</v>
      </c>
      <c r="HR25" s="41" t="s">
        <v>82</v>
      </c>
      <c r="HS25" s="41" t="s">
        <v>82</v>
      </c>
      <c r="HT25" s="41" t="s">
        <v>82</v>
      </c>
      <c r="HU25" s="41" t="s">
        <v>82</v>
      </c>
      <c r="HV25" s="41" t="s">
        <v>82</v>
      </c>
      <c r="HW25" s="41" t="s">
        <v>82</v>
      </c>
      <c r="HX25" s="41" t="s">
        <v>82</v>
      </c>
      <c r="HY25" s="41" t="s">
        <v>82</v>
      </c>
      <c r="HZ25" s="41" t="s">
        <v>82</v>
      </c>
      <c r="IA25" s="41" t="s">
        <v>82</v>
      </c>
      <c r="IB25" s="41" t="s">
        <v>82</v>
      </c>
      <c r="IC25" s="41" t="s">
        <v>82</v>
      </c>
      <c r="ID25" s="41" t="s">
        <v>82</v>
      </c>
      <c r="IE25" s="41" t="s">
        <v>82</v>
      </c>
      <c r="IF25" s="41" t="s">
        <v>82</v>
      </c>
      <c r="IG25" s="41" t="s">
        <v>82</v>
      </c>
      <c r="IH25" s="41">
        <v>1</v>
      </c>
      <c r="II25" s="88">
        <v>1</v>
      </c>
    </row>
    <row r="26" spans="1:243" s="89" customFormat="1" ht="69">
      <c r="A26" s="754"/>
      <c r="B26" s="90" t="s">
        <v>394</v>
      </c>
      <c r="C26" s="773"/>
      <c r="D26" s="98" t="s">
        <v>794</v>
      </c>
      <c r="E26" s="249" t="s">
        <v>65</v>
      </c>
      <c r="F26" s="133" t="s">
        <v>124</v>
      </c>
      <c r="G26" s="333" t="s">
        <v>65</v>
      </c>
      <c r="H26" s="62" t="s">
        <v>65</v>
      </c>
      <c r="I26" s="62" t="s">
        <v>65</v>
      </c>
      <c r="J26" s="127">
        <v>2.12</v>
      </c>
      <c r="K26" s="183" t="s">
        <v>265</v>
      </c>
      <c r="L26" s="129" t="s">
        <v>265</v>
      </c>
      <c r="M26" s="334" t="s">
        <v>265</v>
      </c>
      <c r="N26" s="334" t="s">
        <v>265</v>
      </c>
      <c r="O26" s="334" t="s">
        <v>265</v>
      </c>
      <c r="P26" s="249" t="s">
        <v>265</v>
      </c>
      <c r="Q26" s="249"/>
      <c r="R26" s="249" t="s">
        <v>265</v>
      </c>
      <c r="S26" s="41" t="s">
        <v>265</v>
      </c>
      <c r="T26" s="41" t="s">
        <v>265</v>
      </c>
      <c r="U26" s="249" t="s">
        <v>265</v>
      </c>
      <c r="V26" s="249" t="s">
        <v>265</v>
      </c>
      <c r="W26" s="249" t="s">
        <v>265</v>
      </c>
      <c r="X26" s="249" t="s">
        <v>265</v>
      </c>
      <c r="Y26" s="249" t="s">
        <v>265</v>
      </c>
      <c r="Z26" s="249" t="s">
        <v>265</v>
      </c>
      <c r="AA26" s="249" t="s">
        <v>265</v>
      </c>
      <c r="AB26" s="249" t="s">
        <v>265</v>
      </c>
      <c r="AC26" s="249" t="s">
        <v>265</v>
      </c>
      <c r="AD26" s="249" t="s">
        <v>265</v>
      </c>
      <c r="AE26" s="249" t="s">
        <v>265</v>
      </c>
      <c r="AF26" s="249" t="s">
        <v>265</v>
      </c>
      <c r="AG26" s="249" t="s">
        <v>265</v>
      </c>
      <c r="AH26" s="249" t="s">
        <v>265</v>
      </c>
      <c r="AI26" s="249" t="s">
        <v>265</v>
      </c>
      <c r="AJ26" s="249" t="s">
        <v>265</v>
      </c>
      <c r="AK26" s="91" t="s">
        <v>265</v>
      </c>
      <c r="AL26" s="477"/>
      <c r="AM26" s="249" t="s">
        <v>265</v>
      </c>
      <c r="AN26" s="249" t="s">
        <v>265</v>
      </c>
      <c r="AO26" s="249"/>
      <c r="AP26" s="249" t="str">
        <f t="shared" si="8"/>
        <v>N.S</v>
      </c>
      <c r="AQ26" s="249" t="str">
        <f t="shared" si="9"/>
        <v>N.S</v>
      </c>
      <c r="AR26" s="88" t="s">
        <v>265</v>
      </c>
      <c r="AS26" s="334" t="s">
        <v>265</v>
      </c>
      <c r="AT26" s="334" t="s">
        <v>265</v>
      </c>
      <c r="AU26" s="334" t="s">
        <v>265</v>
      </c>
      <c r="AV26" s="334" t="s">
        <v>265</v>
      </c>
      <c r="AW26" s="334" t="s">
        <v>265</v>
      </c>
      <c r="AX26" s="334" t="s">
        <v>265</v>
      </c>
      <c r="AY26" s="249" t="s">
        <v>265</v>
      </c>
      <c r="AZ26" s="122" t="s">
        <v>265</v>
      </c>
      <c r="BA26" s="334" t="s">
        <v>265</v>
      </c>
      <c r="BB26" s="334" t="s">
        <v>265</v>
      </c>
      <c r="BC26" s="249" t="s">
        <v>265</v>
      </c>
      <c r="BD26" s="249" t="s">
        <v>265</v>
      </c>
      <c r="BE26" s="249" t="s">
        <v>265</v>
      </c>
      <c r="BF26" s="249" t="s">
        <v>265</v>
      </c>
      <c r="BG26" s="249" t="s">
        <v>265</v>
      </c>
      <c r="BH26" s="249" t="s">
        <v>265</v>
      </c>
      <c r="BI26" s="249" t="s">
        <v>265</v>
      </c>
      <c r="BJ26" s="249" t="s">
        <v>265</v>
      </c>
      <c r="BK26" s="249" t="s">
        <v>84</v>
      </c>
      <c r="BL26" s="122" t="str">
        <f>IF(AZ26="N.S","N.S",3*(AZ26*BL1+0.001*IF(BB26="N.S",0,BB26*(1-BL1))))</f>
        <v>N.S</v>
      </c>
      <c r="BM26" s="520" t="s">
        <v>265</v>
      </c>
      <c r="BN26" s="656" t="str">
        <f t="shared" si="10"/>
        <v>N.S</v>
      </c>
      <c r="BO26" s="283" t="str">
        <f t="shared" si="11"/>
        <v>N.S</v>
      </c>
      <c r="BP26" s="481" t="s">
        <v>788</v>
      </c>
      <c r="BQ26" s="249">
        <v>32</v>
      </c>
      <c r="BR26" s="249">
        <v>128</v>
      </c>
      <c r="BS26" s="249" t="s">
        <v>265</v>
      </c>
      <c r="BT26" s="249" t="s">
        <v>265</v>
      </c>
      <c r="BU26" s="249" t="s">
        <v>265</v>
      </c>
      <c r="BV26" s="249" t="s">
        <v>265</v>
      </c>
      <c r="BW26" s="249" t="s">
        <v>265</v>
      </c>
      <c r="BX26" s="338" t="s">
        <v>265</v>
      </c>
      <c r="BY26" s="41" t="s">
        <v>265</v>
      </c>
      <c r="BZ26" s="353" t="s">
        <v>866</v>
      </c>
      <c r="CA26" s="334" t="s">
        <v>265</v>
      </c>
      <c r="CB26" s="91" t="s">
        <v>265</v>
      </c>
      <c r="CC26" s="481" t="s">
        <v>795</v>
      </c>
      <c r="CD26" s="249" t="s">
        <v>265</v>
      </c>
      <c r="CE26" s="249" t="s">
        <v>265</v>
      </c>
      <c r="CF26" s="249" t="s">
        <v>265</v>
      </c>
      <c r="CG26" s="249" t="s">
        <v>265</v>
      </c>
      <c r="CH26" s="91" t="s">
        <v>265</v>
      </c>
      <c r="CI26" s="522" t="s">
        <v>265</v>
      </c>
      <c r="CJ26" s="122" t="s">
        <v>265</v>
      </c>
      <c r="CK26" s="523" t="s">
        <v>265</v>
      </c>
      <c r="CL26" s="484" t="s">
        <v>265</v>
      </c>
      <c r="CM26" s="89" t="s">
        <v>265</v>
      </c>
      <c r="CN26" s="477"/>
      <c r="CO26" s="183">
        <v>0</v>
      </c>
      <c r="CP26" s="127"/>
      <c r="CQ26" s="127"/>
      <c r="CR26" s="183"/>
      <c r="CS26" s="129"/>
      <c r="CT26" s="184">
        <v>0</v>
      </c>
      <c r="CU26" s="127"/>
      <c r="CV26" s="127"/>
      <c r="CW26" s="183"/>
      <c r="CX26" s="129"/>
      <c r="CY26" s="87">
        <v>0</v>
      </c>
      <c r="CZ26" s="41">
        <v>0</v>
      </c>
      <c r="DA26" s="41"/>
      <c r="DB26" s="41"/>
      <c r="DC26" s="41"/>
      <c r="DD26" s="41"/>
      <c r="DE26" s="41"/>
      <c r="DF26" s="41"/>
      <c r="DG26" s="41"/>
      <c r="DH26" s="41"/>
      <c r="DI26" s="123"/>
      <c r="DJ26" s="87">
        <v>0</v>
      </c>
      <c r="DK26" s="41">
        <v>0</v>
      </c>
      <c r="DL26" s="41"/>
      <c r="DM26" s="41"/>
      <c r="DN26" s="41"/>
      <c r="DO26" s="41"/>
      <c r="DP26" s="41"/>
      <c r="DQ26" s="41"/>
      <c r="DR26" s="41"/>
      <c r="DS26" s="41"/>
      <c r="DT26" s="88"/>
      <c r="DU26" s="87">
        <v>0</v>
      </c>
      <c r="DV26" s="41">
        <v>0</v>
      </c>
      <c r="DW26" s="41"/>
      <c r="DX26" s="41"/>
      <c r="DY26" s="41"/>
      <c r="DZ26" s="41"/>
      <c r="EA26" s="41"/>
      <c r="EB26" s="41"/>
      <c r="EC26" s="41"/>
      <c r="ED26" s="41"/>
      <c r="EE26" s="123"/>
      <c r="EF26" s="87">
        <v>0</v>
      </c>
      <c r="EG26" s="41"/>
      <c r="EH26" s="41"/>
      <c r="EI26" s="41"/>
      <c r="EJ26" s="88"/>
      <c r="EK26" s="87">
        <v>0</v>
      </c>
      <c r="EL26" s="41"/>
      <c r="EM26" s="41"/>
      <c r="EN26" s="41"/>
      <c r="EO26" s="88"/>
      <c r="EP26" s="87">
        <v>0</v>
      </c>
      <c r="EQ26" s="41"/>
      <c r="ER26" s="41"/>
      <c r="ES26" s="41"/>
      <c r="ET26" s="88"/>
      <c r="EU26" s="87">
        <v>0</v>
      </c>
      <c r="EV26" s="41"/>
      <c r="EW26" s="41"/>
      <c r="EX26" s="41"/>
      <c r="EY26" s="88"/>
      <c r="EZ26" s="87">
        <v>0</v>
      </c>
      <c r="FA26" s="41"/>
      <c r="FB26" s="41"/>
      <c r="FC26" s="41"/>
      <c r="FD26" s="88"/>
      <c r="FE26" s="87">
        <v>0</v>
      </c>
      <c r="FF26" s="127"/>
      <c r="FG26" s="127"/>
      <c r="FH26" s="127"/>
      <c r="FI26" s="123"/>
      <c r="FJ26" s="87">
        <v>0</v>
      </c>
      <c r="FK26" s="41"/>
      <c r="FL26" s="41"/>
      <c r="FM26" s="41"/>
      <c r="FN26" s="88"/>
      <c r="FO26" s="87">
        <v>0</v>
      </c>
      <c r="FP26" s="41"/>
      <c r="FQ26" s="41"/>
      <c r="FR26" s="41"/>
      <c r="FS26" s="88"/>
      <c r="FT26" s="87">
        <v>0</v>
      </c>
      <c r="FU26" s="41"/>
      <c r="FV26" s="41"/>
      <c r="FW26" s="41"/>
      <c r="FX26" s="88"/>
      <c r="FY26" s="87">
        <v>0</v>
      </c>
      <c r="FZ26" s="41"/>
      <c r="GA26" s="41"/>
      <c r="GB26" s="41"/>
      <c r="GC26" s="88"/>
      <c r="GD26" s="87">
        <v>0</v>
      </c>
      <c r="GE26" s="41"/>
      <c r="GF26" s="41"/>
      <c r="GG26" s="41"/>
      <c r="GH26" s="88"/>
      <c r="GI26" s="87">
        <v>0</v>
      </c>
      <c r="GJ26" s="41"/>
      <c r="GK26" s="127"/>
      <c r="GL26" s="41"/>
      <c r="GM26" s="88"/>
      <c r="GN26" s="87">
        <v>0</v>
      </c>
      <c r="GO26" s="41"/>
      <c r="GP26" s="41"/>
      <c r="GQ26" s="41"/>
      <c r="GR26" s="88"/>
      <c r="GS26" s="87">
        <v>0</v>
      </c>
      <c r="GT26" s="41"/>
      <c r="GU26" s="41"/>
      <c r="GV26" s="41"/>
      <c r="GW26" s="88"/>
      <c r="GX26" s="301" t="str">
        <f t="shared" si="1"/>
        <v/>
      </c>
      <c r="GY26" s="301" t="str">
        <f t="shared" si="0"/>
        <v/>
      </c>
      <c r="GZ26" s="41" t="str">
        <f t="shared" si="2"/>
        <v/>
      </c>
      <c r="HA26" s="41" t="str">
        <f t="shared" si="3"/>
        <v/>
      </c>
      <c r="HB26" s="41" t="str">
        <f t="shared" si="4"/>
        <v/>
      </c>
      <c r="HC26" s="41">
        <f t="shared" si="5"/>
        <v>1</v>
      </c>
      <c r="HD26" s="41" t="str">
        <f t="shared" si="6"/>
        <v/>
      </c>
      <c r="HE26" s="88" t="str">
        <f t="shared" si="7"/>
        <v/>
      </c>
      <c r="HF26" s="524" t="s">
        <v>82</v>
      </c>
      <c r="HG26" s="41" t="s">
        <v>82</v>
      </c>
      <c r="HH26" s="41">
        <v>1</v>
      </c>
      <c r="HI26" s="41" t="s">
        <v>82</v>
      </c>
      <c r="HJ26" s="41" t="s">
        <v>82</v>
      </c>
      <c r="HK26" s="41" t="s">
        <v>82</v>
      </c>
      <c r="HL26" s="41" t="s">
        <v>82</v>
      </c>
      <c r="HM26" s="41">
        <v>1</v>
      </c>
      <c r="HN26" s="41">
        <v>1</v>
      </c>
      <c r="HO26" s="41" t="s">
        <v>82</v>
      </c>
      <c r="HP26" s="41" t="s">
        <v>82</v>
      </c>
      <c r="HQ26" s="41" t="s">
        <v>82</v>
      </c>
      <c r="HR26" s="41" t="s">
        <v>82</v>
      </c>
      <c r="HS26" s="41" t="s">
        <v>82</v>
      </c>
      <c r="HT26" s="41" t="s">
        <v>82</v>
      </c>
      <c r="HU26" s="41" t="s">
        <v>82</v>
      </c>
      <c r="HV26" s="41" t="s">
        <v>82</v>
      </c>
      <c r="HW26" s="41" t="s">
        <v>82</v>
      </c>
      <c r="HX26" s="41" t="s">
        <v>82</v>
      </c>
      <c r="HY26" s="41" t="s">
        <v>82</v>
      </c>
      <c r="HZ26" s="41" t="s">
        <v>82</v>
      </c>
      <c r="IA26" s="41" t="s">
        <v>82</v>
      </c>
      <c r="IB26" s="41" t="s">
        <v>82</v>
      </c>
      <c r="IC26" s="41" t="s">
        <v>82</v>
      </c>
      <c r="ID26" s="41" t="s">
        <v>82</v>
      </c>
      <c r="IE26" s="41">
        <v>1</v>
      </c>
      <c r="IF26" s="41" t="s">
        <v>82</v>
      </c>
      <c r="IG26" s="41" t="s">
        <v>82</v>
      </c>
      <c r="IH26" s="41" t="s">
        <v>82</v>
      </c>
      <c r="II26" s="88">
        <v>1</v>
      </c>
    </row>
    <row r="27" spans="1:243" s="89" customFormat="1" ht="69">
      <c r="A27" s="754"/>
      <c r="B27" s="90" t="s">
        <v>800</v>
      </c>
      <c r="C27" s="773"/>
      <c r="D27" s="98" t="s">
        <v>796</v>
      </c>
      <c r="E27" s="133" t="s">
        <v>65</v>
      </c>
      <c r="F27" s="333" t="s">
        <v>124</v>
      </c>
      <c r="G27" s="62" t="s">
        <v>65</v>
      </c>
      <c r="H27" s="62" t="s">
        <v>65</v>
      </c>
      <c r="I27" s="62" t="s">
        <v>65</v>
      </c>
      <c r="J27" s="127" t="s">
        <v>265</v>
      </c>
      <c r="K27" s="183" t="s">
        <v>265</v>
      </c>
      <c r="L27" s="129" t="s">
        <v>265</v>
      </c>
      <c r="M27" s="101" t="s">
        <v>802</v>
      </c>
      <c r="N27" s="334" t="s">
        <v>265</v>
      </c>
      <c r="O27" s="334" t="s">
        <v>265</v>
      </c>
      <c r="P27" s="249" t="s">
        <v>265</v>
      </c>
      <c r="Q27" s="249"/>
      <c r="R27" s="249" t="s">
        <v>265</v>
      </c>
      <c r="S27" s="41">
        <v>8</v>
      </c>
      <c r="T27" s="41">
        <v>4</v>
      </c>
      <c r="U27" s="98" t="s">
        <v>801</v>
      </c>
      <c r="V27" s="249">
        <v>16</v>
      </c>
      <c r="W27" s="249" t="s">
        <v>265</v>
      </c>
      <c r="X27" s="249" t="s">
        <v>265</v>
      </c>
      <c r="Y27" s="249" t="s">
        <v>265</v>
      </c>
      <c r="Z27" s="249" t="s">
        <v>265</v>
      </c>
      <c r="AA27" s="249" t="s">
        <v>265</v>
      </c>
      <c r="AB27" s="249" t="s">
        <v>265</v>
      </c>
      <c r="AC27" s="249" t="s">
        <v>265</v>
      </c>
      <c r="AD27" s="249" t="s">
        <v>265</v>
      </c>
      <c r="AE27" s="249" t="s">
        <v>265</v>
      </c>
      <c r="AF27" s="249" t="s">
        <v>265</v>
      </c>
      <c r="AG27" s="249" t="s">
        <v>265</v>
      </c>
      <c r="AH27" s="249">
        <v>2000</v>
      </c>
      <c r="AI27" s="249" t="s">
        <v>265</v>
      </c>
      <c r="AJ27" s="249">
        <v>1</v>
      </c>
      <c r="AK27" s="91">
        <v>10</v>
      </c>
      <c r="AL27" s="477"/>
      <c r="AM27" s="249">
        <v>8</v>
      </c>
      <c r="AN27" s="249">
        <v>8</v>
      </c>
      <c r="AO27" s="249"/>
      <c r="AP27" s="249">
        <f t="shared" si="8"/>
        <v>8</v>
      </c>
      <c r="AQ27" s="249">
        <f t="shared" si="9"/>
        <v>64</v>
      </c>
      <c r="AR27" s="88" t="s">
        <v>332</v>
      </c>
      <c r="AS27" s="334">
        <v>1.84</v>
      </c>
      <c r="AT27" s="334">
        <v>3.6</v>
      </c>
      <c r="AU27" s="334" t="s">
        <v>265</v>
      </c>
      <c r="AV27" s="334" t="s">
        <v>265</v>
      </c>
      <c r="AW27" s="334" t="s">
        <v>265</v>
      </c>
      <c r="AX27" s="334" t="s">
        <v>265</v>
      </c>
      <c r="AY27" s="249" t="s">
        <v>265</v>
      </c>
      <c r="AZ27" s="122">
        <v>28.3</v>
      </c>
      <c r="BA27" s="334">
        <v>5.27</v>
      </c>
      <c r="BB27" s="334">
        <v>58</v>
      </c>
      <c r="BC27" s="249" t="s">
        <v>265</v>
      </c>
      <c r="BD27" s="249" t="s">
        <v>265</v>
      </c>
      <c r="BE27" s="249" t="s">
        <v>265</v>
      </c>
      <c r="BF27" s="249" t="s">
        <v>265</v>
      </c>
      <c r="BG27" s="249" t="s">
        <v>265</v>
      </c>
      <c r="BH27" s="249" t="s">
        <v>265</v>
      </c>
      <c r="BI27" s="249" t="s">
        <v>265</v>
      </c>
      <c r="BJ27" s="249" t="s">
        <v>265</v>
      </c>
      <c r="BK27" s="249" t="s">
        <v>84</v>
      </c>
      <c r="BL27" s="122">
        <f>IF(AZ27="N.S","N.S",3*(AZ27*BL1+0.001*IF(BB27="N.S",0,BB27*(1-BL1))))</f>
        <v>1.0212600000000003</v>
      </c>
      <c r="BM27" s="520" t="s">
        <v>265</v>
      </c>
      <c r="BN27" s="656" t="str">
        <f t="shared" si="10"/>
        <v>N.S</v>
      </c>
      <c r="BO27" s="283">
        <f t="shared" si="11"/>
        <v>734.3869337876738</v>
      </c>
      <c r="BP27" s="481" t="s">
        <v>797</v>
      </c>
      <c r="BQ27" s="249">
        <v>32</v>
      </c>
      <c r="BR27" s="249">
        <v>200</v>
      </c>
      <c r="BS27" s="249" t="s">
        <v>265</v>
      </c>
      <c r="BT27" s="249">
        <f>512+32</f>
        <v>544</v>
      </c>
      <c r="BU27" s="249" t="s">
        <v>265</v>
      </c>
      <c r="BV27" s="249" t="s">
        <v>265</v>
      </c>
      <c r="BW27" s="249" t="s">
        <v>265</v>
      </c>
      <c r="BX27" s="338" t="s">
        <v>265</v>
      </c>
      <c r="BY27" s="41" t="s">
        <v>265</v>
      </c>
      <c r="BZ27" s="353" t="s">
        <v>868</v>
      </c>
      <c r="CA27" s="334" t="s">
        <v>265</v>
      </c>
      <c r="CB27" s="91" t="s">
        <v>265</v>
      </c>
      <c r="CC27" s="481" t="s">
        <v>798</v>
      </c>
      <c r="CD27" s="249" t="s">
        <v>265</v>
      </c>
      <c r="CE27" s="249" t="s">
        <v>265</v>
      </c>
      <c r="CF27" s="249">
        <v>2450</v>
      </c>
      <c r="CG27" s="89">
        <v>-95</v>
      </c>
      <c r="CH27" s="91">
        <v>0</v>
      </c>
      <c r="CI27" s="522" t="s">
        <v>265</v>
      </c>
      <c r="CJ27" s="122" t="s">
        <v>265</v>
      </c>
      <c r="CK27" s="523" t="s">
        <v>265</v>
      </c>
      <c r="CL27" s="484" t="s">
        <v>265</v>
      </c>
      <c r="CM27" s="89" t="s">
        <v>265</v>
      </c>
      <c r="CN27" s="68" t="s">
        <v>799</v>
      </c>
      <c r="CO27" s="183">
        <v>1</v>
      </c>
      <c r="CP27" s="127"/>
      <c r="CQ27" s="127"/>
      <c r="CR27" s="183"/>
      <c r="CS27" s="129"/>
      <c r="CT27" s="184">
        <v>0</v>
      </c>
      <c r="CU27" s="127"/>
      <c r="CV27" s="127"/>
      <c r="CW27" s="183"/>
      <c r="CX27" s="129"/>
      <c r="CY27" s="87">
        <v>0</v>
      </c>
      <c r="CZ27" s="41">
        <v>0</v>
      </c>
      <c r="DA27" s="41"/>
      <c r="DB27" s="41"/>
      <c r="DC27" s="41"/>
      <c r="DD27" s="41"/>
      <c r="DE27" s="41"/>
      <c r="DF27" s="41"/>
      <c r="DG27" s="41"/>
      <c r="DH27" s="41"/>
      <c r="DI27" s="123"/>
      <c r="DJ27" s="87">
        <v>0</v>
      </c>
      <c r="DK27" s="41">
        <v>0</v>
      </c>
      <c r="DL27" s="41"/>
      <c r="DM27" s="41"/>
      <c r="DN27" s="41"/>
      <c r="DO27" s="41"/>
      <c r="DP27" s="41"/>
      <c r="DQ27" s="41"/>
      <c r="DR27" s="41"/>
      <c r="DS27" s="41"/>
      <c r="DT27" s="88"/>
      <c r="DU27" s="87">
        <v>0</v>
      </c>
      <c r="DV27" s="41">
        <v>0</v>
      </c>
      <c r="DW27" s="41"/>
      <c r="DX27" s="41"/>
      <c r="DY27" s="41"/>
      <c r="DZ27" s="41"/>
      <c r="EA27" s="41"/>
      <c r="EB27" s="41"/>
      <c r="EC27" s="41"/>
      <c r="ED27" s="41"/>
      <c r="EE27" s="123"/>
      <c r="EF27" s="87">
        <v>0</v>
      </c>
      <c r="EG27" s="41"/>
      <c r="EH27" s="41"/>
      <c r="EI27" s="41"/>
      <c r="EJ27" s="88"/>
      <c r="EK27" s="87">
        <v>0</v>
      </c>
      <c r="EL27" s="41"/>
      <c r="EM27" s="41"/>
      <c r="EN27" s="41"/>
      <c r="EO27" s="88"/>
      <c r="EP27" s="87">
        <v>0</v>
      </c>
      <c r="EQ27" s="41"/>
      <c r="ER27" s="41"/>
      <c r="ES27" s="41"/>
      <c r="ET27" s="88"/>
      <c r="EU27" s="87">
        <v>0</v>
      </c>
      <c r="EV27" s="41"/>
      <c r="EW27" s="41"/>
      <c r="EX27" s="41"/>
      <c r="EY27" s="88"/>
      <c r="EZ27" s="87">
        <v>0</v>
      </c>
      <c r="FA27" s="41"/>
      <c r="FB27" s="41"/>
      <c r="FC27" s="41"/>
      <c r="FD27" s="88"/>
      <c r="FE27" s="87">
        <v>1</v>
      </c>
      <c r="FF27" s="127"/>
      <c r="FG27" s="127"/>
      <c r="FH27" s="127"/>
      <c r="FI27" s="123"/>
      <c r="FJ27" s="87">
        <v>0</v>
      </c>
      <c r="FK27" s="41"/>
      <c r="FL27" s="41"/>
      <c r="FM27" s="41"/>
      <c r="FN27" s="88"/>
      <c r="FO27" s="87">
        <v>0</v>
      </c>
      <c r="FP27" s="41"/>
      <c r="FQ27" s="41"/>
      <c r="FR27" s="41"/>
      <c r="FS27" s="88"/>
      <c r="FT27" s="87">
        <v>0</v>
      </c>
      <c r="FU27" s="41"/>
      <c r="FV27" s="41"/>
      <c r="FW27" s="41"/>
      <c r="FX27" s="88"/>
      <c r="FY27" s="87">
        <v>0</v>
      </c>
      <c r="FZ27" s="41"/>
      <c r="GA27" s="41"/>
      <c r="GB27" s="41"/>
      <c r="GC27" s="88"/>
      <c r="GD27" s="87">
        <v>0</v>
      </c>
      <c r="GE27" s="41"/>
      <c r="GF27" s="41"/>
      <c r="GG27" s="41"/>
      <c r="GH27" s="88"/>
      <c r="GI27" s="87">
        <v>0</v>
      </c>
      <c r="GJ27" s="41"/>
      <c r="GK27" s="127"/>
      <c r="GL27" s="41"/>
      <c r="GM27" s="88"/>
      <c r="GN27" s="87">
        <v>0</v>
      </c>
      <c r="GO27" s="41"/>
      <c r="GP27" s="41"/>
      <c r="GQ27" s="41"/>
      <c r="GR27" s="88"/>
      <c r="GS27" s="87">
        <v>0</v>
      </c>
      <c r="GT27" s="41"/>
      <c r="GU27" s="41"/>
      <c r="GV27" s="41"/>
      <c r="GW27" s="88"/>
      <c r="GX27" s="301">
        <f t="shared" si="1"/>
        <v>1</v>
      </c>
      <c r="GY27" s="301" t="str">
        <f t="shared" si="0"/>
        <v/>
      </c>
      <c r="GZ27" s="41" t="str">
        <f t="shared" si="2"/>
        <v/>
      </c>
      <c r="HA27" s="41" t="str">
        <f t="shared" si="3"/>
        <v/>
      </c>
      <c r="HB27" s="41" t="str">
        <f t="shared" si="4"/>
        <v/>
      </c>
      <c r="HC27" s="41" t="str">
        <f t="shared" si="5"/>
        <v/>
      </c>
      <c r="HD27" s="41" t="str">
        <f t="shared" si="6"/>
        <v/>
      </c>
      <c r="HE27" s="88" t="str">
        <f t="shared" si="7"/>
        <v/>
      </c>
      <c r="HF27" s="524" t="s">
        <v>82</v>
      </c>
      <c r="HG27" s="41" t="s">
        <v>82</v>
      </c>
      <c r="HH27" s="41">
        <v>1</v>
      </c>
      <c r="HI27" s="41" t="s">
        <v>82</v>
      </c>
      <c r="HJ27" s="41" t="s">
        <v>82</v>
      </c>
      <c r="HK27" s="41" t="s">
        <v>82</v>
      </c>
      <c r="HL27" s="41">
        <v>1</v>
      </c>
      <c r="HM27" s="41">
        <v>1</v>
      </c>
      <c r="HN27" s="41">
        <v>1</v>
      </c>
      <c r="HO27" s="41" t="s">
        <v>82</v>
      </c>
      <c r="HP27" s="41">
        <v>2</v>
      </c>
      <c r="HQ27" s="41" t="s">
        <v>82</v>
      </c>
      <c r="HR27" s="41" t="s">
        <v>82</v>
      </c>
      <c r="HS27" s="41" t="s">
        <v>82</v>
      </c>
      <c r="HT27" s="41" t="s">
        <v>82</v>
      </c>
      <c r="HU27" s="41" t="s">
        <v>82</v>
      </c>
      <c r="HV27" s="41" t="s">
        <v>82</v>
      </c>
      <c r="HW27" s="41" t="s">
        <v>82</v>
      </c>
      <c r="HX27" s="41" t="s">
        <v>82</v>
      </c>
      <c r="HY27" s="41" t="s">
        <v>82</v>
      </c>
      <c r="HZ27" s="41" t="s">
        <v>82</v>
      </c>
      <c r="IA27" s="41" t="s">
        <v>82</v>
      </c>
      <c r="IB27" s="41" t="s">
        <v>82</v>
      </c>
      <c r="IC27" s="41" t="s">
        <v>82</v>
      </c>
      <c r="ID27" s="41" t="s">
        <v>82</v>
      </c>
      <c r="IE27" s="41" t="s">
        <v>82</v>
      </c>
      <c r="IF27" s="41" t="s">
        <v>82</v>
      </c>
      <c r="IG27" s="41" t="s">
        <v>82</v>
      </c>
      <c r="IH27" s="41" t="s">
        <v>82</v>
      </c>
      <c r="II27" s="88" t="s">
        <v>82</v>
      </c>
    </row>
    <row r="28" spans="1:243" s="89" customFormat="1">
      <c r="A28" s="754"/>
      <c r="B28" s="98" t="s">
        <v>265</v>
      </c>
      <c r="C28" s="771"/>
      <c r="D28" s="98" t="s">
        <v>265</v>
      </c>
      <c r="E28" s="62" t="s">
        <v>65</v>
      </c>
      <c r="F28" s="62" t="s">
        <v>65</v>
      </c>
      <c r="G28" s="62" t="s">
        <v>65</v>
      </c>
      <c r="H28" s="62" t="s">
        <v>65</v>
      </c>
      <c r="I28" s="62" t="s">
        <v>65</v>
      </c>
      <c r="J28" s="127" t="s">
        <v>265</v>
      </c>
      <c r="K28" s="183" t="s">
        <v>265</v>
      </c>
      <c r="L28" s="129" t="s">
        <v>265</v>
      </c>
      <c r="M28" s="334" t="s">
        <v>265</v>
      </c>
      <c r="N28" s="334" t="s">
        <v>265</v>
      </c>
      <c r="O28" s="334" t="s">
        <v>265</v>
      </c>
      <c r="P28" s="249" t="s">
        <v>265</v>
      </c>
      <c r="Q28" s="249"/>
      <c r="R28" s="249" t="s">
        <v>265</v>
      </c>
      <c r="S28" s="41" t="s">
        <v>265</v>
      </c>
      <c r="T28" s="41" t="s">
        <v>265</v>
      </c>
      <c r="U28" s="249" t="s">
        <v>265</v>
      </c>
      <c r="V28" s="249" t="s">
        <v>265</v>
      </c>
      <c r="W28" s="249" t="s">
        <v>265</v>
      </c>
      <c r="X28" s="249" t="s">
        <v>265</v>
      </c>
      <c r="Y28" s="249" t="s">
        <v>265</v>
      </c>
      <c r="Z28" s="249" t="s">
        <v>265</v>
      </c>
      <c r="AA28" s="249" t="s">
        <v>265</v>
      </c>
      <c r="AB28" s="249" t="s">
        <v>265</v>
      </c>
      <c r="AC28" s="249" t="s">
        <v>265</v>
      </c>
      <c r="AD28" s="249" t="s">
        <v>265</v>
      </c>
      <c r="AE28" s="249" t="s">
        <v>265</v>
      </c>
      <c r="AF28" s="249" t="s">
        <v>265</v>
      </c>
      <c r="AG28" s="249" t="s">
        <v>265</v>
      </c>
      <c r="AH28" s="249" t="s">
        <v>265</v>
      </c>
      <c r="AI28" s="249" t="s">
        <v>265</v>
      </c>
      <c r="AJ28" s="249" t="s">
        <v>265</v>
      </c>
      <c r="AK28" s="91" t="s">
        <v>265</v>
      </c>
      <c r="AL28" s="477"/>
      <c r="AM28" s="249" t="s">
        <v>265</v>
      </c>
      <c r="AN28" s="249" t="s">
        <v>265</v>
      </c>
      <c r="AO28" s="249"/>
      <c r="AP28" s="249" t="str">
        <f t="shared" si="8"/>
        <v>N.S</v>
      </c>
      <c r="AQ28" s="249" t="str">
        <f t="shared" si="9"/>
        <v>N.S</v>
      </c>
      <c r="AR28" s="88" t="s">
        <v>265</v>
      </c>
      <c r="AS28" s="334" t="s">
        <v>265</v>
      </c>
      <c r="AT28" s="334" t="s">
        <v>265</v>
      </c>
      <c r="AU28" s="334" t="s">
        <v>265</v>
      </c>
      <c r="AV28" s="334" t="s">
        <v>265</v>
      </c>
      <c r="AW28" s="334" t="s">
        <v>265</v>
      </c>
      <c r="AX28" s="334" t="s">
        <v>265</v>
      </c>
      <c r="AY28" s="334" t="s">
        <v>265</v>
      </c>
      <c r="AZ28" s="334" t="s">
        <v>265</v>
      </c>
      <c r="BA28" s="334" t="s">
        <v>265</v>
      </c>
      <c r="BB28" s="334" t="s">
        <v>265</v>
      </c>
      <c r="BC28" s="334" t="s">
        <v>265</v>
      </c>
      <c r="BD28" s="334" t="s">
        <v>265</v>
      </c>
      <c r="BE28" s="334" t="s">
        <v>265</v>
      </c>
      <c r="BF28" s="334" t="s">
        <v>265</v>
      </c>
      <c r="BG28" s="334" t="s">
        <v>265</v>
      </c>
      <c r="BH28" s="334" t="s">
        <v>265</v>
      </c>
      <c r="BI28" s="334" t="s">
        <v>265</v>
      </c>
      <c r="BJ28" s="334" t="s">
        <v>265</v>
      </c>
      <c r="BK28" s="334" t="s">
        <v>265</v>
      </c>
      <c r="BL28" s="122" t="str">
        <f>IF(AZ28="N.S","N.S",3*(AZ28*BL1+0.001*IF(BB28="N.S",0,BB28*(1-BL1))))</f>
        <v>N.S</v>
      </c>
      <c r="BM28" s="550" t="s">
        <v>265</v>
      </c>
      <c r="BN28" s="656" t="str">
        <f t="shared" si="10"/>
        <v>N.S</v>
      </c>
      <c r="BO28" s="283" t="str">
        <f t="shared" si="11"/>
        <v>N.S</v>
      </c>
      <c r="BP28" s="484" t="s">
        <v>265</v>
      </c>
      <c r="BQ28" s="249" t="s">
        <v>265</v>
      </c>
      <c r="BR28" s="249" t="s">
        <v>265</v>
      </c>
      <c r="BS28" s="249" t="s">
        <v>265</v>
      </c>
      <c r="BT28" s="249" t="s">
        <v>265</v>
      </c>
      <c r="BU28" s="249" t="s">
        <v>265</v>
      </c>
      <c r="BV28" s="249" t="s">
        <v>265</v>
      </c>
      <c r="BW28" s="249" t="s">
        <v>265</v>
      </c>
      <c r="BX28" s="338" t="s">
        <v>265</v>
      </c>
      <c r="BY28" s="41" t="s">
        <v>265</v>
      </c>
      <c r="BZ28" s="88" t="s">
        <v>265</v>
      </c>
      <c r="CA28" s="334" t="s">
        <v>265</v>
      </c>
      <c r="CB28" s="91" t="s">
        <v>265</v>
      </c>
      <c r="CC28" s="484" t="s">
        <v>265</v>
      </c>
      <c r="CD28" s="249" t="s">
        <v>265</v>
      </c>
      <c r="CE28" s="249" t="s">
        <v>265</v>
      </c>
      <c r="CF28" s="249" t="s">
        <v>265</v>
      </c>
      <c r="CG28" s="249" t="s">
        <v>265</v>
      </c>
      <c r="CH28" s="91" t="s">
        <v>265</v>
      </c>
      <c r="CI28" s="522" t="s">
        <v>265</v>
      </c>
      <c r="CJ28" s="122" t="s">
        <v>265</v>
      </c>
      <c r="CK28" s="523" t="s">
        <v>265</v>
      </c>
      <c r="CL28" s="484" t="s">
        <v>265</v>
      </c>
      <c r="CM28" s="89" t="s">
        <v>265</v>
      </c>
      <c r="CN28" s="477" t="s">
        <v>265</v>
      </c>
      <c r="CO28" s="183">
        <v>0</v>
      </c>
      <c r="CP28" s="127"/>
      <c r="CQ28" s="127"/>
      <c r="CR28" s="183"/>
      <c r="CS28" s="129"/>
      <c r="CT28" s="184">
        <v>0</v>
      </c>
      <c r="CU28" s="127"/>
      <c r="CV28" s="127"/>
      <c r="CW28" s="183"/>
      <c r="CX28" s="129"/>
      <c r="CY28" s="87">
        <v>0</v>
      </c>
      <c r="CZ28" s="41">
        <v>0</v>
      </c>
      <c r="DA28" s="41"/>
      <c r="DB28" s="41"/>
      <c r="DC28" s="41"/>
      <c r="DD28" s="41"/>
      <c r="DE28" s="41"/>
      <c r="DF28" s="41"/>
      <c r="DG28" s="41"/>
      <c r="DH28" s="41"/>
      <c r="DI28" s="123"/>
      <c r="DJ28" s="87">
        <v>0</v>
      </c>
      <c r="DK28" s="41">
        <v>0</v>
      </c>
      <c r="DL28" s="41"/>
      <c r="DM28" s="41"/>
      <c r="DN28" s="41"/>
      <c r="DO28" s="41"/>
      <c r="DP28" s="41"/>
      <c r="DQ28" s="41"/>
      <c r="DR28" s="41"/>
      <c r="DS28" s="41"/>
      <c r="DT28" s="88"/>
      <c r="DU28" s="87">
        <v>0</v>
      </c>
      <c r="DV28" s="41">
        <v>0</v>
      </c>
      <c r="DW28" s="41"/>
      <c r="DX28" s="41"/>
      <c r="DY28" s="41"/>
      <c r="DZ28" s="41"/>
      <c r="EA28" s="41"/>
      <c r="EB28" s="41"/>
      <c r="EC28" s="41"/>
      <c r="ED28" s="41"/>
      <c r="EE28" s="123"/>
      <c r="EF28" s="87">
        <v>0</v>
      </c>
      <c r="EG28" s="41"/>
      <c r="EH28" s="41"/>
      <c r="EI28" s="41"/>
      <c r="EJ28" s="88"/>
      <c r="EK28" s="87">
        <v>0</v>
      </c>
      <c r="EL28" s="41"/>
      <c r="EM28" s="41"/>
      <c r="EN28" s="41"/>
      <c r="EO28" s="88"/>
      <c r="EP28" s="87">
        <v>0</v>
      </c>
      <c r="EQ28" s="41"/>
      <c r="ER28" s="41"/>
      <c r="ES28" s="41"/>
      <c r="ET28" s="88"/>
      <c r="EU28" s="87">
        <v>0</v>
      </c>
      <c r="EV28" s="41"/>
      <c r="EW28" s="41"/>
      <c r="EX28" s="41"/>
      <c r="EY28" s="88"/>
      <c r="EZ28" s="87">
        <v>0</v>
      </c>
      <c r="FA28" s="41"/>
      <c r="FB28" s="41"/>
      <c r="FC28" s="41"/>
      <c r="FD28" s="88"/>
      <c r="FE28" s="87">
        <v>0</v>
      </c>
      <c r="FF28" s="127"/>
      <c r="FG28" s="127"/>
      <c r="FH28" s="127"/>
      <c r="FI28" s="123"/>
      <c r="FJ28" s="87">
        <v>0</v>
      </c>
      <c r="FK28" s="41"/>
      <c r="FL28" s="41"/>
      <c r="FM28" s="41"/>
      <c r="FN28" s="88"/>
      <c r="FO28" s="87">
        <v>0</v>
      </c>
      <c r="FP28" s="41"/>
      <c r="FQ28" s="41"/>
      <c r="FR28" s="41"/>
      <c r="FS28" s="88"/>
      <c r="FT28" s="87">
        <v>0</v>
      </c>
      <c r="FU28" s="41"/>
      <c r="FV28" s="41"/>
      <c r="FW28" s="41"/>
      <c r="FX28" s="88"/>
      <c r="FY28" s="87">
        <v>0</v>
      </c>
      <c r="FZ28" s="41"/>
      <c r="GA28" s="41"/>
      <c r="GB28" s="41"/>
      <c r="GC28" s="88"/>
      <c r="GD28" s="87">
        <v>0</v>
      </c>
      <c r="GE28" s="41"/>
      <c r="GF28" s="41"/>
      <c r="GG28" s="41"/>
      <c r="GH28" s="88"/>
      <c r="GI28" s="87">
        <v>0</v>
      </c>
      <c r="GJ28" s="41"/>
      <c r="GK28" s="127"/>
      <c r="GL28" s="41"/>
      <c r="GM28" s="88"/>
      <c r="GN28" s="87">
        <v>0</v>
      </c>
      <c r="GO28" s="41"/>
      <c r="GP28" s="41"/>
      <c r="GQ28" s="41"/>
      <c r="GR28" s="88"/>
      <c r="GS28" s="87">
        <v>0</v>
      </c>
      <c r="GT28" s="41"/>
      <c r="GU28" s="41"/>
      <c r="GV28" s="41"/>
      <c r="GW28" s="88"/>
      <c r="GX28" s="301" t="str">
        <f t="shared" si="1"/>
        <v/>
      </c>
      <c r="GY28" s="301" t="str">
        <f t="shared" si="0"/>
        <v/>
      </c>
      <c r="GZ28" s="41" t="str">
        <f t="shared" si="2"/>
        <v/>
      </c>
      <c r="HA28" s="41" t="str">
        <f t="shared" si="3"/>
        <v/>
      </c>
      <c r="HB28" s="41" t="str">
        <f t="shared" si="4"/>
        <v/>
      </c>
      <c r="HC28" s="41">
        <f t="shared" si="5"/>
        <v>1</v>
      </c>
      <c r="HD28" s="41" t="str">
        <f t="shared" si="6"/>
        <v/>
      </c>
      <c r="HE28" s="88" t="str">
        <f t="shared" si="7"/>
        <v/>
      </c>
      <c r="HF28" s="524" t="s">
        <v>82</v>
      </c>
      <c r="HG28" s="41" t="s">
        <v>82</v>
      </c>
      <c r="HH28" s="41" t="s">
        <v>82</v>
      </c>
      <c r="HI28" s="41" t="s">
        <v>82</v>
      </c>
      <c r="HJ28" s="41" t="s">
        <v>82</v>
      </c>
      <c r="HK28" s="41" t="s">
        <v>82</v>
      </c>
      <c r="HL28" s="41" t="s">
        <v>82</v>
      </c>
      <c r="HM28" s="41" t="s">
        <v>82</v>
      </c>
      <c r="HN28" s="41" t="s">
        <v>82</v>
      </c>
      <c r="HO28" s="41" t="s">
        <v>82</v>
      </c>
      <c r="HP28" s="41" t="s">
        <v>82</v>
      </c>
      <c r="HQ28" s="41" t="s">
        <v>82</v>
      </c>
      <c r="HR28" s="41" t="s">
        <v>82</v>
      </c>
      <c r="HS28" s="41" t="s">
        <v>82</v>
      </c>
      <c r="HT28" s="41" t="s">
        <v>82</v>
      </c>
      <c r="HU28" s="41" t="s">
        <v>82</v>
      </c>
      <c r="HV28" s="41" t="s">
        <v>82</v>
      </c>
      <c r="HW28" s="41" t="s">
        <v>82</v>
      </c>
      <c r="HX28" s="41" t="s">
        <v>82</v>
      </c>
      <c r="HY28" s="41" t="s">
        <v>82</v>
      </c>
      <c r="HZ28" s="41" t="s">
        <v>82</v>
      </c>
      <c r="IA28" s="41" t="s">
        <v>82</v>
      </c>
      <c r="IB28" s="41" t="s">
        <v>82</v>
      </c>
      <c r="IC28" s="41" t="s">
        <v>82</v>
      </c>
      <c r="ID28" s="41" t="s">
        <v>82</v>
      </c>
      <c r="IE28" s="41" t="s">
        <v>82</v>
      </c>
      <c r="IF28" s="41" t="s">
        <v>82</v>
      </c>
      <c r="IG28" s="41" t="s">
        <v>82</v>
      </c>
      <c r="IH28" s="41" t="s">
        <v>82</v>
      </c>
      <c r="II28" s="88" t="s">
        <v>82</v>
      </c>
    </row>
    <row r="29" spans="1:243" s="89" customFormat="1" ht="82.8">
      <c r="A29" s="754"/>
      <c r="B29" s="90" t="s">
        <v>803</v>
      </c>
      <c r="C29" s="738" t="s">
        <v>395</v>
      </c>
      <c r="D29" s="98" t="s">
        <v>808</v>
      </c>
      <c r="E29" s="730" t="s">
        <v>65</v>
      </c>
      <c r="F29" s="730" t="s">
        <v>65</v>
      </c>
      <c r="G29" s="730" t="s">
        <v>124</v>
      </c>
      <c r="H29" s="62" t="s">
        <v>65</v>
      </c>
      <c r="I29" s="62" t="s">
        <v>65</v>
      </c>
      <c r="J29" s="127" t="s">
        <v>265</v>
      </c>
      <c r="K29" s="183" t="s">
        <v>265</v>
      </c>
      <c r="L29" s="129" t="s">
        <v>265</v>
      </c>
      <c r="M29" s="334" t="s">
        <v>265</v>
      </c>
      <c r="N29" s="334" t="s">
        <v>265</v>
      </c>
      <c r="O29" s="334" t="s">
        <v>265</v>
      </c>
      <c r="P29" s="249" t="s">
        <v>265</v>
      </c>
      <c r="Q29" s="249"/>
      <c r="R29" s="249" t="s">
        <v>265</v>
      </c>
      <c r="S29" s="41" t="s">
        <v>265</v>
      </c>
      <c r="T29" s="41" t="s">
        <v>265</v>
      </c>
      <c r="U29" s="249" t="s">
        <v>265</v>
      </c>
      <c r="V29" s="249" t="s">
        <v>265</v>
      </c>
      <c r="W29" s="249" t="s">
        <v>265</v>
      </c>
      <c r="X29" s="249" t="s">
        <v>265</v>
      </c>
      <c r="Y29" s="249" t="s">
        <v>265</v>
      </c>
      <c r="Z29" s="249" t="s">
        <v>265</v>
      </c>
      <c r="AA29" s="249" t="s">
        <v>265</v>
      </c>
      <c r="AB29" s="249" t="s">
        <v>265</v>
      </c>
      <c r="AC29" s="249" t="s">
        <v>265</v>
      </c>
      <c r="AD29" s="249" t="s">
        <v>265</v>
      </c>
      <c r="AE29" s="249" t="s">
        <v>265</v>
      </c>
      <c r="AF29" s="249" t="s">
        <v>265</v>
      </c>
      <c r="AG29" s="249" t="s">
        <v>265</v>
      </c>
      <c r="AH29" s="249" t="s">
        <v>265</v>
      </c>
      <c r="AI29" s="249" t="s">
        <v>265</v>
      </c>
      <c r="AJ29" s="249" t="s">
        <v>265</v>
      </c>
      <c r="AK29" s="91" t="s">
        <v>265</v>
      </c>
      <c r="AL29" s="477"/>
      <c r="AM29" s="249">
        <v>7</v>
      </c>
      <c r="AN29" s="249">
        <v>7</v>
      </c>
      <c r="AO29" s="249"/>
      <c r="AP29" s="249">
        <f t="shared" si="8"/>
        <v>7</v>
      </c>
      <c r="AQ29" s="249">
        <f t="shared" si="9"/>
        <v>49</v>
      </c>
      <c r="AR29" s="88" t="s">
        <v>332</v>
      </c>
      <c r="AS29" s="334">
        <v>3.3</v>
      </c>
      <c r="AT29" s="334">
        <v>3.3</v>
      </c>
      <c r="AU29" s="334" t="s">
        <v>265</v>
      </c>
      <c r="AV29" s="334" t="s">
        <v>265</v>
      </c>
      <c r="AW29" s="334" t="s">
        <v>265</v>
      </c>
      <c r="AX29" s="334" t="s">
        <v>265</v>
      </c>
      <c r="AY29" s="334" t="s">
        <v>265</v>
      </c>
      <c r="AZ29" s="334" t="s">
        <v>265</v>
      </c>
      <c r="BA29" s="334" t="s">
        <v>265</v>
      </c>
      <c r="BB29" s="334" t="s">
        <v>265</v>
      </c>
      <c r="BC29" s="334" t="s">
        <v>265</v>
      </c>
      <c r="BD29" s="334" t="s">
        <v>265</v>
      </c>
      <c r="BE29" s="334" t="s">
        <v>265</v>
      </c>
      <c r="BF29" s="334" t="s">
        <v>265</v>
      </c>
      <c r="BG29" s="334" t="s">
        <v>265</v>
      </c>
      <c r="BH29" s="334" t="s">
        <v>265</v>
      </c>
      <c r="BI29" s="334" t="s">
        <v>265</v>
      </c>
      <c r="BJ29" s="334" t="s">
        <v>265</v>
      </c>
      <c r="BK29" s="334" t="s">
        <v>265</v>
      </c>
      <c r="BL29" s="122" t="str">
        <f>IF(AZ29="N.S","N.S",3*(AZ29*BL1+0.001*IF(BB29="N.S",0,BB29*(1-BL1))))</f>
        <v>N.S</v>
      </c>
      <c r="BM29" s="550" t="s">
        <v>265</v>
      </c>
      <c r="BN29" s="656" t="str">
        <f t="shared" si="10"/>
        <v>N.S</v>
      </c>
      <c r="BO29" s="283" t="str">
        <f t="shared" si="11"/>
        <v>N.S</v>
      </c>
      <c r="BP29" s="484" t="s">
        <v>265</v>
      </c>
      <c r="BQ29" s="249" t="s">
        <v>265</v>
      </c>
      <c r="BR29" s="249" t="s">
        <v>265</v>
      </c>
      <c r="BS29" s="249" t="s">
        <v>265</v>
      </c>
      <c r="BT29" s="249" t="s">
        <v>265</v>
      </c>
      <c r="BU29" s="249" t="s">
        <v>265</v>
      </c>
      <c r="BV29" s="249" t="s">
        <v>265</v>
      </c>
      <c r="BW29" s="249" t="s">
        <v>265</v>
      </c>
      <c r="BX29" s="338">
        <v>40000000</v>
      </c>
      <c r="BY29" s="41" t="s">
        <v>265</v>
      </c>
      <c r="BZ29" s="353" t="s">
        <v>807</v>
      </c>
      <c r="CA29" s="334" t="s">
        <v>806</v>
      </c>
      <c r="CB29" s="91" t="s">
        <v>265</v>
      </c>
      <c r="CC29" s="484" t="s">
        <v>265</v>
      </c>
      <c r="CD29" s="249" t="s">
        <v>805</v>
      </c>
      <c r="CE29" s="249" t="s">
        <v>265</v>
      </c>
      <c r="CF29" s="98">
        <v>2400</v>
      </c>
      <c r="CG29" s="249" t="s">
        <v>265</v>
      </c>
      <c r="CH29" s="91" t="s">
        <v>265</v>
      </c>
      <c r="CI29" s="522" t="s">
        <v>265</v>
      </c>
      <c r="CJ29" s="122" t="s">
        <v>265</v>
      </c>
      <c r="CK29" s="523" t="s">
        <v>265</v>
      </c>
      <c r="CL29" s="484" t="s">
        <v>265</v>
      </c>
      <c r="CM29" s="89" t="s">
        <v>265</v>
      </c>
      <c r="CN29" s="477" t="s">
        <v>265</v>
      </c>
      <c r="CO29" s="183">
        <v>0</v>
      </c>
      <c r="CP29" s="127"/>
      <c r="CQ29" s="127"/>
      <c r="CR29" s="183"/>
      <c r="CS29" s="129"/>
      <c r="CT29" s="184">
        <v>0</v>
      </c>
      <c r="CU29" s="127"/>
      <c r="CV29" s="127"/>
      <c r="CW29" s="183"/>
      <c r="CX29" s="129"/>
      <c r="CY29" s="87">
        <v>0</v>
      </c>
      <c r="CZ29" s="41">
        <v>0</v>
      </c>
      <c r="DA29" s="41"/>
      <c r="DB29" s="41"/>
      <c r="DC29" s="41"/>
      <c r="DD29" s="41"/>
      <c r="DE29" s="41"/>
      <c r="DF29" s="41"/>
      <c r="DG29" s="41"/>
      <c r="DH29" s="41"/>
      <c r="DI29" s="123"/>
      <c r="DJ29" s="87">
        <v>0</v>
      </c>
      <c r="DK29" s="41">
        <v>0</v>
      </c>
      <c r="DL29" s="41"/>
      <c r="DM29" s="41"/>
      <c r="DN29" s="41"/>
      <c r="DO29" s="41"/>
      <c r="DP29" s="41"/>
      <c r="DQ29" s="41"/>
      <c r="DR29" s="41"/>
      <c r="DS29" s="41"/>
      <c r="DT29" s="88"/>
      <c r="DU29" s="87">
        <v>0</v>
      </c>
      <c r="DV29" s="41">
        <v>0</v>
      </c>
      <c r="DW29" s="41"/>
      <c r="DX29" s="41"/>
      <c r="DY29" s="41"/>
      <c r="DZ29" s="41"/>
      <c r="EA29" s="41"/>
      <c r="EB29" s="41"/>
      <c r="EC29" s="41"/>
      <c r="ED29" s="41"/>
      <c r="EE29" s="123"/>
      <c r="EF29" s="87">
        <v>0</v>
      </c>
      <c r="EG29" s="41"/>
      <c r="EH29" s="41"/>
      <c r="EI29" s="41"/>
      <c r="EJ29" s="88"/>
      <c r="EK29" s="87">
        <v>0</v>
      </c>
      <c r="EL29" s="41"/>
      <c r="EM29" s="41"/>
      <c r="EN29" s="41"/>
      <c r="EO29" s="88"/>
      <c r="EP29" s="87">
        <v>0</v>
      </c>
      <c r="EQ29" s="41"/>
      <c r="ER29" s="41"/>
      <c r="ES29" s="41"/>
      <c r="ET29" s="88"/>
      <c r="EU29" s="87">
        <v>0</v>
      </c>
      <c r="EV29" s="41"/>
      <c r="EW29" s="41"/>
      <c r="EX29" s="41"/>
      <c r="EY29" s="88"/>
      <c r="EZ29" s="87">
        <v>0</v>
      </c>
      <c r="FA29" s="41"/>
      <c r="FB29" s="41"/>
      <c r="FC29" s="41"/>
      <c r="FD29" s="88"/>
      <c r="FE29" s="87">
        <v>0</v>
      </c>
      <c r="FF29" s="127"/>
      <c r="FG29" s="127"/>
      <c r="FH29" s="127"/>
      <c r="FI29" s="123"/>
      <c r="FJ29" s="87">
        <v>0</v>
      </c>
      <c r="FK29" s="41"/>
      <c r="FL29" s="41"/>
      <c r="FM29" s="41"/>
      <c r="FN29" s="88"/>
      <c r="FO29" s="87">
        <v>0</v>
      </c>
      <c r="FP29" s="41"/>
      <c r="FQ29" s="41"/>
      <c r="FR29" s="41"/>
      <c r="FS29" s="88"/>
      <c r="FT29" s="87">
        <v>0</v>
      </c>
      <c r="FU29" s="41"/>
      <c r="FV29" s="41"/>
      <c r="FW29" s="41"/>
      <c r="FX29" s="88"/>
      <c r="FY29" s="87">
        <v>0</v>
      </c>
      <c r="FZ29" s="41"/>
      <c r="GA29" s="41"/>
      <c r="GB29" s="41"/>
      <c r="GC29" s="88"/>
      <c r="GD29" s="87">
        <v>0</v>
      </c>
      <c r="GE29" s="41"/>
      <c r="GF29" s="41"/>
      <c r="GG29" s="41"/>
      <c r="GH29" s="88"/>
      <c r="GI29" s="87">
        <v>0</v>
      </c>
      <c r="GJ29" s="41"/>
      <c r="GK29" s="127"/>
      <c r="GL29" s="41"/>
      <c r="GM29" s="88"/>
      <c r="GN29" s="87">
        <v>0</v>
      </c>
      <c r="GO29" s="41"/>
      <c r="GP29" s="41"/>
      <c r="GQ29" s="41"/>
      <c r="GR29" s="88"/>
      <c r="GS29" s="87">
        <v>0</v>
      </c>
      <c r="GT29" s="41"/>
      <c r="GU29" s="41"/>
      <c r="GV29" s="41"/>
      <c r="GW29" s="88"/>
      <c r="GX29" s="301" t="str">
        <f t="shared" si="1"/>
        <v/>
      </c>
      <c r="GY29" s="301" t="str">
        <f t="shared" si="0"/>
        <v/>
      </c>
      <c r="GZ29" s="41" t="str">
        <f t="shared" si="2"/>
        <v/>
      </c>
      <c r="HA29" s="41" t="str">
        <f t="shared" si="3"/>
        <v/>
      </c>
      <c r="HB29" s="41" t="str">
        <f t="shared" si="4"/>
        <v/>
      </c>
      <c r="HC29" s="41">
        <f t="shared" si="5"/>
        <v>1</v>
      </c>
      <c r="HD29" s="41" t="str">
        <f t="shared" si="6"/>
        <v/>
      </c>
      <c r="HE29" s="88" t="str">
        <f t="shared" si="7"/>
        <v/>
      </c>
      <c r="HF29" s="524">
        <v>1</v>
      </c>
      <c r="HG29" s="41" t="s">
        <v>82</v>
      </c>
      <c r="HH29" s="41">
        <v>1</v>
      </c>
      <c r="HI29" s="41" t="s">
        <v>82</v>
      </c>
      <c r="HJ29" s="41" t="s">
        <v>82</v>
      </c>
      <c r="HK29" s="41" t="s">
        <v>82</v>
      </c>
      <c r="HL29" s="41">
        <v>1</v>
      </c>
      <c r="HM29" s="41">
        <v>1</v>
      </c>
      <c r="HN29" s="41">
        <v>1</v>
      </c>
      <c r="HO29" s="41" t="s">
        <v>82</v>
      </c>
      <c r="HP29" s="41">
        <v>1</v>
      </c>
      <c r="HQ29" s="41" t="s">
        <v>82</v>
      </c>
      <c r="HR29" s="41" t="s">
        <v>82</v>
      </c>
      <c r="HS29" s="41" t="s">
        <v>82</v>
      </c>
      <c r="HT29" s="41" t="s">
        <v>82</v>
      </c>
      <c r="HU29" s="41" t="s">
        <v>82</v>
      </c>
      <c r="HV29" s="41" t="s">
        <v>82</v>
      </c>
      <c r="HW29" s="41" t="s">
        <v>82</v>
      </c>
      <c r="HX29" s="41" t="s">
        <v>82</v>
      </c>
      <c r="HY29" s="41" t="s">
        <v>82</v>
      </c>
      <c r="HZ29" s="41" t="s">
        <v>82</v>
      </c>
      <c r="IA29" s="41" t="s">
        <v>82</v>
      </c>
      <c r="IB29" s="41" t="s">
        <v>82</v>
      </c>
      <c r="IC29" s="41" t="s">
        <v>82</v>
      </c>
      <c r="ID29" s="41" t="s">
        <v>82</v>
      </c>
      <c r="IE29" s="41" t="s">
        <v>82</v>
      </c>
      <c r="IF29" s="41" t="s">
        <v>82</v>
      </c>
      <c r="IG29" s="41" t="s">
        <v>82</v>
      </c>
      <c r="IH29" s="41" t="s">
        <v>82</v>
      </c>
      <c r="II29" s="88" t="s">
        <v>82</v>
      </c>
    </row>
    <row r="30" spans="1:243" s="89" customFormat="1" ht="82.8">
      <c r="A30" s="754"/>
      <c r="B30" s="90" t="s">
        <v>804</v>
      </c>
      <c r="C30" s="739"/>
      <c r="D30" s="98" t="s">
        <v>808</v>
      </c>
      <c r="E30" s="732"/>
      <c r="F30" s="732"/>
      <c r="G30" s="732"/>
      <c r="H30" s="62" t="s">
        <v>65</v>
      </c>
      <c r="I30" s="62" t="s">
        <v>65</v>
      </c>
      <c r="J30" s="127" t="s">
        <v>265</v>
      </c>
      <c r="K30" s="183" t="s">
        <v>265</v>
      </c>
      <c r="L30" s="129" t="s">
        <v>265</v>
      </c>
      <c r="M30" s="334" t="s">
        <v>265</v>
      </c>
      <c r="N30" s="334" t="s">
        <v>265</v>
      </c>
      <c r="O30" s="334" t="s">
        <v>265</v>
      </c>
      <c r="P30" s="249" t="s">
        <v>265</v>
      </c>
      <c r="Q30" s="249"/>
      <c r="R30" s="249" t="s">
        <v>265</v>
      </c>
      <c r="S30" s="41" t="s">
        <v>265</v>
      </c>
      <c r="T30" s="41" t="s">
        <v>265</v>
      </c>
      <c r="U30" s="249" t="s">
        <v>265</v>
      </c>
      <c r="V30" s="249" t="s">
        <v>265</v>
      </c>
      <c r="W30" s="249" t="s">
        <v>265</v>
      </c>
      <c r="X30" s="249" t="s">
        <v>265</v>
      </c>
      <c r="Y30" s="249" t="s">
        <v>265</v>
      </c>
      <c r="Z30" s="249" t="s">
        <v>265</v>
      </c>
      <c r="AA30" s="249" t="s">
        <v>265</v>
      </c>
      <c r="AB30" s="249" t="s">
        <v>265</v>
      </c>
      <c r="AC30" s="249" t="s">
        <v>265</v>
      </c>
      <c r="AD30" s="249" t="s">
        <v>265</v>
      </c>
      <c r="AE30" s="249" t="s">
        <v>265</v>
      </c>
      <c r="AF30" s="249" t="s">
        <v>265</v>
      </c>
      <c r="AG30" s="249" t="s">
        <v>265</v>
      </c>
      <c r="AH30" s="249" t="s">
        <v>265</v>
      </c>
      <c r="AI30" s="249" t="s">
        <v>265</v>
      </c>
      <c r="AJ30" s="249" t="s">
        <v>265</v>
      </c>
      <c r="AK30" s="91" t="s">
        <v>265</v>
      </c>
      <c r="AL30" s="477"/>
      <c r="AM30" s="249">
        <v>8</v>
      </c>
      <c r="AN30" s="249">
        <v>8</v>
      </c>
      <c r="AO30" s="249"/>
      <c r="AP30" s="249">
        <f t="shared" si="8"/>
        <v>8</v>
      </c>
      <c r="AQ30" s="249">
        <f t="shared" si="9"/>
        <v>64</v>
      </c>
      <c r="AR30" s="88" t="s">
        <v>332</v>
      </c>
      <c r="AS30" s="334">
        <v>3.3</v>
      </c>
      <c r="AT30" s="334">
        <v>3.3</v>
      </c>
      <c r="AU30" s="334" t="s">
        <v>265</v>
      </c>
      <c r="AV30" s="334" t="s">
        <v>265</v>
      </c>
      <c r="AW30" s="334" t="s">
        <v>265</v>
      </c>
      <c r="AX30" s="334" t="s">
        <v>265</v>
      </c>
      <c r="AY30" s="334" t="s">
        <v>265</v>
      </c>
      <c r="AZ30" s="334" t="s">
        <v>265</v>
      </c>
      <c r="BA30" s="334" t="s">
        <v>265</v>
      </c>
      <c r="BB30" s="334" t="s">
        <v>265</v>
      </c>
      <c r="BC30" s="334" t="s">
        <v>265</v>
      </c>
      <c r="BD30" s="334" t="s">
        <v>265</v>
      </c>
      <c r="BE30" s="334" t="s">
        <v>265</v>
      </c>
      <c r="BF30" s="334" t="s">
        <v>265</v>
      </c>
      <c r="BG30" s="334" t="s">
        <v>265</v>
      </c>
      <c r="BH30" s="334" t="s">
        <v>265</v>
      </c>
      <c r="BI30" s="334" t="s">
        <v>265</v>
      </c>
      <c r="BJ30" s="334" t="s">
        <v>265</v>
      </c>
      <c r="BK30" s="334" t="s">
        <v>265</v>
      </c>
      <c r="BL30" s="122" t="str">
        <f>IF(AZ30="N.S","N.S",3*(AZ30*BL1+0.001*IF(BB30="N.S",0,BB30*(1-BL1))))</f>
        <v>N.S</v>
      </c>
      <c r="BM30" s="550" t="s">
        <v>265</v>
      </c>
      <c r="BN30" s="656" t="str">
        <f t="shared" si="10"/>
        <v>N.S</v>
      </c>
      <c r="BO30" s="283" t="str">
        <f t="shared" si="11"/>
        <v>N.S</v>
      </c>
      <c r="BP30" s="484" t="s">
        <v>265</v>
      </c>
      <c r="BQ30" s="249" t="s">
        <v>265</v>
      </c>
      <c r="BR30" s="249" t="s">
        <v>265</v>
      </c>
      <c r="BS30" s="249" t="s">
        <v>265</v>
      </c>
      <c r="BT30" s="249" t="s">
        <v>265</v>
      </c>
      <c r="BU30" s="249" t="s">
        <v>265</v>
      </c>
      <c r="BV30" s="249" t="s">
        <v>265</v>
      </c>
      <c r="BW30" s="249" t="s">
        <v>265</v>
      </c>
      <c r="BX30" s="338">
        <v>40000000</v>
      </c>
      <c r="BY30" s="41" t="s">
        <v>265</v>
      </c>
      <c r="BZ30" s="353" t="s">
        <v>807</v>
      </c>
      <c r="CA30" s="334" t="s">
        <v>806</v>
      </c>
      <c r="CB30" s="91" t="s">
        <v>265</v>
      </c>
      <c r="CC30" s="484" t="s">
        <v>265</v>
      </c>
      <c r="CD30" s="249" t="s">
        <v>805</v>
      </c>
      <c r="CE30" s="249" t="s">
        <v>265</v>
      </c>
      <c r="CF30" s="98" t="s">
        <v>884</v>
      </c>
      <c r="CG30" s="249" t="s">
        <v>265</v>
      </c>
      <c r="CH30" s="91" t="s">
        <v>265</v>
      </c>
      <c r="CI30" s="522" t="s">
        <v>265</v>
      </c>
      <c r="CJ30" s="122" t="s">
        <v>265</v>
      </c>
      <c r="CK30" s="523" t="s">
        <v>265</v>
      </c>
      <c r="CL30" s="484" t="s">
        <v>265</v>
      </c>
      <c r="CM30" s="89" t="s">
        <v>265</v>
      </c>
      <c r="CN30" s="477" t="s">
        <v>265</v>
      </c>
      <c r="CO30" s="183">
        <v>0</v>
      </c>
      <c r="CP30" s="127"/>
      <c r="CQ30" s="127"/>
      <c r="CR30" s="183"/>
      <c r="CS30" s="129"/>
      <c r="CT30" s="184">
        <v>0</v>
      </c>
      <c r="CU30" s="127"/>
      <c r="CV30" s="127"/>
      <c r="CW30" s="183"/>
      <c r="CX30" s="129"/>
      <c r="CY30" s="87">
        <v>0</v>
      </c>
      <c r="CZ30" s="41">
        <v>0</v>
      </c>
      <c r="DA30" s="41"/>
      <c r="DB30" s="41"/>
      <c r="DC30" s="41"/>
      <c r="DD30" s="41"/>
      <c r="DE30" s="41"/>
      <c r="DF30" s="41"/>
      <c r="DG30" s="41"/>
      <c r="DH30" s="41"/>
      <c r="DI30" s="123"/>
      <c r="DJ30" s="87">
        <v>0</v>
      </c>
      <c r="DK30" s="41">
        <v>0</v>
      </c>
      <c r="DL30" s="41"/>
      <c r="DM30" s="41"/>
      <c r="DN30" s="41"/>
      <c r="DO30" s="41"/>
      <c r="DP30" s="41"/>
      <c r="DQ30" s="41"/>
      <c r="DR30" s="41"/>
      <c r="DS30" s="41"/>
      <c r="DT30" s="88"/>
      <c r="DU30" s="87">
        <v>0</v>
      </c>
      <c r="DV30" s="41">
        <v>0</v>
      </c>
      <c r="DW30" s="41"/>
      <c r="DX30" s="41"/>
      <c r="DY30" s="41"/>
      <c r="DZ30" s="41"/>
      <c r="EA30" s="41"/>
      <c r="EB30" s="41"/>
      <c r="EC30" s="41"/>
      <c r="ED30" s="41"/>
      <c r="EE30" s="123"/>
      <c r="EF30" s="87">
        <v>0</v>
      </c>
      <c r="EG30" s="41"/>
      <c r="EH30" s="41"/>
      <c r="EI30" s="41"/>
      <c r="EJ30" s="88"/>
      <c r="EK30" s="87">
        <v>0</v>
      </c>
      <c r="EL30" s="41"/>
      <c r="EM30" s="41"/>
      <c r="EN30" s="41"/>
      <c r="EO30" s="88"/>
      <c r="EP30" s="87">
        <v>0</v>
      </c>
      <c r="EQ30" s="41"/>
      <c r="ER30" s="41"/>
      <c r="ES30" s="41"/>
      <c r="ET30" s="88"/>
      <c r="EU30" s="87">
        <v>0</v>
      </c>
      <c r="EV30" s="41"/>
      <c r="EW30" s="41"/>
      <c r="EX30" s="41"/>
      <c r="EY30" s="88"/>
      <c r="EZ30" s="87">
        <v>0</v>
      </c>
      <c r="FA30" s="41"/>
      <c r="FB30" s="41"/>
      <c r="FC30" s="41"/>
      <c r="FD30" s="88"/>
      <c r="FE30" s="87">
        <v>0</v>
      </c>
      <c r="FF30" s="127"/>
      <c r="FG30" s="127"/>
      <c r="FH30" s="127"/>
      <c r="FI30" s="123"/>
      <c r="FJ30" s="87">
        <v>0</v>
      </c>
      <c r="FK30" s="41"/>
      <c r="FL30" s="41"/>
      <c r="FM30" s="41"/>
      <c r="FN30" s="88"/>
      <c r="FO30" s="87">
        <v>0</v>
      </c>
      <c r="FP30" s="41"/>
      <c r="FQ30" s="41"/>
      <c r="FR30" s="41"/>
      <c r="FS30" s="88"/>
      <c r="FT30" s="87">
        <v>0</v>
      </c>
      <c r="FU30" s="41"/>
      <c r="FV30" s="41"/>
      <c r="FW30" s="41"/>
      <c r="FX30" s="88"/>
      <c r="FY30" s="87">
        <v>0</v>
      </c>
      <c r="FZ30" s="41"/>
      <c r="GA30" s="41"/>
      <c r="GB30" s="41"/>
      <c r="GC30" s="88"/>
      <c r="GD30" s="87">
        <v>0</v>
      </c>
      <c r="GE30" s="41"/>
      <c r="GF30" s="41"/>
      <c r="GG30" s="41"/>
      <c r="GH30" s="88"/>
      <c r="GI30" s="87">
        <v>0</v>
      </c>
      <c r="GJ30" s="41"/>
      <c r="GK30" s="127"/>
      <c r="GL30" s="41"/>
      <c r="GM30" s="88"/>
      <c r="GN30" s="87">
        <v>0</v>
      </c>
      <c r="GO30" s="41"/>
      <c r="GP30" s="41"/>
      <c r="GQ30" s="41"/>
      <c r="GR30" s="88"/>
      <c r="GS30" s="87">
        <v>0</v>
      </c>
      <c r="GT30" s="41"/>
      <c r="GU30" s="41"/>
      <c r="GV30" s="41"/>
      <c r="GW30" s="88"/>
      <c r="GX30" s="301" t="str">
        <f t="shared" si="1"/>
        <v/>
      </c>
      <c r="GY30" s="301" t="str">
        <f t="shared" si="0"/>
        <v/>
      </c>
      <c r="GZ30" s="41" t="str">
        <f t="shared" si="2"/>
        <v/>
      </c>
      <c r="HA30" s="41" t="str">
        <f t="shared" si="3"/>
        <v/>
      </c>
      <c r="HB30" s="41" t="str">
        <f t="shared" si="4"/>
        <v/>
      </c>
      <c r="HC30" s="41">
        <f t="shared" si="5"/>
        <v>1</v>
      </c>
      <c r="HD30" s="41" t="str">
        <f t="shared" si="6"/>
        <v/>
      </c>
      <c r="HE30" s="88" t="str">
        <f t="shared" si="7"/>
        <v/>
      </c>
      <c r="HF30" s="524">
        <v>1</v>
      </c>
      <c r="HG30" s="41" t="s">
        <v>82</v>
      </c>
      <c r="HH30" s="41">
        <v>1</v>
      </c>
      <c r="HI30" s="41" t="s">
        <v>82</v>
      </c>
      <c r="HJ30" s="41" t="s">
        <v>82</v>
      </c>
      <c r="HK30" s="41" t="s">
        <v>82</v>
      </c>
      <c r="HL30" s="41">
        <v>1</v>
      </c>
      <c r="HM30" s="41">
        <v>1</v>
      </c>
      <c r="HN30" s="41">
        <v>1</v>
      </c>
      <c r="HO30" s="41" t="s">
        <v>82</v>
      </c>
      <c r="HP30" s="41">
        <v>1</v>
      </c>
      <c r="HQ30" s="41" t="s">
        <v>82</v>
      </c>
      <c r="HR30" s="41" t="s">
        <v>82</v>
      </c>
      <c r="HS30" s="41" t="s">
        <v>82</v>
      </c>
      <c r="HT30" s="41" t="s">
        <v>82</v>
      </c>
      <c r="HU30" s="41" t="s">
        <v>82</v>
      </c>
      <c r="HV30" s="41" t="s">
        <v>82</v>
      </c>
      <c r="HW30" s="41" t="s">
        <v>82</v>
      </c>
      <c r="HX30" s="41" t="s">
        <v>82</v>
      </c>
      <c r="HY30" s="41" t="s">
        <v>82</v>
      </c>
      <c r="HZ30" s="41" t="s">
        <v>82</v>
      </c>
      <c r="IA30" s="41" t="s">
        <v>82</v>
      </c>
      <c r="IB30" s="41" t="s">
        <v>82</v>
      </c>
      <c r="IC30" s="41" t="s">
        <v>82</v>
      </c>
      <c r="ID30" s="41" t="s">
        <v>82</v>
      </c>
      <c r="IE30" s="41" t="s">
        <v>82</v>
      </c>
      <c r="IF30" s="41" t="s">
        <v>82</v>
      </c>
      <c r="IG30" s="41" t="s">
        <v>82</v>
      </c>
      <c r="IH30" s="41" t="s">
        <v>82</v>
      </c>
      <c r="II30" s="88" t="s">
        <v>82</v>
      </c>
    </row>
    <row r="31" spans="1:243" s="89" customFormat="1" ht="82.8">
      <c r="A31" s="754"/>
      <c r="B31" s="90" t="s">
        <v>809</v>
      </c>
      <c r="C31" s="739"/>
      <c r="D31" s="120" t="s">
        <v>812</v>
      </c>
      <c r="E31" s="730" t="s">
        <v>65</v>
      </c>
      <c r="F31" s="730" t="s">
        <v>124</v>
      </c>
      <c r="G31" s="62" t="s">
        <v>65</v>
      </c>
      <c r="H31" s="62" t="s">
        <v>65</v>
      </c>
      <c r="I31" s="62" t="s">
        <v>65</v>
      </c>
      <c r="J31" s="127" t="s">
        <v>265</v>
      </c>
      <c r="K31" s="183" t="s">
        <v>265</v>
      </c>
      <c r="L31" s="129" t="s">
        <v>265</v>
      </c>
      <c r="M31" s="334" t="s">
        <v>265</v>
      </c>
      <c r="N31" s="334" t="s">
        <v>265</v>
      </c>
      <c r="O31" s="334" t="s">
        <v>265</v>
      </c>
      <c r="P31" s="249" t="s">
        <v>265</v>
      </c>
      <c r="Q31" s="249"/>
      <c r="R31" s="249" t="s">
        <v>265</v>
      </c>
      <c r="S31" s="41" t="s">
        <v>265</v>
      </c>
      <c r="T31" s="41" t="s">
        <v>265</v>
      </c>
      <c r="U31" s="249" t="s">
        <v>265</v>
      </c>
      <c r="V31" s="249" t="s">
        <v>265</v>
      </c>
      <c r="W31" s="249" t="s">
        <v>265</v>
      </c>
      <c r="X31" s="249" t="s">
        <v>265</v>
      </c>
      <c r="Y31" s="249" t="s">
        <v>265</v>
      </c>
      <c r="Z31" s="249" t="s">
        <v>265</v>
      </c>
      <c r="AA31" s="249" t="s">
        <v>265</v>
      </c>
      <c r="AB31" s="249" t="s">
        <v>265</v>
      </c>
      <c r="AC31" s="249" t="s">
        <v>265</v>
      </c>
      <c r="AD31" s="249" t="s">
        <v>265</v>
      </c>
      <c r="AE31" s="249" t="s">
        <v>265</v>
      </c>
      <c r="AF31" s="249" t="s">
        <v>265</v>
      </c>
      <c r="AG31" s="249" t="s">
        <v>265</v>
      </c>
      <c r="AH31" s="249" t="s">
        <v>265</v>
      </c>
      <c r="AI31" s="249" t="s">
        <v>265</v>
      </c>
      <c r="AJ31" s="249" t="s">
        <v>265</v>
      </c>
      <c r="AK31" s="91" t="s">
        <v>265</v>
      </c>
      <c r="AL31" s="477"/>
      <c r="AM31" s="249">
        <v>9</v>
      </c>
      <c r="AN31" s="249">
        <v>9</v>
      </c>
      <c r="AO31" s="249"/>
      <c r="AP31" s="249">
        <f t="shared" si="8"/>
        <v>9</v>
      </c>
      <c r="AQ31" s="249">
        <f t="shared" si="9"/>
        <v>81</v>
      </c>
      <c r="AR31" s="88" t="s">
        <v>332</v>
      </c>
      <c r="AS31" s="334" t="s">
        <v>265</v>
      </c>
      <c r="AT31" s="334" t="s">
        <v>265</v>
      </c>
      <c r="AU31" s="334" t="s">
        <v>265</v>
      </c>
      <c r="AV31" s="334" t="s">
        <v>265</v>
      </c>
      <c r="AW31" s="334" t="s">
        <v>265</v>
      </c>
      <c r="AX31" s="334" t="s">
        <v>265</v>
      </c>
      <c r="AY31" s="249" t="s">
        <v>265</v>
      </c>
      <c r="AZ31" s="122" t="s">
        <v>265</v>
      </c>
      <c r="BA31" s="334" t="s">
        <v>265</v>
      </c>
      <c r="BB31" s="334" t="s">
        <v>265</v>
      </c>
      <c r="BC31" s="249" t="s">
        <v>265</v>
      </c>
      <c r="BD31" s="249" t="s">
        <v>265</v>
      </c>
      <c r="BE31" s="249" t="s">
        <v>265</v>
      </c>
      <c r="BF31" s="249" t="s">
        <v>265</v>
      </c>
      <c r="BG31" s="249" t="s">
        <v>265</v>
      </c>
      <c r="BH31" s="249" t="s">
        <v>265</v>
      </c>
      <c r="BI31" s="249" t="s">
        <v>265</v>
      </c>
      <c r="BJ31" s="249" t="s">
        <v>265</v>
      </c>
      <c r="BK31" s="249" t="s">
        <v>265</v>
      </c>
      <c r="BL31" s="122" t="str">
        <f>IF(AZ31="N.S","N.S",3*(AZ31*BL1+0.001*IF(BB31="N.S",0,BB31*(1-BL1))))</f>
        <v>N.S</v>
      </c>
      <c r="BM31" s="520" t="s">
        <v>265</v>
      </c>
      <c r="BN31" s="656" t="str">
        <f t="shared" si="10"/>
        <v>N.S</v>
      </c>
      <c r="BO31" s="283" t="str">
        <f t="shared" si="11"/>
        <v>N.S</v>
      </c>
      <c r="BP31" s="484" t="s">
        <v>265</v>
      </c>
      <c r="BQ31" s="249" t="s">
        <v>265</v>
      </c>
      <c r="BR31" s="249" t="s">
        <v>265</v>
      </c>
      <c r="BS31" s="249" t="s">
        <v>265</v>
      </c>
      <c r="BT31" s="249" t="s">
        <v>265</v>
      </c>
      <c r="BU31" s="249" t="s">
        <v>265</v>
      </c>
      <c r="BV31" s="249" t="s">
        <v>265</v>
      </c>
      <c r="BW31" s="249" t="s">
        <v>265</v>
      </c>
      <c r="BX31" s="283">
        <v>10000000</v>
      </c>
      <c r="BY31" s="41" t="s">
        <v>265</v>
      </c>
      <c r="BZ31" s="353" t="s">
        <v>813</v>
      </c>
      <c r="CA31" s="334" t="s">
        <v>806</v>
      </c>
      <c r="CB31" s="91" t="s">
        <v>265</v>
      </c>
      <c r="CC31" s="484" t="s">
        <v>265</v>
      </c>
      <c r="CD31" s="249" t="s">
        <v>811</v>
      </c>
      <c r="CE31" s="249" t="s">
        <v>265</v>
      </c>
      <c r="CF31" s="98">
        <v>2400</v>
      </c>
      <c r="CG31" s="249" t="s">
        <v>265</v>
      </c>
      <c r="CH31" s="91" t="s">
        <v>265</v>
      </c>
      <c r="CI31" s="522" t="s">
        <v>265</v>
      </c>
      <c r="CJ31" s="122" t="s">
        <v>265</v>
      </c>
      <c r="CK31" s="523" t="s">
        <v>265</v>
      </c>
      <c r="CL31" s="484" t="s">
        <v>265</v>
      </c>
      <c r="CM31" s="89" t="s">
        <v>265</v>
      </c>
      <c r="CN31" s="477" t="s">
        <v>265</v>
      </c>
      <c r="CO31" s="183">
        <v>0</v>
      </c>
      <c r="CP31" s="127"/>
      <c r="CQ31" s="127"/>
      <c r="CR31" s="183"/>
      <c r="CS31" s="129"/>
      <c r="CT31" s="184">
        <v>0</v>
      </c>
      <c r="CU31" s="127"/>
      <c r="CV31" s="127"/>
      <c r="CW31" s="183"/>
      <c r="CX31" s="129"/>
      <c r="CY31" s="87">
        <v>0</v>
      </c>
      <c r="CZ31" s="41">
        <v>0</v>
      </c>
      <c r="DA31" s="41"/>
      <c r="DB31" s="41"/>
      <c r="DC31" s="41"/>
      <c r="DD31" s="41"/>
      <c r="DE31" s="41"/>
      <c r="DF31" s="41"/>
      <c r="DG31" s="41"/>
      <c r="DH31" s="41"/>
      <c r="DI31" s="123"/>
      <c r="DJ31" s="87">
        <v>0</v>
      </c>
      <c r="DK31" s="41">
        <v>0</v>
      </c>
      <c r="DL31" s="41"/>
      <c r="DM31" s="41"/>
      <c r="DN31" s="41"/>
      <c r="DO31" s="41"/>
      <c r="DP31" s="41"/>
      <c r="DQ31" s="41"/>
      <c r="DR31" s="41"/>
      <c r="DS31" s="41"/>
      <c r="DT31" s="88"/>
      <c r="DU31" s="87">
        <v>0</v>
      </c>
      <c r="DV31" s="41">
        <v>0</v>
      </c>
      <c r="DW31" s="41"/>
      <c r="DX31" s="41"/>
      <c r="DY31" s="41"/>
      <c r="DZ31" s="41"/>
      <c r="EA31" s="41"/>
      <c r="EB31" s="41"/>
      <c r="EC31" s="41"/>
      <c r="ED31" s="41"/>
      <c r="EE31" s="123"/>
      <c r="EF31" s="87">
        <v>0</v>
      </c>
      <c r="EG31" s="41"/>
      <c r="EH31" s="41"/>
      <c r="EI31" s="41"/>
      <c r="EJ31" s="88"/>
      <c r="EK31" s="87">
        <v>0</v>
      </c>
      <c r="EL31" s="41"/>
      <c r="EM31" s="41"/>
      <c r="EN31" s="41"/>
      <c r="EO31" s="88"/>
      <c r="EP31" s="87">
        <v>0</v>
      </c>
      <c r="EQ31" s="41"/>
      <c r="ER31" s="41"/>
      <c r="ES31" s="41"/>
      <c r="ET31" s="88"/>
      <c r="EU31" s="87">
        <v>0</v>
      </c>
      <c r="EV31" s="41"/>
      <c r="EW31" s="41"/>
      <c r="EX31" s="41"/>
      <c r="EY31" s="88"/>
      <c r="EZ31" s="87">
        <v>0</v>
      </c>
      <c r="FA31" s="41"/>
      <c r="FB31" s="41"/>
      <c r="FC31" s="41"/>
      <c r="FD31" s="88"/>
      <c r="FE31" s="87">
        <v>0</v>
      </c>
      <c r="FF31" s="127"/>
      <c r="FG31" s="127"/>
      <c r="FH31" s="127"/>
      <c r="FI31" s="123"/>
      <c r="FJ31" s="87">
        <v>0</v>
      </c>
      <c r="FK31" s="41"/>
      <c r="FL31" s="41"/>
      <c r="FM31" s="41"/>
      <c r="FN31" s="88"/>
      <c r="FO31" s="87">
        <v>0</v>
      </c>
      <c r="FP31" s="41"/>
      <c r="FQ31" s="41"/>
      <c r="FR31" s="41"/>
      <c r="FS31" s="88"/>
      <c r="FT31" s="87">
        <v>0</v>
      </c>
      <c r="FU31" s="41"/>
      <c r="FV31" s="41"/>
      <c r="FW31" s="41"/>
      <c r="FX31" s="88"/>
      <c r="FY31" s="87">
        <v>0</v>
      </c>
      <c r="FZ31" s="41"/>
      <c r="GA31" s="41"/>
      <c r="GB31" s="41"/>
      <c r="GC31" s="88"/>
      <c r="GD31" s="87">
        <v>0</v>
      </c>
      <c r="GE31" s="41"/>
      <c r="GF31" s="41"/>
      <c r="GG31" s="41"/>
      <c r="GH31" s="88"/>
      <c r="GI31" s="87">
        <v>0</v>
      </c>
      <c r="GJ31" s="41"/>
      <c r="GK31" s="127"/>
      <c r="GL31" s="41"/>
      <c r="GM31" s="88"/>
      <c r="GN31" s="87">
        <v>0</v>
      </c>
      <c r="GO31" s="41"/>
      <c r="GP31" s="41"/>
      <c r="GQ31" s="41"/>
      <c r="GR31" s="88"/>
      <c r="GS31" s="87">
        <v>0</v>
      </c>
      <c r="GT31" s="41"/>
      <c r="GU31" s="41"/>
      <c r="GV31" s="41"/>
      <c r="GW31" s="88"/>
      <c r="GX31" s="301" t="str">
        <f t="shared" si="1"/>
        <v/>
      </c>
      <c r="GY31" s="301" t="str">
        <f t="shared" si="0"/>
        <v/>
      </c>
      <c r="GZ31" s="41" t="str">
        <f t="shared" si="2"/>
        <v/>
      </c>
      <c r="HA31" s="41" t="str">
        <f t="shared" si="3"/>
        <v/>
      </c>
      <c r="HB31" s="41" t="str">
        <f t="shared" si="4"/>
        <v/>
      </c>
      <c r="HC31" s="41">
        <f t="shared" si="5"/>
        <v>1</v>
      </c>
      <c r="HD31" s="41" t="str">
        <f t="shared" si="6"/>
        <v/>
      </c>
      <c r="HE31" s="88" t="str">
        <f t="shared" si="7"/>
        <v/>
      </c>
      <c r="HF31" s="524">
        <v>1</v>
      </c>
      <c r="HG31" s="41" t="s">
        <v>82</v>
      </c>
      <c r="HH31" s="41">
        <v>1</v>
      </c>
      <c r="HI31" s="41" t="s">
        <v>82</v>
      </c>
      <c r="HJ31" s="41">
        <v>1</v>
      </c>
      <c r="HK31" s="41" t="s">
        <v>82</v>
      </c>
      <c r="HL31" s="41">
        <v>1</v>
      </c>
      <c r="HM31" s="41">
        <v>1</v>
      </c>
      <c r="HN31" s="41">
        <v>1</v>
      </c>
      <c r="HO31" s="41" t="s">
        <v>82</v>
      </c>
      <c r="HP31" s="41" t="s">
        <v>82</v>
      </c>
      <c r="HQ31" s="41" t="s">
        <v>82</v>
      </c>
      <c r="HR31" s="41" t="s">
        <v>82</v>
      </c>
      <c r="HS31" s="41" t="s">
        <v>82</v>
      </c>
      <c r="HT31" s="41" t="s">
        <v>82</v>
      </c>
      <c r="HU31" s="41" t="s">
        <v>82</v>
      </c>
      <c r="HV31" s="41" t="s">
        <v>82</v>
      </c>
      <c r="HW31" s="41" t="s">
        <v>82</v>
      </c>
      <c r="HX31" s="41" t="s">
        <v>82</v>
      </c>
      <c r="HY31" s="41" t="s">
        <v>82</v>
      </c>
      <c r="HZ31" s="41" t="s">
        <v>82</v>
      </c>
      <c r="IA31" s="41" t="s">
        <v>82</v>
      </c>
      <c r="IB31" s="41" t="s">
        <v>82</v>
      </c>
      <c r="IC31" s="41" t="s">
        <v>82</v>
      </c>
      <c r="ID31" s="41" t="s">
        <v>82</v>
      </c>
      <c r="IE31" s="41" t="s">
        <v>82</v>
      </c>
      <c r="IF31" s="41" t="s">
        <v>82</v>
      </c>
      <c r="IG31" s="41" t="s">
        <v>82</v>
      </c>
      <c r="IH31" s="41" t="s">
        <v>82</v>
      </c>
      <c r="II31" s="88" t="s">
        <v>82</v>
      </c>
    </row>
    <row r="32" spans="1:243" s="89" customFormat="1" ht="82.8">
      <c r="A32" s="754"/>
      <c r="B32" s="90" t="s">
        <v>810</v>
      </c>
      <c r="C32" s="740"/>
      <c r="D32" s="120" t="s">
        <v>812</v>
      </c>
      <c r="E32" s="732"/>
      <c r="F32" s="732"/>
      <c r="G32" s="62" t="s">
        <v>65</v>
      </c>
      <c r="H32" s="62" t="s">
        <v>65</v>
      </c>
      <c r="I32" s="62" t="s">
        <v>65</v>
      </c>
      <c r="J32" s="127" t="s">
        <v>265</v>
      </c>
      <c r="K32" s="183" t="s">
        <v>265</v>
      </c>
      <c r="L32" s="129" t="s">
        <v>265</v>
      </c>
      <c r="M32" s="334" t="s">
        <v>265</v>
      </c>
      <c r="N32" s="334" t="s">
        <v>265</v>
      </c>
      <c r="O32" s="334" t="s">
        <v>265</v>
      </c>
      <c r="P32" s="249" t="s">
        <v>265</v>
      </c>
      <c r="Q32" s="249"/>
      <c r="R32" s="249" t="s">
        <v>265</v>
      </c>
      <c r="S32" s="41" t="s">
        <v>265</v>
      </c>
      <c r="T32" s="41" t="s">
        <v>265</v>
      </c>
      <c r="U32" s="249" t="s">
        <v>265</v>
      </c>
      <c r="V32" s="249" t="s">
        <v>265</v>
      </c>
      <c r="W32" s="249" t="s">
        <v>265</v>
      </c>
      <c r="X32" s="249" t="s">
        <v>265</v>
      </c>
      <c r="Y32" s="249" t="s">
        <v>265</v>
      </c>
      <c r="Z32" s="249" t="s">
        <v>265</v>
      </c>
      <c r="AA32" s="249" t="s">
        <v>265</v>
      </c>
      <c r="AB32" s="249" t="s">
        <v>265</v>
      </c>
      <c r="AC32" s="249" t="s">
        <v>265</v>
      </c>
      <c r="AD32" s="249" t="s">
        <v>265</v>
      </c>
      <c r="AE32" s="249" t="s">
        <v>265</v>
      </c>
      <c r="AF32" s="249" t="s">
        <v>265</v>
      </c>
      <c r="AG32" s="249" t="s">
        <v>265</v>
      </c>
      <c r="AH32" s="249" t="s">
        <v>265</v>
      </c>
      <c r="AI32" s="249" t="s">
        <v>265</v>
      </c>
      <c r="AJ32" s="249" t="s">
        <v>265</v>
      </c>
      <c r="AK32" s="91" t="s">
        <v>265</v>
      </c>
      <c r="AL32" s="477"/>
      <c r="AM32" s="249">
        <v>9</v>
      </c>
      <c r="AN32" s="249">
        <v>9</v>
      </c>
      <c r="AO32" s="249"/>
      <c r="AP32" s="249">
        <f t="shared" si="8"/>
        <v>9</v>
      </c>
      <c r="AQ32" s="249">
        <f t="shared" si="9"/>
        <v>81</v>
      </c>
      <c r="AR32" s="88" t="s">
        <v>332</v>
      </c>
      <c r="AS32" s="334" t="s">
        <v>265</v>
      </c>
      <c r="AT32" s="334" t="s">
        <v>265</v>
      </c>
      <c r="AU32" s="334" t="s">
        <v>265</v>
      </c>
      <c r="AV32" s="334" t="s">
        <v>265</v>
      </c>
      <c r="AW32" s="334" t="s">
        <v>265</v>
      </c>
      <c r="AX32" s="334" t="s">
        <v>265</v>
      </c>
      <c r="AY32" s="249" t="s">
        <v>265</v>
      </c>
      <c r="AZ32" s="122" t="s">
        <v>265</v>
      </c>
      <c r="BA32" s="334" t="s">
        <v>265</v>
      </c>
      <c r="BB32" s="334" t="s">
        <v>265</v>
      </c>
      <c r="BC32" s="249" t="s">
        <v>265</v>
      </c>
      <c r="BD32" s="249" t="s">
        <v>265</v>
      </c>
      <c r="BE32" s="249" t="s">
        <v>265</v>
      </c>
      <c r="BF32" s="249" t="s">
        <v>265</v>
      </c>
      <c r="BG32" s="249" t="s">
        <v>265</v>
      </c>
      <c r="BH32" s="249" t="s">
        <v>265</v>
      </c>
      <c r="BI32" s="249" t="s">
        <v>265</v>
      </c>
      <c r="BJ32" s="249" t="s">
        <v>265</v>
      </c>
      <c r="BK32" s="249" t="s">
        <v>265</v>
      </c>
      <c r="BL32" s="122" t="str">
        <f>IF(AZ32="N.S","N.S",3*(AZ32*BL1+0.001*IF(BB32="N.S",0,BB32*(1-BL1))))</f>
        <v>N.S</v>
      </c>
      <c r="BM32" s="520" t="s">
        <v>265</v>
      </c>
      <c r="BN32" s="656" t="str">
        <f t="shared" si="10"/>
        <v>N.S</v>
      </c>
      <c r="BO32" s="283" t="str">
        <f t="shared" si="11"/>
        <v>N.S</v>
      </c>
      <c r="BP32" s="484" t="s">
        <v>265</v>
      </c>
      <c r="BQ32" s="249" t="s">
        <v>265</v>
      </c>
      <c r="BR32" s="249" t="s">
        <v>265</v>
      </c>
      <c r="BS32" s="249" t="s">
        <v>265</v>
      </c>
      <c r="BT32" s="249" t="s">
        <v>265</v>
      </c>
      <c r="BU32" s="249" t="s">
        <v>265</v>
      </c>
      <c r="BV32" s="249" t="s">
        <v>265</v>
      </c>
      <c r="BW32" s="249" t="s">
        <v>265</v>
      </c>
      <c r="BX32" s="283">
        <v>10000000</v>
      </c>
      <c r="BY32" s="41" t="s">
        <v>265</v>
      </c>
      <c r="BZ32" s="353" t="s">
        <v>813</v>
      </c>
      <c r="CA32" s="334" t="s">
        <v>806</v>
      </c>
      <c r="CB32" s="91" t="s">
        <v>265</v>
      </c>
      <c r="CC32" s="484" t="s">
        <v>265</v>
      </c>
      <c r="CD32" s="249" t="s">
        <v>811</v>
      </c>
      <c r="CE32" s="249" t="s">
        <v>265</v>
      </c>
      <c r="CF32" s="98" t="s">
        <v>884</v>
      </c>
      <c r="CG32" s="249" t="s">
        <v>265</v>
      </c>
      <c r="CH32" s="91" t="s">
        <v>265</v>
      </c>
      <c r="CI32" s="522" t="s">
        <v>265</v>
      </c>
      <c r="CJ32" s="122" t="s">
        <v>265</v>
      </c>
      <c r="CK32" s="523" t="s">
        <v>265</v>
      </c>
      <c r="CL32" s="484" t="s">
        <v>265</v>
      </c>
      <c r="CM32" s="89" t="s">
        <v>265</v>
      </c>
      <c r="CN32" s="477" t="s">
        <v>265</v>
      </c>
      <c r="CO32" s="183">
        <v>0</v>
      </c>
      <c r="CP32" s="127"/>
      <c r="CQ32" s="127"/>
      <c r="CR32" s="183"/>
      <c r="CS32" s="129"/>
      <c r="CT32" s="184">
        <v>0</v>
      </c>
      <c r="CU32" s="127"/>
      <c r="CV32" s="127"/>
      <c r="CW32" s="183"/>
      <c r="CX32" s="129"/>
      <c r="CY32" s="87">
        <v>0</v>
      </c>
      <c r="CZ32" s="41">
        <v>0</v>
      </c>
      <c r="DA32" s="41"/>
      <c r="DB32" s="41"/>
      <c r="DC32" s="41"/>
      <c r="DD32" s="41"/>
      <c r="DE32" s="41"/>
      <c r="DF32" s="41"/>
      <c r="DG32" s="41"/>
      <c r="DH32" s="41"/>
      <c r="DI32" s="123"/>
      <c r="DJ32" s="87">
        <v>0</v>
      </c>
      <c r="DK32" s="41">
        <v>0</v>
      </c>
      <c r="DL32" s="41"/>
      <c r="DM32" s="41"/>
      <c r="DN32" s="41"/>
      <c r="DO32" s="41"/>
      <c r="DP32" s="41"/>
      <c r="DQ32" s="41"/>
      <c r="DR32" s="41"/>
      <c r="DS32" s="41"/>
      <c r="DT32" s="88"/>
      <c r="DU32" s="87">
        <v>0</v>
      </c>
      <c r="DV32" s="41">
        <v>0</v>
      </c>
      <c r="DW32" s="41"/>
      <c r="DX32" s="41"/>
      <c r="DY32" s="41"/>
      <c r="DZ32" s="41"/>
      <c r="EA32" s="41"/>
      <c r="EB32" s="41"/>
      <c r="EC32" s="41"/>
      <c r="ED32" s="41"/>
      <c r="EE32" s="123"/>
      <c r="EF32" s="87">
        <v>0</v>
      </c>
      <c r="EG32" s="41"/>
      <c r="EH32" s="41"/>
      <c r="EI32" s="41"/>
      <c r="EJ32" s="88"/>
      <c r="EK32" s="87">
        <v>0</v>
      </c>
      <c r="EL32" s="41"/>
      <c r="EM32" s="41"/>
      <c r="EN32" s="41"/>
      <c r="EO32" s="88"/>
      <c r="EP32" s="87">
        <v>0</v>
      </c>
      <c r="EQ32" s="41"/>
      <c r="ER32" s="41"/>
      <c r="ES32" s="41"/>
      <c r="ET32" s="88"/>
      <c r="EU32" s="87">
        <v>0</v>
      </c>
      <c r="EV32" s="41"/>
      <c r="EW32" s="41"/>
      <c r="EX32" s="41"/>
      <c r="EY32" s="88"/>
      <c r="EZ32" s="87">
        <v>0</v>
      </c>
      <c r="FA32" s="41"/>
      <c r="FB32" s="41"/>
      <c r="FC32" s="41"/>
      <c r="FD32" s="88"/>
      <c r="FE32" s="87">
        <v>0</v>
      </c>
      <c r="FF32" s="127"/>
      <c r="FG32" s="127"/>
      <c r="FH32" s="127"/>
      <c r="FI32" s="123"/>
      <c r="FJ32" s="87">
        <v>0</v>
      </c>
      <c r="FK32" s="41"/>
      <c r="FL32" s="41"/>
      <c r="FM32" s="41"/>
      <c r="FN32" s="88"/>
      <c r="FO32" s="87">
        <v>0</v>
      </c>
      <c r="FP32" s="41"/>
      <c r="FQ32" s="41"/>
      <c r="FR32" s="41"/>
      <c r="FS32" s="88"/>
      <c r="FT32" s="87">
        <v>0</v>
      </c>
      <c r="FU32" s="41"/>
      <c r="FV32" s="41"/>
      <c r="FW32" s="41"/>
      <c r="FX32" s="88"/>
      <c r="FY32" s="87">
        <v>0</v>
      </c>
      <c r="FZ32" s="41"/>
      <c r="GA32" s="41"/>
      <c r="GB32" s="41"/>
      <c r="GC32" s="88"/>
      <c r="GD32" s="87">
        <v>0</v>
      </c>
      <c r="GE32" s="41"/>
      <c r="GF32" s="41"/>
      <c r="GG32" s="41"/>
      <c r="GH32" s="88"/>
      <c r="GI32" s="87">
        <v>0</v>
      </c>
      <c r="GJ32" s="41"/>
      <c r="GK32" s="127"/>
      <c r="GL32" s="41"/>
      <c r="GM32" s="88"/>
      <c r="GN32" s="87">
        <v>0</v>
      </c>
      <c r="GO32" s="41"/>
      <c r="GP32" s="41"/>
      <c r="GQ32" s="41"/>
      <c r="GR32" s="88"/>
      <c r="GS32" s="87">
        <v>0</v>
      </c>
      <c r="GT32" s="41"/>
      <c r="GU32" s="41"/>
      <c r="GV32" s="41"/>
      <c r="GW32" s="88"/>
      <c r="GX32" s="301">
        <f t="shared" si="1"/>
        <v>1</v>
      </c>
      <c r="GY32" s="301" t="str">
        <f t="shared" si="0"/>
        <v/>
      </c>
      <c r="GZ32" s="41" t="str">
        <f t="shared" si="2"/>
        <v/>
      </c>
      <c r="HA32" s="41" t="str">
        <f t="shared" si="3"/>
        <v/>
      </c>
      <c r="HB32" s="41" t="str">
        <f t="shared" si="4"/>
        <v/>
      </c>
      <c r="HC32" s="41" t="str">
        <f t="shared" si="5"/>
        <v/>
      </c>
      <c r="HD32" s="41" t="str">
        <f t="shared" si="6"/>
        <v/>
      </c>
      <c r="HE32" s="88" t="str">
        <f t="shared" si="7"/>
        <v/>
      </c>
      <c r="HF32" s="524">
        <v>1</v>
      </c>
      <c r="HG32" s="41" t="s">
        <v>82</v>
      </c>
      <c r="HH32" s="41">
        <v>1</v>
      </c>
      <c r="HI32" s="41" t="s">
        <v>82</v>
      </c>
      <c r="HJ32" s="41">
        <v>1</v>
      </c>
      <c r="HK32" s="41" t="s">
        <v>82</v>
      </c>
      <c r="HL32" s="41">
        <v>1</v>
      </c>
      <c r="HM32" s="41">
        <v>1</v>
      </c>
      <c r="HN32" s="41">
        <v>1</v>
      </c>
      <c r="HO32" s="41" t="s">
        <v>82</v>
      </c>
      <c r="HP32" s="41" t="s">
        <v>82</v>
      </c>
      <c r="HQ32" s="41" t="s">
        <v>82</v>
      </c>
      <c r="HR32" s="41" t="s">
        <v>82</v>
      </c>
      <c r="HS32" s="41" t="s">
        <v>82</v>
      </c>
      <c r="HT32" s="41" t="s">
        <v>82</v>
      </c>
      <c r="HU32" s="41" t="s">
        <v>82</v>
      </c>
      <c r="HV32" s="41" t="s">
        <v>82</v>
      </c>
      <c r="HW32" s="41" t="s">
        <v>82</v>
      </c>
      <c r="HX32" s="41" t="s">
        <v>82</v>
      </c>
      <c r="HY32" s="41" t="s">
        <v>82</v>
      </c>
      <c r="HZ32" s="41" t="s">
        <v>82</v>
      </c>
      <c r="IA32" s="41" t="s">
        <v>82</v>
      </c>
      <c r="IB32" s="41" t="s">
        <v>82</v>
      </c>
      <c r="IC32" s="41" t="s">
        <v>82</v>
      </c>
      <c r="ID32" s="41" t="s">
        <v>82</v>
      </c>
      <c r="IE32" s="41" t="s">
        <v>82</v>
      </c>
      <c r="IF32" s="41" t="s">
        <v>82</v>
      </c>
      <c r="IG32" s="41" t="s">
        <v>82</v>
      </c>
      <c r="IH32" s="41" t="s">
        <v>82</v>
      </c>
      <c r="II32" s="88" t="s">
        <v>82</v>
      </c>
    </row>
    <row r="33" spans="1:244" s="89" customFormat="1" ht="14.4">
      <c r="A33" s="754"/>
      <c r="B33" s="90" t="s">
        <v>536</v>
      </c>
      <c r="C33" s="772" t="s">
        <v>542</v>
      </c>
      <c r="D33" s="98" t="s">
        <v>815</v>
      </c>
      <c r="E33" s="248" t="s">
        <v>65</v>
      </c>
      <c r="F33" s="336" t="s">
        <v>65</v>
      </c>
      <c r="G33" s="730" t="s">
        <v>124</v>
      </c>
      <c r="H33" s="730" t="s">
        <v>65</v>
      </c>
      <c r="I33" s="730" t="s">
        <v>65</v>
      </c>
      <c r="J33" s="127" t="s">
        <v>265</v>
      </c>
      <c r="K33" s="183">
        <v>3</v>
      </c>
      <c r="L33" s="129">
        <v>2009</v>
      </c>
      <c r="M33" s="334" t="s">
        <v>265</v>
      </c>
      <c r="N33" s="334" t="s">
        <v>265</v>
      </c>
      <c r="O33" s="334" t="s">
        <v>265</v>
      </c>
      <c r="P33" s="249" t="s">
        <v>265</v>
      </c>
      <c r="Q33" s="249"/>
      <c r="R33" s="249" t="s">
        <v>265</v>
      </c>
      <c r="S33" s="41" t="s">
        <v>265</v>
      </c>
      <c r="T33" s="41" t="s">
        <v>265</v>
      </c>
      <c r="U33" s="249" t="s">
        <v>265</v>
      </c>
      <c r="V33" s="249" t="s">
        <v>265</v>
      </c>
      <c r="W33" s="249" t="s">
        <v>265</v>
      </c>
      <c r="X33" s="249" t="s">
        <v>265</v>
      </c>
      <c r="Y33" s="249" t="s">
        <v>265</v>
      </c>
      <c r="Z33" s="249" t="s">
        <v>265</v>
      </c>
      <c r="AA33" s="249" t="s">
        <v>265</v>
      </c>
      <c r="AB33" s="249" t="s">
        <v>265</v>
      </c>
      <c r="AC33" s="249" t="s">
        <v>265</v>
      </c>
      <c r="AD33" s="249" t="s">
        <v>265</v>
      </c>
      <c r="AE33" s="249" t="s">
        <v>265</v>
      </c>
      <c r="AF33" s="249" t="s">
        <v>265</v>
      </c>
      <c r="AG33" s="249" t="s">
        <v>265</v>
      </c>
      <c r="AH33" s="249" t="s">
        <v>265</v>
      </c>
      <c r="AI33" s="249" t="s">
        <v>265</v>
      </c>
      <c r="AJ33" s="249" t="s">
        <v>265</v>
      </c>
      <c r="AK33" s="91" t="s">
        <v>265</v>
      </c>
      <c r="AL33" s="477"/>
      <c r="AM33" s="249" t="s">
        <v>265</v>
      </c>
      <c r="AN33" s="249" t="s">
        <v>265</v>
      </c>
      <c r="AO33" s="249"/>
      <c r="AP33" s="249" t="str">
        <f t="shared" si="8"/>
        <v>N.S</v>
      </c>
      <c r="AQ33" s="249">
        <v>0.01</v>
      </c>
      <c r="AR33" s="88" t="s">
        <v>265</v>
      </c>
      <c r="AS33" s="334">
        <v>1.1000000000000001</v>
      </c>
      <c r="AT33" s="334">
        <v>1.1000000000000001</v>
      </c>
      <c r="AU33" s="334" t="s">
        <v>265</v>
      </c>
      <c r="AV33" s="334" t="s">
        <v>265</v>
      </c>
      <c r="AW33" s="334" t="s">
        <v>265</v>
      </c>
      <c r="AX33" s="334" t="s">
        <v>265</v>
      </c>
      <c r="AY33" s="249" t="s">
        <v>265</v>
      </c>
      <c r="AZ33" s="122" t="s">
        <v>265</v>
      </c>
      <c r="BA33" s="334" t="s">
        <v>265</v>
      </c>
      <c r="BB33" s="334" t="s">
        <v>265</v>
      </c>
      <c r="BC33" s="249" t="s">
        <v>265</v>
      </c>
      <c r="BD33" s="249" t="s">
        <v>265</v>
      </c>
      <c r="BE33" s="249" t="s">
        <v>265</v>
      </c>
      <c r="BF33" s="249" t="s">
        <v>265</v>
      </c>
      <c r="BG33" s="249" t="s">
        <v>265</v>
      </c>
      <c r="BH33" s="249" t="s">
        <v>265</v>
      </c>
      <c r="BI33" s="249" t="s">
        <v>265</v>
      </c>
      <c r="BJ33" s="249" t="s">
        <v>265</v>
      </c>
      <c r="BK33" s="249" t="s">
        <v>265</v>
      </c>
      <c r="BL33" s="122" t="str">
        <f>IF(AZ33="N.S","N.S",3*(AZ33*BL1+0.001*IF(BB33="N.S",0,BB33*(1-BL1))))</f>
        <v>N.S</v>
      </c>
      <c r="BM33" s="520" t="s">
        <v>265</v>
      </c>
      <c r="BN33" s="656" t="str">
        <f t="shared" si="10"/>
        <v>N.S</v>
      </c>
      <c r="BO33" s="283" t="str">
        <f t="shared" si="11"/>
        <v>N.S</v>
      </c>
      <c r="BP33" s="484" t="s">
        <v>265</v>
      </c>
      <c r="BQ33" s="249">
        <v>8</v>
      </c>
      <c r="BR33" s="249" t="s">
        <v>265</v>
      </c>
      <c r="BS33" s="249" t="s">
        <v>265</v>
      </c>
      <c r="BT33" s="249" t="s">
        <v>265</v>
      </c>
      <c r="BU33" s="249" t="s">
        <v>265</v>
      </c>
      <c r="BV33" s="249" t="s">
        <v>265</v>
      </c>
      <c r="BW33" s="249" t="s">
        <v>265</v>
      </c>
      <c r="BX33" s="338" t="s">
        <v>265</v>
      </c>
      <c r="BY33" s="41" t="s">
        <v>265</v>
      </c>
      <c r="BZ33" s="88" t="s">
        <v>814</v>
      </c>
      <c r="CA33" s="334" t="s">
        <v>265</v>
      </c>
      <c r="CB33" s="91" t="s">
        <v>265</v>
      </c>
      <c r="CC33" s="484" t="s">
        <v>265</v>
      </c>
      <c r="CD33" s="249" t="s">
        <v>265</v>
      </c>
      <c r="CE33" s="249" t="s">
        <v>265</v>
      </c>
      <c r="CF33" s="249" t="s">
        <v>265</v>
      </c>
      <c r="CG33" s="249" t="s">
        <v>265</v>
      </c>
      <c r="CH33" s="91" t="s">
        <v>265</v>
      </c>
      <c r="CI33" s="522" t="s">
        <v>265</v>
      </c>
      <c r="CJ33" s="122" t="s">
        <v>265</v>
      </c>
      <c r="CK33" s="523" t="s">
        <v>265</v>
      </c>
      <c r="CL33" s="484" t="s">
        <v>817</v>
      </c>
      <c r="CN33" s="477"/>
      <c r="CO33" s="183">
        <v>0</v>
      </c>
      <c r="CP33" s="127"/>
      <c r="CQ33" s="127"/>
      <c r="CR33" s="183"/>
      <c r="CS33" s="129"/>
      <c r="CT33" s="184">
        <v>0</v>
      </c>
      <c r="CU33" s="127"/>
      <c r="CV33" s="127"/>
      <c r="CW33" s="183"/>
      <c r="CX33" s="129"/>
      <c r="CY33" s="87">
        <v>0</v>
      </c>
      <c r="CZ33" s="41">
        <v>0</v>
      </c>
      <c r="DA33" s="41"/>
      <c r="DB33" s="41"/>
      <c r="DC33" s="41"/>
      <c r="DD33" s="41"/>
      <c r="DE33" s="41"/>
      <c r="DF33" s="41"/>
      <c r="DG33" s="41"/>
      <c r="DH33" s="41"/>
      <c r="DI33" s="123"/>
      <c r="DJ33" s="87">
        <v>0</v>
      </c>
      <c r="DK33" s="41">
        <v>0</v>
      </c>
      <c r="DL33" s="41"/>
      <c r="DM33" s="41"/>
      <c r="DN33" s="41"/>
      <c r="DO33" s="41"/>
      <c r="DP33" s="41"/>
      <c r="DQ33" s="41"/>
      <c r="DR33" s="41"/>
      <c r="DS33" s="41"/>
      <c r="DT33" s="88"/>
      <c r="DU33" s="87">
        <v>0</v>
      </c>
      <c r="DV33" s="41">
        <v>0</v>
      </c>
      <c r="DW33" s="41"/>
      <c r="DX33" s="41"/>
      <c r="DY33" s="41"/>
      <c r="DZ33" s="41"/>
      <c r="EA33" s="41"/>
      <c r="EB33" s="41"/>
      <c r="EC33" s="41"/>
      <c r="ED33" s="41"/>
      <c r="EE33" s="123"/>
      <c r="EF33" s="87">
        <v>0</v>
      </c>
      <c r="EG33" s="41"/>
      <c r="EH33" s="41"/>
      <c r="EI33" s="41"/>
      <c r="EJ33" s="88"/>
      <c r="EK33" s="87">
        <v>0</v>
      </c>
      <c r="EL33" s="41"/>
      <c r="EM33" s="41"/>
      <c r="EN33" s="41"/>
      <c r="EO33" s="88"/>
      <c r="EP33" s="87">
        <v>0</v>
      </c>
      <c r="EQ33" s="41"/>
      <c r="ER33" s="41"/>
      <c r="ES33" s="41"/>
      <c r="ET33" s="88"/>
      <c r="EU33" s="87">
        <v>0</v>
      </c>
      <c r="EV33" s="41"/>
      <c r="EW33" s="41"/>
      <c r="EX33" s="41"/>
      <c r="EY33" s="88"/>
      <c r="EZ33" s="87">
        <v>0</v>
      </c>
      <c r="FA33" s="41"/>
      <c r="FB33" s="41"/>
      <c r="FC33" s="41"/>
      <c r="FD33" s="88"/>
      <c r="FE33" s="87">
        <v>0</v>
      </c>
      <c r="FF33" s="127"/>
      <c r="FG33" s="127"/>
      <c r="FH33" s="127"/>
      <c r="FI33" s="123"/>
      <c r="FJ33" s="87">
        <v>0</v>
      </c>
      <c r="FK33" s="41"/>
      <c r="FL33" s="41"/>
      <c r="FM33" s="41"/>
      <c r="FN33" s="88"/>
      <c r="FO33" s="87">
        <v>0</v>
      </c>
      <c r="FP33" s="41"/>
      <c r="FQ33" s="41"/>
      <c r="FR33" s="41"/>
      <c r="FS33" s="88"/>
      <c r="FT33" s="87">
        <v>0</v>
      </c>
      <c r="FU33" s="41"/>
      <c r="FV33" s="41"/>
      <c r="FW33" s="41"/>
      <c r="FX33" s="88"/>
      <c r="FY33" s="87">
        <v>0</v>
      </c>
      <c r="FZ33" s="41"/>
      <c r="GA33" s="41"/>
      <c r="GB33" s="41"/>
      <c r="GC33" s="88"/>
      <c r="GD33" s="87">
        <v>0</v>
      </c>
      <c r="GE33" s="41"/>
      <c r="GF33" s="41"/>
      <c r="GG33" s="41"/>
      <c r="GH33" s="88"/>
      <c r="GI33" s="87">
        <v>0</v>
      </c>
      <c r="GJ33" s="41"/>
      <c r="GK33" s="127"/>
      <c r="GL33" s="41"/>
      <c r="GM33" s="88"/>
      <c r="GN33" s="87">
        <v>0</v>
      </c>
      <c r="GO33" s="41"/>
      <c r="GP33" s="41"/>
      <c r="GQ33" s="41"/>
      <c r="GR33" s="88"/>
      <c r="GS33" s="87">
        <v>0</v>
      </c>
      <c r="GT33" s="41"/>
      <c r="GU33" s="41"/>
      <c r="GV33" s="41"/>
      <c r="GW33" s="88"/>
      <c r="GX33" s="301">
        <f t="shared" si="1"/>
        <v>1</v>
      </c>
      <c r="GY33" s="301" t="str">
        <f t="shared" si="0"/>
        <v/>
      </c>
      <c r="GZ33" s="41" t="str">
        <f t="shared" si="2"/>
        <v/>
      </c>
      <c r="HA33" s="41" t="str">
        <f t="shared" si="3"/>
        <v/>
      </c>
      <c r="HB33" s="41" t="str">
        <f t="shared" si="4"/>
        <v/>
      </c>
      <c r="HC33" s="41" t="str">
        <f t="shared" si="5"/>
        <v/>
      </c>
      <c r="HD33" s="41" t="str">
        <f t="shared" si="6"/>
        <v/>
      </c>
      <c r="HE33" s="88" t="str">
        <f t="shared" si="7"/>
        <v/>
      </c>
      <c r="HF33" s="524">
        <v>1</v>
      </c>
      <c r="HG33" s="41" t="s">
        <v>82</v>
      </c>
      <c r="HH33" s="41" t="s">
        <v>82</v>
      </c>
      <c r="HI33" s="41" t="s">
        <v>82</v>
      </c>
      <c r="HJ33" s="41" t="s">
        <v>82</v>
      </c>
      <c r="HK33" s="41" t="s">
        <v>82</v>
      </c>
      <c r="HL33" s="41" t="s">
        <v>82</v>
      </c>
      <c r="HM33" s="41" t="s">
        <v>82</v>
      </c>
      <c r="HN33" s="41" t="s">
        <v>82</v>
      </c>
      <c r="HO33" s="41" t="s">
        <v>82</v>
      </c>
      <c r="HP33" s="41" t="s">
        <v>82</v>
      </c>
      <c r="HQ33" s="41" t="s">
        <v>82</v>
      </c>
      <c r="HR33" s="41" t="s">
        <v>82</v>
      </c>
      <c r="HS33" s="41" t="s">
        <v>82</v>
      </c>
      <c r="HT33" s="41" t="s">
        <v>82</v>
      </c>
      <c r="HU33" s="41" t="s">
        <v>82</v>
      </c>
      <c r="HV33" s="41" t="s">
        <v>82</v>
      </c>
      <c r="HW33" s="41" t="s">
        <v>82</v>
      </c>
      <c r="HX33" s="41" t="s">
        <v>82</v>
      </c>
      <c r="HY33" s="41" t="s">
        <v>82</v>
      </c>
      <c r="HZ33" s="41" t="s">
        <v>82</v>
      </c>
      <c r="IA33" s="41" t="s">
        <v>82</v>
      </c>
      <c r="IB33" s="41" t="s">
        <v>82</v>
      </c>
      <c r="IC33" s="41" t="s">
        <v>82</v>
      </c>
      <c r="ID33" s="41" t="s">
        <v>82</v>
      </c>
      <c r="IE33" s="41" t="s">
        <v>82</v>
      </c>
      <c r="IF33" s="41" t="s">
        <v>82</v>
      </c>
      <c r="IG33" s="41" t="s">
        <v>82</v>
      </c>
      <c r="IH33" s="41" t="s">
        <v>82</v>
      </c>
      <c r="II33" s="88" t="s">
        <v>82</v>
      </c>
    </row>
    <row r="34" spans="1:244" s="89" customFormat="1" ht="27.6">
      <c r="A34" s="754"/>
      <c r="B34" s="90" t="s">
        <v>537</v>
      </c>
      <c r="C34" s="773"/>
      <c r="D34" s="98" t="s">
        <v>815</v>
      </c>
      <c r="E34" s="248" t="s">
        <v>65</v>
      </c>
      <c r="F34" s="341" t="s">
        <v>124</v>
      </c>
      <c r="G34" s="731"/>
      <c r="H34" s="731"/>
      <c r="I34" s="731"/>
      <c r="J34" s="127" t="s">
        <v>265</v>
      </c>
      <c r="K34" s="183">
        <v>4</v>
      </c>
      <c r="L34" s="129">
        <v>2012</v>
      </c>
      <c r="M34" s="334" t="s">
        <v>265</v>
      </c>
      <c r="N34" s="334" t="s">
        <v>265</v>
      </c>
      <c r="O34" s="334" t="s">
        <v>265</v>
      </c>
      <c r="P34" s="249" t="s">
        <v>265</v>
      </c>
      <c r="Q34" s="249"/>
      <c r="R34" s="249" t="s">
        <v>265</v>
      </c>
      <c r="S34" s="41" t="s">
        <v>265</v>
      </c>
      <c r="T34" s="41" t="s">
        <v>265</v>
      </c>
      <c r="U34" s="249" t="s">
        <v>265</v>
      </c>
      <c r="V34" s="249" t="s">
        <v>265</v>
      </c>
      <c r="W34" s="249" t="s">
        <v>265</v>
      </c>
      <c r="X34" s="249" t="s">
        <v>265</v>
      </c>
      <c r="Y34" s="249" t="s">
        <v>265</v>
      </c>
      <c r="Z34" s="249" t="s">
        <v>265</v>
      </c>
      <c r="AA34" s="249" t="s">
        <v>265</v>
      </c>
      <c r="AB34" s="249" t="s">
        <v>265</v>
      </c>
      <c r="AC34" s="249" t="s">
        <v>265</v>
      </c>
      <c r="AD34" s="249" t="s">
        <v>265</v>
      </c>
      <c r="AE34" s="249" t="s">
        <v>265</v>
      </c>
      <c r="AF34" s="249" t="s">
        <v>265</v>
      </c>
      <c r="AG34" s="249" t="s">
        <v>265</v>
      </c>
      <c r="AH34" s="249" t="s">
        <v>265</v>
      </c>
      <c r="AI34" s="249" t="s">
        <v>265</v>
      </c>
      <c r="AJ34" s="249" t="s">
        <v>265</v>
      </c>
      <c r="AK34" s="91" t="s">
        <v>265</v>
      </c>
      <c r="AL34" s="477"/>
      <c r="AM34" s="249" t="s">
        <v>265</v>
      </c>
      <c r="AN34" s="249" t="s">
        <v>265</v>
      </c>
      <c r="AO34" s="249"/>
      <c r="AP34" s="249" t="str">
        <f>IF(MAX(AM34:AN34)=0,"N.S",MAX(AM34:AN34))</f>
        <v>N.S</v>
      </c>
      <c r="AQ34" s="249">
        <v>8.9999999999999993E-3</v>
      </c>
      <c r="AR34" s="88" t="s">
        <v>265</v>
      </c>
      <c r="AS34" s="334" t="s">
        <v>265</v>
      </c>
      <c r="AT34" s="334" t="s">
        <v>265</v>
      </c>
      <c r="AU34" s="334" t="s">
        <v>265</v>
      </c>
      <c r="AV34" s="334" t="s">
        <v>265</v>
      </c>
      <c r="AW34" s="334" t="s">
        <v>265</v>
      </c>
      <c r="AX34" s="334" t="s">
        <v>265</v>
      </c>
      <c r="AY34" s="249" t="s">
        <v>265</v>
      </c>
      <c r="AZ34" s="122" t="s">
        <v>265</v>
      </c>
      <c r="BA34" s="334" t="s">
        <v>265</v>
      </c>
      <c r="BB34" s="334" t="s">
        <v>265</v>
      </c>
      <c r="BC34" s="249" t="s">
        <v>265</v>
      </c>
      <c r="BD34" s="249" t="s">
        <v>265</v>
      </c>
      <c r="BE34" s="249" t="s">
        <v>265</v>
      </c>
      <c r="BF34" s="249" t="s">
        <v>265</v>
      </c>
      <c r="BG34" s="249" t="s">
        <v>265</v>
      </c>
      <c r="BH34" s="249" t="s">
        <v>265</v>
      </c>
      <c r="BI34" s="249" t="s">
        <v>265</v>
      </c>
      <c r="BJ34" s="249" t="s">
        <v>265</v>
      </c>
      <c r="BK34" s="249" t="s">
        <v>265</v>
      </c>
      <c r="BL34" s="122" t="str">
        <f>IF(AZ34="N.S","N.S",3*(AZ34*BL2+0.001*IF(BB34="N.S",0,BB34*(1-BL2))))</f>
        <v>N.S</v>
      </c>
      <c r="BM34" s="520" t="s">
        <v>265</v>
      </c>
      <c r="BN34" s="656" t="str">
        <f t="shared" si="10"/>
        <v>N.S</v>
      </c>
      <c r="BO34" s="283" t="str">
        <f t="shared" si="11"/>
        <v>N.S</v>
      </c>
      <c r="BP34" s="484" t="s">
        <v>265</v>
      </c>
      <c r="BQ34" s="249">
        <v>8</v>
      </c>
      <c r="BR34" s="249" t="s">
        <v>265</v>
      </c>
      <c r="BS34" s="249" t="s">
        <v>265</v>
      </c>
      <c r="BT34" s="249" t="s">
        <v>265</v>
      </c>
      <c r="BU34" s="249" t="s">
        <v>265</v>
      </c>
      <c r="BV34" s="249" t="s">
        <v>265</v>
      </c>
      <c r="BW34" s="249" t="s">
        <v>265</v>
      </c>
      <c r="BX34" s="338" t="s">
        <v>265</v>
      </c>
      <c r="BY34" s="41" t="s">
        <v>265</v>
      </c>
      <c r="BZ34" s="88" t="s">
        <v>814</v>
      </c>
      <c r="CA34" s="334" t="s">
        <v>265</v>
      </c>
      <c r="CB34" s="91" t="s">
        <v>265</v>
      </c>
      <c r="CC34" s="484" t="s">
        <v>265</v>
      </c>
      <c r="CD34" s="249" t="s">
        <v>265</v>
      </c>
      <c r="CE34" s="249" t="s">
        <v>265</v>
      </c>
      <c r="CF34" s="249" t="s">
        <v>265</v>
      </c>
      <c r="CG34" s="249" t="s">
        <v>265</v>
      </c>
      <c r="CH34" s="91" t="s">
        <v>265</v>
      </c>
      <c r="CI34" s="522" t="s">
        <v>265</v>
      </c>
      <c r="CJ34" s="122" t="s">
        <v>265</v>
      </c>
      <c r="CK34" s="523" t="s">
        <v>265</v>
      </c>
      <c r="CL34" s="481" t="s">
        <v>816</v>
      </c>
      <c r="CN34" s="477"/>
      <c r="CO34" s="183">
        <v>0</v>
      </c>
      <c r="CP34" s="127"/>
      <c r="CQ34" s="127"/>
      <c r="CR34" s="183"/>
      <c r="CS34" s="129"/>
      <c r="CT34" s="184">
        <v>0</v>
      </c>
      <c r="CU34" s="127"/>
      <c r="CV34" s="127"/>
      <c r="CW34" s="183"/>
      <c r="CX34" s="129"/>
      <c r="CY34" s="87">
        <v>0</v>
      </c>
      <c r="CZ34" s="41">
        <v>0</v>
      </c>
      <c r="DA34" s="41"/>
      <c r="DB34" s="41"/>
      <c r="DC34" s="41"/>
      <c r="DD34" s="41"/>
      <c r="DE34" s="41"/>
      <c r="DF34" s="41"/>
      <c r="DG34" s="41"/>
      <c r="DH34" s="41"/>
      <c r="DI34" s="123"/>
      <c r="DJ34" s="87">
        <v>0</v>
      </c>
      <c r="DK34" s="41">
        <v>0</v>
      </c>
      <c r="DL34" s="41"/>
      <c r="DM34" s="41"/>
      <c r="DN34" s="41"/>
      <c r="DO34" s="41"/>
      <c r="DP34" s="41"/>
      <c r="DQ34" s="41"/>
      <c r="DR34" s="41"/>
      <c r="DS34" s="41"/>
      <c r="DT34" s="88"/>
      <c r="DU34" s="87">
        <v>0</v>
      </c>
      <c r="DV34" s="41">
        <v>0</v>
      </c>
      <c r="DW34" s="41"/>
      <c r="DX34" s="41"/>
      <c r="DY34" s="41"/>
      <c r="DZ34" s="41"/>
      <c r="EA34" s="41"/>
      <c r="EB34" s="41"/>
      <c r="EC34" s="41"/>
      <c r="ED34" s="41"/>
      <c r="EE34" s="123"/>
      <c r="EF34" s="87">
        <v>0</v>
      </c>
      <c r="EG34" s="41"/>
      <c r="EH34" s="41"/>
      <c r="EI34" s="41"/>
      <c r="EJ34" s="88"/>
      <c r="EK34" s="87">
        <v>0</v>
      </c>
      <c r="EL34" s="41"/>
      <c r="EM34" s="41"/>
      <c r="EN34" s="41"/>
      <c r="EO34" s="88"/>
      <c r="EP34" s="87">
        <v>0</v>
      </c>
      <c r="EQ34" s="41"/>
      <c r="ER34" s="41"/>
      <c r="ES34" s="41"/>
      <c r="ET34" s="88"/>
      <c r="EU34" s="87">
        <v>0</v>
      </c>
      <c r="EV34" s="41"/>
      <c r="EW34" s="41"/>
      <c r="EX34" s="41"/>
      <c r="EY34" s="88"/>
      <c r="EZ34" s="87">
        <v>0</v>
      </c>
      <c r="FA34" s="41"/>
      <c r="FB34" s="41"/>
      <c r="FC34" s="41"/>
      <c r="FD34" s="88"/>
      <c r="FE34" s="87">
        <v>0</v>
      </c>
      <c r="FF34" s="127"/>
      <c r="FG34" s="127"/>
      <c r="FH34" s="127"/>
      <c r="FI34" s="123"/>
      <c r="FJ34" s="87">
        <v>0</v>
      </c>
      <c r="FK34" s="41"/>
      <c r="FL34" s="41"/>
      <c r="FM34" s="41"/>
      <c r="FN34" s="88"/>
      <c r="FO34" s="87">
        <v>0</v>
      </c>
      <c r="FP34" s="41"/>
      <c r="FQ34" s="41"/>
      <c r="FR34" s="41"/>
      <c r="FS34" s="88"/>
      <c r="FT34" s="87">
        <v>0</v>
      </c>
      <c r="FU34" s="41"/>
      <c r="FV34" s="41"/>
      <c r="FW34" s="41"/>
      <c r="FX34" s="88"/>
      <c r="FY34" s="87">
        <v>0</v>
      </c>
      <c r="FZ34" s="41"/>
      <c r="GA34" s="41"/>
      <c r="GB34" s="41"/>
      <c r="GC34" s="88"/>
      <c r="GD34" s="87">
        <v>0</v>
      </c>
      <c r="GE34" s="41"/>
      <c r="GF34" s="41"/>
      <c r="GG34" s="41"/>
      <c r="GH34" s="88"/>
      <c r="GI34" s="87">
        <v>0</v>
      </c>
      <c r="GJ34" s="41"/>
      <c r="GK34" s="127"/>
      <c r="GL34" s="41"/>
      <c r="GM34" s="88"/>
      <c r="GN34" s="87">
        <v>0</v>
      </c>
      <c r="GO34" s="41"/>
      <c r="GP34" s="41"/>
      <c r="GQ34" s="41"/>
      <c r="GR34" s="88"/>
      <c r="GS34" s="87">
        <v>0</v>
      </c>
      <c r="GT34" s="41"/>
      <c r="GU34" s="41"/>
      <c r="GV34" s="41"/>
      <c r="GW34" s="88"/>
      <c r="GX34" s="301">
        <f t="shared" si="1"/>
        <v>1</v>
      </c>
      <c r="GY34" s="301" t="str">
        <f t="shared" si="0"/>
        <v/>
      </c>
      <c r="GZ34" s="41" t="str">
        <f t="shared" si="2"/>
        <v/>
      </c>
      <c r="HA34" s="41" t="str">
        <f t="shared" si="3"/>
        <v/>
      </c>
      <c r="HB34" s="41" t="str">
        <f t="shared" si="4"/>
        <v/>
      </c>
      <c r="HC34" s="41" t="str">
        <f t="shared" si="5"/>
        <v/>
      </c>
      <c r="HD34" s="41" t="str">
        <f t="shared" si="6"/>
        <v/>
      </c>
      <c r="HE34" s="88" t="str">
        <f t="shared" si="7"/>
        <v/>
      </c>
      <c r="HF34" s="524">
        <v>1</v>
      </c>
      <c r="HG34" s="41" t="s">
        <v>82</v>
      </c>
      <c r="HH34" s="41" t="s">
        <v>82</v>
      </c>
      <c r="HI34" s="41" t="s">
        <v>82</v>
      </c>
      <c r="HJ34" s="41" t="s">
        <v>82</v>
      </c>
      <c r="HK34" s="41" t="s">
        <v>82</v>
      </c>
      <c r="HL34" s="41" t="s">
        <v>82</v>
      </c>
      <c r="HM34" s="41" t="s">
        <v>82</v>
      </c>
      <c r="HN34" s="41" t="s">
        <v>82</v>
      </c>
      <c r="HO34" s="41" t="s">
        <v>82</v>
      </c>
      <c r="HP34" s="41" t="s">
        <v>82</v>
      </c>
      <c r="HQ34" s="41" t="s">
        <v>82</v>
      </c>
      <c r="HR34" s="41" t="s">
        <v>82</v>
      </c>
      <c r="HS34" s="41" t="s">
        <v>82</v>
      </c>
      <c r="HT34" s="41" t="s">
        <v>82</v>
      </c>
      <c r="HU34" s="41" t="s">
        <v>82</v>
      </c>
      <c r="HV34" s="41" t="s">
        <v>82</v>
      </c>
      <c r="HW34" s="41" t="s">
        <v>82</v>
      </c>
      <c r="HX34" s="41" t="s">
        <v>82</v>
      </c>
      <c r="HY34" s="41" t="s">
        <v>82</v>
      </c>
      <c r="HZ34" s="41" t="s">
        <v>82</v>
      </c>
      <c r="IA34" s="41" t="s">
        <v>82</v>
      </c>
      <c r="IB34" s="41" t="s">
        <v>82</v>
      </c>
      <c r="IC34" s="41" t="s">
        <v>82</v>
      </c>
      <c r="ID34" s="41" t="s">
        <v>82</v>
      </c>
      <c r="IE34" s="41" t="s">
        <v>82</v>
      </c>
      <c r="IF34" s="41" t="s">
        <v>82</v>
      </c>
      <c r="IG34" s="41" t="s">
        <v>82</v>
      </c>
      <c r="IH34" s="41" t="s">
        <v>82</v>
      </c>
      <c r="II34" s="88" t="s">
        <v>82</v>
      </c>
    </row>
    <row r="35" spans="1:244" s="89" customFormat="1" ht="14.4">
      <c r="A35" s="754"/>
      <c r="B35" s="90" t="s">
        <v>538</v>
      </c>
      <c r="C35" s="773"/>
      <c r="D35" s="98" t="s">
        <v>815</v>
      </c>
      <c r="E35" s="248" t="s">
        <v>65</v>
      </c>
      <c r="F35" s="341" t="s">
        <v>65</v>
      </c>
      <c r="G35" s="731"/>
      <c r="H35" s="731"/>
      <c r="I35" s="731"/>
      <c r="J35" s="127" t="s">
        <v>265</v>
      </c>
      <c r="K35" s="183">
        <v>9</v>
      </c>
      <c r="L35" s="129">
        <v>2008</v>
      </c>
      <c r="M35" s="334" t="s">
        <v>265</v>
      </c>
      <c r="N35" s="334" t="s">
        <v>265</v>
      </c>
      <c r="O35" s="334" t="s">
        <v>265</v>
      </c>
      <c r="P35" s="249" t="s">
        <v>265</v>
      </c>
      <c r="Q35" s="249"/>
      <c r="R35" s="249" t="s">
        <v>265</v>
      </c>
      <c r="S35" s="41" t="s">
        <v>265</v>
      </c>
      <c r="T35" s="41" t="s">
        <v>265</v>
      </c>
      <c r="U35" s="249" t="s">
        <v>265</v>
      </c>
      <c r="V35" s="249" t="s">
        <v>265</v>
      </c>
      <c r="W35" s="249" t="s">
        <v>265</v>
      </c>
      <c r="X35" s="249" t="s">
        <v>265</v>
      </c>
      <c r="Y35" s="249" t="s">
        <v>265</v>
      </c>
      <c r="Z35" s="249" t="s">
        <v>265</v>
      </c>
      <c r="AA35" s="249" t="s">
        <v>265</v>
      </c>
      <c r="AB35" s="249" t="s">
        <v>265</v>
      </c>
      <c r="AC35" s="249" t="s">
        <v>265</v>
      </c>
      <c r="AD35" s="249" t="s">
        <v>265</v>
      </c>
      <c r="AE35" s="249" t="s">
        <v>265</v>
      </c>
      <c r="AF35" s="249" t="s">
        <v>265</v>
      </c>
      <c r="AG35" s="249" t="s">
        <v>265</v>
      </c>
      <c r="AH35" s="249" t="s">
        <v>265</v>
      </c>
      <c r="AI35" s="249" t="s">
        <v>265</v>
      </c>
      <c r="AJ35" s="249" t="s">
        <v>265</v>
      </c>
      <c r="AK35" s="91" t="s">
        <v>265</v>
      </c>
      <c r="AL35" s="477"/>
      <c r="AM35" s="249" t="s">
        <v>265</v>
      </c>
      <c r="AN35" s="249" t="s">
        <v>265</v>
      </c>
      <c r="AO35" s="249"/>
      <c r="AP35" s="249" t="str">
        <f>IF(MAX(AM35:AN35)=0,"N.S",MAX(AM35:AN35))</f>
        <v>N.S</v>
      </c>
      <c r="AQ35" s="249" t="str">
        <f t="shared" si="9"/>
        <v>N.S</v>
      </c>
      <c r="AR35" s="88" t="s">
        <v>265</v>
      </c>
      <c r="AS35" s="334" t="s">
        <v>265</v>
      </c>
      <c r="AT35" s="334" t="s">
        <v>265</v>
      </c>
      <c r="AU35" s="334" t="s">
        <v>265</v>
      </c>
      <c r="AV35" s="334" t="s">
        <v>265</v>
      </c>
      <c r="AW35" s="334" t="s">
        <v>265</v>
      </c>
      <c r="AX35" s="334" t="s">
        <v>265</v>
      </c>
      <c r="AY35" s="249" t="s">
        <v>265</v>
      </c>
      <c r="AZ35" s="122" t="s">
        <v>265</v>
      </c>
      <c r="BA35" s="334" t="s">
        <v>265</v>
      </c>
      <c r="BB35" s="334" t="s">
        <v>265</v>
      </c>
      <c r="BC35" s="249" t="s">
        <v>265</v>
      </c>
      <c r="BD35" s="249" t="s">
        <v>265</v>
      </c>
      <c r="BE35" s="249" t="s">
        <v>265</v>
      </c>
      <c r="BF35" s="249" t="s">
        <v>265</v>
      </c>
      <c r="BG35" s="249" t="s">
        <v>265</v>
      </c>
      <c r="BH35" s="249" t="s">
        <v>265</v>
      </c>
      <c r="BI35" s="249" t="s">
        <v>265</v>
      </c>
      <c r="BJ35" s="249" t="s">
        <v>265</v>
      </c>
      <c r="BK35" s="249" t="s">
        <v>265</v>
      </c>
      <c r="BL35" s="122" t="str">
        <f>IF(AZ35="N.S","N.S",3*(AZ35*BL1+0.001*IF(BB35="N.S",0,BB35*(1-BL1))))</f>
        <v>N.S</v>
      </c>
      <c r="BM35" s="520" t="s">
        <v>265</v>
      </c>
      <c r="BN35" s="656" t="str">
        <f t="shared" si="10"/>
        <v>N.S</v>
      </c>
      <c r="BO35" s="283" t="str">
        <f t="shared" si="11"/>
        <v>N.S</v>
      </c>
      <c r="BP35" s="484" t="s">
        <v>265</v>
      </c>
      <c r="BQ35" s="249">
        <v>32</v>
      </c>
      <c r="BR35" s="249" t="s">
        <v>265</v>
      </c>
      <c r="BS35" s="249" t="s">
        <v>265</v>
      </c>
      <c r="BT35" s="249" t="s">
        <v>265</v>
      </c>
      <c r="BU35" s="249" t="s">
        <v>265</v>
      </c>
      <c r="BV35" s="249" t="s">
        <v>265</v>
      </c>
      <c r="BW35" s="249" t="s">
        <v>265</v>
      </c>
      <c r="BX35" s="338" t="s">
        <v>265</v>
      </c>
      <c r="BY35" s="41" t="s">
        <v>265</v>
      </c>
      <c r="BZ35" s="88" t="s">
        <v>712</v>
      </c>
      <c r="CA35" s="334" t="s">
        <v>265</v>
      </c>
      <c r="CB35" s="91" t="s">
        <v>265</v>
      </c>
      <c r="CC35" s="484" t="s">
        <v>265</v>
      </c>
      <c r="CD35" s="249" t="s">
        <v>265</v>
      </c>
      <c r="CE35" s="249" t="s">
        <v>265</v>
      </c>
      <c r="CF35" s="249" t="s">
        <v>265</v>
      </c>
      <c r="CG35" s="249" t="s">
        <v>265</v>
      </c>
      <c r="CH35" s="91" t="s">
        <v>265</v>
      </c>
      <c r="CI35" s="522" t="s">
        <v>265</v>
      </c>
      <c r="CJ35" s="122" t="s">
        <v>265</v>
      </c>
      <c r="CK35" s="523" t="s">
        <v>265</v>
      </c>
      <c r="CL35" s="484"/>
      <c r="CN35" s="477"/>
      <c r="CO35" s="183">
        <v>0</v>
      </c>
      <c r="CP35" s="127"/>
      <c r="CQ35" s="127"/>
      <c r="CR35" s="183"/>
      <c r="CS35" s="129"/>
      <c r="CT35" s="184">
        <v>0</v>
      </c>
      <c r="CU35" s="127"/>
      <c r="CV35" s="127"/>
      <c r="CW35" s="183"/>
      <c r="CX35" s="129"/>
      <c r="CY35" s="87">
        <v>0</v>
      </c>
      <c r="CZ35" s="41">
        <v>0</v>
      </c>
      <c r="DA35" s="41"/>
      <c r="DB35" s="41"/>
      <c r="DC35" s="41"/>
      <c r="DD35" s="41"/>
      <c r="DE35" s="41"/>
      <c r="DF35" s="41"/>
      <c r="DG35" s="41"/>
      <c r="DH35" s="41"/>
      <c r="DI35" s="123"/>
      <c r="DJ35" s="87">
        <v>0</v>
      </c>
      <c r="DK35" s="41">
        <v>0</v>
      </c>
      <c r="DL35" s="41"/>
      <c r="DM35" s="41"/>
      <c r="DN35" s="41"/>
      <c r="DO35" s="41"/>
      <c r="DP35" s="41"/>
      <c r="DQ35" s="41"/>
      <c r="DR35" s="41"/>
      <c r="DS35" s="41"/>
      <c r="DT35" s="88"/>
      <c r="DU35" s="87">
        <v>0</v>
      </c>
      <c r="DV35" s="41">
        <v>0</v>
      </c>
      <c r="DW35" s="41"/>
      <c r="DX35" s="41"/>
      <c r="DY35" s="41"/>
      <c r="DZ35" s="41"/>
      <c r="EA35" s="41"/>
      <c r="EB35" s="41"/>
      <c r="EC35" s="41"/>
      <c r="ED35" s="41"/>
      <c r="EE35" s="123"/>
      <c r="EF35" s="87">
        <v>0</v>
      </c>
      <c r="EG35" s="41"/>
      <c r="EH35" s="41"/>
      <c r="EI35" s="41"/>
      <c r="EJ35" s="88"/>
      <c r="EK35" s="87">
        <v>0</v>
      </c>
      <c r="EL35" s="41"/>
      <c r="EM35" s="41"/>
      <c r="EN35" s="41"/>
      <c r="EO35" s="88"/>
      <c r="EP35" s="87">
        <v>0</v>
      </c>
      <c r="EQ35" s="41"/>
      <c r="ER35" s="41"/>
      <c r="ES35" s="41"/>
      <c r="ET35" s="88"/>
      <c r="EU35" s="87">
        <v>0</v>
      </c>
      <c r="EV35" s="41"/>
      <c r="EW35" s="41"/>
      <c r="EX35" s="41"/>
      <c r="EY35" s="88"/>
      <c r="EZ35" s="87">
        <v>0</v>
      </c>
      <c r="FA35" s="41"/>
      <c r="FB35" s="41"/>
      <c r="FC35" s="41"/>
      <c r="FD35" s="88"/>
      <c r="FE35" s="87">
        <v>0</v>
      </c>
      <c r="FF35" s="127"/>
      <c r="FG35" s="127"/>
      <c r="FH35" s="127"/>
      <c r="FI35" s="123"/>
      <c r="FJ35" s="87">
        <v>0</v>
      </c>
      <c r="FK35" s="41"/>
      <c r="FL35" s="41"/>
      <c r="FM35" s="41"/>
      <c r="FN35" s="88"/>
      <c r="FO35" s="87">
        <v>0</v>
      </c>
      <c r="FP35" s="41"/>
      <c r="FQ35" s="41"/>
      <c r="FR35" s="41"/>
      <c r="FS35" s="88"/>
      <c r="FT35" s="87">
        <v>0</v>
      </c>
      <c r="FU35" s="41"/>
      <c r="FV35" s="41"/>
      <c r="FW35" s="41"/>
      <c r="FX35" s="88"/>
      <c r="FY35" s="87">
        <v>0</v>
      </c>
      <c r="FZ35" s="41"/>
      <c r="GA35" s="41"/>
      <c r="GB35" s="41"/>
      <c r="GC35" s="88"/>
      <c r="GD35" s="87">
        <v>0</v>
      </c>
      <c r="GE35" s="41"/>
      <c r="GF35" s="41"/>
      <c r="GG35" s="41"/>
      <c r="GH35" s="88"/>
      <c r="GI35" s="87">
        <v>0</v>
      </c>
      <c r="GJ35" s="41"/>
      <c r="GK35" s="127"/>
      <c r="GL35" s="41"/>
      <c r="GM35" s="88"/>
      <c r="GN35" s="87">
        <v>0</v>
      </c>
      <c r="GO35" s="41"/>
      <c r="GP35" s="41"/>
      <c r="GQ35" s="41"/>
      <c r="GR35" s="88"/>
      <c r="GS35" s="87">
        <v>0</v>
      </c>
      <c r="GT35" s="41"/>
      <c r="GU35" s="41"/>
      <c r="GV35" s="41"/>
      <c r="GW35" s="88"/>
      <c r="GX35" s="301">
        <f t="shared" si="1"/>
        <v>1</v>
      </c>
      <c r="GY35" s="301" t="str">
        <f t="shared" ref="GY35:GY64" si="12">IF(AR36="WLCSP",1,"")</f>
        <v/>
      </c>
      <c r="GZ35" s="41" t="str">
        <f t="shared" si="2"/>
        <v/>
      </c>
      <c r="HA35" s="41" t="str">
        <f t="shared" si="3"/>
        <v/>
      </c>
      <c r="HB35" s="41" t="str">
        <f t="shared" si="4"/>
        <v/>
      </c>
      <c r="HC35" s="41" t="str">
        <f t="shared" si="5"/>
        <v/>
      </c>
      <c r="HD35" s="41" t="str">
        <f t="shared" si="6"/>
        <v/>
      </c>
      <c r="HE35" s="88" t="str">
        <f t="shared" si="7"/>
        <v/>
      </c>
      <c r="HF35" s="524" t="s">
        <v>82</v>
      </c>
      <c r="HG35" s="41" t="s">
        <v>82</v>
      </c>
      <c r="HH35" s="41">
        <v>1</v>
      </c>
      <c r="HI35" s="41" t="s">
        <v>82</v>
      </c>
      <c r="HJ35" s="41" t="s">
        <v>82</v>
      </c>
      <c r="HK35" s="41" t="s">
        <v>82</v>
      </c>
      <c r="HL35" s="41" t="s">
        <v>82</v>
      </c>
      <c r="HM35" s="41" t="s">
        <v>82</v>
      </c>
      <c r="HN35" s="41" t="s">
        <v>82</v>
      </c>
      <c r="HO35" s="41" t="s">
        <v>82</v>
      </c>
      <c r="HP35" s="41" t="s">
        <v>82</v>
      </c>
      <c r="HQ35" s="41" t="s">
        <v>82</v>
      </c>
      <c r="HR35" s="41" t="s">
        <v>82</v>
      </c>
      <c r="HS35" s="41" t="s">
        <v>82</v>
      </c>
      <c r="HT35" s="41" t="s">
        <v>82</v>
      </c>
      <c r="HU35" s="41" t="s">
        <v>82</v>
      </c>
      <c r="HV35" s="41" t="s">
        <v>82</v>
      </c>
      <c r="HW35" s="41" t="s">
        <v>82</v>
      </c>
      <c r="HX35" s="41" t="s">
        <v>82</v>
      </c>
      <c r="HY35" s="41" t="s">
        <v>82</v>
      </c>
      <c r="HZ35" s="41" t="s">
        <v>82</v>
      </c>
      <c r="IA35" s="41" t="s">
        <v>82</v>
      </c>
      <c r="IB35" s="41" t="s">
        <v>82</v>
      </c>
      <c r="IC35" s="41" t="s">
        <v>82</v>
      </c>
      <c r="ID35" s="41" t="s">
        <v>82</v>
      </c>
      <c r="IE35" s="41" t="s">
        <v>82</v>
      </c>
      <c r="IF35" s="41" t="s">
        <v>82</v>
      </c>
      <c r="IG35" s="41" t="s">
        <v>82</v>
      </c>
      <c r="IH35" s="41" t="s">
        <v>82</v>
      </c>
      <c r="II35" s="88" t="s">
        <v>82</v>
      </c>
    </row>
    <row r="36" spans="1:244" s="89" customFormat="1" ht="14.4">
      <c r="A36" s="754"/>
      <c r="B36" s="90" t="s">
        <v>539</v>
      </c>
      <c r="C36" s="773"/>
      <c r="D36" s="98" t="s">
        <v>815</v>
      </c>
      <c r="E36" s="248" t="s">
        <v>65</v>
      </c>
      <c r="F36" s="341" t="s">
        <v>65</v>
      </c>
      <c r="G36" s="731"/>
      <c r="H36" s="731"/>
      <c r="I36" s="731"/>
      <c r="J36" s="127" t="s">
        <v>265</v>
      </c>
      <c r="K36" s="183">
        <v>1</v>
      </c>
      <c r="L36" s="129">
        <v>2006</v>
      </c>
      <c r="M36" s="334" t="s">
        <v>265</v>
      </c>
      <c r="N36" s="334" t="s">
        <v>265</v>
      </c>
      <c r="O36" s="334" t="s">
        <v>265</v>
      </c>
      <c r="P36" s="249" t="s">
        <v>265</v>
      </c>
      <c r="Q36" s="249"/>
      <c r="R36" s="249" t="s">
        <v>265</v>
      </c>
      <c r="S36" s="41" t="s">
        <v>265</v>
      </c>
      <c r="T36" s="41" t="s">
        <v>265</v>
      </c>
      <c r="U36" s="249" t="s">
        <v>265</v>
      </c>
      <c r="V36" s="249" t="s">
        <v>265</v>
      </c>
      <c r="W36" s="249" t="s">
        <v>265</v>
      </c>
      <c r="X36" s="249" t="s">
        <v>265</v>
      </c>
      <c r="Y36" s="249" t="s">
        <v>265</v>
      </c>
      <c r="Z36" s="249" t="s">
        <v>265</v>
      </c>
      <c r="AA36" s="249" t="s">
        <v>265</v>
      </c>
      <c r="AB36" s="249" t="s">
        <v>265</v>
      </c>
      <c r="AC36" s="249" t="s">
        <v>265</v>
      </c>
      <c r="AD36" s="249" t="s">
        <v>265</v>
      </c>
      <c r="AE36" s="249" t="s">
        <v>265</v>
      </c>
      <c r="AF36" s="249" t="s">
        <v>265</v>
      </c>
      <c r="AG36" s="249" t="s">
        <v>265</v>
      </c>
      <c r="AH36" s="249" t="s">
        <v>265</v>
      </c>
      <c r="AI36" s="249" t="s">
        <v>265</v>
      </c>
      <c r="AJ36" s="249" t="s">
        <v>265</v>
      </c>
      <c r="AK36" s="91" t="s">
        <v>265</v>
      </c>
      <c r="AL36" s="477"/>
      <c r="AM36" s="249" t="s">
        <v>265</v>
      </c>
      <c r="AN36" s="249" t="s">
        <v>265</v>
      </c>
      <c r="AO36" s="249"/>
      <c r="AP36" s="249" t="str">
        <f>IF(MAX(AM36:AN36)=0,"N.S",MAX(AM36:AN36))</f>
        <v>N.S</v>
      </c>
      <c r="AQ36" s="249">
        <v>0.03</v>
      </c>
      <c r="AR36" s="88" t="s">
        <v>265</v>
      </c>
      <c r="AS36" s="334" t="s">
        <v>265</v>
      </c>
      <c r="AT36" s="334" t="s">
        <v>265</v>
      </c>
      <c r="AU36" s="334" t="s">
        <v>265</v>
      </c>
      <c r="AV36" s="334" t="s">
        <v>265</v>
      </c>
      <c r="AW36" s="334" t="s">
        <v>265</v>
      </c>
      <c r="AX36" s="334" t="s">
        <v>265</v>
      </c>
      <c r="AY36" s="249" t="s">
        <v>265</v>
      </c>
      <c r="AZ36" s="122" t="s">
        <v>265</v>
      </c>
      <c r="BA36" s="334" t="s">
        <v>265</v>
      </c>
      <c r="BB36" s="334" t="s">
        <v>265</v>
      </c>
      <c r="BC36" s="249" t="s">
        <v>265</v>
      </c>
      <c r="BD36" s="249" t="s">
        <v>265</v>
      </c>
      <c r="BE36" s="249" t="s">
        <v>265</v>
      </c>
      <c r="BF36" s="249" t="s">
        <v>265</v>
      </c>
      <c r="BG36" s="249" t="s">
        <v>265</v>
      </c>
      <c r="BH36" s="249" t="s">
        <v>265</v>
      </c>
      <c r="BI36" s="249" t="s">
        <v>265</v>
      </c>
      <c r="BJ36" s="249" t="s">
        <v>265</v>
      </c>
      <c r="BK36" s="249" t="s">
        <v>265</v>
      </c>
      <c r="BL36" s="122" t="str">
        <f>IF(AZ36="N.S","N.S",3*(AZ36*BL1+0.001*IF(BB36="N.S",0,BB36*(1-BL1))))</f>
        <v>N.S</v>
      </c>
      <c r="BM36" s="520" t="s">
        <v>265</v>
      </c>
      <c r="BN36" s="656" t="str">
        <f t="shared" si="10"/>
        <v>N.S</v>
      </c>
      <c r="BO36" s="283" t="str">
        <f t="shared" si="11"/>
        <v>N.S</v>
      </c>
      <c r="BP36" s="484" t="s">
        <v>265</v>
      </c>
      <c r="BQ36" s="249">
        <v>32</v>
      </c>
      <c r="BR36" s="249" t="s">
        <v>265</v>
      </c>
      <c r="BS36" s="249" t="s">
        <v>265</v>
      </c>
      <c r="BT36" s="249" t="s">
        <v>265</v>
      </c>
      <c r="BU36" s="249" t="s">
        <v>265</v>
      </c>
      <c r="BV36" s="249" t="s">
        <v>265</v>
      </c>
      <c r="BW36" s="249" t="s">
        <v>265</v>
      </c>
      <c r="BX36" s="338" t="s">
        <v>265</v>
      </c>
      <c r="BY36" s="41" t="s">
        <v>265</v>
      </c>
      <c r="BZ36" s="88" t="s">
        <v>814</v>
      </c>
      <c r="CA36" s="334" t="s">
        <v>265</v>
      </c>
      <c r="CB36" s="91" t="s">
        <v>265</v>
      </c>
      <c r="CC36" s="484" t="s">
        <v>265</v>
      </c>
      <c r="CD36" s="249" t="s">
        <v>265</v>
      </c>
      <c r="CE36" s="249" t="s">
        <v>265</v>
      </c>
      <c r="CF36" s="249" t="s">
        <v>265</v>
      </c>
      <c r="CG36" s="249" t="s">
        <v>265</v>
      </c>
      <c r="CH36" s="91" t="s">
        <v>265</v>
      </c>
      <c r="CI36" s="522" t="s">
        <v>265</v>
      </c>
      <c r="CJ36" s="122" t="s">
        <v>265</v>
      </c>
      <c r="CK36" s="523" t="s">
        <v>265</v>
      </c>
      <c r="CL36" s="484"/>
      <c r="CN36" s="477"/>
      <c r="CO36" s="183">
        <v>0</v>
      </c>
      <c r="CP36" s="127"/>
      <c r="CQ36" s="127"/>
      <c r="CR36" s="183"/>
      <c r="CS36" s="129"/>
      <c r="CT36" s="184">
        <v>0</v>
      </c>
      <c r="CU36" s="127"/>
      <c r="CV36" s="127"/>
      <c r="CW36" s="183"/>
      <c r="CX36" s="129"/>
      <c r="CY36" s="87">
        <v>0</v>
      </c>
      <c r="CZ36" s="41">
        <v>0</v>
      </c>
      <c r="DA36" s="41"/>
      <c r="DB36" s="41"/>
      <c r="DC36" s="41"/>
      <c r="DD36" s="41"/>
      <c r="DE36" s="41"/>
      <c r="DF36" s="41"/>
      <c r="DG36" s="41"/>
      <c r="DH36" s="41"/>
      <c r="DI36" s="123"/>
      <c r="DJ36" s="87">
        <v>0</v>
      </c>
      <c r="DK36" s="41">
        <v>0</v>
      </c>
      <c r="DL36" s="41"/>
      <c r="DM36" s="41"/>
      <c r="DN36" s="41"/>
      <c r="DO36" s="41"/>
      <c r="DP36" s="41"/>
      <c r="DQ36" s="41"/>
      <c r="DR36" s="41"/>
      <c r="DS36" s="41"/>
      <c r="DT36" s="88"/>
      <c r="DU36" s="87">
        <v>0</v>
      </c>
      <c r="DV36" s="41">
        <v>0</v>
      </c>
      <c r="DW36" s="41"/>
      <c r="DX36" s="41"/>
      <c r="DY36" s="41"/>
      <c r="DZ36" s="41"/>
      <c r="EA36" s="41"/>
      <c r="EB36" s="41"/>
      <c r="EC36" s="41"/>
      <c r="ED36" s="41"/>
      <c r="EE36" s="123"/>
      <c r="EF36" s="87">
        <v>0</v>
      </c>
      <c r="EG36" s="41"/>
      <c r="EH36" s="41"/>
      <c r="EI36" s="41"/>
      <c r="EJ36" s="88"/>
      <c r="EK36" s="87">
        <v>0</v>
      </c>
      <c r="EL36" s="41"/>
      <c r="EM36" s="41"/>
      <c r="EN36" s="41"/>
      <c r="EO36" s="88"/>
      <c r="EP36" s="87">
        <v>0</v>
      </c>
      <c r="EQ36" s="41"/>
      <c r="ER36" s="41"/>
      <c r="ES36" s="41"/>
      <c r="ET36" s="88"/>
      <c r="EU36" s="87">
        <v>0</v>
      </c>
      <c r="EV36" s="41"/>
      <c r="EW36" s="41"/>
      <c r="EX36" s="41"/>
      <c r="EY36" s="88"/>
      <c r="EZ36" s="87">
        <v>0</v>
      </c>
      <c r="FA36" s="41"/>
      <c r="FB36" s="41"/>
      <c r="FC36" s="41"/>
      <c r="FD36" s="88"/>
      <c r="FE36" s="87">
        <v>0</v>
      </c>
      <c r="FF36" s="127"/>
      <c r="FG36" s="127"/>
      <c r="FH36" s="127"/>
      <c r="FI36" s="123"/>
      <c r="FJ36" s="87">
        <v>0</v>
      </c>
      <c r="FK36" s="41"/>
      <c r="FL36" s="41"/>
      <c r="FM36" s="41"/>
      <c r="FN36" s="88"/>
      <c r="FO36" s="87">
        <v>0</v>
      </c>
      <c r="FP36" s="41"/>
      <c r="FQ36" s="41"/>
      <c r="FR36" s="41"/>
      <c r="FS36" s="88"/>
      <c r="FT36" s="87">
        <v>0</v>
      </c>
      <c r="FU36" s="41"/>
      <c r="FV36" s="41"/>
      <c r="FW36" s="41"/>
      <c r="FX36" s="88"/>
      <c r="FY36" s="87">
        <v>0</v>
      </c>
      <c r="FZ36" s="41"/>
      <c r="GA36" s="41"/>
      <c r="GB36" s="41"/>
      <c r="GC36" s="88"/>
      <c r="GD36" s="87">
        <v>0</v>
      </c>
      <c r="GE36" s="41"/>
      <c r="GF36" s="41"/>
      <c r="GG36" s="41"/>
      <c r="GH36" s="88"/>
      <c r="GI36" s="87">
        <v>0</v>
      </c>
      <c r="GJ36" s="41"/>
      <c r="GK36" s="127"/>
      <c r="GL36" s="41"/>
      <c r="GM36" s="88"/>
      <c r="GN36" s="87">
        <v>0</v>
      </c>
      <c r="GO36" s="41"/>
      <c r="GP36" s="41"/>
      <c r="GQ36" s="41"/>
      <c r="GR36" s="88"/>
      <c r="GS36" s="87">
        <v>0</v>
      </c>
      <c r="GT36" s="41"/>
      <c r="GU36" s="41"/>
      <c r="GV36" s="41"/>
      <c r="GW36" s="88"/>
      <c r="GX36" s="301">
        <f t="shared" si="1"/>
        <v>1</v>
      </c>
      <c r="GY36" s="301" t="str">
        <f t="shared" si="12"/>
        <v/>
      </c>
      <c r="GZ36" s="41" t="str">
        <f t="shared" si="2"/>
        <v/>
      </c>
      <c r="HA36" s="41" t="str">
        <f t="shared" si="3"/>
        <v/>
      </c>
      <c r="HB36" s="41" t="str">
        <f t="shared" si="4"/>
        <v/>
      </c>
      <c r="HC36" s="41" t="str">
        <f t="shared" si="5"/>
        <v/>
      </c>
      <c r="HD36" s="41" t="str">
        <f t="shared" si="6"/>
        <v/>
      </c>
      <c r="HE36" s="88" t="str">
        <f t="shared" si="7"/>
        <v/>
      </c>
      <c r="HF36" s="524">
        <v>1</v>
      </c>
      <c r="HG36" s="41" t="s">
        <v>82</v>
      </c>
      <c r="HH36" s="41" t="s">
        <v>82</v>
      </c>
      <c r="HI36" s="41" t="s">
        <v>82</v>
      </c>
      <c r="HJ36" s="41" t="s">
        <v>82</v>
      </c>
      <c r="HK36" s="41" t="s">
        <v>82</v>
      </c>
      <c r="HL36" s="41" t="s">
        <v>82</v>
      </c>
      <c r="HM36" s="41" t="s">
        <v>82</v>
      </c>
      <c r="HN36" s="41" t="s">
        <v>82</v>
      </c>
      <c r="HO36" s="41" t="s">
        <v>82</v>
      </c>
      <c r="HP36" s="41" t="s">
        <v>82</v>
      </c>
      <c r="HQ36" s="41" t="s">
        <v>82</v>
      </c>
      <c r="HR36" s="41" t="s">
        <v>82</v>
      </c>
      <c r="HS36" s="41" t="s">
        <v>82</v>
      </c>
      <c r="HT36" s="41" t="s">
        <v>82</v>
      </c>
      <c r="HU36" s="41" t="s">
        <v>82</v>
      </c>
      <c r="HV36" s="41" t="s">
        <v>82</v>
      </c>
      <c r="HW36" s="41" t="s">
        <v>82</v>
      </c>
      <c r="HX36" s="41" t="s">
        <v>82</v>
      </c>
      <c r="HY36" s="41" t="s">
        <v>82</v>
      </c>
      <c r="HZ36" s="41" t="s">
        <v>82</v>
      </c>
      <c r="IA36" s="41" t="s">
        <v>82</v>
      </c>
      <c r="IB36" s="41" t="s">
        <v>82</v>
      </c>
      <c r="IC36" s="41" t="s">
        <v>82</v>
      </c>
      <c r="ID36" s="41" t="s">
        <v>82</v>
      </c>
      <c r="IE36" s="41" t="s">
        <v>82</v>
      </c>
      <c r="IF36" s="41" t="s">
        <v>82</v>
      </c>
      <c r="IG36" s="41" t="s">
        <v>82</v>
      </c>
      <c r="IH36" s="41" t="s">
        <v>82</v>
      </c>
      <c r="II36" s="88" t="s">
        <v>82</v>
      </c>
    </row>
    <row r="37" spans="1:244" s="89" customFormat="1" ht="14.4">
      <c r="A37" s="754"/>
      <c r="B37" s="90" t="s">
        <v>540</v>
      </c>
      <c r="C37" s="773"/>
      <c r="D37" s="98" t="s">
        <v>815</v>
      </c>
      <c r="E37" s="248" t="s">
        <v>65</v>
      </c>
      <c r="F37" s="341" t="s">
        <v>124</v>
      </c>
      <c r="G37" s="731"/>
      <c r="H37" s="731"/>
      <c r="I37" s="731"/>
      <c r="J37" s="127" t="s">
        <v>265</v>
      </c>
      <c r="K37" s="183">
        <v>12</v>
      </c>
      <c r="L37" s="129">
        <v>2009</v>
      </c>
      <c r="M37" s="334" t="s">
        <v>265</v>
      </c>
      <c r="N37" s="334" t="s">
        <v>265</v>
      </c>
      <c r="O37" s="334" t="s">
        <v>265</v>
      </c>
      <c r="P37" s="249" t="s">
        <v>265</v>
      </c>
      <c r="Q37" s="249"/>
      <c r="R37" s="249" t="s">
        <v>265</v>
      </c>
      <c r="S37" s="41" t="s">
        <v>265</v>
      </c>
      <c r="T37" s="41" t="s">
        <v>265</v>
      </c>
      <c r="U37" s="249" t="s">
        <v>265</v>
      </c>
      <c r="V37" s="249" t="s">
        <v>265</v>
      </c>
      <c r="W37" s="249" t="s">
        <v>265</v>
      </c>
      <c r="X37" s="249" t="s">
        <v>265</v>
      </c>
      <c r="Y37" s="249" t="s">
        <v>265</v>
      </c>
      <c r="Z37" s="249" t="s">
        <v>265</v>
      </c>
      <c r="AA37" s="249" t="s">
        <v>265</v>
      </c>
      <c r="AB37" s="249" t="s">
        <v>265</v>
      </c>
      <c r="AC37" s="249" t="s">
        <v>265</v>
      </c>
      <c r="AD37" s="249" t="s">
        <v>265</v>
      </c>
      <c r="AE37" s="249" t="s">
        <v>265</v>
      </c>
      <c r="AF37" s="249" t="s">
        <v>265</v>
      </c>
      <c r="AG37" s="249" t="s">
        <v>265</v>
      </c>
      <c r="AH37" s="249" t="s">
        <v>265</v>
      </c>
      <c r="AI37" s="249" t="s">
        <v>265</v>
      </c>
      <c r="AJ37" s="249" t="s">
        <v>265</v>
      </c>
      <c r="AK37" s="91" t="s">
        <v>265</v>
      </c>
      <c r="AL37" s="477"/>
      <c r="AM37" s="249" t="s">
        <v>265</v>
      </c>
      <c r="AN37" s="249" t="s">
        <v>265</v>
      </c>
      <c r="AO37" s="249"/>
      <c r="AP37" s="249" t="str">
        <f>IF(MAX(AM37:AN37)=0,"N.S",MAX(AM37:AN37))</f>
        <v>N.S</v>
      </c>
      <c r="AQ37" s="249">
        <v>0.04</v>
      </c>
      <c r="AR37" s="88" t="s">
        <v>265</v>
      </c>
      <c r="AS37" s="334" t="s">
        <v>265</v>
      </c>
      <c r="AT37" s="334" t="s">
        <v>265</v>
      </c>
      <c r="AU37" s="334" t="s">
        <v>265</v>
      </c>
      <c r="AV37" s="334" t="s">
        <v>265</v>
      </c>
      <c r="AW37" s="334" t="s">
        <v>265</v>
      </c>
      <c r="AX37" s="334" t="s">
        <v>265</v>
      </c>
      <c r="AY37" s="249" t="s">
        <v>265</v>
      </c>
      <c r="AZ37" s="122" t="s">
        <v>265</v>
      </c>
      <c r="BA37" s="334" t="s">
        <v>265</v>
      </c>
      <c r="BB37" s="334" t="s">
        <v>265</v>
      </c>
      <c r="BC37" s="249" t="s">
        <v>265</v>
      </c>
      <c r="BD37" s="249" t="s">
        <v>265</v>
      </c>
      <c r="BE37" s="249" t="s">
        <v>265</v>
      </c>
      <c r="BF37" s="249" t="s">
        <v>265</v>
      </c>
      <c r="BG37" s="249" t="s">
        <v>265</v>
      </c>
      <c r="BH37" s="249" t="s">
        <v>265</v>
      </c>
      <c r="BI37" s="249" t="s">
        <v>265</v>
      </c>
      <c r="BJ37" s="249" t="s">
        <v>265</v>
      </c>
      <c r="BK37" s="249" t="s">
        <v>265</v>
      </c>
      <c r="BL37" s="122" t="str">
        <f>IF(AZ37="N.S","N.S",3*(AZ37*BL1+0.001*IF(BB37="N.S",0,BB37*(1-BL1))))</f>
        <v>N.S</v>
      </c>
      <c r="BM37" s="520" t="s">
        <v>265</v>
      </c>
      <c r="BN37" s="656" t="str">
        <f t="shared" si="10"/>
        <v>N.S</v>
      </c>
      <c r="BO37" s="283" t="str">
        <f t="shared" si="11"/>
        <v>N.S</v>
      </c>
      <c r="BP37" s="484" t="s">
        <v>265</v>
      </c>
      <c r="BQ37" s="249">
        <v>32</v>
      </c>
      <c r="BR37" s="249" t="s">
        <v>265</v>
      </c>
      <c r="BS37" s="249" t="s">
        <v>265</v>
      </c>
      <c r="BT37" s="249" t="s">
        <v>265</v>
      </c>
      <c r="BU37" s="249" t="s">
        <v>265</v>
      </c>
      <c r="BV37" s="249" t="s">
        <v>265</v>
      </c>
      <c r="BW37" s="249" t="s">
        <v>265</v>
      </c>
      <c r="BX37" s="338" t="s">
        <v>265</v>
      </c>
      <c r="BY37" s="41" t="s">
        <v>265</v>
      </c>
      <c r="BZ37" s="88" t="s">
        <v>814</v>
      </c>
      <c r="CA37" s="334" t="s">
        <v>265</v>
      </c>
      <c r="CB37" s="91" t="s">
        <v>265</v>
      </c>
      <c r="CC37" s="484" t="s">
        <v>265</v>
      </c>
      <c r="CD37" s="249" t="s">
        <v>265</v>
      </c>
      <c r="CE37" s="249" t="s">
        <v>265</v>
      </c>
      <c r="CF37" s="249" t="s">
        <v>265</v>
      </c>
      <c r="CG37" s="249" t="s">
        <v>265</v>
      </c>
      <c r="CH37" s="91" t="s">
        <v>265</v>
      </c>
      <c r="CI37" s="522" t="s">
        <v>265</v>
      </c>
      <c r="CJ37" s="122" t="s">
        <v>265</v>
      </c>
      <c r="CK37" s="523" t="s">
        <v>265</v>
      </c>
      <c r="CL37" s="484"/>
      <c r="CN37" s="477"/>
      <c r="CO37" s="183">
        <v>0</v>
      </c>
      <c r="CP37" s="127"/>
      <c r="CQ37" s="127"/>
      <c r="CR37" s="183"/>
      <c r="CS37" s="129"/>
      <c r="CT37" s="184">
        <v>0</v>
      </c>
      <c r="CU37" s="127"/>
      <c r="CV37" s="127"/>
      <c r="CW37" s="183"/>
      <c r="CX37" s="129"/>
      <c r="CY37" s="87">
        <v>0</v>
      </c>
      <c r="CZ37" s="41">
        <v>0</v>
      </c>
      <c r="DA37" s="41"/>
      <c r="DB37" s="41"/>
      <c r="DC37" s="41"/>
      <c r="DD37" s="41"/>
      <c r="DE37" s="41"/>
      <c r="DF37" s="41"/>
      <c r="DG37" s="41"/>
      <c r="DH37" s="41"/>
      <c r="DI37" s="123"/>
      <c r="DJ37" s="87">
        <v>0</v>
      </c>
      <c r="DK37" s="41">
        <v>0</v>
      </c>
      <c r="DL37" s="41"/>
      <c r="DM37" s="41"/>
      <c r="DN37" s="41"/>
      <c r="DO37" s="41"/>
      <c r="DP37" s="41"/>
      <c r="DQ37" s="41"/>
      <c r="DR37" s="41"/>
      <c r="DS37" s="41"/>
      <c r="DT37" s="88"/>
      <c r="DU37" s="87">
        <v>0</v>
      </c>
      <c r="DV37" s="41">
        <v>0</v>
      </c>
      <c r="DW37" s="41"/>
      <c r="DX37" s="41"/>
      <c r="DY37" s="41"/>
      <c r="DZ37" s="41"/>
      <c r="EA37" s="41"/>
      <c r="EB37" s="41"/>
      <c r="EC37" s="41"/>
      <c r="ED37" s="41"/>
      <c r="EE37" s="123"/>
      <c r="EF37" s="87">
        <v>0</v>
      </c>
      <c r="EG37" s="41"/>
      <c r="EH37" s="41"/>
      <c r="EI37" s="41"/>
      <c r="EJ37" s="88"/>
      <c r="EK37" s="87">
        <v>0</v>
      </c>
      <c r="EL37" s="41"/>
      <c r="EM37" s="41"/>
      <c r="EN37" s="41"/>
      <c r="EO37" s="88"/>
      <c r="EP37" s="87">
        <v>0</v>
      </c>
      <c r="EQ37" s="41"/>
      <c r="ER37" s="41"/>
      <c r="ES37" s="41"/>
      <c r="ET37" s="88"/>
      <c r="EU37" s="87">
        <v>0</v>
      </c>
      <c r="EV37" s="41"/>
      <c r="EW37" s="41"/>
      <c r="EX37" s="41"/>
      <c r="EY37" s="88"/>
      <c r="EZ37" s="87">
        <v>0</v>
      </c>
      <c r="FA37" s="41"/>
      <c r="FB37" s="41"/>
      <c r="FC37" s="41"/>
      <c r="FD37" s="88"/>
      <c r="FE37" s="87">
        <v>0</v>
      </c>
      <c r="FF37" s="127"/>
      <c r="FG37" s="127"/>
      <c r="FH37" s="127"/>
      <c r="FI37" s="123"/>
      <c r="FJ37" s="87">
        <v>0</v>
      </c>
      <c r="FK37" s="41"/>
      <c r="FL37" s="41"/>
      <c r="FM37" s="41"/>
      <c r="FN37" s="88"/>
      <c r="FO37" s="87">
        <v>0</v>
      </c>
      <c r="FP37" s="41"/>
      <c r="FQ37" s="41"/>
      <c r="FR37" s="41"/>
      <c r="FS37" s="88"/>
      <c r="FT37" s="87">
        <v>0</v>
      </c>
      <c r="FU37" s="41"/>
      <c r="FV37" s="41"/>
      <c r="FW37" s="41"/>
      <c r="FX37" s="88"/>
      <c r="FY37" s="87">
        <v>0</v>
      </c>
      <c r="FZ37" s="41"/>
      <c r="GA37" s="41"/>
      <c r="GB37" s="41"/>
      <c r="GC37" s="88"/>
      <c r="GD37" s="87">
        <v>0</v>
      </c>
      <c r="GE37" s="41"/>
      <c r="GF37" s="41"/>
      <c r="GG37" s="41"/>
      <c r="GH37" s="88"/>
      <c r="GI37" s="87">
        <v>0</v>
      </c>
      <c r="GJ37" s="41"/>
      <c r="GK37" s="127"/>
      <c r="GL37" s="41"/>
      <c r="GM37" s="88"/>
      <c r="GN37" s="87">
        <v>0</v>
      </c>
      <c r="GO37" s="41"/>
      <c r="GP37" s="41"/>
      <c r="GQ37" s="41"/>
      <c r="GR37" s="88"/>
      <c r="GS37" s="87">
        <v>0</v>
      </c>
      <c r="GT37" s="41"/>
      <c r="GU37" s="41"/>
      <c r="GV37" s="41"/>
      <c r="GW37" s="88"/>
      <c r="GX37" s="301">
        <f t="shared" si="1"/>
        <v>1</v>
      </c>
      <c r="GY37" s="301" t="str">
        <f t="shared" si="12"/>
        <v/>
      </c>
      <c r="GZ37" s="41" t="str">
        <f t="shared" si="2"/>
        <v/>
      </c>
      <c r="HA37" s="41" t="str">
        <f t="shared" si="3"/>
        <v/>
      </c>
      <c r="HB37" s="41" t="str">
        <f t="shared" si="4"/>
        <v/>
      </c>
      <c r="HC37" s="41" t="str">
        <f t="shared" si="5"/>
        <v/>
      </c>
      <c r="HD37" s="41" t="str">
        <f t="shared" si="6"/>
        <v/>
      </c>
      <c r="HE37" s="88" t="str">
        <f t="shared" si="7"/>
        <v/>
      </c>
      <c r="HF37" s="524">
        <v>1</v>
      </c>
      <c r="HG37" s="41" t="s">
        <v>82</v>
      </c>
      <c r="HH37" s="41" t="s">
        <v>82</v>
      </c>
      <c r="HI37" s="41" t="s">
        <v>82</v>
      </c>
      <c r="HJ37" s="41" t="s">
        <v>82</v>
      </c>
      <c r="HK37" s="41" t="s">
        <v>82</v>
      </c>
      <c r="HL37" s="41" t="s">
        <v>82</v>
      </c>
      <c r="HM37" s="41" t="s">
        <v>82</v>
      </c>
      <c r="HN37" s="41" t="s">
        <v>82</v>
      </c>
      <c r="HO37" s="41" t="s">
        <v>82</v>
      </c>
      <c r="HP37" s="41" t="s">
        <v>82</v>
      </c>
      <c r="HQ37" s="41" t="s">
        <v>82</v>
      </c>
      <c r="HR37" s="41" t="s">
        <v>82</v>
      </c>
      <c r="HS37" s="41" t="s">
        <v>82</v>
      </c>
      <c r="HT37" s="41" t="s">
        <v>82</v>
      </c>
      <c r="HU37" s="41" t="s">
        <v>82</v>
      </c>
      <c r="HV37" s="41" t="s">
        <v>82</v>
      </c>
      <c r="HW37" s="41" t="s">
        <v>82</v>
      </c>
      <c r="HX37" s="41" t="s">
        <v>82</v>
      </c>
      <c r="HY37" s="41" t="s">
        <v>82</v>
      </c>
      <c r="HZ37" s="41" t="s">
        <v>82</v>
      </c>
      <c r="IA37" s="41" t="s">
        <v>82</v>
      </c>
      <c r="IB37" s="41" t="s">
        <v>82</v>
      </c>
      <c r="IC37" s="41" t="s">
        <v>82</v>
      </c>
      <c r="ID37" s="41" t="s">
        <v>82</v>
      </c>
      <c r="IE37" s="41" t="s">
        <v>82</v>
      </c>
      <c r="IF37" s="41" t="s">
        <v>82</v>
      </c>
      <c r="IG37" s="41" t="s">
        <v>82</v>
      </c>
      <c r="IH37" s="41" t="s">
        <v>82</v>
      </c>
      <c r="II37" s="88" t="s">
        <v>82</v>
      </c>
    </row>
    <row r="38" spans="1:244" s="89" customFormat="1" ht="14.4">
      <c r="A38" s="754"/>
      <c r="B38" s="90" t="s">
        <v>541</v>
      </c>
      <c r="C38" s="773"/>
      <c r="D38" s="98" t="s">
        <v>815</v>
      </c>
      <c r="E38" s="248" t="s">
        <v>65</v>
      </c>
      <c r="F38" s="341" t="s">
        <v>124</v>
      </c>
      <c r="G38" s="732"/>
      <c r="H38" s="732"/>
      <c r="I38" s="732"/>
      <c r="J38" s="127" t="s">
        <v>265</v>
      </c>
      <c r="K38" s="183">
        <v>12</v>
      </c>
      <c r="L38" s="129">
        <v>2014</v>
      </c>
      <c r="M38" s="334" t="s">
        <v>265</v>
      </c>
      <c r="N38" s="334" t="s">
        <v>265</v>
      </c>
      <c r="O38" s="334" t="s">
        <v>265</v>
      </c>
      <c r="P38" s="249" t="s">
        <v>265</v>
      </c>
      <c r="Q38" s="249"/>
      <c r="R38" s="249" t="s">
        <v>265</v>
      </c>
      <c r="S38" s="41" t="s">
        <v>265</v>
      </c>
      <c r="T38" s="41" t="s">
        <v>265</v>
      </c>
      <c r="U38" s="249" t="s">
        <v>265</v>
      </c>
      <c r="V38" s="249" t="s">
        <v>265</v>
      </c>
      <c r="W38" s="249" t="s">
        <v>265</v>
      </c>
      <c r="X38" s="249" t="s">
        <v>265</v>
      </c>
      <c r="Y38" s="249" t="s">
        <v>265</v>
      </c>
      <c r="Z38" s="249" t="s">
        <v>265</v>
      </c>
      <c r="AA38" s="249" t="s">
        <v>265</v>
      </c>
      <c r="AB38" s="249" t="s">
        <v>265</v>
      </c>
      <c r="AC38" s="249" t="s">
        <v>265</v>
      </c>
      <c r="AD38" s="249" t="s">
        <v>265</v>
      </c>
      <c r="AE38" s="249" t="s">
        <v>265</v>
      </c>
      <c r="AF38" s="249" t="s">
        <v>265</v>
      </c>
      <c r="AG38" s="249" t="s">
        <v>265</v>
      </c>
      <c r="AH38" s="249" t="s">
        <v>265</v>
      </c>
      <c r="AI38" s="249" t="s">
        <v>265</v>
      </c>
      <c r="AJ38" s="249" t="s">
        <v>265</v>
      </c>
      <c r="AK38" s="91" t="s">
        <v>265</v>
      </c>
      <c r="AL38" s="477"/>
      <c r="AM38" s="249" t="s">
        <v>265</v>
      </c>
      <c r="AN38" s="249" t="s">
        <v>265</v>
      </c>
      <c r="AO38" s="249"/>
      <c r="AP38" s="249" t="str">
        <f>IF(MAX(AM38:AN38)=0,"N.S",MAX(AM38:AN38))</f>
        <v>N.S</v>
      </c>
      <c r="AQ38" s="249" t="str">
        <f t="shared" si="9"/>
        <v>N.S</v>
      </c>
      <c r="AR38" s="88" t="s">
        <v>265</v>
      </c>
      <c r="AS38" s="334" t="s">
        <v>265</v>
      </c>
      <c r="AT38" s="334" t="s">
        <v>265</v>
      </c>
      <c r="AU38" s="334" t="s">
        <v>265</v>
      </c>
      <c r="AV38" s="334" t="s">
        <v>265</v>
      </c>
      <c r="AW38" s="334" t="s">
        <v>265</v>
      </c>
      <c r="AX38" s="334" t="s">
        <v>265</v>
      </c>
      <c r="AY38" s="249" t="s">
        <v>265</v>
      </c>
      <c r="AZ38" s="122" t="s">
        <v>265</v>
      </c>
      <c r="BA38" s="334" t="s">
        <v>265</v>
      </c>
      <c r="BB38" s="334" t="s">
        <v>265</v>
      </c>
      <c r="BC38" s="249" t="s">
        <v>265</v>
      </c>
      <c r="BD38" s="249" t="s">
        <v>265</v>
      </c>
      <c r="BE38" s="249" t="s">
        <v>265</v>
      </c>
      <c r="BF38" s="249" t="s">
        <v>265</v>
      </c>
      <c r="BG38" s="249" t="s">
        <v>265</v>
      </c>
      <c r="BH38" s="249" t="s">
        <v>265</v>
      </c>
      <c r="BI38" s="249" t="s">
        <v>265</v>
      </c>
      <c r="BJ38" s="249" t="s">
        <v>265</v>
      </c>
      <c r="BK38" s="249" t="s">
        <v>265</v>
      </c>
      <c r="BL38" s="122" t="str">
        <f>IF(AZ38="N.S","N.S",3*(AZ38*BL1+0.001*IF(BB38="N.S",0,BB38*(1-BL1))))</f>
        <v>N.S</v>
      </c>
      <c r="BM38" s="520" t="s">
        <v>265</v>
      </c>
      <c r="BN38" s="656" t="str">
        <f t="shared" si="10"/>
        <v>N.S</v>
      </c>
      <c r="BO38" s="283" t="str">
        <f t="shared" si="11"/>
        <v>N.S</v>
      </c>
      <c r="BP38" s="484" t="s">
        <v>265</v>
      </c>
      <c r="BQ38" s="249">
        <v>32</v>
      </c>
      <c r="BR38" s="249" t="s">
        <v>265</v>
      </c>
      <c r="BS38" s="249" t="s">
        <v>265</v>
      </c>
      <c r="BT38" s="249" t="s">
        <v>265</v>
      </c>
      <c r="BU38" s="249" t="s">
        <v>265</v>
      </c>
      <c r="BV38" s="249" t="s">
        <v>265</v>
      </c>
      <c r="BW38" s="249" t="s">
        <v>265</v>
      </c>
      <c r="BX38" s="338" t="s">
        <v>265</v>
      </c>
      <c r="BY38" s="41" t="s">
        <v>265</v>
      </c>
      <c r="BZ38" s="88" t="s">
        <v>814</v>
      </c>
      <c r="CA38" s="334" t="s">
        <v>265</v>
      </c>
      <c r="CB38" s="91" t="s">
        <v>265</v>
      </c>
      <c r="CC38" s="484" t="s">
        <v>265</v>
      </c>
      <c r="CD38" s="249" t="s">
        <v>265</v>
      </c>
      <c r="CE38" s="249" t="s">
        <v>265</v>
      </c>
      <c r="CF38" s="249" t="s">
        <v>265</v>
      </c>
      <c r="CG38" s="249" t="s">
        <v>265</v>
      </c>
      <c r="CH38" s="91" t="s">
        <v>265</v>
      </c>
      <c r="CI38" s="522" t="s">
        <v>265</v>
      </c>
      <c r="CJ38" s="122" t="s">
        <v>265</v>
      </c>
      <c r="CK38" s="523" t="s">
        <v>265</v>
      </c>
      <c r="CL38" s="484"/>
      <c r="CN38" s="477"/>
      <c r="CO38" s="183">
        <v>0</v>
      </c>
      <c r="CP38" s="127"/>
      <c r="CQ38" s="127"/>
      <c r="CR38" s="183"/>
      <c r="CS38" s="129"/>
      <c r="CT38" s="184">
        <v>0</v>
      </c>
      <c r="CU38" s="127"/>
      <c r="CV38" s="127"/>
      <c r="CW38" s="183"/>
      <c r="CX38" s="129"/>
      <c r="CY38" s="87">
        <v>0</v>
      </c>
      <c r="CZ38" s="41">
        <v>0</v>
      </c>
      <c r="DA38" s="41"/>
      <c r="DB38" s="41"/>
      <c r="DC38" s="41"/>
      <c r="DD38" s="41"/>
      <c r="DE38" s="41"/>
      <c r="DF38" s="41"/>
      <c r="DG38" s="41"/>
      <c r="DH38" s="41"/>
      <c r="DI38" s="123"/>
      <c r="DJ38" s="87">
        <v>0</v>
      </c>
      <c r="DK38" s="41">
        <v>0</v>
      </c>
      <c r="DL38" s="41"/>
      <c r="DM38" s="41"/>
      <c r="DN38" s="41"/>
      <c r="DO38" s="41"/>
      <c r="DP38" s="41"/>
      <c r="DQ38" s="41"/>
      <c r="DR38" s="41"/>
      <c r="DS38" s="41"/>
      <c r="DT38" s="88"/>
      <c r="DU38" s="87">
        <v>0</v>
      </c>
      <c r="DV38" s="41">
        <v>0</v>
      </c>
      <c r="DW38" s="41"/>
      <c r="DX38" s="41"/>
      <c r="DY38" s="41"/>
      <c r="DZ38" s="41"/>
      <c r="EA38" s="41"/>
      <c r="EB38" s="41"/>
      <c r="EC38" s="41"/>
      <c r="ED38" s="41"/>
      <c r="EE38" s="123"/>
      <c r="EF38" s="87">
        <v>0</v>
      </c>
      <c r="EG38" s="41"/>
      <c r="EH38" s="41"/>
      <c r="EI38" s="41"/>
      <c r="EJ38" s="88"/>
      <c r="EK38" s="87">
        <v>0</v>
      </c>
      <c r="EL38" s="41"/>
      <c r="EM38" s="41"/>
      <c r="EN38" s="41"/>
      <c r="EO38" s="88"/>
      <c r="EP38" s="87">
        <v>0</v>
      </c>
      <c r="EQ38" s="41"/>
      <c r="ER38" s="41"/>
      <c r="ES38" s="41"/>
      <c r="ET38" s="88"/>
      <c r="EU38" s="87">
        <v>0</v>
      </c>
      <c r="EV38" s="41"/>
      <c r="EW38" s="41"/>
      <c r="EX38" s="41"/>
      <c r="EY38" s="88"/>
      <c r="EZ38" s="87">
        <v>0</v>
      </c>
      <c r="FA38" s="41"/>
      <c r="FB38" s="41"/>
      <c r="FC38" s="41"/>
      <c r="FD38" s="88"/>
      <c r="FE38" s="87">
        <v>0</v>
      </c>
      <c r="FF38" s="127"/>
      <c r="FG38" s="127"/>
      <c r="FH38" s="127"/>
      <c r="FI38" s="123"/>
      <c r="FJ38" s="87">
        <v>0</v>
      </c>
      <c r="FK38" s="41"/>
      <c r="FL38" s="41"/>
      <c r="FM38" s="41"/>
      <c r="FN38" s="88"/>
      <c r="FO38" s="87">
        <v>0</v>
      </c>
      <c r="FP38" s="41"/>
      <c r="FQ38" s="41"/>
      <c r="FR38" s="41"/>
      <c r="FS38" s="88"/>
      <c r="FT38" s="87">
        <v>0</v>
      </c>
      <c r="FU38" s="41"/>
      <c r="FV38" s="41"/>
      <c r="FW38" s="41"/>
      <c r="FX38" s="88"/>
      <c r="FY38" s="87">
        <v>0</v>
      </c>
      <c r="FZ38" s="41"/>
      <c r="GA38" s="41"/>
      <c r="GB38" s="41"/>
      <c r="GC38" s="88"/>
      <c r="GD38" s="87">
        <v>0</v>
      </c>
      <c r="GE38" s="41"/>
      <c r="GF38" s="41"/>
      <c r="GG38" s="41"/>
      <c r="GH38" s="88"/>
      <c r="GI38" s="87">
        <v>0</v>
      </c>
      <c r="GJ38" s="41"/>
      <c r="GK38" s="127"/>
      <c r="GL38" s="41"/>
      <c r="GM38" s="88"/>
      <c r="GN38" s="87">
        <v>0</v>
      </c>
      <c r="GO38" s="41"/>
      <c r="GP38" s="41"/>
      <c r="GQ38" s="41"/>
      <c r="GR38" s="88"/>
      <c r="GS38" s="87">
        <v>0</v>
      </c>
      <c r="GT38" s="41"/>
      <c r="GU38" s="41"/>
      <c r="GV38" s="41"/>
      <c r="GW38" s="88"/>
      <c r="GX38" s="301">
        <f t="shared" si="1"/>
        <v>1</v>
      </c>
      <c r="GY38" s="301" t="str">
        <f t="shared" si="12"/>
        <v/>
      </c>
      <c r="GZ38" s="41" t="str">
        <f t="shared" si="2"/>
        <v/>
      </c>
      <c r="HA38" s="41" t="str">
        <f t="shared" si="3"/>
        <v/>
      </c>
      <c r="HB38" s="41" t="str">
        <f t="shared" si="4"/>
        <v/>
      </c>
      <c r="HC38" s="41" t="str">
        <f t="shared" si="5"/>
        <v/>
      </c>
      <c r="HD38" s="41" t="str">
        <f t="shared" si="6"/>
        <v/>
      </c>
      <c r="HE38" s="88" t="str">
        <f t="shared" si="7"/>
        <v/>
      </c>
      <c r="HF38" s="524">
        <v>1</v>
      </c>
      <c r="HG38" s="41" t="s">
        <v>82</v>
      </c>
      <c r="HH38" s="41" t="s">
        <v>82</v>
      </c>
      <c r="HI38" s="41" t="s">
        <v>82</v>
      </c>
      <c r="HJ38" s="41" t="s">
        <v>82</v>
      </c>
      <c r="HK38" s="41" t="s">
        <v>82</v>
      </c>
      <c r="HL38" s="41" t="s">
        <v>82</v>
      </c>
      <c r="HM38" s="41" t="s">
        <v>82</v>
      </c>
      <c r="HN38" s="41" t="s">
        <v>82</v>
      </c>
      <c r="HO38" s="41" t="s">
        <v>82</v>
      </c>
      <c r="HP38" s="41" t="s">
        <v>82</v>
      </c>
      <c r="HQ38" s="41" t="s">
        <v>82</v>
      </c>
      <c r="HR38" s="41" t="s">
        <v>82</v>
      </c>
      <c r="HS38" s="41" t="s">
        <v>82</v>
      </c>
      <c r="HT38" s="41" t="s">
        <v>82</v>
      </c>
      <c r="HU38" s="41" t="s">
        <v>82</v>
      </c>
      <c r="HV38" s="41" t="s">
        <v>82</v>
      </c>
      <c r="HW38" s="41" t="s">
        <v>82</v>
      </c>
      <c r="HX38" s="41" t="s">
        <v>82</v>
      </c>
      <c r="HY38" s="41" t="s">
        <v>82</v>
      </c>
      <c r="HZ38" s="41" t="s">
        <v>82</v>
      </c>
      <c r="IA38" s="41" t="s">
        <v>82</v>
      </c>
      <c r="IB38" s="41" t="s">
        <v>82</v>
      </c>
      <c r="IC38" s="41" t="s">
        <v>82</v>
      </c>
      <c r="ID38" s="41" t="s">
        <v>82</v>
      </c>
      <c r="IE38" s="41" t="s">
        <v>82</v>
      </c>
      <c r="IF38" s="41" t="s">
        <v>82</v>
      </c>
      <c r="IG38" s="41" t="s">
        <v>82</v>
      </c>
      <c r="IH38" s="41" t="s">
        <v>82</v>
      </c>
      <c r="II38" s="88" t="s">
        <v>82</v>
      </c>
    </row>
    <row r="39" spans="1:244" s="89" customFormat="1" ht="14.4" thickBot="1">
      <c r="A39" s="755"/>
      <c r="B39" s="90"/>
      <c r="C39" s="484"/>
      <c r="D39" s="98"/>
      <c r="E39" s="62" t="s">
        <v>65</v>
      </c>
      <c r="F39" s="62" t="s">
        <v>65</v>
      </c>
      <c r="G39" s="62" t="s">
        <v>65</v>
      </c>
      <c r="H39" s="62" t="s">
        <v>65</v>
      </c>
      <c r="I39" s="62" t="s">
        <v>65</v>
      </c>
      <c r="J39" s="127" t="s">
        <v>265</v>
      </c>
      <c r="K39" s="183" t="s">
        <v>265</v>
      </c>
      <c r="L39" s="129" t="s">
        <v>265</v>
      </c>
      <c r="M39" s="334" t="s">
        <v>265</v>
      </c>
      <c r="N39" s="334" t="s">
        <v>265</v>
      </c>
      <c r="O39" s="334" t="s">
        <v>265</v>
      </c>
      <c r="P39" s="249" t="s">
        <v>265</v>
      </c>
      <c r="Q39" s="249"/>
      <c r="R39" s="249" t="s">
        <v>265</v>
      </c>
      <c r="S39" s="41" t="s">
        <v>265</v>
      </c>
      <c r="T39" s="41" t="s">
        <v>265</v>
      </c>
      <c r="U39" s="249" t="s">
        <v>265</v>
      </c>
      <c r="V39" s="249" t="s">
        <v>265</v>
      </c>
      <c r="W39" s="249" t="s">
        <v>265</v>
      </c>
      <c r="X39" s="249" t="s">
        <v>265</v>
      </c>
      <c r="Y39" s="249" t="s">
        <v>265</v>
      </c>
      <c r="Z39" s="249" t="s">
        <v>265</v>
      </c>
      <c r="AA39" s="249" t="s">
        <v>265</v>
      </c>
      <c r="AB39" s="249" t="s">
        <v>265</v>
      </c>
      <c r="AC39" s="249" t="s">
        <v>265</v>
      </c>
      <c r="AD39" s="249" t="s">
        <v>265</v>
      </c>
      <c r="AE39" s="249" t="s">
        <v>265</v>
      </c>
      <c r="AF39" s="249" t="s">
        <v>265</v>
      </c>
      <c r="AG39" s="249" t="s">
        <v>265</v>
      </c>
      <c r="AH39" s="249" t="s">
        <v>265</v>
      </c>
      <c r="AI39" s="249" t="s">
        <v>265</v>
      </c>
      <c r="AJ39" s="249" t="s">
        <v>265</v>
      </c>
      <c r="AK39" s="91" t="s">
        <v>265</v>
      </c>
      <c r="AL39" s="477"/>
      <c r="AM39" s="249" t="s">
        <v>265</v>
      </c>
      <c r="AN39" s="249" t="s">
        <v>265</v>
      </c>
      <c r="AO39" s="249"/>
      <c r="AP39" s="249" t="str">
        <f t="shared" si="8"/>
        <v>N.S</v>
      </c>
      <c r="AQ39" s="249" t="str">
        <f t="shared" si="9"/>
        <v>N.S</v>
      </c>
      <c r="AR39" s="88" t="s">
        <v>265</v>
      </c>
      <c r="AS39" s="334" t="s">
        <v>265</v>
      </c>
      <c r="AT39" s="334" t="s">
        <v>265</v>
      </c>
      <c r="AU39" s="334" t="s">
        <v>265</v>
      </c>
      <c r="AV39" s="334" t="s">
        <v>265</v>
      </c>
      <c r="AW39" s="334" t="s">
        <v>265</v>
      </c>
      <c r="AX39" s="334" t="s">
        <v>265</v>
      </c>
      <c r="AY39" s="249" t="s">
        <v>265</v>
      </c>
      <c r="AZ39" s="122" t="s">
        <v>265</v>
      </c>
      <c r="BA39" s="334" t="s">
        <v>265</v>
      </c>
      <c r="BB39" s="334" t="s">
        <v>265</v>
      </c>
      <c r="BC39" s="249" t="s">
        <v>265</v>
      </c>
      <c r="BD39" s="249" t="s">
        <v>265</v>
      </c>
      <c r="BE39" s="249" t="s">
        <v>265</v>
      </c>
      <c r="BF39" s="249" t="s">
        <v>265</v>
      </c>
      <c r="BG39" s="249" t="s">
        <v>265</v>
      </c>
      <c r="BH39" s="249" t="s">
        <v>265</v>
      </c>
      <c r="BI39" s="249" t="s">
        <v>265</v>
      </c>
      <c r="BJ39" s="249" t="s">
        <v>265</v>
      </c>
      <c r="BK39" s="249" t="s">
        <v>265</v>
      </c>
      <c r="BL39" s="122" t="str">
        <f>IF(AZ39="N.S","N.S",3*(AZ39*BL1+0.001*IF(BB39="N.S",0,BB39*(1-BL1))))</f>
        <v>N.S</v>
      </c>
      <c r="BM39" s="520" t="s">
        <v>265</v>
      </c>
      <c r="BN39" s="656" t="str">
        <f t="shared" si="10"/>
        <v>N.S</v>
      </c>
      <c r="BO39" s="283" t="str">
        <f t="shared" si="11"/>
        <v>N.S</v>
      </c>
      <c r="BP39" s="484" t="s">
        <v>265</v>
      </c>
      <c r="BQ39" s="249" t="s">
        <v>265</v>
      </c>
      <c r="BR39" s="249" t="s">
        <v>265</v>
      </c>
      <c r="BS39" s="249" t="s">
        <v>265</v>
      </c>
      <c r="BT39" s="249" t="s">
        <v>265</v>
      </c>
      <c r="BU39" s="249" t="s">
        <v>265</v>
      </c>
      <c r="BV39" s="249" t="s">
        <v>265</v>
      </c>
      <c r="BW39" s="249" t="s">
        <v>265</v>
      </c>
      <c r="BX39" s="338" t="s">
        <v>265</v>
      </c>
      <c r="BY39" s="41" t="s">
        <v>265</v>
      </c>
      <c r="BZ39" s="88" t="s">
        <v>265</v>
      </c>
      <c r="CA39" s="334" t="s">
        <v>265</v>
      </c>
      <c r="CB39" s="91" t="s">
        <v>265</v>
      </c>
      <c r="CC39" s="484" t="s">
        <v>265</v>
      </c>
      <c r="CD39" s="249" t="s">
        <v>265</v>
      </c>
      <c r="CE39" s="249" t="s">
        <v>265</v>
      </c>
      <c r="CF39" s="249" t="s">
        <v>265</v>
      </c>
      <c r="CG39" s="249" t="s">
        <v>265</v>
      </c>
      <c r="CH39" s="91" t="s">
        <v>265</v>
      </c>
      <c r="CI39" s="522" t="s">
        <v>265</v>
      </c>
      <c r="CJ39" s="122" t="s">
        <v>265</v>
      </c>
      <c r="CK39" s="523" t="s">
        <v>265</v>
      </c>
      <c r="CL39" s="484"/>
      <c r="CN39" s="477"/>
      <c r="CO39" s="183">
        <v>0</v>
      </c>
      <c r="CP39" s="127"/>
      <c r="CQ39" s="127"/>
      <c r="CR39" s="183"/>
      <c r="CS39" s="129"/>
      <c r="CT39" s="184">
        <v>0</v>
      </c>
      <c r="CU39" s="127"/>
      <c r="CV39" s="127"/>
      <c r="CW39" s="183"/>
      <c r="CX39" s="129"/>
      <c r="CY39" s="87">
        <v>0</v>
      </c>
      <c r="CZ39" s="41">
        <v>0</v>
      </c>
      <c r="DA39" s="41"/>
      <c r="DB39" s="41"/>
      <c r="DC39" s="41"/>
      <c r="DD39" s="41"/>
      <c r="DE39" s="41"/>
      <c r="DF39" s="41"/>
      <c r="DG39" s="41"/>
      <c r="DH39" s="41"/>
      <c r="DI39" s="123"/>
      <c r="DJ39" s="87">
        <v>0</v>
      </c>
      <c r="DK39" s="41">
        <v>0</v>
      </c>
      <c r="DL39" s="41"/>
      <c r="DM39" s="41"/>
      <c r="DN39" s="41"/>
      <c r="DO39" s="41"/>
      <c r="DP39" s="41"/>
      <c r="DQ39" s="41"/>
      <c r="DR39" s="41"/>
      <c r="DS39" s="41"/>
      <c r="DT39" s="88"/>
      <c r="DU39" s="87">
        <v>0</v>
      </c>
      <c r="DV39" s="41">
        <v>0</v>
      </c>
      <c r="DW39" s="41"/>
      <c r="DX39" s="41"/>
      <c r="DY39" s="41"/>
      <c r="DZ39" s="41"/>
      <c r="EA39" s="41"/>
      <c r="EB39" s="41"/>
      <c r="EC39" s="41"/>
      <c r="ED39" s="41"/>
      <c r="EE39" s="123"/>
      <c r="EF39" s="87">
        <v>0</v>
      </c>
      <c r="EG39" s="41"/>
      <c r="EH39" s="41"/>
      <c r="EI39" s="41"/>
      <c r="EJ39" s="88"/>
      <c r="EK39" s="87">
        <v>0</v>
      </c>
      <c r="EL39" s="41"/>
      <c r="EM39" s="41"/>
      <c r="EN39" s="41"/>
      <c r="EO39" s="88"/>
      <c r="EP39" s="87">
        <v>0</v>
      </c>
      <c r="EQ39" s="41"/>
      <c r="ER39" s="41"/>
      <c r="ES39" s="41"/>
      <c r="ET39" s="88"/>
      <c r="EU39" s="87">
        <v>0</v>
      </c>
      <c r="EV39" s="41"/>
      <c r="EW39" s="41"/>
      <c r="EX39" s="41"/>
      <c r="EY39" s="88"/>
      <c r="EZ39" s="87">
        <v>0</v>
      </c>
      <c r="FA39" s="41"/>
      <c r="FB39" s="41"/>
      <c r="FC39" s="41"/>
      <c r="FD39" s="88"/>
      <c r="FE39" s="87">
        <v>0</v>
      </c>
      <c r="FF39" s="127"/>
      <c r="FG39" s="127"/>
      <c r="FH39" s="127"/>
      <c r="FI39" s="123"/>
      <c r="FJ39" s="87">
        <v>0</v>
      </c>
      <c r="FK39" s="41"/>
      <c r="FL39" s="41"/>
      <c r="FM39" s="41"/>
      <c r="FN39" s="88"/>
      <c r="FO39" s="87">
        <v>0</v>
      </c>
      <c r="FP39" s="41"/>
      <c r="FQ39" s="41"/>
      <c r="FR39" s="41"/>
      <c r="FS39" s="88"/>
      <c r="FT39" s="87">
        <v>0</v>
      </c>
      <c r="FU39" s="41"/>
      <c r="FV39" s="41"/>
      <c r="FW39" s="41"/>
      <c r="FX39" s="88"/>
      <c r="FY39" s="87">
        <v>0</v>
      </c>
      <c r="FZ39" s="41"/>
      <c r="GA39" s="41"/>
      <c r="GB39" s="41"/>
      <c r="GC39" s="88"/>
      <c r="GD39" s="87">
        <v>0</v>
      </c>
      <c r="GE39" s="41"/>
      <c r="GF39" s="41"/>
      <c r="GG39" s="41"/>
      <c r="GH39" s="88"/>
      <c r="GI39" s="87">
        <v>0</v>
      </c>
      <c r="GJ39" s="41"/>
      <c r="GK39" s="127"/>
      <c r="GL39" s="41"/>
      <c r="GM39" s="88"/>
      <c r="GN39" s="87">
        <v>0</v>
      </c>
      <c r="GO39" s="41"/>
      <c r="GP39" s="41"/>
      <c r="GQ39" s="41"/>
      <c r="GR39" s="88"/>
      <c r="GS39" s="87">
        <v>0</v>
      </c>
      <c r="GT39" s="41"/>
      <c r="GU39" s="41"/>
      <c r="GV39" s="41"/>
      <c r="GW39" s="88"/>
      <c r="GX39" s="301" t="str">
        <f t="shared" si="1"/>
        <v/>
      </c>
      <c r="GY39" s="301">
        <f t="shared" si="12"/>
        <v>1</v>
      </c>
      <c r="GZ39" s="41" t="str">
        <f t="shared" si="2"/>
        <v/>
      </c>
      <c r="HA39" s="41" t="str">
        <f t="shared" si="3"/>
        <v/>
      </c>
      <c r="HB39" s="41" t="str">
        <f t="shared" si="4"/>
        <v/>
      </c>
      <c r="HC39" s="41" t="str">
        <f t="shared" si="5"/>
        <v/>
      </c>
      <c r="HD39" s="41" t="str">
        <f t="shared" si="6"/>
        <v/>
      </c>
      <c r="HE39" s="88" t="str">
        <f t="shared" si="7"/>
        <v/>
      </c>
      <c r="HF39" s="524" t="s">
        <v>82</v>
      </c>
      <c r="HG39" s="41" t="s">
        <v>82</v>
      </c>
      <c r="HH39" s="41" t="s">
        <v>82</v>
      </c>
      <c r="HI39" s="41" t="s">
        <v>82</v>
      </c>
      <c r="HJ39" s="41" t="s">
        <v>82</v>
      </c>
      <c r="HK39" s="41" t="s">
        <v>82</v>
      </c>
      <c r="HL39" s="41" t="s">
        <v>82</v>
      </c>
      <c r="HM39" s="41" t="s">
        <v>82</v>
      </c>
      <c r="HN39" s="41" t="s">
        <v>82</v>
      </c>
      <c r="HO39" s="41" t="s">
        <v>82</v>
      </c>
      <c r="HP39" s="41" t="s">
        <v>82</v>
      </c>
      <c r="HQ39" s="41" t="s">
        <v>82</v>
      </c>
      <c r="HR39" s="41" t="s">
        <v>82</v>
      </c>
      <c r="HS39" s="41" t="s">
        <v>82</v>
      </c>
      <c r="HT39" s="41" t="s">
        <v>82</v>
      </c>
      <c r="HU39" s="41" t="s">
        <v>82</v>
      </c>
      <c r="HV39" s="41" t="s">
        <v>82</v>
      </c>
      <c r="HW39" s="41" t="s">
        <v>82</v>
      </c>
      <c r="HX39" s="41" t="s">
        <v>82</v>
      </c>
      <c r="HY39" s="41" t="s">
        <v>82</v>
      </c>
      <c r="HZ39" s="41" t="s">
        <v>82</v>
      </c>
      <c r="IA39" s="41" t="s">
        <v>82</v>
      </c>
      <c r="IB39" s="41" t="s">
        <v>82</v>
      </c>
      <c r="IC39" s="41" t="s">
        <v>82</v>
      </c>
      <c r="ID39" s="41" t="s">
        <v>82</v>
      </c>
      <c r="IE39" s="41" t="s">
        <v>82</v>
      </c>
      <c r="IF39" s="41" t="s">
        <v>82</v>
      </c>
      <c r="IG39" s="41" t="s">
        <v>82</v>
      </c>
      <c r="IH39" s="41" t="s">
        <v>82</v>
      </c>
      <c r="II39" s="88" t="s">
        <v>82</v>
      </c>
    </row>
    <row r="40" spans="1:244" s="135" customFormat="1" ht="41.4">
      <c r="A40" s="743" t="s">
        <v>694</v>
      </c>
      <c r="B40" s="90" t="s">
        <v>310</v>
      </c>
      <c r="C40" s="738" t="s">
        <v>309</v>
      </c>
      <c r="D40" s="98" t="s">
        <v>311</v>
      </c>
      <c r="E40" s="343" t="s">
        <v>65</v>
      </c>
      <c r="F40" s="343" t="s">
        <v>124</v>
      </c>
      <c r="G40" s="343" t="s">
        <v>314</v>
      </c>
      <c r="H40" s="343" t="s">
        <v>65</v>
      </c>
      <c r="I40" s="134" t="s">
        <v>65</v>
      </c>
      <c r="J40" s="127" t="s">
        <v>265</v>
      </c>
      <c r="K40" s="183" t="s">
        <v>265</v>
      </c>
      <c r="L40" s="129" t="s">
        <v>265</v>
      </c>
      <c r="M40" s="101" t="s">
        <v>312</v>
      </c>
      <c r="N40" s="334" t="s">
        <v>265</v>
      </c>
      <c r="O40" s="334" t="s">
        <v>265</v>
      </c>
      <c r="P40" s="249" t="s">
        <v>84</v>
      </c>
      <c r="Q40" s="249"/>
      <c r="R40" s="249" t="s">
        <v>265</v>
      </c>
      <c r="S40" s="41" t="s">
        <v>265</v>
      </c>
      <c r="T40" s="41" t="s">
        <v>265</v>
      </c>
      <c r="U40" s="249" t="s">
        <v>265</v>
      </c>
      <c r="V40" s="249" t="s">
        <v>265</v>
      </c>
      <c r="W40" s="249" t="s">
        <v>265</v>
      </c>
      <c r="X40" s="249" t="s">
        <v>265</v>
      </c>
      <c r="Y40" s="249" t="s">
        <v>265</v>
      </c>
      <c r="Z40" s="249" t="s">
        <v>265</v>
      </c>
      <c r="AA40" s="249" t="s">
        <v>265</v>
      </c>
      <c r="AB40" s="249" t="s">
        <v>265</v>
      </c>
      <c r="AC40" s="249" t="s">
        <v>265</v>
      </c>
      <c r="AD40" s="249" t="s">
        <v>265</v>
      </c>
      <c r="AE40" s="249" t="s">
        <v>265</v>
      </c>
      <c r="AF40" s="249" t="s">
        <v>265</v>
      </c>
      <c r="AG40" s="249" t="s">
        <v>265</v>
      </c>
      <c r="AH40" s="249" t="s">
        <v>265</v>
      </c>
      <c r="AI40" s="249" t="s">
        <v>265</v>
      </c>
      <c r="AJ40" s="249" t="s">
        <v>265</v>
      </c>
      <c r="AK40" s="91" t="s">
        <v>265</v>
      </c>
      <c r="AL40" s="477"/>
      <c r="AM40" s="249">
        <v>2.19</v>
      </c>
      <c r="AN40" s="249">
        <v>2.4700000000000002</v>
      </c>
      <c r="AO40" s="249"/>
      <c r="AP40" s="249">
        <f t="shared" si="8"/>
        <v>2.4700000000000002</v>
      </c>
      <c r="AQ40" s="518">
        <f t="shared" si="9"/>
        <v>5.4093</v>
      </c>
      <c r="AR40" s="88" t="s">
        <v>297</v>
      </c>
      <c r="AS40" s="334">
        <v>1.1000000000000001</v>
      </c>
      <c r="AT40" s="334">
        <v>1.2</v>
      </c>
      <c r="AU40" s="334" t="s">
        <v>265</v>
      </c>
      <c r="AV40" s="334" t="s">
        <v>265</v>
      </c>
      <c r="AW40" s="334" t="s">
        <v>265</v>
      </c>
      <c r="AX40" s="334" t="s">
        <v>265</v>
      </c>
      <c r="AY40" s="249" t="s">
        <v>265</v>
      </c>
      <c r="AZ40" s="551">
        <v>9.2999999999999999E-2</v>
      </c>
      <c r="BA40" s="477" t="s">
        <v>265</v>
      </c>
      <c r="BB40" s="477" t="s">
        <v>265</v>
      </c>
      <c r="BC40" s="249" t="s">
        <v>265</v>
      </c>
      <c r="BD40" s="249">
        <v>75</v>
      </c>
      <c r="BE40" s="249" t="s">
        <v>265</v>
      </c>
      <c r="BF40" s="249" t="s">
        <v>265</v>
      </c>
      <c r="BG40" s="249" t="s">
        <v>265</v>
      </c>
      <c r="BH40" s="249" t="s">
        <v>265</v>
      </c>
      <c r="BI40" s="249" t="s">
        <v>265</v>
      </c>
      <c r="BJ40" s="249" t="s">
        <v>265</v>
      </c>
      <c r="BK40" s="249" t="s">
        <v>265</v>
      </c>
      <c r="BL40" s="122">
        <f>IF(AZ40="N.S","N.S",3*(AZ40*BL1+0.001*IF(BB40="N.S",0,BB40*(1-BL1))))</f>
        <v>2.7899999999999999E-3</v>
      </c>
      <c r="BM40" s="520" t="s">
        <v>265</v>
      </c>
      <c r="BN40" s="656" t="str">
        <f t="shared" si="10"/>
        <v>N.S</v>
      </c>
      <c r="BO40" s="283">
        <f t="shared" si="11"/>
        <v>268817.20430107525</v>
      </c>
      <c r="BP40" s="484" t="s">
        <v>265</v>
      </c>
      <c r="BQ40" s="249" t="s">
        <v>265</v>
      </c>
      <c r="BR40" s="249" t="s">
        <v>265</v>
      </c>
      <c r="BS40" s="249">
        <v>175000</v>
      </c>
      <c r="BT40" s="249">
        <v>64</v>
      </c>
      <c r="BU40" s="249" t="s">
        <v>265</v>
      </c>
      <c r="BV40" s="249" t="s">
        <v>265</v>
      </c>
      <c r="BW40" s="249" t="s">
        <v>265</v>
      </c>
      <c r="BX40" s="338" t="s">
        <v>265</v>
      </c>
      <c r="BY40" s="41" t="s">
        <v>265</v>
      </c>
      <c r="BZ40" s="353" t="s">
        <v>818</v>
      </c>
      <c r="CA40" s="334" t="s">
        <v>265</v>
      </c>
      <c r="CB40" s="91" t="s">
        <v>265</v>
      </c>
      <c r="CC40" s="484" t="s">
        <v>82</v>
      </c>
      <c r="CD40" s="98" t="s">
        <v>313</v>
      </c>
      <c r="CE40" s="249" t="s">
        <v>265</v>
      </c>
      <c r="CF40" s="249" t="s">
        <v>265</v>
      </c>
      <c r="CG40" s="249" t="s">
        <v>265</v>
      </c>
      <c r="CH40" s="91" t="s">
        <v>265</v>
      </c>
      <c r="CI40" s="522" t="s">
        <v>265</v>
      </c>
      <c r="CJ40" s="122" t="s">
        <v>265</v>
      </c>
      <c r="CK40" s="523" t="s">
        <v>265</v>
      </c>
      <c r="CL40" s="484"/>
      <c r="CM40" s="89"/>
      <c r="CN40" s="477"/>
      <c r="CO40" s="183">
        <v>1</v>
      </c>
      <c r="CP40" s="127"/>
      <c r="CQ40" s="127"/>
      <c r="CR40" s="183"/>
      <c r="CS40" s="129"/>
      <c r="CT40" s="184">
        <v>1</v>
      </c>
      <c r="CU40" s="127"/>
      <c r="CV40" s="127"/>
      <c r="CW40" s="183"/>
      <c r="CX40" s="129"/>
      <c r="CY40" s="87">
        <v>0</v>
      </c>
      <c r="CZ40" s="41">
        <v>1</v>
      </c>
      <c r="DA40" s="41"/>
      <c r="DB40" s="41"/>
      <c r="DC40" s="41"/>
      <c r="DD40" s="41"/>
      <c r="DE40" s="41"/>
      <c r="DF40" s="41"/>
      <c r="DG40" s="41"/>
      <c r="DH40" s="41"/>
      <c r="DI40" s="123"/>
      <c r="DJ40" s="87">
        <v>0</v>
      </c>
      <c r="DK40" s="41">
        <v>1</v>
      </c>
      <c r="DL40" s="41"/>
      <c r="DM40" s="41"/>
      <c r="DN40" s="41"/>
      <c r="DO40" s="41"/>
      <c r="DP40" s="41"/>
      <c r="DQ40" s="41"/>
      <c r="DR40" s="41"/>
      <c r="DS40" s="41"/>
      <c r="DT40" s="88"/>
      <c r="DU40" s="87">
        <v>0</v>
      </c>
      <c r="DV40" s="41">
        <v>1</v>
      </c>
      <c r="DW40" s="41"/>
      <c r="DX40" s="41"/>
      <c r="DY40" s="41"/>
      <c r="DZ40" s="41"/>
      <c r="EA40" s="41"/>
      <c r="EB40" s="41"/>
      <c r="EC40" s="41"/>
      <c r="ED40" s="41"/>
      <c r="EE40" s="123"/>
      <c r="EF40" s="87">
        <v>1</v>
      </c>
      <c r="EG40" s="41"/>
      <c r="EH40" s="41"/>
      <c r="EI40" s="41"/>
      <c r="EJ40" s="88"/>
      <c r="EK40" s="87">
        <v>1</v>
      </c>
      <c r="EL40" s="41"/>
      <c r="EM40" s="41"/>
      <c r="EN40" s="41"/>
      <c r="EO40" s="88"/>
      <c r="EP40" s="87">
        <v>1</v>
      </c>
      <c r="EQ40" s="41"/>
      <c r="ER40" s="41"/>
      <c r="ES40" s="41"/>
      <c r="ET40" s="88"/>
      <c r="EU40" s="87">
        <v>0</v>
      </c>
      <c r="EV40" s="41"/>
      <c r="EW40" s="41"/>
      <c r="EX40" s="41"/>
      <c r="EY40" s="88"/>
      <c r="EZ40" s="87">
        <v>0</v>
      </c>
      <c r="FA40" s="41"/>
      <c r="FB40" s="41"/>
      <c r="FC40" s="41"/>
      <c r="FD40" s="88"/>
      <c r="FE40" s="87">
        <v>0</v>
      </c>
      <c r="FF40" s="127"/>
      <c r="FG40" s="127"/>
      <c r="FH40" s="127"/>
      <c r="FI40" s="123"/>
      <c r="FJ40" s="87">
        <v>1</v>
      </c>
      <c r="FK40" s="41"/>
      <c r="FL40" s="41"/>
      <c r="FM40" s="41"/>
      <c r="FN40" s="88"/>
      <c r="FO40" s="87">
        <v>1</v>
      </c>
      <c r="FP40" s="41"/>
      <c r="FQ40" s="41"/>
      <c r="FR40" s="41"/>
      <c r="FS40" s="88"/>
      <c r="FT40" s="87">
        <v>1</v>
      </c>
      <c r="FU40" s="41"/>
      <c r="FV40" s="41"/>
      <c r="FW40" s="41"/>
      <c r="FX40" s="88"/>
      <c r="FY40" s="87">
        <v>1</v>
      </c>
      <c r="FZ40" s="41"/>
      <c r="GA40" s="41"/>
      <c r="GB40" s="41"/>
      <c r="GC40" s="88"/>
      <c r="GD40" s="87">
        <v>0</v>
      </c>
      <c r="GE40" s="41"/>
      <c r="GF40" s="41"/>
      <c r="GG40" s="41"/>
      <c r="GH40" s="88"/>
      <c r="GI40" s="87">
        <v>0</v>
      </c>
      <c r="GJ40" s="41"/>
      <c r="GK40" s="127"/>
      <c r="GL40" s="41"/>
      <c r="GM40" s="88"/>
      <c r="GN40" s="87">
        <v>0</v>
      </c>
      <c r="GO40" s="41"/>
      <c r="GP40" s="41"/>
      <c r="GQ40" s="41"/>
      <c r="GR40" s="88"/>
      <c r="GS40" s="87">
        <v>0</v>
      </c>
      <c r="GT40" s="41"/>
      <c r="GU40" s="41"/>
      <c r="GV40" s="41"/>
      <c r="GW40" s="88"/>
      <c r="GX40" s="301" t="str">
        <f t="shared" si="1"/>
        <v/>
      </c>
      <c r="GY40" s="301">
        <f t="shared" si="12"/>
        <v>1</v>
      </c>
      <c r="GZ40" s="41" t="str">
        <f t="shared" si="2"/>
        <v/>
      </c>
      <c r="HA40" s="41" t="str">
        <f t="shared" si="3"/>
        <v/>
      </c>
      <c r="HB40" s="41" t="str">
        <f t="shared" si="4"/>
        <v/>
      </c>
      <c r="HC40" s="41" t="str">
        <f t="shared" si="5"/>
        <v/>
      </c>
      <c r="HD40" s="41" t="str">
        <f t="shared" si="6"/>
        <v/>
      </c>
      <c r="HE40" s="88" t="str">
        <f t="shared" si="7"/>
        <v/>
      </c>
      <c r="HF40" s="524" t="s">
        <v>82</v>
      </c>
      <c r="HG40" s="41" t="s">
        <v>82</v>
      </c>
      <c r="HH40" s="41" t="s">
        <v>82</v>
      </c>
      <c r="HI40" s="41" t="s">
        <v>82</v>
      </c>
      <c r="HJ40" s="41" t="s">
        <v>82</v>
      </c>
      <c r="HK40" s="41" t="s">
        <v>82</v>
      </c>
      <c r="HL40" s="41">
        <v>1</v>
      </c>
      <c r="HM40" s="41">
        <v>1</v>
      </c>
      <c r="HN40" s="41" t="s">
        <v>82</v>
      </c>
      <c r="HO40" s="41" t="s">
        <v>82</v>
      </c>
      <c r="HP40" s="41" t="s">
        <v>82</v>
      </c>
      <c r="HQ40" s="41" t="s">
        <v>82</v>
      </c>
      <c r="HR40" s="41" t="s">
        <v>82</v>
      </c>
      <c r="HS40" s="41" t="s">
        <v>82</v>
      </c>
      <c r="HT40" s="41" t="s">
        <v>82</v>
      </c>
      <c r="HU40" s="41" t="s">
        <v>82</v>
      </c>
      <c r="HV40" s="41" t="s">
        <v>82</v>
      </c>
      <c r="HW40" s="41" t="s">
        <v>82</v>
      </c>
      <c r="HX40" s="41" t="s">
        <v>82</v>
      </c>
      <c r="HY40" s="41" t="s">
        <v>82</v>
      </c>
      <c r="HZ40" s="41" t="s">
        <v>82</v>
      </c>
      <c r="IA40" s="41" t="s">
        <v>82</v>
      </c>
      <c r="IB40" s="41" t="s">
        <v>82</v>
      </c>
      <c r="IC40" s="41" t="s">
        <v>82</v>
      </c>
      <c r="ID40" s="41" t="s">
        <v>82</v>
      </c>
      <c r="IE40" s="41" t="s">
        <v>82</v>
      </c>
      <c r="IF40" s="41" t="s">
        <v>82</v>
      </c>
      <c r="IG40" s="41" t="s">
        <v>82</v>
      </c>
      <c r="IH40" s="41" t="s">
        <v>82</v>
      </c>
      <c r="II40" s="88" t="s">
        <v>82</v>
      </c>
    </row>
    <row r="41" spans="1:244" s="135" customFormat="1" ht="124.8">
      <c r="A41" s="744"/>
      <c r="B41" s="90" t="s">
        <v>315</v>
      </c>
      <c r="C41" s="739"/>
      <c r="D41" s="98" t="s">
        <v>316</v>
      </c>
      <c r="E41" s="343" t="s">
        <v>65</v>
      </c>
      <c r="F41" s="343" t="s">
        <v>124</v>
      </c>
      <c r="G41" s="343" t="s">
        <v>124</v>
      </c>
      <c r="H41" s="134" t="s">
        <v>65</v>
      </c>
      <c r="I41" s="134" t="s">
        <v>65</v>
      </c>
      <c r="J41" s="183" t="s">
        <v>265</v>
      </c>
      <c r="K41" s="183" t="s">
        <v>265</v>
      </c>
      <c r="L41" s="129" t="s">
        <v>265</v>
      </c>
      <c r="M41" s="101" t="s">
        <v>960</v>
      </c>
      <c r="N41" s="334" t="s">
        <v>265</v>
      </c>
      <c r="O41" s="334" t="s">
        <v>265</v>
      </c>
      <c r="P41" s="249" t="s">
        <v>84</v>
      </c>
      <c r="Q41" s="249"/>
      <c r="R41" s="249" t="s">
        <v>265</v>
      </c>
      <c r="S41" s="41" t="s">
        <v>265</v>
      </c>
      <c r="T41" s="41">
        <v>1</v>
      </c>
      <c r="U41" s="98" t="s">
        <v>369</v>
      </c>
      <c r="V41" s="98">
        <v>12</v>
      </c>
      <c r="W41" s="98" t="s">
        <v>265</v>
      </c>
      <c r="X41" s="98" t="s">
        <v>265</v>
      </c>
      <c r="Y41" s="98" t="s">
        <v>265</v>
      </c>
      <c r="Z41" s="98" t="s">
        <v>265</v>
      </c>
      <c r="AA41" s="98" t="s">
        <v>265</v>
      </c>
      <c r="AB41" s="98" t="s">
        <v>265</v>
      </c>
      <c r="AC41" s="98" t="s">
        <v>265</v>
      </c>
      <c r="AD41" s="249" t="s">
        <v>265</v>
      </c>
      <c r="AE41" s="249" t="s">
        <v>265</v>
      </c>
      <c r="AF41" s="249" t="s">
        <v>265</v>
      </c>
      <c r="AG41" s="249" t="s">
        <v>265</v>
      </c>
      <c r="AH41" s="249" t="s">
        <v>265</v>
      </c>
      <c r="AI41" s="249" t="s">
        <v>265</v>
      </c>
      <c r="AJ41" s="249" t="s">
        <v>265</v>
      </c>
      <c r="AK41" s="91" t="s">
        <v>265</v>
      </c>
      <c r="AL41" s="477"/>
      <c r="AM41" s="249">
        <v>2.6</v>
      </c>
      <c r="AN41" s="249">
        <v>2.7</v>
      </c>
      <c r="AO41" s="249"/>
      <c r="AP41" s="249">
        <v>2.4</v>
      </c>
      <c r="AQ41" s="518">
        <f t="shared" si="9"/>
        <v>7.0200000000000005</v>
      </c>
      <c r="AR41" s="88" t="s">
        <v>297</v>
      </c>
      <c r="AS41" s="334" t="s">
        <v>265</v>
      </c>
      <c r="AT41" s="334" t="s">
        <v>265</v>
      </c>
      <c r="AU41" s="334" t="s">
        <v>265</v>
      </c>
      <c r="AV41" s="334">
        <v>0.3</v>
      </c>
      <c r="AW41" s="334">
        <v>7.27</v>
      </c>
      <c r="AX41" s="334" t="s">
        <v>265</v>
      </c>
      <c r="AY41" s="249" t="s">
        <v>265</v>
      </c>
      <c r="AZ41" s="122" t="s">
        <v>265</v>
      </c>
      <c r="BA41" s="477" t="s">
        <v>265</v>
      </c>
      <c r="BB41" s="477" t="s">
        <v>265</v>
      </c>
      <c r="BC41" s="249" t="s">
        <v>265</v>
      </c>
      <c r="BD41" s="249">
        <f>50+100</f>
        <v>150</v>
      </c>
      <c r="BE41" s="249" t="s">
        <v>265</v>
      </c>
      <c r="BF41" s="249" t="s">
        <v>265</v>
      </c>
      <c r="BG41" s="249" t="s">
        <v>265</v>
      </c>
      <c r="BH41" s="249" t="s">
        <v>265</v>
      </c>
      <c r="BI41" s="249" t="s">
        <v>265</v>
      </c>
      <c r="BJ41" s="249" t="s">
        <v>265</v>
      </c>
      <c r="BK41" s="249" t="s">
        <v>265</v>
      </c>
      <c r="BL41" s="122" t="str">
        <f>IF(AZ41="N.S","N.S",3*(AZ41*BL1+0.001*IF(BB41="N.S",0,BB41*(1-BL1))))</f>
        <v>N.S</v>
      </c>
      <c r="BM41" s="520" t="s">
        <v>265</v>
      </c>
      <c r="BN41" s="656" t="str">
        <f t="shared" si="10"/>
        <v>N.S</v>
      </c>
      <c r="BO41" s="283" t="str">
        <f t="shared" si="11"/>
        <v>N.S</v>
      </c>
      <c r="BP41" s="481" t="s">
        <v>819</v>
      </c>
      <c r="BQ41" s="249">
        <v>32</v>
      </c>
      <c r="BR41" s="249">
        <v>80</v>
      </c>
      <c r="BS41" s="249" t="s">
        <v>265</v>
      </c>
      <c r="BT41" s="98">
        <f>512</f>
        <v>512</v>
      </c>
      <c r="BU41" s="249" t="s">
        <v>265</v>
      </c>
      <c r="BV41" s="249" t="s">
        <v>265</v>
      </c>
      <c r="BW41" s="249" t="s">
        <v>265</v>
      </c>
      <c r="BX41" s="338" t="s">
        <v>265</v>
      </c>
      <c r="BY41" s="41" t="s">
        <v>265</v>
      </c>
      <c r="BZ41" s="353" t="s">
        <v>820</v>
      </c>
      <c r="CA41" s="334" t="s">
        <v>265</v>
      </c>
      <c r="CB41" s="91" t="s">
        <v>265</v>
      </c>
      <c r="CC41" s="484" t="s">
        <v>82</v>
      </c>
      <c r="CD41" s="98" t="s">
        <v>313</v>
      </c>
      <c r="CE41" s="249" t="s">
        <v>265</v>
      </c>
      <c r="CF41" s="249" t="s">
        <v>265</v>
      </c>
      <c r="CG41" s="249" t="s">
        <v>265</v>
      </c>
      <c r="CH41" s="91" t="s">
        <v>265</v>
      </c>
      <c r="CI41" s="522" t="s">
        <v>265</v>
      </c>
      <c r="CJ41" s="122" t="s">
        <v>265</v>
      </c>
      <c r="CK41" s="523" t="s">
        <v>265</v>
      </c>
      <c r="CL41" s="481" t="s">
        <v>961</v>
      </c>
      <c r="CM41" s="120"/>
      <c r="CN41" s="68" t="s">
        <v>962</v>
      </c>
      <c r="CO41" s="183">
        <v>0</v>
      </c>
      <c r="CP41" s="127"/>
      <c r="CQ41" s="127"/>
      <c r="CR41" s="183"/>
      <c r="CS41" s="129"/>
      <c r="CT41" s="184">
        <v>0</v>
      </c>
      <c r="CU41" s="127"/>
      <c r="CV41" s="127"/>
      <c r="CW41" s="183"/>
      <c r="CX41" s="129"/>
      <c r="CY41" s="87">
        <v>0</v>
      </c>
      <c r="CZ41" s="41">
        <v>0</v>
      </c>
      <c r="DA41" s="41"/>
      <c r="DB41" s="41"/>
      <c r="DC41" s="41"/>
      <c r="DD41" s="41"/>
      <c r="DE41" s="41"/>
      <c r="DF41" s="41"/>
      <c r="DG41" s="41"/>
      <c r="DH41" s="41"/>
      <c r="DI41" s="123"/>
      <c r="DJ41" s="87">
        <v>0</v>
      </c>
      <c r="DK41" s="41">
        <v>0</v>
      </c>
      <c r="DL41" s="41"/>
      <c r="DM41" s="41"/>
      <c r="DN41" s="41"/>
      <c r="DO41" s="41"/>
      <c r="DP41" s="41"/>
      <c r="DQ41" s="41"/>
      <c r="DR41" s="41"/>
      <c r="DS41" s="41"/>
      <c r="DT41" s="88"/>
      <c r="DU41" s="87">
        <v>0</v>
      </c>
      <c r="DV41" s="41">
        <v>0</v>
      </c>
      <c r="DW41" s="41"/>
      <c r="DX41" s="41"/>
      <c r="DY41" s="41"/>
      <c r="DZ41" s="41"/>
      <c r="EA41" s="41"/>
      <c r="EB41" s="41"/>
      <c r="EC41" s="41"/>
      <c r="ED41" s="41"/>
      <c r="EE41" s="123"/>
      <c r="EF41" s="87">
        <v>0</v>
      </c>
      <c r="EG41" s="41"/>
      <c r="EH41" s="41"/>
      <c r="EI41" s="41"/>
      <c r="EJ41" s="88"/>
      <c r="EK41" s="87">
        <v>1</v>
      </c>
      <c r="EL41" s="41"/>
      <c r="EM41" s="41"/>
      <c r="EN41" s="41"/>
      <c r="EO41" s="88"/>
      <c r="EP41" s="87">
        <v>0</v>
      </c>
      <c r="EQ41" s="41"/>
      <c r="ER41" s="41"/>
      <c r="ES41" s="41"/>
      <c r="ET41" s="88"/>
      <c r="EU41" s="87">
        <v>1</v>
      </c>
      <c r="EV41" s="41"/>
      <c r="EW41" s="41"/>
      <c r="EX41" s="41"/>
      <c r="EY41" s="88"/>
      <c r="EZ41" s="87">
        <v>0</v>
      </c>
      <c r="FA41" s="41"/>
      <c r="FB41" s="41"/>
      <c r="FC41" s="41"/>
      <c r="FD41" s="88"/>
      <c r="FE41" s="87">
        <v>0</v>
      </c>
      <c r="FF41" s="127"/>
      <c r="FG41" s="127"/>
      <c r="FH41" s="127"/>
      <c r="FI41" s="123"/>
      <c r="FJ41" s="87">
        <v>0</v>
      </c>
      <c r="FK41" s="41"/>
      <c r="FL41" s="41"/>
      <c r="FM41" s="41"/>
      <c r="FN41" s="88"/>
      <c r="FO41" s="87">
        <v>0</v>
      </c>
      <c r="FP41" s="41"/>
      <c r="FQ41" s="41"/>
      <c r="FR41" s="41"/>
      <c r="FS41" s="88"/>
      <c r="FT41" s="87">
        <v>0</v>
      </c>
      <c r="FU41" s="41"/>
      <c r="FV41" s="41"/>
      <c r="FW41" s="41"/>
      <c r="FX41" s="88"/>
      <c r="FY41" s="87">
        <v>0</v>
      </c>
      <c r="FZ41" s="41"/>
      <c r="GA41" s="41"/>
      <c r="GB41" s="41"/>
      <c r="GC41" s="88"/>
      <c r="GD41" s="87">
        <v>0</v>
      </c>
      <c r="GE41" s="41"/>
      <c r="GF41" s="41"/>
      <c r="GG41" s="41"/>
      <c r="GH41" s="88"/>
      <c r="GI41" s="87">
        <v>0</v>
      </c>
      <c r="GJ41" s="41"/>
      <c r="GK41" s="127"/>
      <c r="GL41" s="41"/>
      <c r="GM41" s="88"/>
      <c r="GN41" s="87">
        <v>0</v>
      </c>
      <c r="GO41" s="41"/>
      <c r="GP41" s="41"/>
      <c r="GQ41" s="41"/>
      <c r="GR41" s="88"/>
      <c r="GS41" s="87">
        <v>0</v>
      </c>
      <c r="GT41" s="41"/>
      <c r="GU41" s="41"/>
      <c r="GV41" s="41"/>
      <c r="GW41" s="88"/>
      <c r="GX41" s="301">
        <f t="shared" si="1"/>
        <v>1</v>
      </c>
      <c r="GY41" s="301" t="str">
        <f t="shared" si="12"/>
        <v/>
      </c>
      <c r="GZ41" s="41" t="str">
        <f t="shared" si="2"/>
        <v/>
      </c>
      <c r="HA41" s="41" t="str">
        <f t="shared" si="3"/>
        <v/>
      </c>
      <c r="HB41" s="41" t="str">
        <f t="shared" si="4"/>
        <v/>
      </c>
      <c r="HC41" s="41" t="str">
        <f t="shared" si="5"/>
        <v/>
      </c>
      <c r="HD41" s="41" t="str">
        <f t="shared" si="6"/>
        <v/>
      </c>
      <c r="HE41" s="88" t="str">
        <f t="shared" si="7"/>
        <v/>
      </c>
      <c r="HF41" s="524" t="s">
        <v>82</v>
      </c>
      <c r="HG41" s="41" t="s">
        <v>82</v>
      </c>
      <c r="HH41" s="41">
        <v>1</v>
      </c>
      <c r="HI41" s="41" t="s">
        <v>82</v>
      </c>
      <c r="HJ41" s="41" t="s">
        <v>82</v>
      </c>
      <c r="HK41" s="41" t="s">
        <v>82</v>
      </c>
      <c r="HL41" s="41">
        <v>1</v>
      </c>
      <c r="HM41" s="41">
        <v>1</v>
      </c>
      <c r="HN41" s="41">
        <v>1</v>
      </c>
      <c r="HO41" s="41" t="s">
        <v>82</v>
      </c>
      <c r="HP41" s="41" t="s">
        <v>82</v>
      </c>
      <c r="HQ41" s="41" t="s">
        <v>82</v>
      </c>
      <c r="HR41" s="41" t="s">
        <v>82</v>
      </c>
      <c r="HS41" s="41" t="s">
        <v>82</v>
      </c>
      <c r="HT41" s="41" t="s">
        <v>82</v>
      </c>
      <c r="HU41" s="41" t="s">
        <v>82</v>
      </c>
      <c r="HV41" s="41" t="s">
        <v>82</v>
      </c>
      <c r="HW41" s="41" t="s">
        <v>82</v>
      </c>
      <c r="HX41" s="41" t="s">
        <v>82</v>
      </c>
      <c r="HY41" s="41" t="s">
        <v>82</v>
      </c>
      <c r="HZ41" s="41" t="s">
        <v>82</v>
      </c>
      <c r="IA41" s="41" t="s">
        <v>82</v>
      </c>
      <c r="IB41" s="41" t="s">
        <v>82</v>
      </c>
      <c r="IC41" s="41" t="s">
        <v>82</v>
      </c>
      <c r="ID41" s="41" t="s">
        <v>82</v>
      </c>
      <c r="IE41" s="41" t="s">
        <v>82</v>
      </c>
      <c r="IF41" s="41" t="s">
        <v>82</v>
      </c>
      <c r="IG41" s="41" t="s">
        <v>82</v>
      </c>
      <c r="IH41" s="41" t="s">
        <v>82</v>
      </c>
      <c r="II41" s="88" t="s">
        <v>82</v>
      </c>
    </row>
    <row r="42" spans="1:244" s="135" customFormat="1">
      <c r="A42" s="744"/>
      <c r="B42" s="90" t="s">
        <v>265</v>
      </c>
      <c r="C42" s="771"/>
      <c r="D42" s="98" t="s">
        <v>265</v>
      </c>
      <c r="E42" s="134" t="s">
        <v>65</v>
      </c>
      <c r="F42" s="134" t="s">
        <v>65</v>
      </c>
      <c r="G42" s="134" t="s">
        <v>65</v>
      </c>
      <c r="H42" s="134" t="s">
        <v>65</v>
      </c>
      <c r="I42" s="134" t="s">
        <v>65</v>
      </c>
      <c r="J42" s="127" t="s">
        <v>265</v>
      </c>
      <c r="K42" s="183" t="s">
        <v>265</v>
      </c>
      <c r="L42" s="129" t="s">
        <v>265</v>
      </c>
      <c r="M42" s="334" t="s">
        <v>265</v>
      </c>
      <c r="N42" s="334" t="s">
        <v>265</v>
      </c>
      <c r="O42" s="334" t="s">
        <v>265</v>
      </c>
      <c r="P42" s="249" t="s">
        <v>265</v>
      </c>
      <c r="Q42" s="249"/>
      <c r="R42" s="249" t="s">
        <v>265</v>
      </c>
      <c r="S42" s="41" t="s">
        <v>265</v>
      </c>
      <c r="T42" s="41" t="s">
        <v>265</v>
      </c>
      <c r="U42" s="249" t="s">
        <v>265</v>
      </c>
      <c r="V42" s="249" t="s">
        <v>265</v>
      </c>
      <c r="W42" s="249" t="s">
        <v>265</v>
      </c>
      <c r="X42" s="249" t="s">
        <v>265</v>
      </c>
      <c r="Y42" s="98" t="s">
        <v>265</v>
      </c>
      <c r="Z42" s="98" t="s">
        <v>265</v>
      </c>
      <c r="AA42" s="98" t="s">
        <v>265</v>
      </c>
      <c r="AB42" s="98" t="s">
        <v>265</v>
      </c>
      <c r="AC42" s="98" t="s">
        <v>265</v>
      </c>
      <c r="AD42" s="249" t="s">
        <v>265</v>
      </c>
      <c r="AE42" s="249" t="s">
        <v>265</v>
      </c>
      <c r="AF42" s="249" t="s">
        <v>265</v>
      </c>
      <c r="AG42" s="249" t="s">
        <v>265</v>
      </c>
      <c r="AH42" s="249" t="s">
        <v>265</v>
      </c>
      <c r="AI42" s="249" t="s">
        <v>265</v>
      </c>
      <c r="AJ42" s="249" t="s">
        <v>265</v>
      </c>
      <c r="AK42" s="91" t="s">
        <v>265</v>
      </c>
      <c r="AL42" s="477"/>
      <c r="AM42" s="41" t="s">
        <v>265</v>
      </c>
      <c r="AN42" s="249" t="s">
        <v>265</v>
      </c>
      <c r="AO42" s="249"/>
      <c r="AP42" s="249" t="str">
        <f t="shared" si="8"/>
        <v>N.S</v>
      </c>
      <c r="AQ42" s="518" t="str">
        <f t="shared" si="9"/>
        <v>N.S</v>
      </c>
      <c r="AR42" s="88" t="s">
        <v>265</v>
      </c>
      <c r="AS42" s="334" t="s">
        <v>265</v>
      </c>
      <c r="AT42" s="334" t="s">
        <v>265</v>
      </c>
      <c r="AU42" s="334" t="s">
        <v>265</v>
      </c>
      <c r="AV42" s="334" t="s">
        <v>265</v>
      </c>
      <c r="AW42" s="334" t="s">
        <v>265</v>
      </c>
      <c r="AX42" s="334" t="s">
        <v>265</v>
      </c>
      <c r="AY42" s="249" t="s">
        <v>265</v>
      </c>
      <c r="AZ42" s="122" t="s">
        <v>265</v>
      </c>
      <c r="BA42" s="477" t="s">
        <v>265</v>
      </c>
      <c r="BB42" s="477" t="s">
        <v>265</v>
      </c>
      <c r="BC42" s="249" t="s">
        <v>265</v>
      </c>
      <c r="BD42" s="249" t="s">
        <v>265</v>
      </c>
      <c r="BE42" s="249" t="s">
        <v>265</v>
      </c>
      <c r="BF42" s="249" t="s">
        <v>265</v>
      </c>
      <c r="BG42" s="249" t="s">
        <v>265</v>
      </c>
      <c r="BH42" s="249" t="s">
        <v>265</v>
      </c>
      <c r="BI42" s="249" t="s">
        <v>265</v>
      </c>
      <c r="BJ42" s="249" t="s">
        <v>265</v>
      </c>
      <c r="BK42" s="249" t="s">
        <v>265</v>
      </c>
      <c r="BL42" s="122" t="str">
        <f>IF(AZ42="N.S","N.S",3*(AZ42*BL1+0.001*IF(BB42="N.S",0,BB42*(1-BL1))))</f>
        <v>N.S</v>
      </c>
      <c r="BM42" s="520" t="s">
        <v>265</v>
      </c>
      <c r="BN42" s="656" t="str">
        <f t="shared" si="10"/>
        <v>N.S</v>
      </c>
      <c r="BO42" s="283" t="str">
        <f t="shared" si="11"/>
        <v>N.S</v>
      </c>
      <c r="BP42" s="484" t="s">
        <v>265</v>
      </c>
      <c r="BQ42" s="249" t="s">
        <v>265</v>
      </c>
      <c r="BR42" s="249" t="s">
        <v>265</v>
      </c>
      <c r="BS42" s="249" t="s">
        <v>265</v>
      </c>
      <c r="BT42" s="249" t="s">
        <v>265</v>
      </c>
      <c r="BU42" s="249" t="s">
        <v>265</v>
      </c>
      <c r="BV42" s="249" t="s">
        <v>265</v>
      </c>
      <c r="BW42" s="249" t="s">
        <v>265</v>
      </c>
      <c r="BX42" s="338" t="s">
        <v>265</v>
      </c>
      <c r="BY42" s="41" t="s">
        <v>265</v>
      </c>
      <c r="BZ42" s="88" t="s">
        <v>265</v>
      </c>
      <c r="CA42" s="334" t="s">
        <v>265</v>
      </c>
      <c r="CB42" s="91" t="s">
        <v>265</v>
      </c>
      <c r="CC42" s="484" t="s">
        <v>265</v>
      </c>
      <c r="CD42" s="249" t="s">
        <v>265</v>
      </c>
      <c r="CE42" s="249" t="s">
        <v>265</v>
      </c>
      <c r="CF42" s="249" t="s">
        <v>265</v>
      </c>
      <c r="CG42" s="249" t="s">
        <v>265</v>
      </c>
      <c r="CH42" s="91" t="s">
        <v>265</v>
      </c>
      <c r="CI42" s="522" t="s">
        <v>265</v>
      </c>
      <c r="CJ42" s="122" t="s">
        <v>265</v>
      </c>
      <c r="CK42" s="523" t="s">
        <v>265</v>
      </c>
      <c r="CL42" s="484"/>
      <c r="CM42" s="89"/>
      <c r="CN42" s="477"/>
      <c r="CO42" s="183">
        <v>0</v>
      </c>
      <c r="CP42" s="127"/>
      <c r="CQ42" s="127"/>
      <c r="CR42" s="183"/>
      <c r="CS42" s="129"/>
      <c r="CT42" s="184">
        <v>0</v>
      </c>
      <c r="CU42" s="127"/>
      <c r="CV42" s="127"/>
      <c r="CW42" s="183"/>
      <c r="CX42" s="129"/>
      <c r="CY42" s="87">
        <v>0</v>
      </c>
      <c r="CZ42" s="41">
        <v>0</v>
      </c>
      <c r="DA42" s="41"/>
      <c r="DB42" s="41"/>
      <c r="DC42" s="41"/>
      <c r="DD42" s="41"/>
      <c r="DE42" s="41"/>
      <c r="DF42" s="41"/>
      <c r="DG42" s="41"/>
      <c r="DH42" s="41"/>
      <c r="DI42" s="123"/>
      <c r="DJ42" s="87">
        <v>0</v>
      </c>
      <c r="DK42" s="41">
        <v>0</v>
      </c>
      <c r="DL42" s="41"/>
      <c r="DM42" s="41"/>
      <c r="DN42" s="41"/>
      <c r="DO42" s="41"/>
      <c r="DP42" s="41"/>
      <c r="DQ42" s="41"/>
      <c r="DR42" s="41"/>
      <c r="DS42" s="41"/>
      <c r="DT42" s="88"/>
      <c r="DU42" s="87">
        <v>0</v>
      </c>
      <c r="DV42" s="41">
        <v>0</v>
      </c>
      <c r="DW42" s="41"/>
      <c r="DX42" s="41"/>
      <c r="DY42" s="41"/>
      <c r="DZ42" s="41"/>
      <c r="EA42" s="41"/>
      <c r="EB42" s="41"/>
      <c r="EC42" s="41"/>
      <c r="ED42" s="41"/>
      <c r="EE42" s="123"/>
      <c r="EF42" s="87">
        <v>0</v>
      </c>
      <c r="EG42" s="41"/>
      <c r="EH42" s="41"/>
      <c r="EI42" s="41"/>
      <c r="EJ42" s="88"/>
      <c r="EK42" s="87">
        <v>0</v>
      </c>
      <c r="EL42" s="41"/>
      <c r="EM42" s="41"/>
      <c r="EN42" s="41"/>
      <c r="EO42" s="88"/>
      <c r="EP42" s="87">
        <v>0</v>
      </c>
      <c r="EQ42" s="41"/>
      <c r="ER42" s="41"/>
      <c r="ES42" s="41"/>
      <c r="ET42" s="88"/>
      <c r="EU42" s="87">
        <v>0</v>
      </c>
      <c r="EV42" s="41"/>
      <c r="EW42" s="41"/>
      <c r="EX42" s="41"/>
      <c r="EY42" s="88"/>
      <c r="EZ42" s="87">
        <v>0</v>
      </c>
      <c r="FA42" s="41"/>
      <c r="FB42" s="41"/>
      <c r="FC42" s="41"/>
      <c r="FD42" s="88"/>
      <c r="FE42" s="87">
        <v>0</v>
      </c>
      <c r="FF42" s="127"/>
      <c r="FG42" s="127"/>
      <c r="FH42" s="127"/>
      <c r="FI42" s="123"/>
      <c r="FJ42" s="87">
        <v>0</v>
      </c>
      <c r="FK42" s="41"/>
      <c r="FL42" s="41"/>
      <c r="FM42" s="41"/>
      <c r="FN42" s="88"/>
      <c r="FO42" s="87">
        <v>0</v>
      </c>
      <c r="FP42" s="41"/>
      <c r="FQ42" s="41"/>
      <c r="FR42" s="41"/>
      <c r="FS42" s="88"/>
      <c r="FT42" s="87">
        <v>0</v>
      </c>
      <c r="FU42" s="41"/>
      <c r="FV42" s="41"/>
      <c r="FW42" s="41"/>
      <c r="FX42" s="88"/>
      <c r="FY42" s="87">
        <v>0</v>
      </c>
      <c r="FZ42" s="41"/>
      <c r="GA42" s="41"/>
      <c r="GB42" s="41"/>
      <c r="GC42" s="88"/>
      <c r="GD42" s="87">
        <v>0</v>
      </c>
      <c r="GE42" s="41"/>
      <c r="GF42" s="41"/>
      <c r="GG42" s="41"/>
      <c r="GH42" s="88"/>
      <c r="GI42" s="87">
        <v>0</v>
      </c>
      <c r="GJ42" s="41"/>
      <c r="GK42" s="127"/>
      <c r="GL42" s="41"/>
      <c r="GM42" s="88"/>
      <c r="GN42" s="87">
        <v>0</v>
      </c>
      <c r="GO42" s="41"/>
      <c r="GP42" s="41"/>
      <c r="GQ42" s="41"/>
      <c r="GR42" s="88"/>
      <c r="GS42" s="87">
        <v>0</v>
      </c>
      <c r="GT42" s="41"/>
      <c r="GU42" s="41"/>
      <c r="GV42" s="41"/>
      <c r="GW42" s="88"/>
      <c r="GX42" s="301" t="str">
        <f t="shared" si="1"/>
        <v/>
      </c>
      <c r="GY42" s="301">
        <f t="shared" si="12"/>
        <v>1</v>
      </c>
      <c r="GZ42" s="41" t="str">
        <f t="shared" si="2"/>
        <v/>
      </c>
      <c r="HA42" s="41" t="str">
        <f t="shared" si="3"/>
        <v/>
      </c>
      <c r="HB42" s="41" t="str">
        <f t="shared" si="4"/>
        <v/>
      </c>
      <c r="HC42" s="41" t="str">
        <f t="shared" si="5"/>
        <v/>
      </c>
      <c r="HD42" s="41" t="str">
        <f t="shared" si="6"/>
        <v/>
      </c>
      <c r="HE42" s="88" t="str">
        <f t="shared" si="7"/>
        <v/>
      </c>
      <c r="HF42" s="524" t="s">
        <v>82</v>
      </c>
      <c r="HG42" s="41" t="s">
        <v>82</v>
      </c>
      <c r="HH42" s="41" t="s">
        <v>82</v>
      </c>
      <c r="HI42" s="41" t="s">
        <v>82</v>
      </c>
      <c r="HJ42" s="41" t="s">
        <v>82</v>
      </c>
      <c r="HK42" s="41" t="s">
        <v>82</v>
      </c>
      <c r="HL42" s="41" t="s">
        <v>82</v>
      </c>
      <c r="HM42" s="41" t="s">
        <v>82</v>
      </c>
      <c r="HN42" s="41" t="s">
        <v>82</v>
      </c>
      <c r="HO42" s="41" t="s">
        <v>82</v>
      </c>
      <c r="HP42" s="41" t="s">
        <v>82</v>
      </c>
      <c r="HQ42" s="41" t="s">
        <v>82</v>
      </c>
      <c r="HR42" s="41" t="s">
        <v>82</v>
      </c>
      <c r="HS42" s="41" t="s">
        <v>82</v>
      </c>
      <c r="HT42" s="41" t="s">
        <v>82</v>
      </c>
      <c r="HU42" s="41" t="s">
        <v>82</v>
      </c>
      <c r="HV42" s="41" t="s">
        <v>82</v>
      </c>
      <c r="HW42" s="41" t="s">
        <v>82</v>
      </c>
      <c r="HX42" s="41" t="s">
        <v>82</v>
      </c>
      <c r="HY42" s="41" t="s">
        <v>82</v>
      </c>
      <c r="HZ42" s="41" t="s">
        <v>82</v>
      </c>
      <c r="IA42" s="41" t="s">
        <v>82</v>
      </c>
      <c r="IB42" s="41" t="s">
        <v>82</v>
      </c>
      <c r="IC42" s="41" t="s">
        <v>82</v>
      </c>
      <c r="ID42" s="41" t="s">
        <v>82</v>
      </c>
      <c r="IE42" s="41" t="s">
        <v>82</v>
      </c>
      <c r="IF42" s="41" t="s">
        <v>82</v>
      </c>
      <c r="IG42" s="41" t="s">
        <v>82</v>
      </c>
      <c r="IH42" s="41" t="s">
        <v>82</v>
      </c>
      <c r="II42" s="88" t="s">
        <v>82</v>
      </c>
    </row>
    <row r="43" spans="1:244" s="45" customFormat="1" ht="75" customHeight="1">
      <c r="A43" s="744"/>
      <c r="B43" s="104" t="s">
        <v>225</v>
      </c>
      <c r="C43" s="765" t="s">
        <v>326</v>
      </c>
      <c r="D43" s="68" t="s">
        <v>230</v>
      </c>
      <c r="E43" s="343" t="s">
        <v>65</v>
      </c>
      <c r="F43" s="343" t="s">
        <v>124</v>
      </c>
      <c r="G43" s="296" t="s">
        <v>65</v>
      </c>
      <c r="H43" s="296" t="s">
        <v>65</v>
      </c>
      <c r="I43" s="296" t="s">
        <v>65</v>
      </c>
      <c r="J43" s="128">
        <v>3.08</v>
      </c>
      <c r="K43" s="362">
        <v>2</v>
      </c>
      <c r="L43" s="552">
        <v>2016</v>
      </c>
      <c r="M43" s="360" t="s">
        <v>963</v>
      </c>
      <c r="N43" s="334" t="s">
        <v>265</v>
      </c>
      <c r="O43" s="334" t="s">
        <v>265</v>
      </c>
      <c r="P43" s="249" t="s">
        <v>265</v>
      </c>
      <c r="Q43" s="249"/>
      <c r="R43" s="249" t="s">
        <v>265</v>
      </c>
      <c r="S43" s="10">
        <v>1</v>
      </c>
      <c r="T43" s="10">
        <v>1</v>
      </c>
      <c r="U43" s="249" t="s">
        <v>265</v>
      </c>
      <c r="V43" s="104">
        <v>14</v>
      </c>
      <c r="W43" s="249" t="s">
        <v>265</v>
      </c>
      <c r="X43" s="249" t="s">
        <v>265</v>
      </c>
      <c r="Y43" s="98" t="s">
        <v>265</v>
      </c>
      <c r="Z43" s="98" t="s">
        <v>265</v>
      </c>
      <c r="AA43" s="98" t="s">
        <v>265</v>
      </c>
      <c r="AB43" s="98" t="s">
        <v>265</v>
      </c>
      <c r="AC43" s="98" t="s">
        <v>265</v>
      </c>
      <c r="AD43" s="249" t="s">
        <v>265</v>
      </c>
      <c r="AE43" s="249" t="s">
        <v>265</v>
      </c>
      <c r="AF43" s="249" t="s">
        <v>265</v>
      </c>
      <c r="AG43" s="249" t="s">
        <v>265</v>
      </c>
      <c r="AH43" s="553" t="s">
        <v>227</v>
      </c>
      <c r="AI43" s="249" t="s">
        <v>265</v>
      </c>
      <c r="AJ43" s="290">
        <v>0</v>
      </c>
      <c r="AK43" s="88" t="s">
        <v>265</v>
      </c>
      <c r="AL43" s="89"/>
      <c r="AM43" s="334">
        <v>2</v>
      </c>
      <c r="AN43" s="249">
        <v>1.6</v>
      </c>
      <c r="AO43" s="249"/>
      <c r="AP43" s="249">
        <f t="shared" si="8"/>
        <v>2</v>
      </c>
      <c r="AQ43" s="518">
        <v>1.6</v>
      </c>
      <c r="AR43" s="88" t="s">
        <v>297</v>
      </c>
      <c r="AS43" s="554">
        <v>3</v>
      </c>
      <c r="AT43" s="554">
        <v>5</v>
      </c>
      <c r="AU43" s="334" t="s">
        <v>265</v>
      </c>
      <c r="AV43" s="334" t="s">
        <v>265</v>
      </c>
      <c r="AW43" s="334" t="s">
        <v>265</v>
      </c>
      <c r="AX43" s="334" t="s">
        <v>265</v>
      </c>
      <c r="AY43" s="249" t="s">
        <v>265</v>
      </c>
      <c r="AZ43" s="555">
        <v>0.22</v>
      </c>
      <c r="BA43" s="477" t="s">
        <v>265</v>
      </c>
      <c r="BB43" s="477">
        <v>0.2</v>
      </c>
      <c r="BC43" s="249" t="s">
        <v>265</v>
      </c>
      <c r="BD43" s="249" t="s">
        <v>265</v>
      </c>
      <c r="BE43" s="249" t="s">
        <v>265</v>
      </c>
      <c r="BF43" s="249" t="s">
        <v>265</v>
      </c>
      <c r="BG43" s="41" t="s">
        <v>82</v>
      </c>
      <c r="BH43" s="249" t="s">
        <v>265</v>
      </c>
      <c r="BI43" s="249" t="s">
        <v>265</v>
      </c>
      <c r="BJ43" s="249" t="s">
        <v>265</v>
      </c>
      <c r="BK43" s="249" t="s">
        <v>265</v>
      </c>
      <c r="BL43" s="122">
        <f>IF(AZ43="N.S","N.S",3*(AZ43*BL1+0.001*IF(BB43="N.S",0,BB43*(1-BL1))))</f>
        <v>7.1939999999999999E-3</v>
      </c>
      <c r="BM43" s="520" t="s">
        <v>265</v>
      </c>
      <c r="BN43" s="656" t="str">
        <f t="shared" si="10"/>
        <v>N.S</v>
      </c>
      <c r="BO43" s="283">
        <f t="shared" si="11"/>
        <v>104253.5446205171</v>
      </c>
      <c r="BP43" s="484" t="s">
        <v>265</v>
      </c>
      <c r="BQ43" s="249" t="s">
        <v>265</v>
      </c>
      <c r="BR43" s="249" t="s">
        <v>265</v>
      </c>
      <c r="BS43" s="249" t="s">
        <v>265</v>
      </c>
      <c r="BT43" s="249" t="s">
        <v>265</v>
      </c>
      <c r="BU43" s="249" t="s">
        <v>265</v>
      </c>
      <c r="BV43" s="249" t="s">
        <v>265</v>
      </c>
      <c r="BW43" s="249" t="s">
        <v>265</v>
      </c>
      <c r="BX43" s="338" t="s">
        <v>265</v>
      </c>
      <c r="BY43" s="41" t="s">
        <v>265</v>
      </c>
      <c r="BZ43" s="88" t="s">
        <v>577</v>
      </c>
      <c r="CA43" s="334" t="s">
        <v>265</v>
      </c>
      <c r="CB43" s="91" t="s">
        <v>265</v>
      </c>
      <c r="CC43" s="484" t="s">
        <v>265</v>
      </c>
      <c r="CD43" s="249" t="s">
        <v>265</v>
      </c>
      <c r="CE43" s="249" t="s">
        <v>265</v>
      </c>
      <c r="CF43" s="249" t="s">
        <v>265</v>
      </c>
      <c r="CG43" s="249" t="s">
        <v>265</v>
      </c>
      <c r="CH43" s="91" t="s">
        <v>265</v>
      </c>
      <c r="CI43" s="522" t="s">
        <v>265</v>
      </c>
      <c r="CJ43" s="122" t="s">
        <v>265</v>
      </c>
      <c r="CK43" s="523" t="s">
        <v>265</v>
      </c>
      <c r="CL43" s="41"/>
      <c r="CM43" s="477"/>
      <c r="CN43" s="477"/>
      <c r="CO43" s="183">
        <v>1</v>
      </c>
      <c r="CP43" s="127"/>
      <c r="CQ43" s="127">
        <f>LOG((CS43-CR43)/0.8,2)</f>
        <v>7.6882503091331778</v>
      </c>
      <c r="CR43" s="183">
        <v>-40</v>
      </c>
      <c r="CS43" s="129">
        <v>125</v>
      </c>
      <c r="CT43" s="184">
        <v>1</v>
      </c>
      <c r="CU43" s="127"/>
      <c r="CV43" s="127">
        <f>LOG((CX43-CW43)/6,2)</f>
        <v>4.0588936890535683</v>
      </c>
      <c r="CW43" s="183">
        <v>0</v>
      </c>
      <c r="CX43" s="129">
        <v>100</v>
      </c>
      <c r="CY43" s="87">
        <v>0</v>
      </c>
      <c r="CZ43" s="41">
        <v>0</v>
      </c>
      <c r="DA43" s="41"/>
      <c r="DB43" s="41"/>
      <c r="DC43" s="41"/>
      <c r="DD43" s="41"/>
      <c r="DE43" s="41"/>
      <c r="DF43" s="41"/>
      <c r="DG43" s="41"/>
      <c r="DH43" s="41"/>
      <c r="DI43" s="123"/>
      <c r="DJ43" s="87">
        <v>0</v>
      </c>
      <c r="DK43" s="41">
        <v>0</v>
      </c>
      <c r="DL43" s="41"/>
      <c r="DM43" s="41"/>
      <c r="DN43" s="41"/>
      <c r="DO43" s="41"/>
      <c r="DP43" s="41"/>
      <c r="DQ43" s="41"/>
      <c r="DR43" s="41"/>
      <c r="DS43" s="41"/>
      <c r="DT43" s="88"/>
      <c r="DU43" s="87">
        <v>0</v>
      </c>
      <c r="DV43" s="41">
        <v>0</v>
      </c>
      <c r="DW43" s="41"/>
      <c r="DX43" s="41"/>
      <c r="DY43" s="41"/>
      <c r="DZ43" s="41"/>
      <c r="EA43" s="41"/>
      <c r="EB43" s="41"/>
      <c r="EC43" s="41"/>
      <c r="ED43" s="41"/>
      <c r="EE43" s="123"/>
      <c r="EF43" s="87">
        <v>0</v>
      </c>
      <c r="EG43" s="41"/>
      <c r="EH43" s="41"/>
      <c r="EI43" s="41"/>
      <c r="EJ43" s="88"/>
      <c r="EK43" s="87">
        <v>0</v>
      </c>
      <c r="EL43" s="41"/>
      <c r="EM43" s="41"/>
      <c r="EN43" s="41"/>
      <c r="EO43" s="88"/>
      <c r="EP43" s="87">
        <v>0</v>
      </c>
      <c r="EQ43" s="41"/>
      <c r="ER43" s="41"/>
      <c r="ES43" s="41"/>
      <c r="ET43" s="88"/>
      <c r="EU43" s="87">
        <v>0</v>
      </c>
      <c r="EV43" s="41"/>
      <c r="EW43" s="41"/>
      <c r="EX43" s="41"/>
      <c r="EY43" s="88"/>
      <c r="EZ43" s="87">
        <v>0</v>
      </c>
      <c r="FA43" s="41"/>
      <c r="FB43" s="41"/>
      <c r="FC43" s="41"/>
      <c r="FD43" s="88"/>
      <c r="FE43" s="87">
        <v>0</v>
      </c>
      <c r="FF43" s="127"/>
      <c r="FG43" s="127"/>
      <c r="FH43" s="127"/>
      <c r="FI43" s="123"/>
      <c r="FJ43" s="87">
        <v>0</v>
      </c>
      <c r="FK43" s="41"/>
      <c r="FL43" s="41"/>
      <c r="FM43" s="41"/>
      <c r="FN43" s="88"/>
      <c r="FO43" s="87">
        <v>0</v>
      </c>
      <c r="FP43" s="41"/>
      <c r="FQ43" s="41"/>
      <c r="FR43" s="41"/>
      <c r="FS43" s="88"/>
      <c r="FT43" s="87">
        <v>0</v>
      </c>
      <c r="FU43" s="41"/>
      <c r="FV43" s="41"/>
      <c r="FW43" s="41"/>
      <c r="FX43" s="88"/>
      <c r="FY43" s="87">
        <v>0</v>
      </c>
      <c r="FZ43" s="41"/>
      <c r="GA43" s="41"/>
      <c r="GB43" s="41"/>
      <c r="GC43" s="88"/>
      <c r="GD43" s="87">
        <v>0</v>
      </c>
      <c r="GE43" s="41"/>
      <c r="GF43" s="41"/>
      <c r="GG43" s="41"/>
      <c r="GH43" s="88"/>
      <c r="GI43" s="87">
        <v>0</v>
      </c>
      <c r="GJ43" s="41"/>
      <c r="GK43" s="127"/>
      <c r="GL43" s="41"/>
      <c r="GM43" s="88"/>
      <c r="GN43" s="87">
        <v>0</v>
      </c>
      <c r="GO43" s="41"/>
      <c r="GP43" s="41"/>
      <c r="GQ43" s="41"/>
      <c r="GR43" s="88"/>
      <c r="GS43" s="87">
        <v>0</v>
      </c>
      <c r="GT43" s="41"/>
      <c r="GU43" s="41"/>
      <c r="GV43" s="41"/>
      <c r="GW43" s="88"/>
      <c r="GX43" s="301" t="str">
        <f t="shared" si="1"/>
        <v/>
      </c>
      <c r="GY43" s="301">
        <v>1</v>
      </c>
      <c r="GZ43" s="41" t="str">
        <f t="shared" si="2"/>
        <v/>
      </c>
      <c r="HA43" s="41" t="str">
        <f t="shared" si="3"/>
        <v/>
      </c>
      <c r="HB43" s="41" t="str">
        <f t="shared" si="4"/>
        <v/>
      </c>
      <c r="HC43" s="41" t="str">
        <f t="shared" si="5"/>
        <v/>
      </c>
      <c r="HD43" s="41" t="str">
        <f t="shared" si="6"/>
        <v/>
      </c>
      <c r="HE43" s="88" t="str">
        <f t="shared" si="7"/>
        <v/>
      </c>
      <c r="HF43" s="524" t="s">
        <v>82</v>
      </c>
      <c r="HG43" s="41" t="s">
        <v>82</v>
      </c>
      <c r="HH43" s="41" t="s">
        <v>82</v>
      </c>
      <c r="HI43" s="41" t="s">
        <v>82</v>
      </c>
      <c r="HJ43" s="41" t="s">
        <v>82</v>
      </c>
      <c r="HK43" s="41" t="s">
        <v>82</v>
      </c>
      <c r="HL43" s="41" t="s">
        <v>82</v>
      </c>
      <c r="HM43" s="41">
        <v>1</v>
      </c>
      <c r="HN43" s="41" t="s">
        <v>82</v>
      </c>
      <c r="HO43" s="41" t="s">
        <v>82</v>
      </c>
      <c r="HP43" s="41" t="s">
        <v>82</v>
      </c>
      <c r="HQ43" s="41" t="s">
        <v>82</v>
      </c>
      <c r="HR43" s="41" t="s">
        <v>82</v>
      </c>
      <c r="HS43" s="41" t="s">
        <v>82</v>
      </c>
      <c r="HT43" s="41" t="s">
        <v>82</v>
      </c>
      <c r="HU43" s="41" t="s">
        <v>82</v>
      </c>
      <c r="HV43" s="41" t="s">
        <v>82</v>
      </c>
      <c r="HW43" s="41" t="s">
        <v>82</v>
      </c>
      <c r="HX43" s="41" t="s">
        <v>82</v>
      </c>
      <c r="HY43" s="41" t="s">
        <v>82</v>
      </c>
      <c r="HZ43" s="41" t="s">
        <v>82</v>
      </c>
      <c r="IA43" s="41" t="s">
        <v>82</v>
      </c>
      <c r="IB43" s="41" t="s">
        <v>82</v>
      </c>
      <c r="IC43" s="41" t="s">
        <v>82</v>
      </c>
      <c r="ID43" s="41" t="s">
        <v>82</v>
      </c>
      <c r="IE43" s="41" t="s">
        <v>82</v>
      </c>
      <c r="IF43" s="41" t="s">
        <v>82</v>
      </c>
      <c r="IG43" s="41" t="s">
        <v>82</v>
      </c>
      <c r="IH43" s="41" t="s">
        <v>82</v>
      </c>
      <c r="II43" s="88" t="s">
        <v>82</v>
      </c>
      <c r="IJ43" s="44"/>
    </row>
    <row r="44" spans="1:244" s="289" customFormat="1" ht="55.2">
      <c r="A44" s="744"/>
      <c r="B44" s="10" t="s">
        <v>228</v>
      </c>
      <c r="C44" s="766"/>
      <c r="D44" s="43" t="s">
        <v>229</v>
      </c>
      <c r="E44" s="343" t="s">
        <v>65</v>
      </c>
      <c r="F44" s="343" t="s">
        <v>124</v>
      </c>
      <c r="G44" s="11" t="s">
        <v>65</v>
      </c>
      <c r="H44" s="11" t="s">
        <v>65</v>
      </c>
      <c r="I44" s="11" t="s">
        <v>65</v>
      </c>
      <c r="J44" s="128">
        <v>2.52</v>
      </c>
      <c r="K44" s="362">
        <v>8</v>
      </c>
      <c r="L44" s="552">
        <v>2016</v>
      </c>
      <c r="M44" s="19" t="s">
        <v>231</v>
      </c>
      <c r="N44" s="334" t="s">
        <v>265</v>
      </c>
      <c r="O44" s="334" t="s">
        <v>265</v>
      </c>
      <c r="P44" s="10" t="s">
        <v>82</v>
      </c>
      <c r="Q44" s="104"/>
      <c r="R44" s="249" t="s">
        <v>265</v>
      </c>
      <c r="S44" s="10">
        <v>1</v>
      </c>
      <c r="T44" s="10">
        <v>1</v>
      </c>
      <c r="U44" s="13" t="s">
        <v>369</v>
      </c>
      <c r="V44" s="10">
        <v>14</v>
      </c>
      <c r="W44" s="249" t="s">
        <v>265</v>
      </c>
      <c r="X44" s="249" t="s">
        <v>265</v>
      </c>
      <c r="Y44" s="98" t="s">
        <v>265</v>
      </c>
      <c r="Z44" s="98" t="s">
        <v>265</v>
      </c>
      <c r="AA44" s="98" t="s">
        <v>265</v>
      </c>
      <c r="AB44" s="98" t="s">
        <v>265</v>
      </c>
      <c r="AC44" s="98" t="s">
        <v>265</v>
      </c>
      <c r="AD44" s="249" t="s">
        <v>265</v>
      </c>
      <c r="AE44" s="249" t="s">
        <v>265</v>
      </c>
      <c r="AF44" s="249" t="s">
        <v>265</v>
      </c>
      <c r="AG44" s="249" t="s">
        <v>265</v>
      </c>
      <c r="AH44" s="556" t="s">
        <v>232</v>
      </c>
      <c r="AI44" s="249" t="s">
        <v>265</v>
      </c>
      <c r="AJ44" s="37">
        <v>0</v>
      </c>
      <c r="AK44" s="88" t="s">
        <v>265</v>
      </c>
      <c r="AL44" s="92"/>
      <c r="AM44" s="301">
        <v>1.6</v>
      </c>
      <c r="AN44" s="41">
        <v>1.6</v>
      </c>
      <c r="AO44" s="249"/>
      <c r="AP44" s="249">
        <f t="shared" si="8"/>
        <v>1.6</v>
      </c>
      <c r="AQ44" s="518">
        <f t="shared" si="9"/>
        <v>2.5600000000000005</v>
      </c>
      <c r="AR44" s="88" t="s">
        <v>821</v>
      </c>
      <c r="AS44" s="295">
        <v>1.4</v>
      </c>
      <c r="AT44" s="295">
        <v>3.6</v>
      </c>
      <c r="AU44" s="334" t="s">
        <v>265</v>
      </c>
      <c r="AV44" s="334" t="s">
        <v>265</v>
      </c>
      <c r="AW44" s="334" t="s">
        <v>265</v>
      </c>
      <c r="AX44" s="334" t="s">
        <v>265</v>
      </c>
      <c r="AY44" s="249" t="s">
        <v>265</v>
      </c>
      <c r="AZ44" s="128">
        <v>0.01</v>
      </c>
      <c r="BA44" s="477" t="s">
        <v>265</v>
      </c>
      <c r="BB44" s="477" t="s">
        <v>265</v>
      </c>
      <c r="BC44" s="249" t="s">
        <v>265</v>
      </c>
      <c r="BD44" s="249" t="s">
        <v>265</v>
      </c>
      <c r="BE44" s="249" t="s">
        <v>265</v>
      </c>
      <c r="BF44" s="249" t="s">
        <v>265</v>
      </c>
      <c r="BG44" s="41" t="s">
        <v>82</v>
      </c>
      <c r="BH44" s="249" t="s">
        <v>265</v>
      </c>
      <c r="BI44" s="249" t="s">
        <v>265</v>
      </c>
      <c r="BJ44" s="249" t="s">
        <v>265</v>
      </c>
      <c r="BK44" s="249" t="s">
        <v>265</v>
      </c>
      <c r="BL44" s="122">
        <f>IF(AZ44="N.S","N.S",3*(AZ44*BL1+0.001*IF(BB44="N.S",0,BB44*(1-BL1))))</f>
        <v>3.0000000000000003E-4</v>
      </c>
      <c r="BM44" s="520" t="s">
        <v>265</v>
      </c>
      <c r="BN44" s="656" t="str">
        <f t="shared" si="10"/>
        <v>N.S</v>
      </c>
      <c r="BO44" s="283">
        <f t="shared" si="11"/>
        <v>2500000</v>
      </c>
      <c r="BP44" s="484" t="s">
        <v>265</v>
      </c>
      <c r="BQ44" s="249" t="s">
        <v>265</v>
      </c>
      <c r="BR44" s="249" t="s">
        <v>265</v>
      </c>
      <c r="BS44" s="249" t="s">
        <v>265</v>
      </c>
      <c r="BT44" s="249" t="s">
        <v>265</v>
      </c>
      <c r="BU44" s="249" t="s">
        <v>265</v>
      </c>
      <c r="BV44" s="249" t="s">
        <v>265</v>
      </c>
      <c r="BW44" s="249" t="s">
        <v>265</v>
      </c>
      <c r="BX44" s="338" t="s">
        <v>265</v>
      </c>
      <c r="BY44" s="41" t="s">
        <v>265</v>
      </c>
      <c r="BZ44" s="353" t="s">
        <v>822</v>
      </c>
      <c r="CA44" s="334" t="s">
        <v>265</v>
      </c>
      <c r="CB44" s="91" t="s">
        <v>265</v>
      </c>
      <c r="CC44" s="484" t="s">
        <v>265</v>
      </c>
      <c r="CD44" s="249" t="s">
        <v>265</v>
      </c>
      <c r="CE44" s="249" t="s">
        <v>265</v>
      </c>
      <c r="CF44" s="249" t="s">
        <v>265</v>
      </c>
      <c r="CG44" s="249" t="s">
        <v>265</v>
      </c>
      <c r="CH44" s="91" t="s">
        <v>265</v>
      </c>
      <c r="CI44" s="522" t="s">
        <v>265</v>
      </c>
      <c r="CJ44" s="122" t="s">
        <v>265</v>
      </c>
      <c r="CK44" s="523" t="s">
        <v>265</v>
      </c>
      <c r="CL44" s="41"/>
      <c r="CM44" s="477"/>
      <c r="CN44" s="477"/>
      <c r="CO44" s="183">
        <v>1</v>
      </c>
      <c r="CP44" s="127">
        <f>LOG((CS44-CR44)/0.0625,2)</f>
        <v>11.366322214245816</v>
      </c>
      <c r="CQ44" s="127">
        <f>LOG((CS44-CR44)/1,2)</f>
        <v>7.3663222142458151</v>
      </c>
      <c r="CR44" s="183">
        <v>-40</v>
      </c>
      <c r="CS44" s="129">
        <v>125</v>
      </c>
      <c r="CT44" s="184">
        <v>0</v>
      </c>
      <c r="CU44" s="127"/>
      <c r="CV44" s="127"/>
      <c r="CW44" s="183"/>
      <c r="CX44" s="129"/>
      <c r="CY44" s="87">
        <v>0</v>
      </c>
      <c r="CZ44" s="41">
        <v>0</v>
      </c>
      <c r="DA44" s="41"/>
      <c r="DB44" s="41"/>
      <c r="DC44" s="41"/>
      <c r="DD44" s="41"/>
      <c r="DE44" s="41"/>
      <c r="DF44" s="41"/>
      <c r="DG44" s="41"/>
      <c r="DH44" s="41"/>
      <c r="DI44" s="123"/>
      <c r="DJ44" s="87">
        <v>0</v>
      </c>
      <c r="DK44" s="41">
        <v>0</v>
      </c>
      <c r="DL44" s="41"/>
      <c r="DM44" s="41"/>
      <c r="DN44" s="41"/>
      <c r="DO44" s="41"/>
      <c r="DP44" s="41"/>
      <c r="DQ44" s="41"/>
      <c r="DR44" s="41"/>
      <c r="DS44" s="41"/>
      <c r="DT44" s="88"/>
      <c r="DU44" s="87">
        <v>0</v>
      </c>
      <c r="DV44" s="41">
        <v>0</v>
      </c>
      <c r="DW44" s="41"/>
      <c r="DX44" s="41"/>
      <c r="DY44" s="41"/>
      <c r="DZ44" s="41"/>
      <c r="EA44" s="41"/>
      <c r="EB44" s="41"/>
      <c r="EC44" s="41"/>
      <c r="ED44" s="41"/>
      <c r="EE44" s="123"/>
      <c r="EF44" s="87">
        <v>0</v>
      </c>
      <c r="EG44" s="41"/>
      <c r="EH44" s="41"/>
      <c r="EI44" s="41"/>
      <c r="EJ44" s="88"/>
      <c r="EK44" s="87">
        <v>0</v>
      </c>
      <c r="EL44" s="41"/>
      <c r="EM44" s="41"/>
      <c r="EN44" s="41"/>
      <c r="EO44" s="88"/>
      <c r="EP44" s="87">
        <v>0</v>
      </c>
      <c r="EQ44" s="41"/>
      <c r="ER44" s="41"/>
      <c r="ES44" s="41"/>
      <c r="ET44" s="88"/>
      <c r="EU44" s="87">
        <v>0</v>
      </c>
      <c r="EV44" s="41"/>
      <c r="EW44" s="41"/>
      <c r="EX44" s="41"/>
      <c r="EY44" s="88"/>
      <c r="EZ44" s="87">
        <v>0</v>
      </c>
      <c r="FA44" s="41"/>
      <c r="FB44" s="41"/>
      <c r="FC44" s="41"/>
      <c r="FD44" s="88"/>
      <c r="FE44" s="87">
        <v>0</v>
      </c>
      <c r="FF44" s="127"/>
      <c r="FG44" s="127"/>
      <c r="FH44" s="127"/>
      <c r="FI44" s="123"/>
      <c r="FJ44" s="87">
        <v>0</v>
      </c>
      <c r="FK44" s="41"/>
      <c r="FL44" s="41"/>
      <c r="FM44" s="41"/>
      <c r="FN44" s="88"/>
      <c r="FO44" s="87">
        <v>0</v>
      </c>
      <c r="FP44" s="41"/>
      <c r="FQ44" s="41"/>
      <c r="FR44" s="41"/>
      <c r="FS44" s="88"/>
      <c r="FT44" s="87">
        <v>0</v>
      </c>
      <c r="FU44" s="41"/>
      <c r="FV44" s="41"/>
      <c r="FW44" s="41"/>
      <c r="FX44" s="88"/>
      <c r="FY44" s="87">
        <v>0</v>
      </c>
      <c r="FZ44" s="41"/>
      <c r="GA44" s="41"/>
      <c r="GB44" s="41"/>
      <c r="GC44" s="88"/>
      <c r="GD44" s="87">
        <v>0</v>
      </c>
      <c r="GE44" s="41"/>
      <c r="GF44" s="41"/>
      <c r="GG44" s="41"/>
      <c r="GH44" s="88"/>
      <c r="GI44" s="87">
        <v>0</v>
      </c>
      <c r="GJ44" s="41"/>
      <c r="GK44" s="127"/>
      <c r="GL44" s="41"/>
      <c r="GM44" s="88"/>
      <c r="GN44" s="87">
        <v>0</v>
      </c>
      <c r="GO44" s="41"/>
      <c r="GP44" s="41"/>
      <c r="GQ44" s="41"/>
      <c r="GR44" s="88"/>
      <c r="GS44" s="87">
        <v>0</v>
      </c>
      <c r="GT44" s="41"/>
      <c r="GU44" s="41"/>
      <c r="GV44" s="41"/>
      <c r="GW44" s="88"/>
      <c r="GX44" s="301" t="str">
        <f t="shared" si="1"/>
        <v/>
      </c>
      <c r="GY44" s="301" t="str">
        <f t="shared" si="12"/>
        <v/>
      </c>
      <c r="GZ44" s="41" t="str">
        <f t="shared" si="2"/>
        <v/>
      </c>
      <c r="HA44" s="41" t="str">
        <f t="shared" si="3"/>
        <v/>
      </c>
      <c r="HB44" s="41" t="str">
        <f t="shared" si="4"/>
        <v/>
      </c>
      <c r="HC44" s="41" t="str">
        <f t="shared" si="5"/>
        <v/>
      </c>
      <c r="HD44" s="41" t="str">
        <f t="shared" si="6"/>
        <v/>
      </c>
      <c r="HE44" s="88" t="str">
        <f t="shared" si="7"/>
        <v/>
      </c>
      <c r="HF44" s="524" t="s">
        <v>82</v>
      </c>
      <c r="HG44" s="41" t="s">
        <v>82</v>
      </c>
      <c r="HH44" s="41" t="s">
        <v>82</v>
      </c>
      <c r="HI44" s="41" t="s">
        <v>82</v>
      </c>
      <c r="HJ44" s="41" t="s">
        <v>82</v>
      </c>
      <c r="HK44" s="41" t="s">
        <v>82</v>
      </c>
      <c r="HL44" s="41" t="s">
        <v>82</v>
      </c>
      <c r="HM44" s="41">
        <v>1</v>
      </c>
      <c r="HN44" s="41" t="s">
        <v>82</v>
      </c>
      <c r="HO44" s="41" t="s">
        <v>82</v>
      </c>
      <c r="HP44" s="41" t="s">
        <v>82</v>
      </c>
      <c r="HQ44" s="41" t="s">
        <v>82</v>
      </c>
      <c r="HR44" s="41" t="s">
        <v>82</v>
      </c>
      <c r="HS44" s="41" t="s">
        <v>82</v>
      </c>
      <c r="HT44" s="41" t="s">
        <v>82</v>
      </c>
      <c r="HU44" s="41" t="s">
        <v>82</v>
      </c>
      <c r="HV44" s="41" t="s">
        <v>82</v>
      </c>
      <c r="HW44" s="41" t="s">
        <v>82</v>
      </c>
      <c r="HX44" s="41" t="s">
        <v>82</v>
      </c>
      <c r="HY44" s="41" t="s">
        <v>82</v>
      </c>
      <c r="HZ44" s="41" t="s">
        <v>82</v>
      </c>
      <c r="IA44" s="41" t="s">
        <v>82</v>
      </c>
      <c r="IB44" s="41" t="s">
        <v>82</v>
      </c>
      <c r="IC44" s="41" t="s">
        <v>82</v>
      </c>
      <c r="ID44" s="41">
        <v>1</v>
      </c>
      <c r="IE44" s="41" t="s">
        <v>82</v>
      </c>
      <c r="IF44" s="41" t="s">
        <v>82</v>
      </c>
      <c r="IG44" s="41" t="s">
        <v>82</v>
      </c>
      <c r="IH44" s="41" t="s">
        <v>82</v>
      </c>
      <c r="II44" s="88" t="s">
        <v>82</v>
      </c>
    </row>
    <row r="45" spans="1:244" s="45" customFormat="1" ht="27.6">
      <c r="A45" s="744"/>
      <c r="B45" s="10" t="s">
        <v>271</v>
      </c>
      <c r="C45" s="766"/>
      <c r="D45" s="43" t="s">
        <v>823</v>
      </c>
      <c r="E45" s="96" t="s">
        <v>65</v>
      </c>
      <c r="F45" s="96" t="s">
        <v>124</v>
      </c>
      <c r="G45" s="45" t="s">
        <v>65</v>
      </c>
      <c r="H45" s="45" t="s">
        <v>65</v>
      </c>
      <c r="I45" s="45" t="s">
        <v>65</v>
      </c>
      <c r="J45" s="128">
        <v>1.9</v>
      </c>
      <c r="K45" s="362">
        <v>10</v>
      </c>
      <c r="L45" s="552">
        <v>2014</v>
      </c>
      <c r="M45" s="19" t="s">
        <v>824</v>
      </c>
      <c r="N45" s="334" t="s">
        <v>265</v>
      </c>
      <c r="O45" s="334" t="s">
        <v>265</v>
      </c>
      <c r="P45" s="249" t="s">
        <v>265</v>
      </c>
      <c r="Q45" s="249"/>
      <c r="R45" s="249" t="s">
        <v>265</v>
      </c>
      <c r="S45" s="10" t="s">
        <v>265</v>
      </c>
      <c r="T45" s="10" t="s">
        <v>265</v>
      </c>
      <c r="U45" s="10" t="s">
        <v>265</v>
      </c>
      <c r="V45" s="10">
        <v>16</v>
      </c>
      <c r="W45" s="249" t="s">
        <v>265</v>
      </c>
      <c r="X45" s="249" t="s">
        <v>265</v>
      </c>
      <c r="Y45" s="98" t="s">
        <v>265</v>
      </c>
      <c r="Z45" s="98" t="s">
        <v>265</v>
      </c>
      <c r="AA45" s="98" t="s">
        <v>265</v>
      </c>
      <c r="AB45" s="98" t="s">
        <v>265</v>
      </c>
      <c r="AC45" s="98" t="s">
        <v>265</v>
      </c>
      <c r="AD45" s="249" t="s">
        <v>265</v>
      </c>
      <c r="AE45" s="249" t="s">
        <v>265</v>
      </c>
      <c r="AF45" s="249" t="s">
        <v>265</v>
      </c>
      <c r="AG45" s="249" t="s">
        <v>265</v>
      </c>
      <c r="AH45" s="249" t="s">
        <v>265</v>
      </c>
      <c r="AI45" s="249" t="s">
        <v>265</v>
      </c>
      <c r="AJ45" s="37">
        <v>0</v>
      </c>
      <c r="AK45" s="88" t="s">
        <v>265</v>
      </c>
      <c r="AL45" s="92"/>
      <c r="AM45" s="301">
        <v>1.6</v>
      </c>
      <c r="AN45" s="41">
        <v>1.6</v>
      </c>
      <c r="AO45" s="249"/>
      <c r="AP45" s="249">
        <f t="shared" si="8"/>
        <v>1.6</v>
      </c>
      <c r="AQ45" s="518">
        <f t="shared" si="9"/>
        <v>2.5600000000000005</v>
      </c>
      <c r="AR45" s="88" t="s">
        <v>825</v>
      </c>
      <c r="AS45" s="295">
        <v>2.5</v>
      </c>
      <c r="AT45" s="295">
        <v>5.5</v>
      </c>
      <c r="AU45" s="334" t="s">
        <v>265</v>
      </c>
      <c r="AV45" s="334" t="s">
        <v>265</v>
      </c>
      <c r="AW45" s="334" t="s">
        <v>265</v>
      </c>
      <c r="AX45" s="334" t="s">
        <v>265</v>
      </c>
      <c r="AY45" s="249" t="s">
        <v>265</v>
      </c>
      <c r="AZ45" s="249">
        <v>2.8</v>
      </c>
      <c r="BA45" s="477">
        <v>10</v>
      </c>
      <c r="BB45" s="477">
        <v>1</v>
      </c>
      <c r="BC45" s="249" t="s">
        <v>265</v>
      </c>
      <c r="BD45" s="249" t="s">
        <v>265</v>
      </c>
      <c r="BE45" s="249" t="s">
        <v>265</v>
      </c>
      <c r="BF45" s="249" t="s">
        <v>265</v>
      </c>
      <c r="BG45" s="41" t="s">
        <v>82</v>
      </c>
      <c r="BH45" s="249" t="s">
        <v>265</v>
      </c>
      <c r="BI45" s="249" t="s">
        <v>265</v>
      </c>
      <c r="BJ45" s="249" t="s">
        <v>265</v>
      </c>
      <c r="BK45" s="249" t="s">
        <v>265</v>
      </c>
      <c r="BL45" s="122">
        <f>IF(AZ45="N.S","N.S",3*(AZ45*BL1+0.001*IF(BB45="N.S",0,BB45*(1-BL1))))</f>
        <v>8.6969999999999992E-2</v>
      </c>
      <c r="BM45" s="520" t="s">
        <v>265</v>
      </c>
      <c r="BN45" s="656" t="str">
        <f t="shared" si="10"/>
        <v>N.S</v>
      </c>
      <c r="BO45" s="283">
        <f t="shared" si="11"/>
        <v>8623.6633321835125</v>
      </c>
      <c r="BP45" s="484" t="s">
        <v>265</v>
      </c>
      <c r="BQ45" s="249" t="s">
        <v>265</v>
      </c>
      <c r="BR45" s="249" t="s">
        <v>265</v>
      </c>
      <c r="BS45" s="249" t="s">
        <v>265</v>
      </c>
      <c r="BT45" s="249" t="s">
        <v>265</v>
      </c>
      <c r="BU45" s="249" t="s">
        <v>265</v>
      </c>
      <c r="BV45" s="249" t="s">
        <v>265</v>
      </c>
      <c r="BW45" s="249" t="s">
        <v>265</v>
      </c>
      <c r="BX45" s="338" t="s">
        <v>265</v>
      </c>
      <c r="BY45" s="41" t="s">
        <v>265</v>
      </c>
      <c r="BZ45" s="353" t="s">
        <v>577</v>
      </c>
      <c r="CA45" s="334" t="s">
        <v>265</v>
      </c>
      <c r="CB45" s="91" t="s">
        <v>265</v>
      </c>
      <c r="CC45" s="484" t="s">
        <v>265</v>
      </c>
      <c r="CD45" s="249" t="s">
        <v>265</v>
      </c>
      <c r="CE45" s="249" t="s">
        <v>265</v>
      </c>
      <c r="CF45" s="249" t="s">
        <v>265</v>
      </c>
      <c r="CG45" s="249" t="s">
        <v>265</v>
      </c>
      <c r="CH45" s="91" t="s">
        <v>265</v>
      </c>
      <c r="CI45" s="522" t="s">
        <v>265</v>
      </c>
      <c r="CJ45" s="122" t="s">
        <v>265</v>
      </c>
      <c r="CK45" s="523" t="s">
        <v>265</v>
      </c>
      <c r="CL45" s="41"/>
      <c r="CM45" s="477"/>
      <c r="CN45" s="477"/>
      <c r="CO45" s="183">
        <v>1</v>
      </c>
      <c r="CP45" s="127">
        <f>LOG((CS45-CR45)/0.0625,2)</f>
        <v>11.366322214245816</v>
      </c>
      <c r="CQ45" s="127">
        <v>1.5</v>
      </c>
      <c r="CR45" s="183">
        <v>-40</v>
      </c>
      <c r="CS45" s="129">
        <v>125</v>
      </c>
      <c r="CT45" s="184">
        <v>0</v>
      </c>
      <c r="CU45" s="127"/>
      <c r="CV45" s="127"/>
      <c r="CW45" s="183"/>
      <c r="CX45" s="129"/>
      <c r="CY45" s="87">
        <v>0</v>
      </c>
      <c r="CZ45" s="41">
        <v>0</v>
      </c>
      <c r="DA45" s="41"/>
      <c r="DB45" s="41"/>
      <c r="DC45" s="41"/>
      <c r="DD45" s="41"/>
      <c r="DE45" s="41"/>
      <c r="DF45" s="41"/>
      <c r="DG45" s="41"/>
      <c r="DH45" s="41"/>
      <c r="DI45" s="123"/>
      <c r="DJ45" s="87">
        <v>0</v>
      </c>
      <c r="DK45" s="41">
        <v>0</v>
      </c>
      <c r="DL45" s="41"/>
      <c r="DM45" s="41"/>
      <c r="DN45" s="41"/>
      <c r="DO45" s="41"/>
      <c r="DP45" s="41"/>
      <c r="DQ45" s="41"/>
      <c r="DR45" s="41"/>
      <c r="DS45" s="41"/>
      <c r="DT45" s="88"/>
      <c r="DU45" s="87">
        <v>0</v>
      </c>
      <c r="DV45" s="41">
        <v>0</v>
      </c>
      <c r="DW45" s="41"/>
      <c r="DX45" s="41"/>
      <c r="DY45" s="41"/>
      <c r="DZ45" s="41"/>
      <c r="EA45" s="41"/>
      <c r="EB45" s="41"/>
      <c r="EC45" s="41"/>
      <c r="ED45" s="41"/>
      <c r="EE45" s="123"/>
      <c r="EF45" s="87">
        <v>0</v>
      </c>
      <c r="EG45" s="41"/>
      <c r="EH45" s="41"/>
      <c r="EI45" s="41"/>
      <c r="EJ45" s="88"/>
      <c r="EK45" s="87">
        <v>0</v>
      </c>
      <c r="EL45" s="41"/>
      <c r="EM45" s="41"/>
      <c r="EN45" s="41"/>
      <c r="EO45" s="88"/>
      <c r="EP45" s="87">
        <v>0</v>
      </c>
      <c r="EQ45" s="41"/>
      <c r="ER45" s="41"/>
      <c r="ES45" s="41"/>
      <c r="ET45" s="88"/>
      <c r="EU45" s="87">
        <v>0</v>
      </c>
      <c r="EV45" s="41"/>
      <c r="EW45" s="41"/>
      <c r="EX45" s="41"/>
      <c r="EY45" s="88"/>
      <c r="EZ45" s="87">
        <v>0</v>
      </c>
      <c r="FA45" s="41"/>
      <c r="FB45" s="41"/>
      <c r="FC45" s="41"/>
      <c r="FD45" s="88"/>
      <c r="FE45" s="87">
        <v>0</v>
      </c>
      <c r="FF45" s="127"/>
      <c r="FG45" s="127"/>
      <c r="FH45" s="127"/>
      <c r="FI45" s="123"/>
      <c r="FJ45" s="87">
        <v>0</v>
      </c>
      <c r="FK45" s="41"/>
      <c r="FL45" s="41"/>
      <c r="FM45" s="41"/>
      <c r="FN45" s="88"/>
      <c r="FO45" s="87">
        <v>0</v>
      </c>
      <c r="FP45" s="41"/>
      <c r="FQ45" s="41"/>
      <c r="FR45" s="41"/>
      <c r="FS45" s="88"/>
      <c r="FT45" s="87">
        <v>0</v>
      </c>
      <c r="FU45" s="41"/>
      <c r="FV45" s="41"/>
      <c r="FW45" s="41"/>
      <c r="FX45" s="88"/>
      <c r="FY45" s="87">
        <v>0</v>
      </c>
      <c r="FZ45" s="41"/>
      <c r="GA45" s="41"/>
      <c r="GB45" s="41"/>
      <c r="GC45" s="88"/>
      <c r="GD45" s="87">
        <v>0</v>
      </c>
      <c r="GE45" s="41"/>
      <c r="GF45" s="41"/>
      <c r="GG45" s="41"/>
      <c r="GH45" s="88"/>
      <c r="GI45" s="87">
        <v>0</v>
      </c>
      <c r="GJ45" s="41"/>
      <c r="GK45" s="127"/>
      <c r="GL45" s="41"/>
      <c r="GM45" s="88"/>
      <c r="GN45" s="87">
        <v>0</v>
      </c>
      <c r="GO45" s="41"/>
      <c r="GP45" s="41"/>
      <c r="GQ45" s="41"/>
      <c r="GR45" s="88"/>
      <c r="GS45" s="87">
        <v>0</v>
      </c>
      <c r="GT45" s="41"/>
      <c r="GU45" s="41"/>
      <c r="GV45" s="41"/>
      <c r="GW45" s="88"/>
      <c r="GX45" s="301" t="str">
        <f t="shared" si="1"/>
        <v/>
      </c>
      <c r="GY45" s="301" t="str">
        <f t="shared" si="12"/>
        <v/>
      </c>
      <c r="GZ45" s="41" t="str">
        <f t="shared" si="2"/>
        <v/>
      </c>
      <c r="HA45" s="41" t="str">
        <f t="shared" si="3"/>
        <v/>
      </c>
      <c r="HB45" s="41" t="str">
        <f t="shared" si="4"/>
        <v/>
      </c>
      <c r="HC45" s="41" t="str">
        <f t="shared" si="5"/>
        <v/>
      </c>
      <c r="HD45" s="41" t="str">
        <f t="shared" si="6"/>
        <v/>
      </c>
      <c r="HE45" s="88" t="str">
        <f t="shared" si="7"/>
        <v/>
      </c>
      <c r="HF45" s="524" t="s">
        <v>82</v>
      </c>
      <c r="HG45" s="41" t="s">
        <v>82</v>
      </c>
      <c r="HH45" s="41" t="s">
        <v>82</v>
      </c>
      <c r="HI45" s="41" t="s">
        <v>82</v>
      </c>
      <c r="HJ45" s="41" t="s">
        <v>82</v>
      </c>
      <c r="HK45" s="41" t="s">
        <v>82</v>
      </c>
      <c r="HL45" s="41" t="s">
        <v>82</v>
      </c>
      <c r="HM45" s="41">
        <v>1</v>
      </c>
      <c r="HN45" s="41" t="s">
        <v>82</v>
      </c>
      <c r="HO45" s="41" t="s">
        <v>82</v>
      </c>
      <c r="HP45" s="41" t="s">
        <v>82</v>
      </c>
      <c r="HQ45" s="41" t="s">
        <v>82</v>
      </c>
      <c r="HR45" s="41" t="s">
        <v>82</v>
      </c>
      <c r="HS45" s="41" t="s">
        <v>82</v>
      </c>
      <c r="HT45" s="41" t="s">
        <v>82</v>
      </c>
      <c r="HU45" s="41" t="s">
        <v>82</v>
      </c>
      <c r="HV45" s="41" t="s">
        <v>82</v>
      </c>
      <c r="HW45" s="41" t="s">
        <v>82</v>
      </c>
      <c r="HX45" s="41" t="s">
        <v>82</v>
      </c>
      <c r="HY45" s="41" t="s">
        <v>82</v>
      </c>
      <c r="HZ45" s="41" t="s">
        <v>82</v>
      </c>
      <c r="IA45" s="41" t="s">
        <v>82</v>
      </c>
      <c r="IB45" s="41" t="s">
        <v>82</v>
      </c>
      <c r="IC45" s="41" t="s">
        <v>82</v>
      </c>
      <c r="ID45" s="41" t="s">
        <v>82</v>
      </c>
      <c r="IE45" s="41" t="s">
        <v>82</v>
      </c>
      <c r="IF45" s="41" t="s">
        <v>82</v>
      </c>
      <c r="IG45" s="41" t="s">
        <v>82</v>
      </c>
      <c r="IH45" s="41" t="s">
        <v>82</v>
      </c>
      <c r="II45" s="88" t="s">
        <v>82</v>
      </c>
      <c r="IJ45" s="44"/>
    </row>
    <row r="46" spans="1:244" s="45" customFormat="1" ht="132.6">
      <c r="A46" s="744"/>
      <c r="B46" s="10" t="s">
        <v>233</v>
      </c>
      <c r="C46" s="766"/>
      <c r="D46" s="43" t="s">
        <v>234</v>
      </c>
      <c r="E46" s="343" t="s">
        <v>65</v>
      </c>
      <c r="F46" s="343" t="s">
        <v>124</v>
      </c>
      <c r="G46" s="11" t="s">
        <v>65</v>
      </c>
      <c r="H46" s="11" t="s">
        <v>65</v>
      </c>
      <c r="I46" s="11" t="s">
        <v>65</v>
      </c>
      <c r="J46" s="128">
        <v>2.5</v>
      </c>
      <c r="K46" s="362">
        <v>7</v>
      </c>
      <c r="L46" s="552">
        <v>2015</v>
      </c>
      <c r="M46" s="19" t="s">
        <v>964</v>
      </c>
      <c r="N46" s="334" t="s">
        <v>265</v>
      </c>
      <c r="O46" s="334" t="s">
        <v>265</v>
      </c>
      <c r="P46" s="557" t="s">
        <v>236</v>
      </c>
      <c r="Q46" s="558"/>
      <c r="R46" s="249" t="s">
        <v>265</v>
      </c>
      <c r="S46" s="10">
        <v>4</v>
      </c>
      <c r="T46" s="10">
        <v>1</v>
      </c>
      <c r="U46" s="10" t="s">
        <v>265</v>
      </c>
      <c r="V46" s="10">
        <v>16</v>
      </c>
      <c r="W46" s="249" t="s">
        <v>265</v>
      </c>
      <c r="X46" s="249" t="s">
        <v>265</v>
      </c>
      <c r="Y46" s="98" t="s">
        <v>265</v>
      </c>
      <c r="Z46" s="98" t="s">
        <v>265</v>
      </c>
      <c r="AA46" s="98" t="s">
        <v>265</v>
      </c>
      <c r="AB46" s="98" t="s">
        <v>265</v>
      </c>
      <c r="AC46" s="98" t="s">
        <v>265</v>
      </c>
      <c r="AD46" s="249" t="s">
        <v>265</v>
      </c>
      <c r="AE46" s="249" t="s">
        <v>265</v>
      </c>
      <c r="AF46" s="249" t="s">
        <v>265</v>
      </c>
      <c r="AG46" s="249" t="s">
        <v>265</v>
      </c>
      <c r="AH46" s="556" t="s">
        <v>235</v>
      </c>
      <c r="AI46" s="249" t="s">
        <v>265</v>
      </c>
      <c r="AJ46" s="37">
        <v>0</v>
      </c>
      <c r="AK46" s="88" t="s">
        <v>265</v>
      </c>
      <c r="AL46" s="92"/>
      <c r="AM46" s="301">
        <v>3</v>
      </c>
      <c r="AN46" s="41">
        <v>3</v>
      </c>
      <c r="AO46" s="249"/>
      <c r="AP46" s="249">
        <f t="shared" si="8"/>
        <v>3</v>
      </c>
      <c r="AQ46" s="518">
        <f>IF(AM46="N.S", "N.S",IF(AN46="N.S","N.S",AM46*AN46))</f>
        <v>9</v>
      </c>
      <c r="AR46" s="88" t="s">
        <v>826</v>
      </c>
      <c r="AS46" s="295">
        <v>3</v>
      </c>
      <c r="AT46" s="295">
        <v>3.6</v>
      </c>
      <c r="AU46" s="334" t="s">
        <v>265</v>
      </c>
      <c r="AV46" s="334" t="s">
        <v>265</v>
      </c>
      <c r="AW46" s="334" t="s">
        <v>265</v>
      </c>
      <c r="AX46" s="334" t="s">
        <v>265</v>
      </c>
      <c r="AY46" s="249" t="s">
        <v>265</v>
      </c>
      <c r="AZ46" s="128">
        <v>0.95</v>
      </c>
      <c r="BA46" s="477" t="s">
        <v>265</v>
      </c>
      <c r="BB46" s="477">
        <v>70</v>
      </c>
      <c r="BC46" s="249" t="s">
        <v>265</v>
      </c>
      <c r="BD46" s="249" t="s">
        <v>265</v>
      </c>
      <c r="BE46" s="249" t="s">
        <v>265</v>
      </c>
      <c r="BF46" s="249" t="s">
        <v>265</v>
      </c>
      <c r="BG46" s="41" t="s">
        <v>82</v>
      </c>
      <c r="BH46" s="249" t="s">
        <v>265</v>
      </c>
      <c r="BI46" s="249" t="s">
        <v>265</v>
      </c>
      <c r="BJ46" s="249" t="s">
        <v>265</v>
      </c>
      <c r="BK46" s="249" t="s">
        <v>265</v>
      </c>
      <c r="BL46" s="122">
        <f>IF(AZ46="N.S","N.S",3*(AZ46*BL1+0.001*IF(BB46="N.S",0,BB46*(1-BL1))))</f>
        <v>0.2364</v>
      </c>
      <c r="BM46" s="520" t="s">
        <v>265</v>
      </c>
      <c r="BN46" s="656" t="str">
        <f t="shared" si="10"/>
        <v>N.S</v>
      </c>
      <c r="BO46" s="283">
        <f t="shared" si="11"/>
        <v>3172.5888324873094</v>
      </c>
      <c r="BP46" s="484" t="s">
        <v>265</v>
      </c>
      <c r="BQ46" s="249" t="s">
        <v>265</v>
      </c>
      <c r="BR46" s="249" t="s">
        <v>265</v>
      </c>
      <c r="BS46" s="249" t="s">
        <v>265</v>
      </c>
      <c r="BT46" s="249" t="s">
        <v>265</v>
      </c>
      <c r="BU46" s="249" t="s">
        <v>265</v>
      </c>
      <c r="BV46" s="249" t="s">
        <v>265</v>
      </c>
      <c r="BW46" s="249" t="s">
        <v>265</v>
      </c>
      <c r="BX46" s="338" t="s">
        <v>265</v>
      </c>
      <c r="BY46" s="41" t="s">
        <v>265</v>
      </c>
      <c r="BZ46" s="88" t="s">
        <v>577</v>
      </c>
      <c r="CA46" s="334" t="s">
        <v>265</v>
      </c>
      <c r="CB46" s="91" t="s">
        <v>265</v>
      </c>
      <c r="CC46" s="484" t="s">
        <v>265</v>
      </c>
      <c r="CD46" s="249" t="s">
        <v>265</v>
      </c>
      <c r="CE46" s="249" t="s">
        <v>265</v>
      </c>
      <c r="CF46" s="249" t="s">
        <v>265</v>
      </c>
      <c r="CG46" s="249" t="s">
        <v>265</v>
      </c>
      <c r="CH46" s="91" t="s">
        <v>265</v>
      </c>
      <c r="CI46" s="522" t="s">
        <v>265</v>
      </c>
      <c r="CJ46" s="122" t="s">
        <v>265</v>
      </c>
      <c r="CK46" s="523" t="s">
        <v>265</v>
      </c>
      <c r="CL46" s="100" t="s">
        <v>237</v>
      </c>
      <c r="CM46" s="68"/>
      <c r="CN46" s="477"/>
      <c r="CO46" s="183">
        <v>0</v>
      </c>
      <c r="CP46" s="127"/>
      <c r="CQ46" s="127"/>
      <c r="CR46" s="183"/>
      <c r="CS46" s="129"/>
      <c r="CT46" s="184">
        <v>0</v>
      </c>
      <c r="CU46" s="127"/>
      <c r="CV46" s="127"/>
      <c r="CW46" s="183"/>
      <c r="CX46" s="129"/>
      <c r="CY46" s="87">
        <v>0</v>
      </c>
      <c r="CZ46" s="41">
        <v>0</v>
      </c>
      <c r="DA46" s="41"/>
      <c r="DB46" s="41"/>
      <c r="DC46" s="41"/>
      <c r="DD46" s="41"/>
      <c r="DE46" s="41"/>
      <c r="DF46" s="41"/>
      <c r="DG46" s="41"/>
      <c r="DH46" s="41"/>
      <c r="DI46" s="123"/>
      <c r="DJ46" s="87">
        <v>0</v>
      </c>
      <c r="DK46" s="41">
        <v>0</v>
      </c>
      <c r="DL46" s="41"/>
      <c r="DM46" s="41"/>
      <c r="DN46" s="41"/>
      <c r="DO46" s="41"/>
      <c r="DP46" s="41"/>
      <c r="DQ46" s="41"/>
      <c r="DR46" s="41"/>
      <c r="DS46" s="41"/>
      <c r="DT46" s="88"/>
      <c r="DU46" s="87">
        <v>0</v>
      </c>
      <c r="DV46" s="41">
        <v>0</v>
      </c>
      <c r="DW46" s="41"/>
      <c r="DX46" s="41"/>
      <c r="DY46" s="41"/>
      <c r="DZ46" s="41"/>
      <c r="EA46" s="41"/>
      <c r="EB46" s="41"/>
      <c r="EC46" s="41"/>
      <c r="ED46" s="41"/>
      <c r="EE46" s="123"/>
      <c r="EF46" s="87">
        <v>0</v>
      </c>
      <c r="EG46" s="41"/>
      <c r="EH46" s="41"/>
      <c r="EI46" s="41"/>
      <c r="EJ46" s="88"/>
      <c r="EK46" s="87">
        <v>0</v>
      </c>
      <c r="EL46" s="41"/>
      <c r="EM46" s="41"/>
      <c r="EN46" s="41"/>
      <c r="EO46" s="88"/>
      <c r="EP46" s="87">
        <v>0</v>
      </c>
      <c r="EQ46" s="41"/>
      <c r="ER46" s="41"/>
      <c r="ES46" s="41"/>
      <c r="ET46" s="88"/>
      <c r="EU46" s="87">
        <v>0</v>
      </c>
      <c r="EV46" s="41"/>
      <c r="EW46" s="41"/>
      <c r="EX46" s="41"/>
      <c r="EY46" s="88"/>
      <c r="EZ46" s="87">
        <v>0</v>
      </c>
      <c r="FA46" s="41"/>
      <c r="FB46" s="41"/>
      <c r="FC46" s="41"/>
      <c r="FD46" s="88"/>
      <c r="FE46" s="87">
        <v>0</v>
      </c>
      <c r="FF46" s="127"/>
      <c r="FG46" s="127"/>
      <c r="FH46" s="127"/>
      <c r="FI46" s="123"/>
      <c r="FJ46" s="87">
        <v>0</v>
      </c>
      <c r="FK46" s="41"/>
      <c r="FL46" s="41"/>
      <c r="FM46" s="41"/>
      <c r="FN46" s="88"/>
      <c r="FO46" s="87">
        <v>0</v>
      </c>
      <c r="FP46" s="41"/>
      <c r="FQ46" s="41"/>
      <c r="FR46" s="41"/>
      <c r="FS46" s="88"/>
      <c r="FT46" s="87">
        <v>0</v>
      </c>
      <c r="FU46" s="41"/>
      <c r="FV46" s="41"/>
      <c r="FW46" s="41"/>
      <c r="FX46" s="88"/>
      <c r="FY46" s="87">
        <v>0</v>
      </c>
      <c r="FZ46" s="41"/>
      <c r="GA46" s="41"/>
      <c r="GB46" s="41"/>
      <c r="GC46" s="88"/>
      <c r="GD46" s="87">
        <v>0</v>
      </c>
      <c r="GE46" s="41"/>
      <c r="GF46" s="41"/>
      <c r="GG46" s="41"/>
      <c r="GH46" s="88"/>
      <c r="GI46" s="87">
        <v>1</v>
      </c>
      <c r="GJ46" s="41"/>
      <c r="GK46" s="127">
        <f>LOG(30/0.006,2)</f>
        <v>12.287712379549451</v>
      </c>
      <c r="GL46" s="41">
        <v>-15</v>
      </c>
      <c r="GM46" s="88">
        <v>15</v>
      </c>
      <c r="GN46" s="87">
        <v>0</v>
      </c>
      <c r="GO46" s="41"/>
      <c r="GP46" s="41"/>
      <c r="GQ46" s="41"/>
      <c r="GR46" s="88"/>
      <c r="GS46" s="87">
        <v>0</v>
      </c>
      <c r="GT46" s="41"/>
      <c r="GU46" s="41"/>
      <c r="GV46" s="41"/>
      <c r="GW46" s="88"/>
      <c r="GX46" s="301" t="str">
        <f t="shared" si="1"/>
        <v/>
      </c>
      <c r="GY46" s="301" t="str">
        <f t="shared" si="12"/>
        <v/>
      </c>
      <c r="GZ46" s="41" t="str">
        <f t="shared" si="2"/>
        <v/>
      </c>
      <c r="HA46" s="41" t="str">
        <f t="shared" si="3"/>
        <v/>
      </c>
      <c r="HB46" s="41" t="str">
        <f t="shared" si="4"/>
        <v/>
      </c>
      <c r="HC46" s="41" t="str">
        <f t="shared" si="5"/>
        <v/>
      </c>
      <c r="HD46" s="41" t="str">
        <f t="shared" si="6"/>
        <v/>
      </c>
      <c r="HE46" s="88" t="str">
        <f t="shared" si="7"/>
        <v/>
      </c>
      <c r="HF46" s="524" t="s">
        <v>82</v>
      </c>
      <c r="HG46" s="41" t="s">
        <v>82</v>
      </c>
      <c r="HH46" s="41" t="s">
        <v>82</v>
      </c>
      <c r="HI46" s="41" t="s">
        <v>82</v>
      </c>
      <c r="HJ46" s="41" t="s">
        <v>82</v>
      </c>
      <c r="HK46" s="41" t="s">
        <v>82</v>
      </c>
      <c r="HL46" s="41" t="s">
        <v>82</v>
      </c>
      <c r="HM46" s="41">
        <v>1</v>
      </c>
      <c r="HN46" s="41" t="s">
        <v>82</v>
      </c>
      <c r="HO46" s="41" t="s">
        <v>82</v>
      </c>
      <c r="HP46" s="41" t="s">
        <v>82</v>
      </c>
      <c r="HQ46" s="41" t="s">
        <v>82</v>
      </c>
      <c r="HR46" s="41" t="s">
        <v>82</v>
      </c>
      <c r="HS46" s="41" t="s">
        <v>82</v>
      </c>
      <c r="HT46" s="41" t="s">
        <v>82</v>
      </c>
      <c r="HU46" s="41" t="s">
        <v>82</v>
      </c>
      <c r="HV46" s="41" t="s">
        <v>82</v>
      </c>
      <c r="HW46" s="41" t="s">
        <v>82</v>
      </c>
      <c r="HX46" s="41" t="s">
        <v>82</v>
      </c>
      <c r="HY46" s="41" t="s">
        <v>82</v>
      </c>
      <c r="HZ46" s="41" t="s">
        <v>82</v>
      </c>
      <c r="IA46" s="41" t="s">
        <v>82</v>
      </c>
      <c r="IB46" s="41" t="s">
        <v>82</v>
      </c>
      <c r="IC46" s="41" t="s">
        <v>82</v>
      </c>
      <c r="ID46" s="41" t="s">
        <v>82</v>
      </c>
      <c r="IE46" s="41" t="s">
        <v>82</v>
      </c>
      <c r="IF46" s="41" t="s">
        <v>82</v>
      </c>
      <c r="IG46" s="41" t="s">
        <v>82</v>
      </c>
      <c r="IH46" s="41" t="s">
        <v>82</v>
      </c>
      <c r="II46" s="88" t="s">
        <v>82</v>
      </c>
      <c r="IJ46" s="44"/>
    </row>
    <row r="47" spans="1:244" s="289" customFormat="1" ht="27.6">
      <c r="A47" s="745"/>
      <c r="B47" s="10" t="s">
        <v>272</v>
      </c>
      <c r="C47" s="766"/>
      <c r="D47" s="100" t="s">
        <v>827</v>
      </c>
      <c r="E47" s="96" t="s">
        <v>65</v>
      </c>
      <c r="F47" s="96" t="s">
        <v>124</v>
      </c>
      <c r="G47" s="45" t="s">
        <v>65</v>
      </c>
      <c r="H47" s="45" t="s">
        <v>65</v>
      </c>
      <c r="I47" s="45" t="s">
        <v>65</v>
      </c>
      <c r="J47" s="127">
        <v>0.99</v>
      </c>
      <c r="K47" s="183">
        <v>10</v>
      </c>
      <c r="L47" s="129">
        <v>2014</v>
      </c>
      <c r="M47" s="349" t="s">
        <v>829</v>
      </c>
      <c r="N47" s="41" t="s">
        <v>265</v>
      </c>
      <c r="O47" s="41" t="s">
        <v>265</v>
      </c>
      <c r="P47" s="41" t="s">
        <v>265</v>
      </c>
      <c r="Q47" s="41"/>
      <c r="R47" s="41" t="s">
        <v>265</v>
      </c>
      <c r="S47" s="41" t="s">
        <v>265</v>
      </c>
      <c r="T47" s="41" t="s">
        <v>265</v>
      </c>
      <c r="U47" s="41" t="s">
        <v>265</v>
      </c>
      <c r="V47" s="41" t="s">
        <v>265</v>
      </c>
      <c r="W47" s="41" t="s">
        <v>265</v>
      </c>
      <c r="X47" s="41" t="s">
        <v>265</v>
      </c>
      <c r="Y47" s="41" t="s">
        <v>265</v>
      </c>
      <c r="Z47" s="41" t="s">
        <v>265</v>
      </c>
      <c r="AA47" s="41" t="s">
        <v>265</v>
      </c>
      <c r="AB47" s="41" t="s">
        <v>265</v>
      </c>
      <c r="AC47" s="41" t="s">
        <v>265</v>
      </c>
      <c r="AD47" s="41" t="s">
        <v>265</v>
      </c>
      <c r="AE47" s="41" t="s">
        <v>265</v>
      </c>
      <c r="AF47" s="41" t="s">
        <v>265</v>
      </c>
      <c r="AG47" s="41" t="s">
        <v>265</v>
      </c>
      <c r="AH47" s="41" t="s">
        <v>265</v>
      </c>
      <c r="AI47" s="41" t="s">
        <v>265</v>
      </c>
      <c r="AJ47" s="38" t="s">
        <v>265</v>
      </c>
      <c r="AK47" s="88" t="s">
        <v>265</v>
      </c>
      <c r="AL47" s="92"/>
      <c r="AM47" s="301">
        <v>2</v>
      </c>
      <c r="AN47" s="41">
        <v>2</v>
      </c>
      <c r="AO47" s="249"/>
      <c r="AP47" s="249">
        <f t="shared" si="8"/>
        <v>2</v>
      </c>
      <c r="AQ47" s="518">
        <f t="shared" si="9"/>
        <v>4</v>
      </c>
      <c r="AR47" s="353" t="s">
        <v>828</v>
      </c>
      <c r="AS47" s="334">
        <v>1.6</v>
      </c>
      <c r="AT47" s="334">
        <v>3.6</v>
      </c>
      <c r="AU47" s="41" t="s">
        <v>265</v>
      </c>
      <c r="AV47" s="41" t="s">
        <v>265</v>
      </c>
      <c r="AW47" s="41" t="s">
        <v>265</v>
      </c>
      <c r="AX47" s="41" t="s">
        <v>265</v>
      </c>
      <c r="AY47" s="41" t="s">
        <v>265</v>
      </c>
      <c r="AZ47" s="559">
        <v>3.7000000000000002E-3</v>
      </c>
      <c r="BA47" s="477" t="s">
        <v>265</v>
      </c>
      <c r="BB47" s="477" t="s">
        <v>265</v>
      </c>
      <c r="BC47" s="41" t="s">
        <v>265</v>
      </c>
      <c r="BD47" s="41" t="s">
        <v>265</v>
      </c>
      <c r="BE47" s="41" t="s">
        <v>265</v>
      </c>
      <c r="BF47" s="41" t="s">
        <v>265</v>
      </c>
      <c r="BG47" s="41" t="s">
        <v>265</v>
      </c>
      <c r="BH47" s="41" t="s">
        <v>265</v>
      </c>
      <c r="BI47" s="41" t="s">
        <v>265</v>
      </c>
      <c r="BJ47" s="41" t="s">
        <v>265</v>
      </c>
      <c r="BK47" s="41" t="s">
        <v>265</v>
      </c>
      <c r="BL47" s="122">
        <f>IF(AZ47="N.S","N.S",3*(AZ47*BL1+0.001*IF(BB47="N.S",0,BB47*(1-BL1))))</f>
        <v>1.1100000000000001E-4</v>
      </c>
      <c r="BM47" s="520" t="s">
        <v>265</v>
      </c>
      <c r="BN47" s="656" t="str">
        <f t="shared" si="10"/>
        <v>N.S</v>
      </c>
      <c r="BO47" s="283">
        <f t="shared" si="11"/>
        <v>6756756.7567567555</v>
      </c>
      <c r="BP47" s="87" t="s">
        <v>265</v>
      </c>
      <c r="BQ47" s="41" t="s">
        <v>265</v>
      </c>
      <c r="BR47" s="41" t="s">
        <v>265</v>
      </c>
      <c r="BS47" s="41" t="s">
        <v>265</v>
      </c>
      <c r="BT47" s="41" t="s">
        <v>265</v>
      </c>
      <c r="BU47" s="41" t="s">
        <v>265</v>
      </c>
      <c r="BV47" s="41" t="s">
        <v>265</v>
      </c>
      <c r="BW47" s="41" t="s">
        <v>265</v>
      </c>
      <c r="BX47" s="38" t="s">
        <v>265</v>
      </c>
      <c r="BY47" s="41" t="s">
        <v>265</v>
      </c>
      <c r="BZ47" s="88" t="s">
        <v>577</v>
      </c>
      <c r="CA47" s="301" t="s">
        <v>265</v>
      </c>
      <c r="CB47" s="41" t="s">
        <v>265</v>
      </c>
      <c r="CC47" s="484" t="s">
        <v>265</v>
      </c>
      <c r="CD47" s="41" t="s">
        <v>265</v>
      </c>
      <c r="CE47" s="41" t="s">
        <v>265</v>
      </c>
      <c r="CF47" s="41" t="s">
        <v>265</v>
      </c>
      <c r="CG47" s="41" t="s">
        <v>265</v>
      </c>
      <c r="CH47" s="41" t="s">
        <v>265</v>
      </c>
      <c r="CI47" s="522" t="s">
        <v>265</v>
      </c>
      <c r="CJ47" s="127" t="s">
        <v>265</v>
      </c>
      <c r="CK47" s="523" t="s">
        <v>265</v>
      </c>
      <c r="CL47" s="41"/>
      <c r="CM47" s="477"/>
      <c r="CN47" s="477"/>
      <c r="CO47" s="183">
        <v>0</v>
      </c>
      <c r="CP47" s="127"/>
      <c r="CQ47" s="127"/>
      <c r="CR47" s="183"/>
      <c r="CS47" s="129"/>
      <c r="CT47" s="184">
        <v>0</v>
      </c>
      <c r="CU47" s="127"/>
      <c r="CV47" s="127"/>
      <c r="CW47" s="183"/>
      <c r="CX47" s="129"/>
      <c r="CY47" s="87">
        <v>0</v>
      </c>
      <c r="CZ47" s="41">
        <v>0</v>
      </c>
      <c r="DA47" s="41"/>
      <c r="DB47" s="41"/>
      <c r="DC47" s="41"/>
      <c r="DD47" s="41"/>
      <c r="DE47" s="41"/>
      <c r="DF47" s="41"/>
      <c r="DG47" s="41"/>
      <c r="DH47" s="41"/>
      <c r="DI47" s="123"/>
      <c r="DJ47" s="87">
        <v>0</v>
      </c>
      <c r="DK47" s="41">
        <v>0</v>
      </c>
      <c r="DL47" s="41"/>
      <c r="DM47" s="41"/>
      <c r="DN47" s="41"/>
      <c r="DO47" s="41"/>
      <c r="DP47" s="41"/>
      <c r="DQ47" s="41"/>
      <c r="DR47" s="41"/>
      <c r="DS47" s="41"/>
      <c r="DT47" s="88"/>
      <c r="DU47" s="87">
        <v>0</v>
      </c>
      <c r="DV47" s="41">
        <v>0</v>
      </c>
      <c r="DW47" s="41"/>
      <c r="DX47" s="41"/>
      <c r="DY47" s="41"/>
      <c r="DZ47" s="41"/>
      <c r="EA47" s="41"/>
      <c r="EB47" s="41"/>
      <c r="EC47" s="41"/>
      <c r="ED47" s="41"/>
      <c r="EE47" s="123"/>
      <c r="EF47" s="87">
        <v>0</v>
      </c>
      <c r="EG47" s="41"/>
      <c r="EH47" s="41"/>
      <c r="EI47" s="41"/>
      <c r="EJ47" s="88"/>
      <c r="EK47" s="87">
        <v>0</v>
      </c>
      <c r="EL47" s="41"/>
      <c r="EM47" s="41"/>
      <c r="EN47" s="41"/>
      <c r="EO47" s="88"/>
      <c r="EP47" s="87">
        <v>1</v>
      </c>
      <c r="EQ47" s="41">
        <v>23</v>
      </c>
      <c r="ER47" s="127">
        <f>LOG((ET47-ES47)/0.01,2)</f>
        <v>13.033852958324529</v>
      </c>
      <c r="ES47" s="526">
        <v>1.0000000000000001E-5</v>
      </c>
      <c r="ET47" s="88">
        <v>83.864999999999995</v>
      </c>
      <c r="EU47" s="87">
        <v>0</v>
      </c>
      <c r="EV47" s="41"/>
      <c r="EW47" s="41"/>
      <c r="EX47" s="41"/>
      <c r="EY47" s="88"/>
      <c r="EZ47" s="87">
        <v>0</v>
      </c>
      <c r="FA47" s="41"/>
      <c r="FB47" s="41"/>
      <c r="FC47" s="41"/>
      <c r="FD47" s="88"/>
      <c r="FE47" s="87">
        <v>0</v>
      </c>
      <c r="FF47" s="127"/>
      <c r="FG47" s="127"/>
      <c r="FH47" s="127"/>
      <c r="FI47" s="123"/>
      <c r="FJ47" s="87">
        <v>0</v>
      </c>
      <c r="FK47" s="41"/>
      <c r="FL47" s="41"/>
      <c r="FM47" s="41"/>
      <c r="FN47" s="88"/>
      <c r="FO47" s="87">
        <v>0</v>
      </c>
      <c r="FP47" s="41"/>
      <c r="FQ47" s="41"/>
      <c r="FR47" s="41"/>
      <c r="FS47" s="88"/>
      <c r="FT47" s="87">
        <v>0</v>
      </c>
      <c r="FU47" s="41"/>
      <c r="FV47" s="41"/>
      <c r="FW47" s="41"/>
      <c r="FX47" s="88"/>
      <c r="FY47" s="87">
        <v>0</v>
      </c>
      <c r="FZ47" s="41"/>
      <c r="GA47" s="41"/>
      <c r="GB47" s="41"/>
      <c r="GC47" s="88"/>
      <c r="GD47" s="87">
        <v>0</v>
      </c>
      <c r="GE47" s="41"/>
      <c r="GF47" s="41"/>
      <c r="GG47" s="41"/>
      <c r="GH47" s="88"/>
      <c r="GI47" s="87">
        <v>0</v>
      </c>
      <c r="GJ47" s="41"/>
      <c r="GK47" s="127"/>
      <c r="GL47" s="41"/>
      <c r="GM47" s="88"/>
      <c r="GN47" s="87">
        <v>0</v>
      </c>
      <c r="GO47" s="41"/>
      <c r="GP47" s="41"/>
      <c r="GQ47" s="41"/>
      <c r="GR47" s="88"/>
      <c r="GS47" s="87">
        <v>0</v>
      </c>
      <c r="GT47" s="41"/>
      <c r="GU47" s="41"/>
      <c r="GV47" s="41"/>
      <c r="GW47" s="88"/>
      <c r="GX47" s="301">
        <f t="shared" si="1"/>
        <v>1</v>
      </c>
      <c r="GY47" s="301" t="str">
        <f t="shared" si="12"/>
        <v/>
      </c>
      <c r="GZ47" s="41" t="str">
        <f t="shared" si="2"/>
        <v/>
      </c>
      <c r="HA47" s="41" t="str">
        <f t="shared" si="3"/>
        <v/>
      </c>
      <c r="HB47" s="41" t="str">
        <f t="shared" si="4"/>
        <v/>
      </c>
      <c r="HC47" s="41" t="str">
        <f t="shared" si="5"/>
        <v/>
      </c>
      <c r="HD47" s="41" t="str">
        <f t="shared" si="6"/>
        <v/>
      </c>
      <c r="HE47" s="88" t="str">
        <f t="shared" si="7"/>
        <v/>
      </c>
      <c r="HF47" s="524" t="s">
        <v>82</v>
      </c>
      <c r="HG47" s="41" t="s">
        <v>82</v>
      </c>
      <c r="HH47" s="41" t="s">
        <v>82</v>
      </c>
      <c r="HI47" s="41" t="s">
        <v>82</v>
      </c>
      <c r="HJ47" s="41" t="s">
        <v>82</v>
      </c>
      <c r="HK47" s="41" t="s">
        <v>82</v>
      </c>
      <c r="HL47" s="41" t="s">
        <v>82</v>
      </c>
      <c r="HM47" s="41">
        <v>1</v>
      </c>
      <c r="HN47" s="41" t="s">
        <v>82</v>
      </c>
      <c r="HO47" s="41" t="s">
        <v>82</v>
      </c>
      <c r="HP47" s="41" t="s">
        <v>82</v>
      </c>
      <c r="HQ47" s="41" t="s">
        <v>82</v>
      </c>
      <c r="HR47" s="41" t="s">
        <v>82</v>
      </c>
      <c r="HS47" s="41" t="s">
        <v>82</v>
      </c>
      <c r="HT47" s="41" t="s">
        <v>82</v>
      </c>
      <c r="HU47" s="41" t="s">
        <v>82</v>
      </c>
      <c r="HV47" s="41" t="s">
        <v>82</v>
      </c>
      <c r="HW47" s="41" t="s">
        <v>82</v>
      </c>
      <c r="HX47" s="41" t="s">
        <v>82</v>
      </c>
      <c r="HY47" s="41" t="s">
        <v>82</v>
      </c>
      <c r="HZ47" s="41" t="s">
        <v>82</v>
      </c>
      <c r="IA47" s="41" t="s">
        <v>82</v>
      </c>
      <c r="IB47" s="41" t="s">
        <v>82</v>
      </c>
      <c r="IC47" s="41" t="s">
        <v>82</v>
      </c>
      <c r="ID47" s="41" t="s">
        <v>82</v>
      </c>
      <c r="IE47" s="41" t="s">
        <v>82</v>
      </c>
      <c r="IF47" s="41" t="s">
        <v>82</v>
      </c>
      <c r="IG47" s="41" t="s">
        <v>82</v>
      </c>
      <c r="IH47" s="41" t="s">
        <v>82</v>
      </c>
      <c r="II47" s="88" t="s">
        <v>82</v>
      </c>
    </row>
    <row r="48" spans="1:244" s="45" customFormat="1">
      <c r="A48" s="745"/>
      <c r="B48" s="10" t="s">
        <v>265</v>
      </c>
      <c r="C48" s="766"/>
      <c r="D48" s="100" t="s">
        <v>265</v>
      </c>
      <c r="E48" s="344" t="s">
        <v>65</v>
      </c>
      <c r="F48" s="45" t="s">
        <v>65</v>
      </c>
      <c r="G48" s="45" t="s">
        <v>65</v>
      </c>
      <c r="H48" s="45" t="s">
        <v>65</v>
      </c>
      <c r="I48" s="45" t="s">
        <v>65</v>
      </c>
      <c r="J48" s="127" t="s">
        <v>265</v>
      </c>
      <c r="K48" s="127" t="s">
        <v>265</v>
      </c>
      <c r="L48" s="123" t="s">
        <v>265</v>
      </c>
      <c r="M48" s="301" t="s">
        <v>265</v>
      </c>
      <c r="N48" s="41" t="s">
        <v>265</v>
      </c>
      <c r="O48" s="41" t="s">
        <v>265</v>
      </c>
      <c r="P48" s="41" t="s">
        <v>265</v>
      </c>
      <c r="Q48" s="41"/>
      <c r="R48" s="41" t="s">
        <v>265</v>
      </c>
      <c r="S48" s="41" t="s">
        <v>265</v>
      </c>
      <c r="T48" s="41" t="s">
        <v>265</v>
      </c>
      <c r="U48" s="41" t="s">
        <v>265</v>
      </c>
      <c r="V48" s="41" t="s">
        <v>265</v>
      </c>
      <c r="W48" s="41" t="s">
        <v>265</v>
      </c>
      <c r="X48" s="41" t="s">
        <v>265</v>
      </c>
      <c r="Y48" s="41" t="s">
        <v>265</v>
      </c>
      <c r="Z48" s="41" t="s">
        <v>265</v>
      </c>
      <c r="AA48" s="41" t="s">
        <v>265</v>
      </c>
      <c r="AB48" s="41" t="s">
        <v>265</v>
      </c>
      <c r="AC48" s="41" t="s">
        <v>265</v>
      </c>
      <c r="AD48" s="41" t="s">
        <v>265</v>
      </c>
      <c r="AE48" s="41" t="s">
        <v>265</v>
      </c>
      <c r="AF48" s="41" t="s">
        <v>265</v>
      </c>
      <c r="AG48" s="41" t="s">
        <v>265</v>
      </c>
      <c r="AH48" s="41" t="s">
        <v>265</v>
      </c>
      <c r="AI48" s="41" t="s">
        <v>265</v>
      </c>
      <c r="AJ48" s="38" t="s">
        <v>265</v>
      </c>
      <c r="AK48" s="88" t="s">
        <v>265</v>
      </c>
      <c r="AL48" s="92"/>
      <c r="AM48" s="301" t="s">
        <v>265</v>
      </c>
      <c r="AN48" s="41" t="s">
        <v>265</v>
      </c>
      <c r="AO48" s="249"/>
      <c r="AP48" s="249" t="str">
        <f t="shared" si="8"/>
        <v>N.S</v>
      </c>
      <c r="AQ48" s="518" t="str">
        <f t="shared" si="9"/>
        <v>N.S</v>
      </c>
      <c r="AR48" s="88" t="s">
        <v>265</v>
      </c>
      <c r="AS48" s="334" t="s">
        <v>265</v>
      </c>
      <c r="AT48" s="334" t="s">
        <v>265</v>
      </c>
      <c r="AU48" s="334" t="s">
        <v>265</v>
      </c>
      <c r="AV48" s="334" t="s">
        <v>265</v>
      </c>
      <c r="AW48" s="334" t="s">
        <v>265</v>
      </c>
      <c r="AX48" s="334" t="s">
        <v>265</v>
      </c>
      <c r="AY48" s="334" t="s">
        <v>265</v>
      </c>
      <c r="AZ48" s="334" t="s">
        <v>265</v>
      </c>
      <c r="BA48" s="477" t="s">
        <v>265</v>
      </c>
      <c r="BB48" s="477" t="s">
        <v>265</v>
      </c>
      <c r="BC48" s="41" t="s">
        <v>265</v>
      </c>
      <c r="BD48" s="41" t="s">
        <v>265</v>
      </c>
      <c r="BE48" s="41" t="s">
        <v>265</v>
      </c>
      <c r="BF48" s="41" t="s">
        <v>265</v>
      </c>
      <c r="BG48" s="41" t="s">
        <v>265</v>
      </c>
      <c r="BH48" s="41" t="s">
        <v>265</v>
      </c>
      <c r="BI48" s="41" t="s">
        <v>265</v>
      </c>
      <c r="BJ48" s="41" t="s">
        <v>265</v>
      </c>
      <c r="BK48" s="41" t="s">
        <v>265</v>
      </c>
      <c r="BL48" s="122" t="str">
        <f>IF(AZ48="N.S","N.S",3*(AZ48*BL1+0.001*IF(BB48="N.S",0,BB48*(1-BL1))))</f>
        <v>N.S</v>
      </c>
      <c r="BM48" s="520" t="s">
        <v>265</v>
      </c>
      <c r="BN48" s="656" t="str">
        <f t="shared" si="10"/>
        <v>N.S</v>
      </c>
      <c r="BO48" s="283" t="str">
        <f t="shared" si="11"/>
        <v>N.S</v>
      </c>
      <c r="BP48" s="87" t="s">
        <v>265</v>
      </c>
      <c r="BQ48" s="41" t="s">
        <v>265</v>
      </c>
      <c r="BR48" s="41" t="s">
        <v>265</v>
      </c>
      <c r="BS48" s="41" t="s">
        <v>265</v>
      </c>
      <c r="BT48" s="41" t="s">
        <v>265</v>
      </c>
      <c r="BU48" s="41" t="s">
        <v>265</v>
      </c>
      <c r="BV48" s="41" t="s">
        <v>265</v>
      </c>
      <c r="BW48" s="41" t="s">
        <v>265</v>
      </c>
      <c r="BX48" s="38" t="s">
        <v>265</v>
      </c>
      <c r="BY48" s="41" t="s">
        <v>265</v>
      </c>
      <c r="BZ48" s="88" t="s">
        <v>265</v>
      </c>
      <c r="CA48" s="301" t="s">
        <v>265</v>
      </c>
      <c r="CB48" s="41" t="s">
        <v>265</v>
      </c>
      <c r="CC48" s="484" t="s">
        <v>265</v>
      </c>
      <c r="CD48" s="41" t="s">
        <v>265</v>
      </c>
      <c r="CE48" s="41" t="s">
        <v>265</v>
      </c>
      <c r="CF48" s="41" t="s">
        <v>265</v>
      </c>
      <c r="CG48" s="41" t="s">
        <v>265</v>
      </c>
      <c r="CH48" s="41" t="s">
        <v>265</v>
      </c>
      <c r="CI48" s="522" t="s">
        <v>265</v>
      </c>
      <c r="CJ48" s="127" t="s">
        <v>265</v>
      </c>
      <c r="CK48" s="523" t="s">
        <v>265</v>
      </c>
      <c r="CL48" s="41"/>
      <c r="CM48" s="477"/>
      <c r="CN48" s="477"/>
      <c r="CO48" s="183">
        <v>0</v>
      </c>
      <c r="CP48" s="127"/>
      <c r="CQ48" s="127"/>
      <c r="CR48" s="183"/>
      <c r="CS48" s="129"/>
      <c r="CT48" s="184">
        <v>0</v>
      </c>
      <c r="CU48" s="127"/>
      <c r="CV48" s="127"/>
      <c r="CW48" s="183"/>
      <c r="CX48" s="129"/>
      <c r="CY48" s="87">
        <v>0</v>
      </c>
      <c r="CZ48" s="41">
        <v>0</v>
      </c>
      <c r="DA48" s="41"/>
      <c r="DB48" s="41"/>
      <c r="DC48" s="41"/>
      <c r="DD48" s="41"/>
      <c r="DE48" s="41"/>
      <c r="DF48" s="41"/>
      <c r="DG48" s="41"/>
      <c r="DH48" s="41"/>
      <c r="DI48" s="123"/>
      <c r="DJ48" s="87">
        <v>0</v>
      </c>
      <c r="DK48" s="41">
        <v>0</v>
      </c>
      <c r="DL48" s="41"/>
      <c r="DM48" s="41"/>
      <c r="DN48" s="41"/>
      <c r="DO48" s="41"/>
      <c r="DP48" s="41"/>
      <c r="DQ48" s="41"/>
      <c r="DR48" s="41"/>
      <c r="DS48" s="41"/>
      <c r="DT48" s="88"/>
      <c r="DU48" s="87">
        <v>0</v>
      </c>
      <c r="DV48" s="41">
        <v>0</v>
      </c>
      <c r="DW48" s="41"/>
      <c r="DX48" s="41"/>
      <c r="DY48" s="41"/>
      <c r="DZ48" s="41"/>
      <c r="EA48" s="41"/>
      <c r="EB48" s="41"/>
      <c r="EC48" s="41"/>
      <c r="ED48" s="41"/>
      <c r="EE48" s="123"/>
      <c r="EF48" s="87">
        <v>0</v>
      </c>
      <c r="EG48" s="41"/>
      <c r="EH48" s="41"/>
      <c r="EI48" s="41"/>
      <c r="EJ48" s="88"/>
      <c r="EK48" s="87">
        <v>0</v>
      </c>
      <c r="EL48" s="41"/>
      <c r="EM48" s="41"/>
      <c r="EN48" s="41"/>
      <c r="EO48" s="88"/>
      <c r="EP48" s="87">
        <v>0</v>
      </c>
      <c r="EQ48" s="41"/>
      <c r="ER48" s="41"/>
      <c r="ES48" s="41"/>
      <c r="ET48" s="88"/>
      <c r="EU48" s="87">
        <v>0</v>
      </c>
      <c r="EV48" s="41"/>
      <c r="EW48" s="41"/>
      <c r="EX48" s="41"/>
      <c r="EY48" s="88"/>
      <c r="EZ48" s="87">
        <v>0</v>
      </c>
      <c r="FA48" s="41"/>
      <c r="FB48" s="41"/>
      <c r="FC48" s="41"/>
      <c r="FD48" s="88"/>
      <c r="FE48" s="87">
        <v>0</v>
      </c>
      <c r="FF48" s="127"/>
      <c r="FG48" s="127"/>
      <c r="FH48" s="127"/>
      <c r="FI48" s="123"/>
      <c r="FJ48" s="87">
        <v>0</v>
      </c>
      <c r="FK48" s="41"/>
      <c r="FL48" s="41"/>
      <c r="FM48" s="41"/>
      <c r="FN48" s="88"/>
      <c r="FO48" s="87">
        <v>0</v>
      </c>
      <c r="FP48" s="41"/>
      <c r="FQ48" s="41"/>
      <c r="FR48" s="41"/>
      <c r="FS48" s="88"/>
      <c r="FT48" s="87">
        <v>0</v>
      </c>
      <c r="FU48" s="41"/>
      <c r="FV48" s="41"/>
      <c r="FW48" s="41"/>
      <c r="FX48" s="88"/>
      <c r="FY48" s="87">
        <v>0</v>
      </c>
      <c r="FZ48" s="41"/>
      <c r="GA48" s="41"/>
      <c r="GB48" s="41"/>
      <c r="GC48" s="88"/>
      <c r="GD48" s="87">
        <v>0</v>
      </c>
      <c r="GE48" s="41"/>
      <c r="GF48" s="41"/>
      <c r="GG48" s="41"/>
      <c r="GH48" s="88"/>
      <c r="GI48" s="87">
        <v>0</v>
      </c>
      <c r="GJ48" s="41"/>
      <c r="GK48" s="127"/>
      <c r="GL48" s="41"/>
      <c r="GM48" s="88"/>
      <c r="GN48" s="87">
        <v>0</v>
      </c>
      <c r="GO48" s="41"/>
      <c r="GP48" s="41"/>
      <c r="GQ48" s="41"/>
      <c r="GR48" s="88"/>
      <c r="GS48" s="87">
        <v>0</v>
      </c>
      <c r="GT48" s="41"/>
      <c r="GU48" s="41"/>
      <c r="GV48" s="41"/>
      <c r="GW48" s="88"/>
      <c r="GX48" s="301">
        <f t="shared" si="1"/>
        <v>1</v>
      </c>
      <c r="GY48" s="301" t="str">
        <f t="shared" si="12"/>
        <v/>
      </c>
      <c r="GZ48" s="41" t="str">
        <f t="shared" si="2"/>
        <v/>
      </c>
      <c r="HA48" s="41" t="str">
        <f t="shared" si="3"/>
        <v/>
      </c>
      <c r="HB48" s="41" t="str">
        <f t="shared" si="4"/>
        <v/>
      </c>
      <c r="HC48" s="41" t="str">
        <f t="shared" si="5"/>
        <v/>
      </c>
      <c r="HD48" s="41" t="str">
        <f t="shared" si="6"/>
        <v/>
      </c>
      <c r="HE48" s="88" t="str">
        <f t="shared" si="7"/>
        <v/>
      </c>
      <c r="HF48" s="524" t="s">
        <v>82</v>
      </c>
      <c r="HG48" s="41" t="s">
        <v>82</v>
      </c>
      <c r="HH48" s="41" t="s">
        <v>82</v>
      </c>
      <c r="HI48" s="41" t="s">
        <v>82</v>
      </c>
      <c r="HJ48" s="41" t="s">
        <v>82</v>
      </c>
      <c r="HK48" s="41" t="s">
        <v>82</v>
      </c>
      <c r="HL48" s="41" t="s">
        <v>82</v>
      </c>
      <c r="HM48" s="41" t="s">
        <v>82</v>
      </c>
      <c r="HN48" s="41" t="s">
        <v>82</v>
      </c>
      <c r="HO48" s="41" t="s">
        <v>82</v>
      </c>
      <c r="HP48" s="41" t="s">
        <v>82</v>
      </c>
      <c r="HQ48" s="41" t="s">
        <v>82</v>
      </c>
      <c r="HR48" s="41" t="s">
        <v>82</v>
      </c>
      <c r="HS48" s="41" t="s">
        <v>82</v>
      </c>
      <c r="HT48" s="41" t="s">
        <v>82</v>
      </c>
      <c r="HU48" s="41" t="s">
        <v>82</v>
      </c>
      <c r="HV48" s="41" t="s">
        <v>82</v>
      </c>
      <c r="HW48" s="41" t="s">
        <v>82</v>
      </c>
      <c r="HX48" s="41" t="s">
        <v>82</v>
      </c>
      <c r="HY48" s="41" t="s">
        <v>82</v>
      </c>
      <c r="HZ48" s="41" t="s">
        <v>82</v>
      </c>
      <c r="IA48" s="41" t="s">
        <v>82</v>
      </c>
      <c r="IB48" s="41" t="s">
        <v>82</v>
      </c>
      <c r="IC48" s="41" t="s">
        <v>82</v>
      </c>
      <c r="ID48" s="41" t="s">
        <v>82</v>
      </c>
      <c r="IE48" s="41" t="s">
        <v>82</v>
      </c>
      <c r="IF48" s="41" t="s">
        <v>82</v>
      </c>
      <c r="IG48" s="41" t="s">
        <v>82</v>
      </c>
      <c r="IH48" s="41" t="s">
        <v>82</v>
      </c>
      <c r="II48" s="88" t="s">
        <v>82</v>
      </c>
      <c r="IJ48" s="44"/>
    </row>
    <row r="49" spans="1:244" s="289" customFormat="1" ht="15" customHeight="1">
      <c r="A49" s="745"/>
      <c r="B49" s="10" t="s">
        <v>265</v>
      </c>
      <c r="C49" s="766"/>
      <c r="D49" s="100" t="s">
        <v>265</v>
      </c>
      <c r="E49" s="45" t="s">
        <v>65</v>
      </c>
      <c r="F49" s="45" t="s">
        <v>65</v>
      </c>
      <c r="G49" s="45" t="s">
        <v>65</v>
      </c>
      <c r="H49" s="45" t="s">
        <v>65</v>
      </c>
      <c r="I49" s="45" t="s">
        <v>65</v>
      </c>
      <c r="J49" s="127" t="s">
        <v>265</v>
      </c>
      <c r="K49" s="127" t="s">
        <v>265</v>
      </c>
      <c r="L49" s="123" t="s">
        <v>265</v>
      </c>
      <c r="M49" s="301" t="s">
        <v>265</v>
      </c>
      <c r="N49" s="41" t="s">
        <v>265</v>
      </c>
      <c r="O49" s="41" t="s">
        <v>265</v>
      </c>
      <c r="P49" s="41" t="s">
        <v>265</v>
      </c>
      <c r="Q49" s="41"/>
      <c r="R49" s="41" t="s">
        <v>265</v>
      </c>
      <c r="S49" s="41" t="s">
        <v>265</v>
      </c>
      <c r="T49" s="41" t="s">
        <v>265</v>
      </c>
      <c r="U49" s="41" t="s">
        <v>265</v>
      </c>
      <c r="V49" s="41" t="s">
        <v>265</v>
      </c>
      <c r="W49" s="41" t="s">
        <v>265</v>
      </c>
      <c r="X49" s="41" t="s">
        <v>265</v>
      </c>
      <c r="Y49" s="41" t="s">
        <v>265</v>
      </c>
      <c r="Z49" s="41" t="s">
        <v>265</v>
      </c>
      <c r="AA49" s="41" t="s">
        <v>265</v>
      </c>
      <c r="AB49" s="41" t="s">
        <v>265</v>
      </c>
      <c r="AC49" s="41" t="s">
        <v>265</v>
      </c>
      <c r="AD49" s="41" t="s">
        <v>265</v>
      </c>
      <c r="AE49" s="41" t="s">
        <v>265</v>
      </c>
      <c r="AF49" s="41" t="s">
        <v>265</v>
      </c>
      <c r="AG49" s="41" t="s">
        <v>265</v>
      </c>
      <c r="AH49" s="41" t="s">
        <v>265</v>
      </c>
      <c r="AI49" s="41" t="s">
        <v>265</v>
      </c>
      <c r="AJ49" s="38" t="s">
        <v>265</v>
      </c>
      <c r="AK49" s="88" t="s">
        <v>265</v>
      </c>
      <c r="AL49" s="92"/>
      <c r="AM49" s="301" t="s">
        <v>265</v>
      </c>
      <c r="AN49" s="41" t="s">
        <v>265</v>
      </c>
      <c r="AO49" s="249"/>
      <c r="AP49" s="249" t="str">
        <f t="shared" si="8"/>
        <v>N.S</v>
      </c>
      <c r="AQ49" s="518" t="str">
        <f t="shared" si="9"/>
        <v>N.S</v>
      </c>
      <c r="AR49" s="88" t="s">
        <v>265</v>
      </c>
      <c r="AS49" s="334" t="s">
        <v>265</v>
      </c>
      <c r="AT49" s="334" t="s">
        <v>265</v>
      </c>
      <c r="AU49" s="334" t="s">
        <v>265</v>
      </c>
      <c r="AV49" s="334" t="s">
        <v>265</v>
      </c>
      <c r="AW49" s="334" t="s">
        <v>265</v>
      </c>
      <c r="AX49" s="334" t="s">
        <v>265</v>
      </c>
      <c r="AY49" s="334" t="s">
        <v>265</v>
      </c>
      <c r="AZ49" s="334" t="s">
        <v>265</v>
      </c>
      <c r="BA49" s="477" t="s">
        <v>265</v>
      </c>
      <c r="BB49" s="477" t="s">
        <v>265</v>
      </c>
      <c r="BC49" s="41" t="s">
        <v>265</v>
      </c>
      <c r="BD49" s="41" t="s">
        <v>265</v>
      </c>
      <c r="BE49" s="41" t="s">
        <v>265</v>
      </c>
      <c r="BF49" s="41" t="s">
        <v>265</v>
      </c>
      <c r="BG49" s="41" t="s">
        <v>265</v>
      </c>
      <c r="BH49" s="41" t="s">
        <v>265</v>
      </c>
      <c r="BI49" s="41" t="s">
        <v>265</v>
      </c>
      <c r="BJ49" s="41" t="s">
        <v>265</v>
      </c>
      <c r="BK49" s="41" t="s">
        <v>265</v>
      </c>
      <c r="BL49" s="122" t="str">
        <f>IF(AZ49="N.S","N.S",3*(AZ49*BL1+0.001*IF(BB49="N.S",0,BB49*(1-BL1))))</f>
        <v>N.S</v>
      </c>
      <c r="BM49" s="520" t="s">
        <v>265</v>
      </c>
      <c r="BN49" s="656" t="str">
        <f t="shared" si="10"/>
        <v>N.S</v>
      </c>
      <c r="BO49" s="283" t="str">
        <f t="shared" si="11"/>
        <v>N.S</v>
      </c>
      <c r="BP49" s="87" t="s">
        <v>265</v>
      </c>
      <c r="BQ49" s="41" t="s">
        <v>265</v>
      </c>
      <c r="BR49" s="41" t="s">
        <v>265</v>
      </c>
      <c r="BS49" s="41" t="s">
        <v>265</v>
      </c>
      <c r="BT49" s="41" t="s">
        <v>265</v>
      </c>
      <c r="BU49" s="41" t="s">
        <v>265</v>
      </c>
      <c r="BV49" s="41" t="s">
        <v>265</v>
      </c>
      <c r="BW49" s="41" t="s">
        <v>265</v>
      </c>
      <c r="BX49" s="38" t="s">
        <v>265</v>
      </c>
      <c r="BY49" s="41" t="s">
        <v>265</v>
      </c>
      <c r="BZ49" s="88" t="s">
        <v>265</v>
      </c>
      <c r="CA49" s="301" t="s">
        <v>265</v>
      </c>
      <c r="CB49" s="41" t="s">
        <v>265</v>
      </c>
      <c r="CC49" s="484" t="s">
        <v>265</v>
      </c>
      <c r="CD49" s="41" t="s">
        <v>265</v>
      </c>
      <c r="CE49" s="41" t="s">
        <v>265</v>
      </c>
      <c r="CF49" s="41" t="s">
        <v>265</v>
      </c>
      <c r="CG49" s="41" t="s">
        <v>265</v>
      </c>
      <c r="CH49" s="41" t="s">
        <v>265</v>
      </c>
      <c r="CI49" s="522" t="s">
        <v>265</v>
      </c>
      <c r="CJ49" s="127" t="s">
        <v>265</v>
      </c>
      <c r="CK49" s="523" t="s">
        <v>265</v>
      </c>
      <c r="CL49" s="41"/>
      <c r="CM49" s="477"/>
      <c r="CN49" s="477"/>
      <c r="CO49" s="183">
        <v>0</v>
      </c>
      <c r="CP49" s="127"/>
      <c r="CQ49" s="127"/>
      <c r="CR49" s="183"/>
      <c r="CS49" s="129"/>
      <c r="CT49" s="184">
        <v>0</v>
      </c>
      <c r="CU49" s="127"/>
      <c r="CV49" s="127"/>
      <c r="CW49" s="183"/>
      <c r="CX49" s="129"/>
      <c r="CY49" s="87">
        <v>0</v>
      </c>
      <c r="CZ49" s="41">
        <v>0</v>
      </c>
      <c r="DA49" s="41"/>
      <c r="DB49" s="41"/>
      <c r="DC49" s="41"/>
      <c r="DD49" s="41"/>
      <c r="DE49" s="41"/>
      <c r="DF49" s="41"/>
      <c r="DG49" s="41"/>
      <c r="DH49" s="41"/>
      <c r="DI49" s="123"/>
      <c r="DJ49" s="87">
        <v>0</v>
      </c>
      <c r="DK49" s="41">
        <v>0</v>
      </c>
      <c r="DL49" s="41"/>
      <c r="DM49" s="41"/>
      <c r="DN49" s="41"/>
      <c r="DO49" s="41"/>
      <c r="DP49" s="41"/>
      <c r="DQ49" s="41"/>
      <c r="DR49" s="41"/>
      <c r="DS49" s="41"/>
      <c r="DT49" s="88"/>
      <c r="DU49" s="87">
        <v>0</v>
      </c>
      <c r="DV49" s="41">
        <v>0</v>
      </c>
      <c r="DW49" s="41"/>
      <c r="DX49" s="41"/>
      <c r="DY49" s="41"/>
      <c r="DZ49" s="41"/>
      <c r="EA49" s="41"/>
      <c r="EB49" s="41"/>
      <c r="EC49" s="41"/>
      <c r="ED49" s="41"/>
      <c r="EE49" s="123"/>
      <c r="EF49" s="87">
        <v>0</v>
      </c>
      <c r="EG49" s="41"/>
      <c r="EH49" s="41"/>
      <c r="EI49" s="41"/>
      <c r="EJ49" s="88"/>
      <c r="EK49" s="87">
        <v>0</v>
      </c>
      <c r="EL49" s="41"/>
      <c r="EM49" s="41"/>
      <c r="EN49" s="41"/>
      <c r="EO49" s="88"/>
      <c r="EP49" s="87">
        <v>0</v>
      </c>
      <c r="EQ49" s="41"/>
      <c r="ER49" s="41"/>
      <c r="ES49" s="41"/>
      <c r="ET49" s="88"/>
      <c r="EU49" s="87">
        <v>0</v>
      </c>
      <c r="EV49" s="41"/>
      <c r="EW49" s="41"/>
      <c r="EX49" s="41"/>
      <c r="EY49" s="88"/>
      <c r="EZ49" s="87">
        <v>0</v>
      </c>
      <c r="FA49" s="41"/>
      <c r="FB49" s="41"/>
      <c r="FC49" s="41"/>
      <c r="FD49" s="88"/>
      <c r="FE49" s="87">
        <v>0</v>
      </c>
      <c r="FF49" s="127"/>
      <c r="FG49" s="127"/>
      <c r="FH49" s="127"/>
      <c r="FI49" s="123"/>
      <c r="FJ49" s="87">
        <v>0</v>
      </c>
      <c r="FK49" s="41"/>
      <c r="FL49" s="41"/>
      <c r="FM49" s="41"/>
      <c r="FN49" s="88"/>
      <c r="FO49" s="87">
        <v>0</v>
      </c>
      <c r="FP49" s="41"/>
      <c r="FQ49" s="41"/>
      <c r="FR49" s="41"/>
      <c r="FS49" s="88"/>
      <c r="FT49" s="87">
        <v>0</v>
      </c>
      <c r="FU49" s="41"/>
      <c r="FV49" s="41"/>
      <c r="FW49" s="41"/>
      <c r="FX49" s="88"/>
      <c r="FY49" s="87">
        <v>0</v>
      </c>
      <c r="FZ49" s="41"/>
      <c r="GA49" s="41"/>
      <c r="GB49" s="41"/>
      <c r="GC49" s="88"/>
      <c r="GD49" s="87">
        <v>0</v>
      </c>
      <c r="GE49" s="41"/>
      <c r="GF49" s="41"/>
      <c r="GG49" s="41"/>
      <c r="GH49" s="88"/>
      <c r="GI49" s="87">
        <v>0</v>
      </c>
      <c r="GJ49" s="41"/>
      <c r="GK49" s="127"/>
      <c r="GL49" s="41"/>
      <c r="GM49" s="88"/>
      <c r="GN49" s="87">
        <v>0</v>
      </c>
      <c r="GO49" s="41"/>
      <c r="GP49" s="41"/>
      <c r="GQ49" s="41"/>
      <c r="GR49" s="88"/>
      <c r="GS49" s="87">
        <v>0</v>
      </c>
      <c r="GT49" s="41"/>
      <c r="GU49" s="41"/>
      <c r="GV49" s="41"/>
      <c r="GW49" s="88"/>
      <c r="GX49" s="301">
        <f t="shared" si="1"/>
        <v>1</v>
      </c>
      <c r="GY49" s="301" t="str">
        <f t="shared" si="12"/>
        <v/>
      </c>
      <c r="GZ49" s="41" t="str">
        <f t="shared" si="2"/>
        <v/>
      </c>
      <c r="HA49" s="41" t="str">
        <f t="shared" si="3"/>
        <v/>
      </c>
      <c r="HB49" s="41" t="str">
        <f t="shared" si="4"/>
        <v/>
      </c>
      <c r="HC49" s="41" t="str">
        <f t="shared" si="5"/>
        <v/>
      </c>
      <c r="HD49" s="41" t="str">
        <f t="shared" si="6"/>
        <v/>
      </c>
      <c r="HE49" s="88" t="str">
        <f t="shared" si="7"/>
        <v/>
      </c>
      <c r="HF49" s="524" t="s">
        <v>82</v>
      </c>
      <c r="HG49" s="41" t="s">
        <v>82</v>
      </c>
      <c r="HH49" s="41" t="s">
        <v>82</v>
      </c>
      <c r="HI49" s="41" t="s">
        <v>82</v>
      </c>
      <c r="HJ49" s="41" t="s">
        <v>82</v>
      </c>
      <c r="HK49" s="41" t="s">
        <v>82</v>
      </c>
      <c r="HL49" s="41" t="s">
        <v>82</v>
      </c>
      <c r="HM49" s="41" t="s">
        <v>82</v>
      </c>
      <c r="HN49" s="41" t="s">
        <v>82</v>
      </c>
      <c r="HO49" s="41" t="s">
        <v>82</v>
      </c>
      <c r="HP49" s="41" t="s">
        <v>82</v>
      </c>
      <c r="HQ49" s="41" t="s">
        <v>82</v>
      </c>
      <c r="HR49" s="41" t="s">
        <v>82</v>
      </c>
      <c r="HS49" s="41" t="s">
        <v>82</v>
      </c>
      <c r="HT49" s="41" t="s">
        <v>82</v>
      </c>
      <c r="HU49" s="41" t="s">
        <v>82</v>
      </c>
      <c r="HV49" s="41" t="s">
        <v>82</v>
      </c>
      <c r="HW49" s="41" t="s">
        <v>82</v>
      </c>
      <c r="HX49" s="41" t="s">
        <v>82</v>
      </c>
      <c r="HY49" s="41" t="s">
        <v>82</v>
      </c>
      <c r="HZ49" s="41" t="s">
        <v>82</v>
      </c>
      <c r="IA49" s="41" t="s">
        <v>82</v>
      </c>
      <c r="IB49" s="41" t="s">
        <v>82</v>
      </c>
      <c r="IC49" s="41" t="s">
        <v>82</v>
      </c>
      <c r="ID49" s="41" t="s">
        <v>82</v>
      </c>
      <c r="IE49" s="41" t="s">
        <v>82</v>
      </c>
      <c r="IF49" s="41" t="s">
        <v>82</v>
      </c>
      <c r="IG49" s="41" t="s">
        <v>82</v>
      </c>
      <c r="IH49" s="41" t="s">
        <v>82</v>
      </c>
      <c r="II49" s="88" t="s">
        <v>82</v>
      </c>
    </row>
    <row r="50" spans="1:244" s="45" customFormat="1">
      <c r="A50" s="745"/>
      <c r="B50" s="41" t="s">
        <v>265</v>
      </c>
      <c r="C50" s="767"/>
      <c r="D50" s="100" t="s">
        <v>265</v>
      </c>
      <c r="E50" s="45" t="s">
        <v>65</v>
      </c>
      <c r="F50" s="45" t="s">
        <v>65</v>
      </c>
      <c r="G50" s="45" t="s">
        <v>65</v>
      </c>
      <c r="H50" s="45" t="s">
        <v>65</v>
      </c>
      <c r="I50" s="45" t="s">
        <v>65</v>
      </c>
      <c r="J50" s="127" t="s">
        <v>265</v>
      </c>
      <c r="K50" s="127" t="s">
        <v>265</v>
      </c>
      <c r="L50" s="123" t="s">
        <v>265</v>
      </c>
      <c r="M50" s="334" t="s">
        <v>265</v>
      </c>
      <c r="N50" s="41" t="s">
        <v>265</v>
      </c>
      <c r="O50" s="41" t="s">
        <v>265</v>
      </c>
      <c r="P50" s="41" t="s">
        <v>265</v>
      </c>
      <c r="Q50" s="41"/>
      <c r="R50" s="41" t="s">
        <v>265</v>
      </c>
      <c r="S50" s="41" t="s">
        <v>265</v>
      </c>
      <c r="T50" s="41" t="s">
        <v>265</v>
      </c>
      <c r="U50" s="41" t="s">
        <v>265</v>
      </c>
      <c r="V50" s="41" t="s">
        <v>265</v>
      </c>
      <c r="W50" s="41" t="s">
        <v>265</v>
      </c>
      <c r="X50" s="41" t="s">
        <v>265</v>
      </c>
      <c r="Y50" s="41" t="s">
        <v>265</v>
      </c>
      <c r="Z50" s="41" t="s">
        <v>265</v>
      </c>
      <c r="AA50" s="41" t="s">
        <v>265</v>
      </c>
      <c r="AB50" s="41" t="s">
        <v>265</v>
      </c>
      <c r="AC50" s="41" t="s">
        <v>265</v>
      </c>
      <c r="AD50" s="41" t="s">
        <v>265</v>
      </c>
      <c r="AE50" s="41" t="s">
        <v>265</v>
      </c>
      <c r="AF50" s="41" t="s">
        <v>265</v>
      </c>
      <c r="AG50" s="41" t="s">
        <v>265</v>
      </c>
      <c r="AH50" s="41" t="s">
        <v>265</v>
      </c>
      <c r="AI50" s="41" t="s">
        <v>265</v>
      </c>
      <c r="AJ50" s="38" t="s">
        <v>265</v>
      </c>
      <c r="AK50" s="88" t="s">
        <v>265</v>
      </c>
      <c r="AL50" s="92"/>
      <c r="AM50" s="301" t="s">
        <v>265</v>
      </c>
      <c r="AN50" s="41" t="s">
        <v>265</v>
      </c>
      <c r="AO50" s="249"/>
      <c r="AP50" s="249" t="str">
        <f t="shared" si="8"/>
        <v>N.S</v>
      </c>
      <c r="AQ50" s="518" t="str">
        <f t="shared" si="9"/>
        <v>N.S</v>
      </c>
      <c r="AR50" s="88" t="s">
        <v>265</v>
      </c>
      <c r="AS50" s="334" t="s">
        <v>265</v>
      </c>
      <c r="AT50" s="334" t="s">
        <v>265</v>
      </c>
      <c r="AU50" s="334" t="s">
        <v>265</v>
      </c>
      <c r="AV50" s="334" t="s">
        <v>265</v>
      </c>
      <c r="AW50" s="334" t="s">
        <v>265</v>
      </c>
      <c r="AX50" s="334" t="s">
        <v>265</v>
      </c>
      <c r="AY50" s="334" t="s">
        <v>265</v>
      </c>
      <c r="AZ50" s="334" t="s">
        <v>265</v>
      </c>
      <c r="BA50" s="477" t="s">
        <v>265</v>
      </c>
      <c r="BB50" s="477" t="s">
        <v>265</v>
      </c>
      <c r="BC50" s="41" t="s">
        <v>265</v>
      </c>
      <c r="BD50" s="41" t="s">
        <v>265</v>
      </c>
      <c r="BE50" s="41" t="s">
        <v>265</v>
      </c>
      <c r="BF50" s="41" t="s">
        <v>265</v>
      </c>
      <c r="BG50" s="41" t="s">
        <v>265</v>
      </c>
      <c r="BH50" s="41" t="s">
        <v>265</v>
      </c>
      <c r="BI50" s="41" t="s">
        <v>265</v>
      </c>
      <c r="BJ50" s="41" t="s">
        <v>265</v>
      </c>
      <c r="BK50" s="41" t="s">
        <v>265</v>
      </c>
      <c r="BL50" s="122" t="str">
        <f>IF(AZ50="N.S","N.S",3*(AZ50*BL1+0.001*IF(BB50="N.S",0,BB50*(1-BL1))))</f>
        <v>N.S</v>
      </c>
      <c r="BM50" s="520" t="s">
        <v>265</v>
      </c>
      <c r="BN50" s="656" t="str">
        <f t="shared" si="10"/>
        <v>N.S</v>
      </c>
      <c r="BO50" s="283" t="str">
        <f t="shared" si="11"/>
        <v>N.S</v>
      </c>
      <c r="BP50" s="87" t="s">
        <v>265</v>
      </c>
      <c r="BQ50" s="41" t="s">
        <v>265</v>
      </c>
      <c r="BR50" s="41" t="s">
        <v>265</v>
      </c>
      <c r="BS50" s="41" t="s">
        <v>265</v>
      </c>
      <c r="BT50" s="41" t="s">
        <v>265</v>
      </c>
      <c r="BU50" s="41" t="s">
        <v>265</v>
      </c>
      <c r="BV50" s="41" t="s">
        <v>265</v>
      </c>
      <c r="BW50" s="41" t="s">
        <v>265</v>
      </c>
      <c r="BX50" s="38" t="s">
        <v>265</v>
      </c>
      <c r="BY50" s="41" t="s">
        <v>265</v>
      </c>
      <c r="BZ50" s="88" t="s">
        <v>265</v>
      </c>
      <c r="CA50" s="301" t="s">
        <v>265</v>
      </c>
      <c r="CB50" s="41" t="s">
        <v>265</v>
      </c>
      <c r="CC50" s="484" t="s">
        <v>265</v>
      </c>
      <c r="CD50" s="41" t="s">
        <v>265</v>
      </c>
      <c r="CE50" s="41" t="s">
        <v>265</v>
      </c>
      <c r="CF50" s="41" t="s">
        <v>265</v>
      </c>
      <c r="CG50" s="41" t="s">
        <v>265</v>
      </c>
      <c r="CH50" s="41" t="s">
        <v>265</v>
      </c>
      <c r="CI50" s="522" t="s">
        <v>265</v>
      </c>
      <c r="CJ50" s="127" t="s">
        <v>265</v>
      </c>
      <c r="CK50" s="523" t="s">
        <v>265</v>
      </c>
      <c r="CL50" s="41"/>
      <c r="CM50" s="477"/>
      <c r="CN50" s="477"/>
      <c r="CO50" s="183">
        <v>0</v>
      </c>
      <c r="CP50" s="127"/>
      <c r="CQ50" s="127"/>
      <c r="CR50" s="183"/>
      <c r="CS50" s="129"/>
      <c r="CT50" s="184">
        <v>0</v>
      </c>
      <c r="CU50" s="127"/>
      <c r="CV50" s="127"/>
      <c r="CW50" s="183"/>
      <c r="CX50" s="129"/>
      <c r="CY50" s="87">
        <v>0</v>
      </c>
      <c r="CZ50" s="41">
        <v>0</v>
      </c>
      <c r="DA50" s="41"/>
      <c r="DB50" s="41"/>
      <c r="DC50" s="41"/>
      <c r="DD50" s="41"/>
      <c r="DE50" s="41"/>
      <c r="DF50" s="41"/>
      <c r="DG50" s="41"/>
      <c r="DH50" s="41"/>
      <c r="DI50" s="123"/>
      <c r="DJ50" s="87">
        <v>0</v>
      </c>
      <c r="DK50" s="41">
        <v>0</v>
      </c>
      <c r="DL50" s="41"/>
      <c r="DM50" s="41"/>
      <c r="DN50" s="41"/>
      <c r="DO50" s="41"/>
      <c r="DP50" s="41"/>
      <c r="DQ50" s="41"/>
      <c r="DR50" s="41"/>
      <c r="DS50" s="41"/>
      <c r="DT50" s="88"/>
      <c r="DU50" s="87">
        <v>0</v>
      </c>
      <c r="DV50" s="41">
        <v>0</v>
      </c>
      <c r="DW50" s="41"/>
      <c r="DX50" s="41"/>
      <c r="DY50" s="41"/>
      <c r="DZ50" s="41"/>
      <c r="EA50" s="41"/>
      <c r="EB50" s="41"/>
      <c r="EC50" s="41"/>
      <c r="ED50" s="41"/>
      <c r="EE50" s="123"/>
      <c r="EF50" s="87">
        <v>0</v>
      </c>
      <c r="EG50" s="41"/>
      <c r="EH50" s="41"/>
      <c r="EI50" s="41"/>
      <c r="EJ50" s="88"/>
      <c r="EK50" s="87">
        <v>0</v>
      </c>
      <c r="EL50" s="41"/>
      <c r="EM50" s="41"/>
      <c r="EN50" s="41"/>
      <c r="EO50" s="88"/>
      <c r="EP50" s="87">
        <v>0</v>
      </c>
      <c r="EQ50" s="41"/>
      <c r="ER50" s="41"/>
      <c r="ES50" s="41"/>
      <c r="ET50" s="88"/>
      <c r="EU50" s="87">
        <v>0</v>
      </c>
      <c r="EV50" s="41"/>
      <c r="EW50" s="41"/>
      <c r="EX50" s="41"/>
      <c r="EY50" s="88"/>
      <c r="EZ50" s="87">
        <v>0</v>
      </c>
      <c r="FA50" s="41"/>
      <c r="FB50" s="41"/>
      <c r="FC50" s="41"/>
      <c r="FD50" s="88"/>
      <c r="FE50" s="87">
        <v>0</v>
      </c>
      <c r="FF50" s="127"/>
      <c r="FG50" s="127"/>
      <c r="FH50" s="127"/>
      <c r="FI50" s="123"/>
      <c r="FJ50" s="87">
        <v>0</v>
      </c>
      <c r="FK50" s="41"/>
      <c r="FL50" s="41"/>
      <c r="FM50" s="41"/>
      <c r="FN50" s="88"/>
      <c r="FO50" s="87">
        <v>0</v>
      </c>
      <c r="FP50" s="41"/>
      <c r="FQ50" s="41"/>
      <c r="FR50" s="41"/>
      <c r="FS50" s="88"/>
      <c r="FT50" s="87">
        <v>0</v>
      </c>
      <c r="FU50" s="41"/>
      <c r="FV50" s="41"/>
      <c r="FW50" s="41"/>
      <c r="FX50" s="88"/>
      <c r="FY50" s="87">
        <v>0</v>
      </c>
      <c r="FZ50" s="41"/>
      <c r="GA50" s="41"/>
      <c r="GB50" s="41"/>
      <c r="GC50" s="88"/>
      <c r="GD50" s="87">
        <v>0</v>
      </c>
      <c r="GE50" s="41"/>
      <c r="GF50" s="41"/>
      <c r="GG50" s="41"/>
      <c r="GH50" s="88"/>
      <c r="GI50" s="87">
        <v>0</v>
      </c>
      <c r="GJ50" s="41"/>
      <c r="GK50" s="127"/>
      <c r="GL50" s="41"/>
      <c r="GM50" s="88"/>
      <c r="GN50" s="87">
        <v>0</v>
      </c>
      <c r="GO50" s="41"/>
      <c r="GP50" s="41"/>
      <c r="GQ50" s="41"/>
      <c r="GR50" s="88"/>
      <c r="GS50" s="87">
        <v>0</v>
      </c>
      <c r="GT50" s="41"/>
      <c r="GU50" s="41"/>
      <c r="GV50" s="41"/>
      <c r="GW50" s="88"/>
      <c r="GX50" s="301" t="str">
        <f t="shared" si="1"/>
        <v/>
      </c>
      <c r="GY50" s="301" t="str">
        <f t="shared" si="12"/>
        <v/>
      </c>
      <c r="GZ50" s="41" t="str">
        <f t="shared" si="2"/>
        <v/>
      </c>
      <c r="HA50" s="41" t="str">
        <f t="shared" si="3"/>
        <v/>
      </c>
      <c r="HB50" s="41" t="str">
        <f t="shared" si="4"/>
        <v/>
      </c>
      <c r="HC50" s="41" t="str">
        <f t="shared" si="5"/>
        <v/>
      </c>
      <c r="HD50" s="41" t="str">
        <f t="shared" si="6"/>
        <v/>
      </c>
      <c r="HE50" s="88">
        <f t="shared" si="7"/>
        <v>1</v>
      </c>
      <c r="HF50" s="524" t="s">
        <v>82</v>
      </c>
      <c r="HG50" s="41" t="s">
        <v>82</v>
      </c>
      <c r="HH50" s="41" t="s">
        <v>82</v>
      </c>
      <c r="HI50" s="41" t="s">
        <v>82</v>
      </c>
      <c r="HJ50" s="41" t="s">
        <v>82</v>
      </c>
      <c r="HK50" s="41" t="s">
        <v>82</v>
      </c>
      <c r="HL50" s="41" t="s">
        <v>82</v>
      </c>
      <c r="HM50" s="41" t="s">
        <v>82</v>
      </c>
      <c r="HN50" s="41" t="s">
        <v>82</v>
      </c>
      <c r="HO50" s="41" t="s">
        <v>82</v>
      </c>
      <c r="HP50" s="41" t="s">
        <v>82</v>
      </c>
      <c r="HQ50" s="41" t="s">
        <v>82</v>
      </c>
      <c r="HR50" s="41" t="s">
        <v>82</v>
      </c>
      <c r="HS50" s="41" t="s">
        <v>82</v>
      </c>
      <c r="HT50" s="41" t="s">
        <v>82</v>
      </c>
      <c r="HU50" s="41" t="s">
        <v>82</v>
      </c>
      <c r="HV50" s="41" t="s">
        <v>82</v>
      </c>
      <c r="HW50" s="41" t="s">
        <v>82</v>
      </c>
      <c r="HX50" s="41" t="s">
        <v>82</v>
      </c>
      <c r="HY50" s="41" t="s">
        <v>82</v>
      </c>
      <c r="HZ50" s="41" t="s">
        <v>82</v>
      </c>
      <c r="IA50" s="41" t="s">
        <v>82</v>
      </c>
      <c r="IB50" s="41" t="s">
        <v>82</v>
      </c>
      <c r="IC50" s="41" t="s">
        <v>82</v>
      </c>
      <c r="ID50" s="41" t="s">
        <v>82</v>
      </c>
      <c r="IE50" s="41" t="s">
        <v>82</v>
      </c>
      <c r="IF50" s="41" t="s">
        <v>82</v>
      </c>
      <c r="IG50" s="41" t="s">
        <v>82</v>
      </c>
      <c r="IH50" s="41" t="s">
        <v>82</v>
      </c>
      <c r="II50" s="88" t="s">
        <v>82</v>
      </c>
      <c r="IJ50" s="44"/>
    </row>
    <row r="51" spans="1:244" s="45" customFormat="1" ht="304.2">
      <c r="A51" s="744"/>
      <c r="B51" s="13" t="s">
        <v>240</v>
      </c>
      <c r="C51" s="768" t="s">
        <v>238</v>
      </c>
      <c r="D51" s="43" t="s">
        <v>239</v>
      </c>
      <c r="E51" s="77" t="s">
        <v>65</v>
      </c>
      <c r="F51" s="343" t="s">
        <v>124</v>
      </c>
      <c r="G51" s="11" t="s">
        <v>65</v>
      </c>
      <c r="H51" s="11" t="s">
        <v>65</v>
      </c>
      <c r="I51" s="11" t="s">
        <v>65</v>
      </c>
      <c r="J51" s="128">
        <v>24.95</v>
      </c>
      <c r="K51" s="362">
        <v>12</v>
      </c>
      <c r="L51" s="552">
        <v>2013</v>
      </c>
      <c r="M51" s="19" t="s">
        <v>965</v>
      </c>
      <c r="N51" s="41" t="s">
        <v>265</v>
      </c>
      <c r="O51" s="41" t="s">
        <v>265</v>
      </c>
      <c r="P51" s="41" t="s">
        <v>82</v>
      </c>
      <c r="Q51" s="41"/>
      <c r="R51" s="41" t="s">
        <v>82</v>
      </c>
      <c r="S51" s="41" t="s">
        <v>265</v>
      </c>
      <c r="T51" s="41" t="s">
        <v>265</v>
      </c>
      <c r="U51" s="41" t="s">
        <v>265</v>
      </c>
      <c r="V51" s="41" t="s">
        <v>265</v>
      </c>
      <c r="W51" s="41" t="s">
        <v>265</v>
      </c>
      <c r="X51" s="41" t="s">
        <v>265</v>
      </c>
      <c r="Y51" s="41" t="s">
        <v>265</v>
      </c>
      <c r="Z51" s="41" t="s">
        <v>265</v>
      </c>
      <c r="AA51" s="41" t="s">
        <v>265</v>
      </c>
      <c r="AB51" s="41" t="s">
        <v>265</v>
      </c>
      <c r="AC51" s="41" t="s">
        <v>265</v>
      </c>
      <c r="AD51" s="41" t="s">
        <v>265</v>
      </c>
      <c r="AE51" s="41" t="s">
        <v>265</v>
      </c>
      <c r="AF51" s="41" t="s">
        <v>265</v>
      </c>
      <c r="AG51" s="41" t="s">
        <v>265</v>
      </c>
      <c r="AH51" s="41" t="s">
        <v>265</v>
      </c>
      <c r="AI51" s="41" t="s">
        <v>265</v>
      </c>
      <c r="AJ51" s="38" t="s">
        <v>265</v>
      </c>
      <c r="AK51" s="88" t="s">
        <v>265</v>
      </c>
      <c r="AL51" s="92"/>
      <c r="AM51" s="301">
        <v>3.5</v>
      </c>
      <c r="AN51" s="41">
        <v>3.1</v>
      </c>
      <c r="AO51" s="249"/>
      <c r="AP51" s="249">
        <f t="shared" si="8"/>
        <v>3.5</v>
      </c>
      <c r="AQ51" s="518">
        <f t="shared" si="9"/>
        <v>10.85</v>
      </c>
      <c r="AR51" s="88" t="s">
        <v>331</v>
      </c>
      <c r="AS51" s="295">
        <v>1.9</v>
      </c>
      <c r="AT51" s="295">
        <v>3.6</v>
      </c>
      <c r="AU51" s="334" t="s">
        <v>265</v>
      </c>
      <c r="AV51" s="334" t="s">
        <v>265</v>
      </c>
      <c r="AW51" s="334" t="s">
        <v>265</v>
      </c>
      <c r="AX51" s="334" t="s">
        <v>265</v>
      </c>
      <c r="AY51" s="334" t="s">
        <v>265</v>
      </c>
      <c r="AZ51" s="127">
        <v>1.9</v>
      </c>
      <c r="BA51" s="477" t="s">
        <v>265</v>
      </c>
      <c r="BB51" s="477" t="s">
        <v>265</v>
      </c>
      <c r="BC51" s="41" t="s">
        <v>265</v>
      </c>
      <c r="BD51" s="41" t="s">
        <v>265</v>
      </c>
      <c r="BE51" s="41" t="s">
        <v>265</v>
      </c>
      <c r="BF51" s="41" t="s">
        <v>265</v>
      </c>
      <c r="BG51" s="41" t="s">
        <v>265</v>
      </c>
      <c r="BH51" s="41" t="s">
        <v>265</v>
      </c>
      <c r="BI51" s="41" t="s">
        <v>265</v>
      </c>
      <c r="BJ51" s="41" t="s">
        <v>265</v>
      </c>
      <c r="BK51" s="41" t="s">
        <v>265</v>
      </c>
      <c r="BL51" s="122">
        <f>IF(AZ51="N.S","N.S",3*(AZ51*BL1+0.001*IF(BB51="N.S",0,BB51*(1-BL1))))</f>
        <v>5.6999999999999995E-2</v>
      </c>
      <c r="BM51" s="520" t="s">
        <v>265</v>
      </c>
      <c r="BN51" s="656" t="str">
        <f t="shared" si="10"/>
        <v>N.S</v>
      </c>
      <c r="BO51" s="283">
        <f t="shared" si="11"/>
        <v>13157.894736842107</v>
      </c>
      <c r="BP51" s="95" t="s">
        <v>834</v>
      </c>
      <c r="BQ51" s="41">
        <v>32</v>
      </c>
      <c r="BR51" s="41">
        <v>120</v>
      </c>
      <c r="BS51" s="41" t="s">
        <v>265</v>
      </c>
      <c r="BT51" s="41" t="s">
        <v>265</v>
      </c>
      <c r="BU51" s="41" t="s">
        <v>265</v>
      </c>
      <c r="BV51" s="41" t="s">
        <v>265</v>
      </c>
      <c r="BW51" s="41" t="s">
        <v>265</v>
      </c>
      <c r="BX51" s="38" t="s">
        <v>265</v>
      </c>
      <c r="BY51" s="41" t="s">
        <v>265</v>
      </c>
      <c r="BZ51" s="353" t="s">
        <v>833</v>
      </c>
      <c r="CA51" s="301" t="s">
        <v>265</v>
      </c>
      <c r="CB51" s="41" t="s">
        <v>265</v>
      </c>
      <c r="CC51" s="4" t="s">
        <v>82</v>
      </c>
      <c r="CD51" s="41" t="s">
        <v>265</v>
      </c>
      <c r="CE51" s="41" t="s">
        <v>265</v>
      </c>
      <c r="CF51" s="41" t="s">
        <v>265</v>
      </c>
      <c r="CG51" s="41" t="s">
        <v>265</v>
      </c>
      <c r="CH51" s="41" t="s">
        <v>265</v>
      </c>
      <c r="CI51" s="522" t="s">
        <v>265</v>
      </c>
      <c r="CJ51" s="127" t="s">
        <v>265</v>
      </c>
      <c r="CK51" s="523" t="s">
        <v>265</v>
      </c>
      <c r="CL51" s="79" t="s">
        <v>242</v>
      </c>
      <c r="CM51" s="79"/>
      <c r="CN51" s="388" t="s">
        <v>241</v>
      </c>
      <c r="CO51" s="183">
        <v>1</v>
      </c>
      <c r="CP51" s="127">
        <f>LOG(16*(CS51-CR51),2)</f>
        <v>10.965784284662087</v>
      </c>
      <c r="CQ51" s="127"/>
      <c r="CR51" s="183">
        <v>-40</v>
      </c>
      <c r="CS51" s="129">
        <v>85</v>
      </c>
      <c r="CT51" s="184">
        <v>0</v>
      </c>
      <c r="CU51" s="127"/>
      <c r="CV51" s="127"/>
      <c r="CW51" s="183"/>
      <c r="CX51" s="129"/>
      <c r="CY51" s="87">
        <v>1</v>
      </c>
      <c r="CZ51" s="41">
        <v>0</v>
      </c>
      <c r="DA51" s="41">
        <v>2</v>
      </c>
      <c r="DB51" s="41">
        <v>4</v>
      </c>
      <c r="DC51" s="41">
        <v>8</v>
      </c>
      <c r="DD51" s="41">
        <v>16</v>
      </c>
      <c r="DE51" s="41"/>
      <c r="DF51" s="41"/>
      <c r="DG51" s="41"/>
      <c r="DH51" s="41"/>
      <c r="DI51" s="123">
        <f>LOG(4/0.000061,2)</f>
        <v>16.000831231761289</v>
      </c>
      <c r="DJ51" s="87">
        <v>0</v>
      </c>
      <c r="DK51" s="41">
        <v>0</v>
      </c>
      <c r="DL51" s="41"/>
      <c r="DM51" s="41"/>
      <c r="DN51" s="41"/>
      <c r="DO51" s="41"/>
      <c r="DP51" s="41"/>
      <c r="DQ51" s="41"/>
      <c r="DR51" s="41"/>
      <c r="DS51" s="41"/>
      <c r="DT51" s="88"/>
      <c r="DU51" s="87">
        <v>0</v>
      </c>
      <c r="DV51" s="41">
        <v>1</v>
      </c>
      <c r="DW51" s="41">
        <v>4</v>
      </c>
      <c r="DX51" s="41">
        <v>8</v>
      </c>
      <c r="DY51" s="41">
        <v>12</v>
      </c>
      <c r="DZ51" s="41">
        <v>16</v>
      </c>
      <c r="EA51" s="41"/>
      <c r="EB51" s="41"/>
      <c r="EC51" s="41"/>
      <c r="ED51" s="41"/>
      <c r="EE51" s="123">
        <f>LOG(8000/0.14,2)</f>
        <v>15.802285552379209</v>
      </c>
      <c r="EF51" s="87">
        <v>0</v>
      </c>
      <c r="EG51" s="41"/>
      <c r="EH51" s="41"/>
      <c r="EI51" s="41"/>
      <c r="EJ51" s="88"/>
      <c r="EK51" s="87">
        <v>0</v>
      </c>
      <c r="EL51" s="41"/>
      <c r="EM51" s="41"/>
      <c r="EN51" s="41"/>
      <c r="EO51" s="88"/>
      <c r="EP51" s="87">
        <v>0</v>
      </c>
      <c r="EQ51" s="41"/>
      <c r="ER51" s="41"/>
      <c r="ES51" s="41"/>
      <c r="ET51" s="88"/>
      <c r="EU51" s="87">
        <v>0</v>
      </c>
      <c r="EV51" s="41"/>
      <c r="EW51" s="41"/>
      <c r="EX51" s="41"/>
      <c r="EY51" s="88"/>
      <c r="EZ51" s="87">
        <v>0</v>
      </c>
      <c r="FA51" s="41"/>
      <c r="FB51" s="41"/>
      <c r="FC51" s="41"/>
      <c r="FD51" s="88"/>
      <c r="FE51" s="87">
        <v>0</v>
      </c>
      <c r="FF51" s="127"/>
      <c r="FG51" s="127"/>
      <c r="FH51" s="127"/>
      <c r="FI51" s="123"/>
      <c r="FJ51" s="87">
        <v>0</v>
      </c>
      <c r="FK51" s="41"/>
      <c r="FL51" s="41"/>
      <c r="FM51" s="41"/>
      <c r="FN51" s="88"/>
      <c r="FO51" s="87">
        <v>0</v>
      </c>
      <c r="FP51" s="41"/>
      <c r="FQ51" s="41"/>
      <c r="FR51" s="41"/>
      <c r="FS51" s="88"/>
      <c r="FT51" s="87">
        <v>0</v>
      </c>
      <c r="FU51" s="41"/>
      <c r="FV51" s="41"/>
      <c r="FW51" s="41"/>
      <c r="FX51" s="88"/>
      <c r="FY51" s="87">
        <v>0</v>
      </c>
      <c r="FZ51" s="41"/>
      <c r="GA51" s="41"/>
      <c r="GB51" s="41"/>
      <c r="GC51" s="88"/>
      <c r="GD51" s="87">
        <v>0</v>
      </c>
      <c r="GE51" s="41"/>
      <c r="GF51" s="41"/>
      <c r="GG51" s="41"/>
      <c r="GH51" s="88"/>
      <c r="GI51" s="87">
        <v>0</v>
      </c>
      <c r="GJ51" s="41"/>
      <c r="GK51" s="127"/>
      <c r="GL51" s="41"/>
      <c r="GM51" s="88"/>
      <c r="GN51" s="87">
        <v>0</v>
      </c>
      <c r="GO51" s="41"/>
      <c r="GP51" s="41"/>
      <c r="GQ51" s="41"/>
      <c r="GR51" s="88"/>
      <c r="GS51" s="87">
        <v>0</v>
      </c>
      <c r="GT51" s="41"/>
      <c r="GU51" s="41"/>
      <c r="GV51" s="41"/>
      <c r="GW51" s="88"/>
      <c r="GX51" s="301">
        <f t="shared" si="1"/>
        <v>1</v>
      </c>
      <c r="GY51" s="301" t="str">
        <f t="shared" si="12"/>
        <v/>
      </c>
      <c r="GZ51" s="41" t="str">
        <f t="shared" si="2"/>
        <v/>
      </c>
      <c r="HA51" s="41" t="str">
        <f t="shared" si="3"/>
        <v/>
      </c>
      <c r="HB51" s="41" t="str">
        <f t="shared" si="4"/>
        <v/>
      </c>
      <c r="HC51" s="41" t="str">
        <f t="shared" si="5"/>
        <v/>
      </c>
      <c r="HD51" s="41" t="str">
        <f t="shared" si="6"/>
        <v/>
      </c>
      <c r="HE51" s="88" t="str">
        <f t="shared" si="7"/>
        <v/>
      </c>
      <c r="HF51" s="524" t="s">
        <v>82</v>
      </c>
      <c r="HG51" s="41" t="s">
        <v>82</v>
      </c>
      <c r="HH51" s="41" t="s">
        <v>82</v>
      </c>
      <c r="HI51" s="41" t="s">
        <v>82</v>
      </c>
      <c r="HJ51" s="41" t="s">
        <v>82</v>
      </c>
      <c r="HK51" s="41" t="s">
        <v>82</v>
      </c>
      <c r="HL51" s="41">
        <v>1</v>
      </c>
      <c r="HM51" s="41">
        <v>1</v>
      </c>
      <c r="HN51" s="41" t="s">
        <v>82</v>
      </c>
      <c r="HO51" s="41" t="s">
        <v>82</v>
      </c>
      <c r="HP51" s="41" t="s">
        <v>82</v>
      </c>
      <c r="HQ51" s="41" t="s">
        <v>82</v>
      </c>
      <c r="HR51" s="41" t="s">
        <v>82</v>
      </c>
      <c r="HS51" s="41" t="s">
        <v>82</v>
      </c>
      <c r="HT51" s="41" t="s">
        <v>82</v>
      </c>
      <c r="HU51" s="41" t="s">
        <v>82</v>
      </c>
      <c r="HV51" s="41" t="s">
        <v>82</v>
      </c>
      <c r="HW51" s="41" t="s">
        <v>82</v>
      </c>
      <c r="HX51" s="41" t="s">
        <v>82</v>
      </c>
      <c r="HY51" s="41" t="s">
        <v>82</v>
      </c>
      <c r="HZ51" s="41" t="s">
        <v>82</v>
      </c>
      <c r="IA51" s="41" t="s">
        <v>82</v>
      </c>
      <c r="IB51" s="41" t="s">
        <v>82</v>
      </c>
      <c r="IC51" s="41" t="s">
        <v>82</v>
      </c>
      <c r="ID51" s="41" t="s">
        <v>82</v>
      </c>
      <c r="IE51" s="41" t="s">
        <v>82</v>
      </c>
      <c r="IF51" s="41" t="s">
        <v>82</v>
      </c>
      <c r="IG51" s="41" t="s">
        <v>82</v>
      </c>
      <c r="IH51" s="41" t="s">
        <v>82</v>
      </c>
      <c r="II51" s="88" t="s">
        <v>82</v>
      </c>
      <c r="IJ51" s="44"/>
    </row>
    <row r="52" spans="1:244" s="289" customFormat="1" ht="15" customHeight="1">
      <c r="A52" s="744"/>
      <c r="B52" s="90" t="s">
        <v>265</v>
      </c>
      <c r="C52" s="767"/>
      <c r="D52" s="100" t="s">
        <v>265</v>
      </c>
      <c r="E52" s="45" t="s">
        <v>65</v>
      </c>
      <c r="F52" s="45" t="s">
        <v>65</v>
      </c>
      <c r="G52" s="45" t="s">
        <v>65</v>
      </c>
      <c r="H52" s="45" t="s">
        <v>65</v>
      </c>
      <c r="I52" s="45" t="s">
        <v>65</v>
      </c>
      <c r="J52" s="127" t="s">
        <v>265</v>
      </c>
      <c r="K52" s="183" t="s">
        <v>265</v>
      </c>
      <c r="L52" s="129" t="s">
        <v>265</v>
      </c>
      <c r="M52" s="334" t="s">
        <v>265</v>
      </c>
      <c r="N52" s="41" t="s">
        <v>265</v>
      </c>
      <c r="O52" s="41" t="s">
        <v>265</v>
      </c>
      <c r="P52" s="41" t="s">
        <v>265</v>
      </c>
      <c r="Q52" s="41"/>
      <c r="R52" s="41" t="s">
        <v>265</v>
      </c>
      <c r="S52" s="41" t="s">
        <v>265</v>
      </c>
      <c r="T52" s="41" t="s">
        <v>265</v>
      </c>
      <c r="U52" s="41" t="s">
        <v>265</v>
      </c>
      <c r="V52" s="41" t="s">
        <v>265</v>
      </c>
      <c r="W52" s="41" t="s">
        <v>265</v>
      </c>
      <c r="X52" s="41" t="s">
        <v>265</v>
      </c>
      <c r="Y52" s="41" t="s">
        <v>265</v>
      </c>
      <c r="Z52" s="41" t="s">
        <v>265</v>
      </c>
      <c r="AA52" s="41" t="s">
        <v>265</v>
      </c>
      <c r="AB52" s="41" t="s">
        <v>265</v>
      </c>
      <c r="AC52" s="41" t="s">
        <v>265</v>
      </c>
      <c r="AD52" s="41" t="s">
        <v>265</v>
      </c>
      <c r="AE52" s="41" t="s">
        <v>265</v>
      </c>
      <c r="AF52" s="41" t="s">
        <v>265</v>
      </c>
      <c r="AG52" s="41" t="s">
        <v>265</v>
      </c>
      <c r="AH52" s="41" t="s">
        <v>265</v>
      </c>
      <c r="AI52" s="41" t="s">
        <v>265</v>
      </c>
      <c r="AJ52" s="38" t="s">
        <v>265</v>
      </c>
      <c r="AK52" s="88" t="s">
        <v>265</v>
      </c>
      <c r="AL52" s="92"/>
      <c r="AM52" s="301" t="s">
        <v>265</v>
      </c>
      <c r="AN52" s="41" t="s">
        <v>265</v>
      </c>
      <c r="AO52" s="249"/>
      <c r="AP52" s="249" t="str">
        <f t="shared" si="8"/>
        <v>N.S</v>
      </c>
      <c r="AQ52" s="518" t="str">
        <f t="shared" si="9"/>
        <v>N.S</v>
      </c>
      <c r="AR52" s="88" t="s">
        <v>265</v>
      </c>
      <c r="AS52" s="334" t="s">
        <v>265</v>
      </c>
      <c r="AT52" s="334" t="s">
        <v>265</v>
      </c>
      <c r="AU52" s="334" t="s">
        <v>265</v>
      </c>
      <c r="AV52" s="334" t="s">
        <v>265</v>
      </c>
      <c r="AW52" s="334" t="s">
        <v>265</v>
      </c>
      <c r="AX52" s="334" t="s">
        <v>265</v>
      </c>
      <c r="AY52" s="334" t="s">
        <v>265</v>
      </c>
      <c r="AZ52" s="334" t="s">
        <v>265</v>
      </c>
      <c r="BA52" s="477" t="s">
        <v>265</v>
      </c>
      <c r="BB52" s="477" t="s">
        <v>265</v>
      </c>
      <c r="BC52" s="41" t="s">
        <v>265</v>
      </c>
      <c r="BD52" s="41" t="s">
        <v>265</v>
      </c>
      <c r="BE52" s="41" t="s">
        <v>265</v>
      </c>
      <c r="BF52" s="41" t="s">
        <v>265</v>
      </c>
      <c r="BG52" s="41" t="s">
        <v>265</v>
      </c>
      <c r="BH52" s="41" t="s">
        <v>265</v>
      </c>
      <c r="BI52" s="41" t="s">
        <v>265</v>
      </c>
      <c r="BJ52" s="41" t="s">
        <v>265</v>
      </c>
      <c r="BK52" s="41" t="s">
        <v>265</v>
      </c>
      <c r="BL52" s="122" t="str">
        <f>IF(AZ52="N.S","N.S",3*(AZ52*BL1+0.001*IF(BB52="N.S",0,BB52*(1-BL1))))</f>
        <v>N.S</v>
      </c>
      <c r="BM52" s="520" t="s">
        <v>265</v>
      </c>
      <c r="BN52" s="656" t="str">
        <f t="shared" si="10"/>
        <v>N.S</v>
      </c>
      <c r="BO52" s="283" t="str">
        <f t="shared" si="11"/>
        <v>N.S</v>
      </c>
      <c r="BP52" s="87" t="s">
        <v>265</v>
      </c>
      <c r="BQ52" s="41" t="s">
        <v>265</v>
      </c>
      <c r="BR52" s="41" t="s">
        <v>265</v>
      </c>
      <c r="BS52" s="41" t="s">
        <v>265</v>
      </c>
      <c r="BT52" s="41" t="s">
        <v>265</v>
      </c>
      <c r="BU52" s="41" t="s">
        <v>265</v>
      </c>
      <c r="BV52" s="41" t="s">
        <v>265</v>
      </c>
      <c r="BW52" s="41" t="s">
        <v>265</v>
      </c>
      <c r="BX52" s="38" t="s">
        <v>265</v>
      </c>
      <c r="BY52" s="41" t="s">
        <v>265</v>
      </c>
      <c r="BZ52" s="88" t="s">
        <v>265</v>
      </c>
      <c r="CA52" s="301" t="s">
        <v>265</v>
      </c>
      <c r="CB52" s="41" t="s">
        <v>265</v>
      </c>
      <c r="CC52" s="484" t="s">
        <v>265</v>
      </c>
      <c r="CD52" s="41" t="s">
        <v>265</v>
      </c>
      <c r="CE52" s="41" t="s">
        <v>265</v>
      </c>
      <c r="CF52" s="41" t="s">
        <v>265</v>
      </c>
      <c r="CG52" s="41" t="s">
        <v>265</v>
      </c>
      <c r="CH52" s="41" t="s">
        <v>265</v>
      </c>
      <c r="CI52" s="522" t="s">
        <v>265</v>
      </c>
      <c r="CJ52" s="127" t="s">
        <v>265</v>
      </c>
      <c r="CK52" s="523" t="s">
        <v>265</v>
      </c>
      <c r="CL52" s="41"/>
      <c r="CM52" s="41"/>
      <c r="CN52" s="477"/>
      <c r="CO52" s="183">
        <v>0</v>
      </c>
      <c r="CP52" s="127"/>
      <c r="CQ52" s="127"/>
      <c r="CR52" s="183"/>
      <c r="CS52" s="129"/>
      <c r="CT52" s="184">
        <v>0</v>
      </c>
      <c r="CU52" s="127"/>
      <c r="CV52" s="127"/>
      <c r="CW52" s="183"/>
      <c r="CX52" s="129"/>
      <c r="CY52" s="87">
        <v>0</v>
      </c>
      <c r="CZ52" s="41">
        <v>0</v>
      </c>
      <c r="DA52" s="41"/>
      <c r="DB52" s="41"/>
      <c r="DC52" s="41"/>
      <c r="DD52" s="41"/>
      <c r="DE52" s="41"/>
      <c r="DF52" s="41"/>
      <c r="DG52" s="41"/>
      <c r="DH52" s="41"/>
      <c r="DI52" s="123"/>
      <c r="DJ52" s="87">
        <v>0</v>
      </c>
      <c r="DK52" s="41">
        <v>0</v>
      </c>
      <c r="DL52" s="41"/>
      <c r="DM52" s="41"/>
      <c r="DN52" s="41"/>
      <c r="DO52" s="41"/>
      <c r="DP52" s="41"/>
      <c r="DQ52" s="41"/>
      <c r="DR52" s="41"/>
      <c r="DS52" s="41"/>
      <c r="DT52" s="88"/>
      <c r="DU52" s="87">
        <v>0</v>
      </c>
      <c r="DV52" s="41">
        <v>0</v>
      </c>
      <c r="DW52" s="41"/>
      <c r="DX52" s="41"/>
      <c r="DY52" s="41"/>
      <c r="DZ52" s="41"/>
      <c r="EA52" s="41"/>
      <c r="EB52" s="41"/>
      <c r="EC52" s="41"/>
      <c r="ED52" s="41"/>
      <c r="EE52" s="123"/>
      <c r="EF52" s="87">
        <v>0</v>
      </c>
      <c r="EG52" s="41"/>
      <c r="EH52" s="41"/>
      <c r="EI52" s="41"/>
      <c r="EJ52" s="88"/>
      <c r="EK52" s="87">
        <v>0</v>
      </c>
      <c r="EL52" s="41"/>
      <c r="EM52" s="41"/>
      <c r="EN52" s="41"/>
      <c r="EO52" s="88"/>
      <c r="EP52" s="87">
        <v>0</v>
      </c>
      <c r="EQ52" s="41"/>
      <c r="ER52" s="41"/>
      <c r="ES52" s="41"/>
      <c r="ET52" s="88"/>
      <c r="EU52" s="87">
        <v>0</v>
      </c>
      <c r="EV52" s="41"/>
      <c r="EW52" s="41"/>
      <c r="EX52" s="41"/>
      <c r="EY52" s="88"/>
      <c r="EZ52" s="87">
        <v>0</v>
      </c>
      <c r="FA52" s="41"/>
      <c r="FB52" s="41"/>
      <c r="FC52" s="41"/>
      <c r="FD52" s="88"/>
      <c r="FE52" s="87">
        <v>0</v>
      </c>
      <c r="FF52" s="127"/>
      <c r="FG52" s="127"/>
      <c r="FH52" s="127"/>
      <c r="FI52" s="123"/>
      <c r="FJ52" s="87">
        <v>0</v>
      </c>
      <c r="FK52" s="41"/>
      <c r="FL52" s="41"/>
      <c r="FM52" s="41"/>
      <c r="FN52" s="88"/>
      <c r="FO52" s="87">
        <v>0</v>
      </c>
      <c r="FP52" s="41"/>
      <c r="FQ52" s="41"/>
      <c r="FR52" s="41"/>
      <c r="FS52" s="88"/>
      <c r="FT52" s="87">
        <v>0</v>
      </c>
      <c r="FU52" s="41"/>
      <c r="FV52" s="41"/>
      <c r="FW52" s="41"/>
      <c r="FX52" s="88"/>
      <c r="FY52" s="87">
        <v>0</v>
      </c>
      <c r="FZ52" s="41"/>
      <c r="GA52" s="41"/>
      <c r="GB52" s="41"/>
      <c r="GC52" s="88"/>
      <c r="GD52" s="87">
        <v>0</v>
      </c>
      <c r="GE52" s="41"/>
      <c r="GF52" s="41"/>
      <c r="GG52" s="41"/>
      <c r="GH52" s="88"/>
      <c r="GI52" s="87">
        <v>0</v>
      </c>
      <c r="GJ52" s="41"/>
      <c r="GK52" s="127"/>
      <c r="GL52" s="41"/>
      <c r="GM52" s="88"/>
      <c r="GN52" s="87">
        <v>0</v>
      </c>
      <c r="GO52" s="41"/>
      <c r="GP52" s="41"/>
      <c r="GQ52" s="41"/>
      <c r="GR52" s="88"/>
      <c r="GS52" s="87">
        <v>0</v>
      </c>
      <c r="GT52" s="41"/>
      <c r="GU52" s="41"/>
      <c r="GV52" s="41"/>
      <c r="GW52" s="88"/>
      <c r="GX52" s="301" t="str">
        <f t="shared" si="1"/>
        <v/>
      </c>
      <c r="GY52" s="301" t="str">
        <f t="shared" si="12"/>
        <v/>
      </c>
      <c r="GZ52" s="41" t="str">
        <f t="shared" si="2"/>
        <v/>
      </c>
      <c r="HA52" s="41" t="str">
        <f t="shared" si="3"/>
        <v/>
      </c>
      <c r="HB52" s="41" t="str">
        <f t="shared" si="4"/>
        <v/>
      </c>
      <c r="HC52" s="41">
        <f t="shared" si="5"/>
        <v>1</v>
      </c>
      <c r="HD52" s="41" t="str">
        <f t="shared" si="6"/>
        <v/>
      </c>
      <c r="HE52" s="88" t="str">
        <f t="shared" si="7"/>
        <v/>
      </c>
      <c r="HF52" s="524" t="s">
        <v>82</v>
      </c>
      <c r="HG52" s="41" t="s">
        <v>82</v>
      </c>
      <c r="HH52" s="41" t="s">
        <v>82</v>
      </c>
      <c r="HI52" s="41" t="s">
        <v>82</v>
      </c>
      <c r="HJ52" s="41" t="s">
        <v>82</v>
      </c>
      <c r="HK52" s="41" t="s">
        <v>82</v>
      </c>
      <c r="HL52" s="41" t="s">
        <v>82</v>
      </c>
      <c r="HM52" s="41" t="s">
        <v>82</v>
      </c>
      <c r="HN52" s="41" t="s">
        <v>82</v>
      </c>
      <c r="HO52" s="41" t="s">
        <v>82</v>
      </c>
      <c r="HP52" s="41" t="s">
        <v>82</v>
      </c>
      <c r="HQ52" s="41" t="s">
        <v>82</v>
      </c>
      <c r="HR52" s="41" t="s">
        <v>82</v>
      </c>
      <c r="HS52" s="41" t="s">
        <v>82</v>
      </c>
      <c r="HT52" s="41" t="s">
        <v>82</v>
      </c>
      <c r="HU52" s="41" t="s">
        <v>82</v>
      </c>
      <c r="HV52" s="41" t="s">
        <v>82</v>
      </c>
      <c r="HW52" s="41" t="s">
        <v>82</v>
      </c>
      <c r="HX52" s="41" t="s">
        <v>82</v>
      </c>
      <c r="HY52" s="41" t="s">
        <v>82</v>
      </c>
      <c r="HZ52" s="41" t="s">
        <v>82</v>
      </c>
      <c r="IA52" s="41" t="s">
        <v>82</v>
      </c>
      <c r="IB52" s="41" t="s">
        <v>82</v>
      </c>
      <c r="IC52" s="41" t="s">
        <v>82</v>
      </c>
      <c r="ID52" s="41" t="s">
        <v>82</v>
      </c>
      <c r="IE52" s="41" t="s">
        <v>82</v>
      </c>
      <c r="IF52" s="41" t="s">
        <v>82</v>
      </c>
      <c r="IG52" s="41" t="s">
        <v>82</v>
      </c>
      <c r="IH52" s="41" t="s">
        <v>82</v>
      </c>
      <c r="II52" s="88" t="s">
        <v>82</v>
      </c>
    </row>
    <row r="53" spans="1:244" s="45" customFormat="1" ht="142.5" customHeight="1">
      <c r="A53" s="744"/>
      <c r="B53" s="37" t="s">
        <v>345</v>
      </c>
      <c r="C53" s="759" t="s">
        <v>836</v>
      </c>
      <c r="D53" s="100" t="s">
        <v>349</v>
      </c>
      <c r="E53" s="343" t="s">
        <v>124</v>
      </c>
      <c r="F53" s="11" t="s">
        <v>65</v>
      </c>
      <c r="G53" s="11" t="s">
        <v>65</v>
      </c>
      <c r="H53" s="769" t="s">
        <v>65</v>
      </c>
      <c r="I53" s="769" t="s">
        <v>65</v>
      </c>
      <c r="J53" s="127" t="s">
        <v>265</v>
      </c>
      <c r="K53" s="183">
        <v>5</v>
      </c>
      <c r="L53" s="129">
        <v>2015</v>
      </c>
      <c r="M53" s="101" t="s">
        <v>344</v>
      </c>
      <c r="N53" s="41" t="s">
        <v>84</v>
      </c>
      <c r="O53" s="41" t="s">
        <v>82</v>
      </c>
      <c r="P53" s="41" t="s">
        <v>82</v>
      </c>
      <c r="Q53" s="41"/>
      <c r="R53" s="41" t="s">
        <v>82</v>
      </c>
      <c r="S53" s="41">
        <v>3</v>
      </c>
      <c r="T53" s="41">
        <v>1</v>
      </c>
      <c r="U53" s="41"/>
      <c r="V53" s="41">
        <v>17</v>
      </c>
      <c r="W53" s="41" t="s">
        <v>265</v>
      </c>
      <c r="X53" s="41" t="s">
        <v>265</v>
      </c>
      <c r="Y53" s="41" t="s">
        <v>265</v>
      </c>
      <c r="Z53" s="41" t="s">
        <v>265</v>
      </c>
      <c r="AA53" s="41" t="s">
        <v>265</v>
      </c>
      <c r="AB53" s="41" t="s">
        <v>265</v>
      </c>
      <c r="AC53" s="41" t="s">
        <v>265</v>
      </c>
      <c r="AD53" s="41" t="s">
        <v>265</v>
      </c>
      <c r="AE53" s="41" t="s">
        <v>265</v>
      </c>
      <c r="AF53" s="41" t="s">
        <v>265</v>
      </c>
      <c r="AG53" s="41" t="s">
        <v>265</v>
      </c>
      <c r="AH53" s="41" t="s">
        <v>265</v>
      </c>
      <c r="AI53" s="41" t="s">
        <v>265</v>
      </c>
      <c r="AJ53" s="38">
        <v>0</v>
      </c>
      <c r="AK53" s="88" t="s">
        <v>265</v>
      </c>
      <c r="AL53" s="92"/>
      <c r="AM53" s="301">
        <v>2</v>
      </c>
      <c r="AN53" s="41">
        <v>2</v>
      </c>
      <c r="AO53" s="249"/>
      <c r="AP53" s="249">
        <f t="shared" si="8"/>
        <v>2</v>
      </c>
      <c r="AQ53" s="518">
        <f t="shared" si="9"/>
        <v>4</v>
      </c>
      <c r="AR53" s="88" t="s">
        <v>332</v>
      </c>
      <c r="AS53" s="334">
        <v>1.71</v>
      </c>
      <c r="AT53" s="334">
        <v>3.5</v>
      </c>
      <c r="AU53" s="100" t="s">
        <v>265</v>
      </c>
      <c r="AV53" s="100" t="s">
        <v>265</v>
      </c>
      <c r="AW53" s="100" t="s">
        <v>265</v>
      </c>
      <c r="AX53" s="100" t="s">
        <v>265</v>
      </c>
      <c r="AY53" s="100" t="s">
        <v>265</v>
      </c>
      <c r="AZ53" s="127">
        <v>5.5</v>
      </c>
      <c r="BA53" s="41" t="s">
        <v>265</v>
      </c>
      <c r="BB53" s="41">
        <v>1.4</v>
      </c>
      <c r="BC53" s="41">
        <v>0.5</v>
      </c>
      <c r="BD53" s="41" t="s">
        <v>265</v>
      </c>
      <c r="BE53" s="41" t="s">
        <v>82</v>
      </c>
      <c r="BF53" s="41" t="s">
        <v>265</v>
      </c>
      <c r="BG53" s="41" t="s">
        <v>265</v>
      </c>
      <c r="BH53" s="41" t="s">
        <v>265</v>
      </c>
      <c r="BI53" s="41" t="s">
        <v>265</v>
      </c>
      <c r="BJ53" s="41" t="s">
        <v>265</v>
      </c>
      <c r="BK53" s="41" t="s">
        <v>82</v>
      </c>
      <c r="BL53" s="122">
        <f>IF(AZ53="N.S","N.S",3*(AZ53*BL1+0.001*IF(BB53="N.S",0,BB53*(1-BL1))))</f>
        <v>0.169158</v>
      </c>
      <c r="BM53" s="520" t="s">
        <v>265</v>
      </c>
      <c r="BN53" s="656" t="str">
        <f t="shared" si="10"/>
        <v>N.S</v>
      </c>
      <c r="BO53" s="283">
        <f t="shared" si="11"/>
        <v>4433.7246834320576</v>
      </c>
      <c r="BP53" s="87" t="s">
        <v>265</v>
      </c>
      <c r="BQ53" s="41" t="s">
        <v>265</v>
      </c>
      <c r="BR53" s="41" t="s">
        <v>265</v>
      </c>
      <c r="BS53" s="41" t="s">
        <v>265</v>
      </c>
      <c r="BT53" s="41" t="s">
        <v>265</v>
      </c>
      <c r="BU53" s="41" t="s">
        <v>265</v>
      </c>
      <c r="BV53" s="41" t="s">
        <v>265</v>
      </c>
      <c r="BW53" s="41" t="s">
        <v>82</v>
      </c>
      <c r="BX53" s="339" t="s">
        <v>265</v>
      </c>
      <c r="BY53" s="41" t="s">
        <v>265</v>
      </c>
      <c r="BZ53" s="353" t="s">
        <v>835</v>
      </c>
      <c r="CA53" s="301" t="s">
        <v>265</v>
      </c>
      <c r="CB53" s="41" t="s">
        <v>265</v>
      </c>
      <c r="CC53" s="484" t="s">
        <v>82</v>
      </c>
      <c r="CD53" s="41" t="s">
        <v>265</v>
      </c>
      <c r="CE53" s="41" t="s">
        <v>265</v>
      </c>
      <c r="CF53" s="41" t="s">
        <v>265</v>
      </c>
      <c r="CG53" s="41" t="s">
        <v>265</v>
      </c>
      <c r="CH53" s="41" t="s">
        <v>265</v>
      </c>
      <c r="CI53" s="522" t="s">
        <v>265</v>
      </c>
      <c r="CJ53" s="127" t="s">
        <v>265</v>
      </c>
      <c r="CK53" s="523" t="s">
        <v>265</v>
      </c>
      <c r="CL53" s="100" t="s">
        <v>334</v>
      </c>
      <c r="CM53" s="68" t="s">
        <v>348</v>
      </c>
      <c r="CN53" s="477" t="s">
        <v>333</v>
      </c>
      <c r="CO53" s="183">
        <v>0</v>
      </c>
      <c r="CP53" s="127"/>
      <c r="CQ53" s="127"/>
      <c r="CR53" s="183"/>
      <c r="CS53" s="129"/>
      <c r="CT53" s="184">
        <v>0</v>
      </c>
      <c r="CU53" s="127"/>
      <c r="CV53" s="127"/>
      <c r="CW53" s="183"/>
      <c r="CX53" s="129"/>
      <c r="CY53" s="87">
        <v>0</v>
      </c>
      <c r="CZ53" s="41">
        <v>0</v>
      </c>
      <c r="DA53" s="41"/>
      <c r="DB53" s="41"/>
      <c r="DC53" s="41"/>
      <c r="DD53" s="41"/>
      <c r="DE53" s="41"/>
      <c r="DF53" s="41"/>
      <c r="DG53" s="41"/>
      <c r="DH53" s="41"/>
      <c r="DI53" s="123"/>
      <c r="DJ53" s="87">
        <v>0</v>
      </c>
      <c r="DK53" s="41">
        <v>0</v>
      </c>
      <c r="DL53" s="41"/>
      <c r="DM53" s="41"/>
      <c r="DN53" s="41"/>
      <c r="DO53" s="41"/>
      <c r="DP53" s="41"/>
      <c r="DQ53" s="41"/>
      <c r="DR53" s="41"/>
      <c r="DS53" s="41"/>
      <c r="DT53" s="88"/>
      <c r="DU53" s="87">
        <v>0</v>
      </c>
      <c r="DV53" s="41">
        <v>0</v>
      </c>
      <c r="DW53" s="41"/>
      <c r="DX53" s="41"/>
      <c r="DY53" s="41"/>
      <c r="DZ53" s="41"/>
      <c r="EA53" s="41"/>
      <c r="EB53" s="41"/>
      <c r="EC53" s="41"/>
      <c r="ED53" s="41"/>
      <c r="EE53" s="123"/>
      <c r="EF53" s="87">
        <v>0</v>
      </c>
      <c r="EG53" s="41"/>
      <c r="EH53" s="41"/>
      <c r="EI53" s="41"/>
      <c r="EJ53" s="88"/>
      <c r="EK53" s="87">
        <v>0</v>
      </c>
      <c r="EL53" s="41"/>
      <c r="EM53" s="41"/>
      <c r="EN53" s="41"/>
      <c r="EO53" s="88"/>
      <c r="EP53" s="87">
        <v>1</v>
      </c>
      <c r="EQ53" s="41"/>
      <c r="ER53" s="41"/>
      <c r="ES53" s="41">
        <v>1</v>
      </c>
      <c r="ET53" s="88">
        <v>128</v>
      </c>
      <c r="EU53" s="87">
        <v>0</v>
      </c>
      <c r="EV53" s="41"/>
      <c r="EW53" s="41"/>
      <c r="EX53" s="41"/>
      <c r="EY53" s="88"/>
      <c r="EZ53" s="87">
        <v>0</v>
      </c>
      <c r="FA53" s="41"/>
      <c r="FB53" s="41"/>
      <c r="FC53" s="41"/>
      <c r="FD53" s="88"/>
      <c r="FE53" s="87">
        <v>0</v>
      </c>
      <c r="FF53" s="127"/>
      <c r="FG53" s="127"/>
      <c r="FH53" s="127"/>
      <c r="FI53" s="123"/>
      <c r="FJ53" s="87">
        <v>1</v>
      </c>
      <c r="FK53" s="41"/>
      <c r="FL53" s="41"/>
      <c r="FM53" s="41">
        <v>1</v>
      </c>
      <c r="FN53" s="88">
        <v>200</v>
      </c>
      <c r="FO53" s="87">
        <v>0</v>
      </c>
      <c r="FP53" s="41"/>
      <c r="FQ53" s="41"/>
      <c r="FR53" s="41"/>
      <c r="FS53" s="88"/>
      <c r="FT53" s="87">
        <v>0</v>
      </c>
      <c r="FU53" s="41"/>
      <c r="FV53" s="41"/>
      <c r="FW53" s="41"/>
      <c r="FX53" s="88"/>
      <c r="FY53" s="87">
        <v>0</v>
      </c>
      <c r="FZ53" s="41"/>
      <c r="GA53" s="41"/>
      <c r="GB53" s="41"/>
      <c r="GC53" s="88"/>
      <c r="GD53" s="87">
        <v>0</v>
      </c>
      <c r="GE53" s="41"/>
      <c r="GF53" s="41"/>
      <c r="GG53" s="41"/>
      <c r="GH53" s="88"/>
      <c r="GI53" s="87">
        <v>0</v>
      </c>
      <c r="GJ53" s="41"/>
      <c r="GK53" s="127"/>
      <c r="GL53" s="41"/>
      <c r="GM53" s="88"/>
      <c r="GN53" s="87">
        <v>0</v>
      </c>
      <c r="GO53" s="41"/>
      <c r="GP53" s="41"/>
      <c r="GQ53" s="41"/>
      <c r="GR53" s="88"/>
      <c r="GS53" s="87">
        <v>0</v>
      </c>
      <c r="GT53" s="41"/>
      <c r="GU53" s="41"/>
      <c r="GV53" s="41"/>
      <c r="GW53" s="88"/>
      <c r="GX53" s="301" t="str">
        <f t="shared" si="1"/>
        <v/>
      </c>
      <c r="GY53" s="301" t="str">
        <f t="shared" si="12"/>
        <v/>
      </c>
      <c r="GZ53" s="41" t="str">
        <f t="shared" si="2"/>
        <v/>
      </c>
      <c r="HA53" s="41" t="str">
        <f t="shared" si="3"/>
        <v/>
      </c>
      <c r="HB53" s="41" t="str">
        <f t="shared" si="4"/>
        <v/>
      </c>
      <c r="HC53" s="41">
        <f t="shared" si="5"/>
        <v>1</v>
      </c>
      <c r="HD53" s="41" t="str">
        <f t="shared" si="6"/>
        <v/>
      </c>
      <c r="HE53" s="88" t="str">
        <f t="shared" si="7"/>
        <v/>
      </c>
      <c r="HF53" s="524" t="s">
        <v>82</v>
      </c>
      <c r="HG53" s="41" t="s">
        <v>82</v>
      </c>
      <c r="HH53" s="41" t="s">
        <v>82</v>
      </c>
      <c r="HI53" s="41" t="s">
        <v>82</v>
      </c>
      <c r="HJ53" s="41" t="s">
        <v>82</v>
      </c>
      <c r="HK53" s="41" t="s">
        <v>82</v>
      </c>
      <c r="HL53" s="41" t="s">
        <v>82</v>
      </c>
      <c r="HM53" s="41">
        <v>1</v>
      </c>
      <c r="HN53" s="41" t="s">
        <v>82</v>
      </c>
      <c r="HO53" s="41" t="s">
        <v>82</v>
      </c>
      <c r="HP53" s="41" t="s">
        <v>82</v>
      </c>
      <c r="HQ53" s="41" t="s">
        <v>82</v>
      </c>
      <c r="HR53" s="41" t="s">
        <v>82</v>
      </c>
      <c r="HS53" s="41" t="s">
        <v>82</v>
      </c>
      <c r="HT53" s="41" t="s">
        <v>82</v>
      </c>
      <c r="HU53" s="41" t="s">
        <v>82</v>
      </c>
      <c r="HV53" s="41" t="s">
        <v>82</v>
      </c>
      <c r="HW53" s="41" t="s">
        <v>82</v>
      </c>
      <c r="HX53" s="41" t="s">
        <v>82</v>
      </c>
      <c r="HY53" s="41" t="s">
        <v>82</v>
      </c>
      <c r="HZ53" s="41" t="s">
        <v>82</v>
      </c>
      <c r="IA53" s="41" t="s">
        <v>82</v>
      </c>
      <c r="IB53" s="41" t="s">
        <v>82</v>
      </c>
      <c r="IC53" s="41" t="s">
        <v>82</v>
      </c>
      <c r="ID53" s="41" t="s">
        <v>82</v>
      </c>
      <c r="IE53" s="41" t="s">
        <v>82</v>
      </c>
      <c r="IF53" s="41" t="s">
        <v>82</v>
      </c>
      <c r="IG53" s="41" t="s">
        <v>82</v>
      </c>
      <c r="IH53" s="41" t="s">
        <v>82</v>
      </c>
      <c r="II53" s="88" t="s">
        <v>82</v>
      </c>
      <c r="IJ53" s="44"/>
    </row>
    <row r="54" spans="1:244" s="342" customFormat="1" ht="124.2">
      <c r="A54" s="744"/>
      <c r="B54" s="37" t="s">
        <v>341</v>
      </c>
      <c r="C54" s="760"/>
      <c r="D54" s="100" t="s">
        <v>350</v>
      </c>
      <c r="E54" s="343" t="s">
        <v>124</v>
      </c>
      <c r="F54" s="11" t="s">
        <v>65</v>
      </c>
      <c r="G54" s="11" t="s">
        <v>65</v>
      </c>
      <c r="H54" s="770"/>
      <c r="I54" s="758"/>
      <c r="J54" s="127" t="s">
        <v>265</v>
      </c>
      <c r="K54" s="183">
        <v>12</v>
      </c>
      <c r="L54" s="129">
        <v>2014</v>
      </c>
      <c r="M54" s="101" t="s">
        <v>342</v>
      </c>
      <c r="N54" s="41" t="s">
        <v>84</v>
      </c>
      <c r="O54" s="41" t="s">
        <v>82</v>
      </c>
      <c r="P54" s="41" t="s">
        <v>82</v>
      </c>
      <c r="Q54" s="41"/>
      <c r="R54" s="41" t="s">
        <v>82</v>
      </c>
      <c r="S54" s="41">
        <v>3</v>
      </c>
      <c r="T54" s="41">
        <v>1</v>
      </c>
      <c r="U54" s="41"/>
      <c r="V54" s="41">
        <v>17</v>
      </c>
      <c r="W54" s="41" t="s">
        <v>265</v>
      </c>
      <c r="X54" s="41" t="s">
        <v>265</v>
      </c>
      <c r="Y54" s="41" t="s">
        <v>265</v>
      </c>
      <c r="Z54" s="41" t="s">
        <v>265</v>
      </c>
      <c r="AA54" s="41" t="s">
        <v>265</v>
      </c>
      <c r="AB54" s="41" t="s">
        <v>265</v>
      </c>
      <c r="AC54" s="41" t="s">
        <v>265</v>
      </c>
      <c r="AD54" s="41" t="s">
        <v>265</v>
      </c>
      <c r="AE54" s="41" t="s">
        <v>265</v>
      </c>
      <c r="AF54" s="41" t="s">
        <v>265</v>
      </c>
      <c r="AG54" s="41" t="s">
        <v>265</v>
      </c>
      <c r="AH54" s="41" t="s">
        <v>265</v>
      </c>
      <c r="AI54" s="41" t="s">
        <v>265</v>
      </c>
      <c r="AJ54" s="38">
        <v>0</v>
      </c>
      <c r="AK54" s="88" t="s">
        <v>265</v>
      </c>
      <c r="AL54" s="92"/>
      <c r="AM54" s="301">
        <v>2</v>
      </c>
      <c r="AN54" s="41">
        <v>2</v>
      </c>
      <c r="AO54" s="249"/>
      <c r="AP54" s="249">
        <f t="shared" si="8"/>
        <v>2</v>
      </c>
      <c r="AQ54" s="518">
        <f t="shared" si="9"/>
        <v>4</v>
      </c>
      <c r="AR54" s="88" t="s">
        <v>332</v>
      </c>
      <c r="AS54" s="334">
        <v>1.71</v>
      </c>
      <c r="AT54" s="334">
        <v>3.6</v>
      </c>
      <c r="AU54" s="100" t="s">
        <v>265</v>
      </c>
      <c r="AV54" s="100" t="s">
        <v>265</v>
      </c>
      <c r="AW54" s="100" t="s">
        <v>265</v>
      </c>
      <c r="AX54" s="100" t="s">
        <v>265</v>
      </c>
      <c r="AY54" s="100" t="s">
        <v>265</v>
      </c>
      <c r="AZ54" s="127">
        <v>5.5</v>
      </c>
      <c r="BA54" s="41" t="s">
        <v>265</v>
      </c>
      <c r="BB54" s="41">
        <v>1.4</v>
      </c>
      <c r="BC54" s="41">
        <v>1</v>
      </c>
      <c r="BD54" s="41" t="s">
        <v>265</v>
      </c>
      <c r="BE54" s="41" t="s">
        <v>82</v>
      </c>
      <c r="BF54" s="41" t="s">
        <v>265</v>
      </c>
      <c r="BG54" s="41" t="s">
        <v>265</v>
      </c>
      <c r="BH54" s="41" t="s">
        <v>265</v>
      </c>
      <c r="BI54" s="41" t="s">
        <v>265</v>
      </c>
      <c r="BJ54" s="41" t="s">
        <v>265</v>
      </c>
      <c r="BK54" s="41" t="s">
        <v>82</v>
      </c>
      <c r="BL54" s="122">
        <f>IF(AZ54="N.S","N.S",3*(AZ54*BL1+0.001*IF(BB54="N.S",0,BB54*(1-BL1))))</f>
        <v>0.169158</v>
      </c>
      <c r="BM54" s="520" t="s">
        <v>265</v>
      </c>
      <c r="BN54" s="656" t="str">
        <f t="shared" si="10"/>
        <v>N.S</v>
      </c>
      <c r="BO54" s="283">
        <f t="shared" si="11"/>
        <v>4433.7246834320576</v>
      </c>
      <c r="BP54" s="87" t="s">
        <v>265</v>
      </c>
      <c r="BQ54" s="41" t="s">
        <v>265</v>
      </c>
      <c r="BR54" s="41" t="s">
        <v>265</v>
      </c>
      <c r="BS54" s="41" t="s">
        <v>265</v>
      </c>
      <c r="BT54" s="41" t="s">
        <v>265</v>
      </c>
      <c r="BU54" s="41" t="s">
        <v>265</v>
      </c>
      <c r="BV54" s="41" t="s">
        <v>265</v>
      </c>
      <c r="BW54" s="41" t="s">
        <v>82</v>
      </c>
      <c r="BX54" s="339" t="s">
        <v>265</v>
      </c>
      <c r="BY54" s="41" t="s">
        <v>265</v>
      </c>
      <c r="BZ54" s="353" t="s">
        <v>577</v>
      </c>
      <c r="CA54" s="301" t="s">
        <v>265</v>
      </c>
      <c r="CB54" s="41" t="s">
        <v>265</v>
      </c>
      <c r="CC54" s="484" t="s">
        <v>82</v>
      </c>
      <c r="CD54" s="41" t="s">
        <v>265</v>
      </c>
      <c r="CE54" s="41" t="s">
        <v>265</v>
      </c>
      <c r="CF54" s="41" t="s">
        <v>265</v>
      </c>
      <c r="CG54" s="41" t="s">
        <v>265</v>
      </c>
      <c r="CH54" s="41" t="s">
        <v>265</v>
      </c>
      <c r="CI54" s="522" t="s">
        <v>265</v>
      </c>
      <c r="CJ54" s="127" t="s">
        <v>265</v>
      </c>
      <c r="CK54" s="523" t="s">
        <v>265</v>
      </c>
      <c r="CL54" s="100" t="s">
        <v>334</v>
      </c>
      <c r="CM54" s="68" t="s">
        <v>348</v>
      </c>
      <c r="CN54" s="68" t="s">
        <v>333</v>
      </c>
      <c r="CO54" s="183">
        <v>0</v>
      </c>
      <c r="CP54" s="127"/>
      <c r="CQ54" s="127"/>
      <c r="CR54" s="183"/>
      <c r="CS54" s="129"/>
      <c r="CT54" s="184">
        <v>0</v>
      </c>
      <c r="CU54" s="127"/>
      <c r="CV54" s="127"/>
      <c r="CW54" s="183"/>
      <c r="CX54" s="129"/>
      <c r="CY54" s="87">
        <v>0</v>
      </c>
      <c r="CZ54" s="41">
        <v>0</v>
      </c>
      <c r="DA54" s="41"/>
      <c r="DB54" s="41"/>
      <c r="DC54" s="41"/>
      <c r="DD54" s="41"/>
      <c r="DE54" s="41"/>
      <c r="DF54" s="41"/>
      <c r="DG54" s="41"/>
      <c r="DH54" s="41"/>
      <c r="DI54" s="123"/>
      <c r="DJ54" s="87">
        <v>0</v>
      </c>
      <c r="DK54" s="41">
        <v>0</v>
      </c>
      <c r="DL54" s="41"/>
      <c r="DM54" s="41"/>
      <c r="DN54" s="41"/>
      <c r="DO54" s="41"/>
      <c r="DP54" s="41"/>
      <c r="DQ54" s="41"/>
      <c r="DR54" s="41"/>
      <c r="DS54" s="41"/>
      <c r="DT54" s="88"/>
      <c r="DU54" s="87">
        <v>0</v>
      </c>
      <c r="DV54" s="41">
        <v>0</v>
      </c>
      <c r="DW54" s="41"/>
      <c r="DX54" s="41"/>
      <c r="DY54" s="41"/>
      <c r="DZ54" s="41"/>
      <c r="EA54" s="41"/>
      <c r="EB54" s="41"/>
      <c r="EC54" s="41"/>
      <c r="ED54" s="41"/>
      <c r="EE54" s="123"/>
      <c r="EF54" s="87">
        <v>0</v>
      </c>
      <c r="EG54" s="41"/>
      <c r="EH54" s="41"/>
      <c r="EI54" s="41"/>
      <c r="EJ54" s="88"/>
      <c r="EK54" s="87">
        <v>0</v>
      </c>
      <c r="EL54" s="41"/>
      <c r="EM54" s="41"/>
      <c r="EN54" s="41"/>
      <c r="EO54" s="88"/>
      <c r="EP54" s="87">
        <v>1</v>
      </c>
      <c r="EQ54" s="41"/>
      <c r="ER54" s="41"/>
      <c r="ES54" s="41">
        <v>1</v>
      </c>
      <c r="ET54" s="88">
        <v>128</v>
      </c>
      <c r="EU54" s="87">
        <v>0</v>
      </c>
      <c r="EV54" s="41"/>
      <c r="EW54" s="41"/>
      <c r="EX54" s="41"/>
      <c r="EY54" s="88"/>
      <c r="EZ54" s="87">
        <v>0</v>
      </c>
      <c r="FA54" s="41"/>
      <c r="FB54" s="41"/>
      <c r="FC54" s="41"/>
      <c r="FD54" s="88"/>
      <c r="FE54" s="87">
        <v>0</v>
      </c>
      <c r="FF54" s="127"/>
      <c r="FG54" s="127"/>
      <c r="FH54" s="127"/>
      <c r="FI54" s="123"/>
      <c r="FJ54" s="87">
        <v>1</v>
      </c>
      <c r="FK54" s="41"/>
      <c r="FL54" s="41"/>
      <c r="FM54" s="41">
        <v>1</v>
      </c>
      <c r="FN54" s="88">
        <v>50</v>
      </c>
      <c r="FO54" s="87">
        <v>0</v>
      </c>
      <c r="FP54" s="41"/>
      <c r="FQ54" s="41"/>
      <c r="FR54" s="41"/>
      <c r="FS54" s="88"/>
      <c r="FT54" s="87">
        <v>0</v>
      </c>
      <c r="FU54" s="41"/>
      <c r="FV54" s="41"/>
      <c r="FW54" s="41"/>
      <c r="FX54" s="88"/>
      <c r="FY54" s="87">
        <v>1</v>
      </c>
      <c r="FZ54" s="41"/>
      <c r="GA54" s="41"/>
      <c r="GB54" s="41"/>
      <c r="GC54" s="88"/>
      <c r="GD54" s="87">
        <v>0</v>
      </c>
      <c r="GE54" s="41"/>
      <c r="GF54" s="41"/>
      <c r="GG54" s="41"/>
      <c r="GH54" s="88"/>
      <c r="GI54" s="87">
        <v>0</v>
      </c>
      <c r="GJ54" s="41"/>
      <c r="GK54" s="127"/>
      <c r="GL54" s="41"/>
      <c r="GM54" s="88"/>
      <c r="GN54" s="87">
        <v>0</v>
      </c>
      <c r="GO54" s="41"/>
      <c r="GP54" s="41"/>
      <c r="GQ54" s="41"/>
      <c r="GR54" s="88"/>
      <c r="GS54" s="87">
        <v>0</v>
      </c>
      <c r="GT54" s="41"/>
      <c r="GU54" s="41"/>
      <c r="GV54" s="41"/>
      <c r="GW54" s="88"/>
      <c r="GX54" s="301">
        <f t="shared" si="1"/>
        <v>1</v>
      </c>
      <c r="GY54" s="301" t="str">
        <f t="shared" si="12"/>
        <v/>
      </c>
      <c r="GZ54" s="41" t="str">
        <f t="shared" si="2"/>
        <v/>
      </c>
      <c r="HA54" s="41" t="str">
        <f t="shared" si="3"/>
        <v/>
      </c>
      <c r="HB54" s="41" t="str">
        <f t="shared" si="4"/>
        <v/>
      </c>
      <c r="HC54" s="41" t="str">
        <f t="shared" si="5"/>
        <v/>
      </c>
      <c r="HD54" s="41" t="str">
        <f t="shared" si="6"/>
        <v/>
      </c>
      <c r="HE54" s="88" t="str">
        <f t="shared" si="7"/>
        <v/>
      </c>
      <c r="HF54" s="524" t="s">
        <v>82</v>
      </c>
      <c r="HG54" s="41" t="s">
        <v>82</v>
      </c>
      <c r="HH54" s="41" t="s">
        <v>82</v>
      </c>
      <c r="HI54" s="41" t="s">
        <v>82</v>
      </c>
      <c r="HJ54" s="41" t="s">
        <v>82</v>
      </c>
      <c r="HK54" s="41" t="s">
        <v>82</v>
      </c>
      <c r="HL54" s="41" t="s">
        <v>82</v>
      </c>
      <c r="HM54" s="41">
        <v>1</v>
      </c>
      <c r="HN54" s="41" t="s">
        <v>82</v>
      </c>
      <c r="HO54" s="41" t="s">
        <v>82</v>
      </c>
      <c r="HP54" s="41" t="s">
        <v>82</v>
      </c>
      <c r="HQ54" s="41" t="s">
        <v>82</v>
      </c>
      <c r="HR54" s="41" t="s">
        <v>82</v>
      </c>
      <c r="HS54" s="41" t="s">
        <v>82</v>
      </c>
      <c r="HT54" s="41" t="s">
        <v>82</v>
      </c>
      <c r="HU54" s="41" t="s">
        <v>82</v>
      </c>
      <c r="HV54" s="41" t="s">
        <v>82</v>
      </c>
      <c r="HW54" s="41" t="s">
        <v>82</v>
      </c>
      <c r="HX54" s="41" t="s">
        <v>82</v>
      </c>
      <c r="HY54" s="41" t="s">
        <v>82</v>
      </c>
      <c r="HZ54" s="41" t="s">
        <v>82</v>
      </c>
      <c r="IA54" s="41" t="s">
        <v>82</v>
      </c>
      <c r="IB54" s="41" t="s">
        <v>82</v>
      </c>
      <c r="IC54" s="41" t="s">
        <v>82</v>
      </c>
      <c r="ID54" s="41" t="s">
        <v>82</v>
      </c>
      <c r="IE54" s="41" t="s">
        <v>82</v>
      </c>
      <c r="IF54" s="41" t="s">
        <v>82</v>
      </c>
      <c r="IG54" s="41" t="s">
        <v>82</v>
      </c>
      <c r="IH54" s="41" t="s">
        <v>82</v>
      </c>
      <c r="II54" s="88" t="s">
        <v>82</v>
      </c>
    </row>
    <row r="55" spans="1:244" s="342" customFormat="1">
      <c r="A55" s="744"/>
      <c r="B55" s="37" t="s">
        <v>265</v>
      </c>
      <c r="C55" s="760"/>
      <c r="D55" s="100" t="s">
        <v>265</v>
      </c>
      <c r="E55" s="11" t="s">
        <v>65</v>
      </c>
      <c r="F55" s="11" t="s">
        <v>65</v>
      </c>
      <c r="G55" s="11" t="s">
        <v>65</v>
      </c>
      <c r="H55" s="11" t="s">
        <v>65</v>
      </c>
      <c r="I55" s="758"/>
      <c r="J55" s="127" t="s">
        <v>265</v>
      </c>
      <c r="K55" s="183" t="s">
        <v>265</v>
      </c>
      <c r="L55" s="129" t="s">
        <v>265</v>
      </c>
      <c r="M55" s="301" t="s">
        <v>265</v>
      </c>
      <c r="N55" s="41" t="s">
        <v>265</v>
      </c>
      <c r="O55" s="41" t="s">
        <v>265</v>
      </c>
      <c r="P55" s="41" t="s">
        <v>265</v>
      </c>
      <c r="Q55" s="41"/>
      <c r="R55" s="41" t="s">
        <v>265</v>
      </c>
      <c r="S55" s="41" t="s">
        <v>265</v>
      </c>
      <c r="T55" s="41" t="s">
        <v>265</v>
      </c>
      <c r="U55" s="41" t="s">
        <v>265</v>
      </c>
      <c r="V55" s="41" t="s">
        <v>265</v>
      </c>
      <c r="W55" s="41" t="s">
        <v>265</v>
      </c>
      <c r="X55" s="41" t="s">
        <v>265</v>
      </c>
      <c r="Y55" s="41" t="s">
        <v>265</v>
      </c>
      <c r="Z55" s="41" t="s">
        <v>265</v>
      </c>
      <c r="AA55" s="41" t="s">
        <v>265</v>
      </c>
      <c r="AB55" s="41" t="s">
        <v>265</v>
      </c>
      <c r="AC55" s="41" t="s">
        <v>265</v>
      </c>
      <c r="AD55" s="41" t="s">
        <v>265</v>
      </c>
      <c r="AE55" s="41" t="s">
        <v>265</v>
      </c>
      <c r="AF55" s="41" t="s">
        <v>265</v>
      </c>
      <c r="AG55" s="41" t="s">
        <v>265</v>
      </c>
      <c r="AH55" s="41" t="s">
        <v>265</v>
      </c>
      <c r="AI55" s="41" t="s">
        <v>265</v>
      </c>
      <c r="AJ55" s="38" t="s">
        <v>265</v>
      </c>
      <c r="AK55" s="88" t="s">
        <v>265</v>
      </c>
      <c r="AL55" s="92"/>
      <c r="AM55" s="301" t="s">
        <v>265</v>
      </c>
      <c r="AN55" s="41" t="s">
        <v>265</v>
      </c>
      <c r="AO55" s="249"/>
      <c r="AP55" s="249" t="str">
        <f t="shared" si="8"/>
        <v>N.S</v>
      </c>
      <c r="AQ55" s="518" t="str">
        <f t="shared" si="9"/>
        <v>N.S</v>
      </c>
      <c r="AR55" s="88" t="s">
        <v>265</v>
      </c>
      <c r="AS55" s="89" t="s">
        <v>265</v>
      </c>
      <c r="AT55" s="477" t="s">
        <v>265</v>
      </c>
      <c r="AU55" s="477" t="s">
        <v>265</v>
      </c>
      <c r="AV55" s="477" t="s">
        <v>265</v>
      </c>
      <c r="AW55" s="477" t="s">
        <v>265</v>
      </c>
      <c r="AX55" s="477" t="s">
        <v>265</v>
      </c>
      <c r="AY55" s="477" t="s">
        <v>265</v>
      </c>
      <c r="AZ55" s="477" t="s">
        <v>265</v>
      </c>
      <c r="BA55" s="477" t="s">
        <v>265</v>
      </c>
      <c r="BB55" s="477" t="s">
        <v>265</v>
      </c>
      <c r="BC55" s="41" t="s">
        <v>265</v>
      </c>
      <c r="BD55" s="41" t="s">
        <v>265</v>
      </c>
      <c r="BE55" s="41" t="s">
        <v>265</v>
      </c>
      <c r="BF55" s="41" t="s">
        <v>265</v>
      </c>
      <c r="BG55" s="41" t="s">
        <v>265</v>
      </c>
      <c r="BH55" s="41" t="s">
        <v>265</v>
      </c>
      <c r="BI55" s="41" t="s">
        <v>265</v>
      </c>
      <c r="BJ55" s="41" t="s">
        <v>265</v>
      </c>
      <c r="BK55" s="41" t="s">
        <v>265</v>
      </c>
      <c r="BL55" s="122" t="str">
        <f>IF(AZ55="N.S","N.S",3*(AZ55*BL1+0.001*IF(BB55="N.S",0,BB55*(1-BL1))))</f>
        <v>N.S</v>
      </c>
      <c r="BM55" s="520" t="s">
        <v>265</v>
      </c>
      <c r="BN55" s="656" t="str">
        <f t="shared" si="10"/>
        <v>N.S</v>
      </c>
      <c r="BO55" s="283" t="str">
        <f t="shared" si="11"/>
        <v>N.S</v>
      </c>
      <c r="BP55" s="652" t="s">
        <v>265</v>
      </c>
      <c r="BQ55" s="520" t="s">
        <v>265</v>
      </c>
      <c r="BR55" s="520" t="s">
        <v>265</v>
      </c>
      <c r="BS55" s="520" t="s">
        <v>265</v>
      </c>
      <c r="BT55" s="520" t="s">
        <v>265</v>
      </c>
      <c r="BU55" s="520" t="s">
        <v>265</v>
      </c>
      <c r="BV55" s="520" t="s">
        <v>265</v>
      </c>
      <c r="BW55" s="520" t="s">
        <v>265</v>
      </c>
      <c r="BX55" s="520" t="s">
        <v>265</v>
      </c>
      <c r="BY55" s="41" t="s">
        <v>265</v>
      </c>
      <c r="BZ55" s="88" t="s">
        <v>265</v>
      </c>
      <c r="CA55" s="301" t="s">
        <v>265</v>
      </c>
      <c r="CB55" s="88" t="s">
        <v>265</v>
      </c>
      <c r="CC55" s="301" t="s">
        <v>265</v>
      </c>
      <c r="CD55" s="41" t="s">
        <v>265</v>
      </c>
      <c r="CE55" s="41" t="s">
        <v>265</v>
      </c>
      <c r="CF55" s="41" t="s">
        <v>265</v>
      </c>
      <c r="CG55" s="41" t="s">
        <v>265</v>
      </c>
      <c r="CH55" s="41" t="s">
        <v>265</v>
      </c>
      <c r="CI55" s="522" t="s">
        <v>265</v>
      </c>
      <c r="CJ55" s="127" t="s">
        <v>265</v>
      </c>
      <c r="CK55" s="523" t="s">
        <v>265</v>
      </c>
      <c r="CL55" s="41"/>
      <c r="CM55" s="477"/>
      <c r="CN55" s="477"/>
      <c r="CO55" s="183">
        <v>0</v>
      </c>
      <c r="CP55" s="127"/>
      <c r="CQ55" s="127"/>
      <c r="CR55" s="183"/>
      <c r="CS55" s="129"/>
      <c r="CT55" s="184">
        <v>0</v>
      </c>
      <c r="CU55" s="127"/>
      <c r="CV55" s="127"/>
      <c r="CW55" s="183"/>
      <c r="CX55" s="129"/>
      <c r="CY55" s="87">
        <v>0</v>
      </c>
      <c r="CZ55" s="41">
        <v>0</v>
      </c>
      <c r="DA55" s="41"/>
      <c r="DB55" s="41"/>
      <c r="DC55" s="41"/>
      <c r="DD55" s="41"/>
      <c r="DE55" s="41"/>
      <c r="DF55" s="41"/>
      <c r="DG55" s="41"/>
      <c r="DH55" s="41"/>
      <c r="DI55" s="123"/>
      <c r="DJ55" s="87">
        <v>0</v>
      </c>
      <c r="DK55" s="41">
        <v>0</v>
      </c>
      <c r="DL55" s="41"/>
      <c r="DM55" s="41"/>
      <c r="DN55" s="41"/>
      <c r="DO55" s="41"/>
      <c r="DP55" s="41"/>
      <c r="DQ55" s="41"/>
      <c r="DR55" s="41"/>
      <c r="DS55" s="41"/>
      <c r="DT55" s="88"/>
      <c r="DU55" s="87">
        <v>0</v>
      </c>
      <c r="DV55" s="41">
        <v>0</v>
      </c>
      <c r="DW55" s="41"/>
      <c r="DX55" s="41"/>
      <c r="DY55" s="41"/>
      <c r="DZ55" s="41"/>
      <c r="EA55" s="41"/>
      <c r="EB55" s="41"/>
      <c r="EC55" s="41"/>
      <c r="ED55" s="41"/>
      <c r="EE55" s="123"/>
      <c r="EF55" s="87">
        <v>0</v>
      </c>
      <c r="EG55" s="41"/>
      <c r="EH55" s="41"/>
      <c r="EI55" s="41"/>
      <c r="EJ55" s="88"/>
      <c r="EK55" s="87">
        <v>0</v>
      </c>
      <c r="EL55" s="41"/>
      <c r="EM55" s="41"/>
      <c r="EN55" s="41"/>
      <c r="EO55" s="88"/>
      <c r="EP55" s="87">
        <v>0</v>
      </c>
      <c r="EQ55" s="41"/>
      <c r="ER55" s="41"/>
      <c r="ES55" s="41"/>
      <c r="ET55" s="88"/>
      <c r="EU55" s="87">
        <v>0</v>
      </c>
      <c r="EV55" s="41"/>
      <c r="EW55" s="41"/>
      <c r="EX55" s="41"/>
      <c r="EY55" s="88"/>
      <c r="EZ55" s="87">
        <v>0</v>
      </c>
      <c r="FA55" s="41"/>
      <c r="FB55" s="41"/>
      <c r="FC55" s="41"/>
      <c r="FD55" s="88"/>
      <c r="FE55" s="87">
        <v>0</v>
      </c>
      <c r="FF55" s="127"/>
      <c r="FG55" s="127"/>
      <c r="FH55" s="127"/>
      <c r="FI55" s="123"/>
      <c r="FJ55" s="87"/>
      <c r="FK55" s="41"/>
      <c r="FL55" s="41"/>
      <c r="FM55" s="41"/>
      <c r="FN55" s="88"/>
      <c r="FO55" s="87">
        <v>0</v>
      </c>
      <c r="FP55" s="41"/>
      <c r="FQ55" s="41"/>
      <c r="FR55" s="41"/>
      <c r="FS55" s="88"/>
      <c r="FT55" s="87">
        <v>0</v>
      </c>
      <c r="FU55" s="41"/>
      <c r="FV55" s="41"/>
      <c r="FW55" s="41"/>
      <c r="FX55" s="88"/>
      <c r="FY55" s="87">
        <v>0</v>
      </c>
      <c r="FZ55" s="41"/>
      <c r="GA55" s="41"/>
      <c r="GB55" s="41"/>
      <c r="GC55" s="88"/>
      <c r="GD55" s="87">
        <v>0</v>
      </c>
      <c r="GE55" s="41"/>
      <c r="GF55" s="41"/>
      <c r="GG55" s="41"/>
      <c r="GH55" s="88"/>
      <c r="GI55" s="87">
        <v>0</v>
      </c>
      <c r="GJ55" s="41"/>
      <c r="GK55" s="127"/>
      <c r="GL55" s="41"/>
      <c r="GM55" s="88"/>
      <c r="GN55" s="87">
        <v>0</v>
      </c>
      <c r="GO55" s="41"/>
      <c r="GP55" s="41"/>
      <c r="GQ55" s="41"/>
      <c r="GR55" s="88"/>
      <c r="GS55" s="87">
        <v>0</v>
      </c>
      <c r="GT55" s="41"/>
      <c r="GU55" s="41"/>
      <c r="GV55" s="41"/>
      <c r="GW55" s="88"/>
      <c r="GX55" s="301" t="str">
        <f t="shared" si="1"/>
        <v/>
      </c>
      <c r="GY55" s="301" t="str">
        <f t="shared" si="12"/>
        <v/>
      </c>
      <c r="GZ55" s="41" t="str">
        <f t="shared" si="2"/>
        <v/>
      </c>
      <c r="HA55" s="41" t="str">
        <f t="shared" si="3"/>
        <v/>
      </c>
      <c r="HB55" s="41" t="str">
        <f t="shared" si="4"/>
        <v/>
      </c>
      <c r="HC55" s="41">
        <f t="shared" si="5"/>
        <v>1</v>
      </c>
      <c r="HD55" s="41" t="str">
        <f t="shared" si="6"/>
        <v/>
      </c>
      <c r="HE55" s="88" t="str">
        <f t="shared" si="7"/>
        <v/>
      </c>
      <c r="HF55" s="524" t="s">
        <v>82</v>
      </c>
      <c r="HG55" s="41" t="s">
        <v>82</v>
      </c>
      <c r="HH55" s="41" t="s">
        <v>82</v>
      </c>
      <c r="HI55" s="41" t="s">
        <v>82</v>
      </c>
      <c r="HJ55" s="41" t="s">
        <v>82</v>
      </c>
      <c r="HK55" s="41" t="s">
        <v>82</v>
      </c>
      <c r="HL55" s="41" t="s">
        <v>82</v>
      </c>
      <c r="HM55" s="41" t="s">
        <v>82</v>
      </c>
      <c r="HN55" s="41" t="s">
        <v>82</v>
      </c>
      <c r="HO55" s="41" t="s">
        <v>82</v>
      </c>
      <c r="HP55" s="41" t="s">
        <v>82</v>
      </c>
      <c r="HQ55" s="41" t="s">
        <v>82</v>
      </c>
      <c r="HR55" s="41" t="s">
        <v>82</v>
      </c>
      <c r="HS55" s="41" t="s">
        <v>82</v>
      </c>
      <c r="HT55" s="41" t="s">
        <v>82</v>
      </c>
      <c r="HU55" s="41" t="s">
        <v>82</v>
      </c>
      <c r="HV55" s="41" t="s">
        <v>82</v>
      </c>
      <c r="HW55" s="41" t="s">
        <v>82</v>
      </c>
      <c r="HX55" s="41" t="s">
        <v>82</v>
      </c>
      <c r="HY55" s="41" t="s">
        <v>82</v>
      </c>
      <c r="HZ55" s="41" t="s">
        <v>82</v>
      </c>
      <c r="IA55" s="41" t="s">
        <v>82</v>
      </c>
      <c r="IB55" s="41" t="s">
        <v>82</v>
      </c>
      <c r="IC55" s="41" t="s">
        <v>82</v>
      </c>
      <c r="ID55" s="41" t="s">
        <v>82</v>
      </c>
      <c r="IE55" s="41" t="s">
        <v>82</v>
      </c>
      <c r="IF55" s="41" t="s">
        <v>82</v>
      </c>
      <c r="IG55" s="41" t="s">
        <v>82</v>
      </c>
      <c r="IH55" s="41" t="s">
        <v>82</v>
      </c>
      <c r="II55" s="88" t="s">
        <v>82</v>
      </c>
    </row>
    <row r="56" spans="1:244" s="289" customFormat="1" ht="110.4">
      <c r="A56" s="744"/>
      <c r="B56" s="388" t="s">
        <v>346</v>
      </c>
      <c r="C56" s="760"/>
      <c r="D56" s="100" t="s">
        <v>351</v>
      </c>
      <c r="E56" s="77" t="s">
        <v>124</v>
      </c>
      <c r="F56" s="11" t="s">
        <v>65</v>
      </c>
      <c r="G56" s="11" t="s">
        <v>65</v>
      </c>
      <c r="H56" s="11" t="s">
        <v>65</v>
      </c>
      <c r="I56" s="758"/>
      <c r="J56" s="127">
        <v>5.76</v>
      </c>
      <c r="K56" s="183">
        <v>12</v>
      </c>
      <c r="L56" s="129">
        <v>2014</v>
      </c>
      <c r="M56" s="101" t="s">
        <v>347</v>
      </c>
      <c r="N56" s="41" t="s">
        <v>84</v>
      </c>
      <c r="O56" s="41" t="s">
        <v>82</v>
      </c>
      <c r="P56" s="41" t="s">
        <v>82</v>
      </c>
      <c r="Q56" s="41"/>
      <c r="R56" s="41" t="s">
        <v>82</v>
      </c>
      <c r="S56" s="41">
        <v>3</v>
      </c>
      <c r="T56" s="41">
        <v>1</v>
      </c>
      <c r="U56" s="41" t="s">
        <v>265</v>
      </c>
      <c r="V56" s="41">
        <v>17</v>
      </c>
      <c r="W56" s="41" t="s">
        <v>265</v>
      </c>
      <c r="X56" s="41" t="s">
        <v>265</v>
      </c>
      <c r="Y56" s="41" t="s">
        <v>265</v>
      </c>
      <c r="Z56" s="41" t="s">
        <v>265</v>
      </c>
      <c r="AA56" s="41" t="s">
        <v>265</v>
      </c>
      <c r="AB56" s="41" t="s">
        <v>265</v>
      </c>
      <c r="AC56" s="41" t="s">
        <v>265</v>
      </c>
      <c r="AD56" s="41" t="s">
        <v>265</v>
      </c>
      <c r="AE56" s="41" t="s">
        <v>265</v>
      </c>
      <c r="AF56" s="41" t="s">
        <v>265</v>
      </c>
      <c r="AG56" s="41" t="s">
        <v>265</v>
      </c>
      <c r="AH56" s="41" t="s">
        <v>265</v>
      </c>
      <c r="AI56" s="41" t="s">
        <v>265</v>
      </c>
      <c r="AJ56" s="38">
        <v>0</v>
      </c>
      <c r="AK56" s="88" t="s">
        <v>265</v>
      </c>
      <c r="AL56" s="92"/>
      <c r="AM56" s="301">
        <v>4.9000000000000004</v>
      </c>
      <c r="AN56" s="41">
        <v>2.85</v>
      </c>
      <c r="AO56" s="249"/>
      <c r="AP56" s="249">
        <f t="shared" si="8"/>
        <v>4.9000000000000004</v>
      </c>
      <c r="AQ56" s="518">
        <f t="shared" si="9"/>
        <v>13.965000000000002</v>
      </c>
      <c r="AR56" s="88" t="s">
        <v>332</v>
      </c>
      <c r="AS56" s="334">
        <v>1.71</v>
      </c>
      <c r="AT56" s="334">
        <v>3.6</v>
      </c>
      <c r="AU56" s="100" t="s">
        <v>265</v>
      </c>
      <c r="AV56" s="100" t="s">
        <v>265</v>
      </c>
      <c r="AW56" s="100" t="s">
        <v>265</v>
      </c>
      <c r="AX56" s="100" t="s">
        <v>265</v>
      </c>
      <c r="AY56" s="100" t="s">
        <v>265</v>
      </c>
      <c r="AZ56" s="127">
        <v>5.5</v>
      </c>
      <c r="BA56" s="41" t="s">
        <v>265</v>
      </c>
      <c r="BB56" s="41">
        <v>1.4</v>
      </c>
      <c r="BC56" s="41">
        <v>1</v>
      </c>
      <c r="BD56" s="41" t="s">
        <v>265</v>
      </c>
      <c r="BE56" s="41" t="s">
        <v>82</v>
      </c>
      <c r="BF56" s="41" t="s">
        <v>265</v>
      </c>
      <c r="BG56" s="41" t="s">
        <v>265</v>
      </c>
      <c r="BH56" s="41" t="s">
        <v>265</v>
      </c>
      <c r="BI56" s="41" t="s">
        <v>265</v>
      </c>
      <c r="BJ56" s="41" t="s">
        <v>265</v>
      </c>
      <c r="BK56" s="41" t="s">
        <v>82</v>
      </c>
      <c r="BL56" s="122">
        <f>IF(AZ56="N.S","N.S",3*(AZ56*BL1+0.001*IF(BB56="N.S",0,BB56*(1-BL1))))</f>
        <v>0.169158</v>
      </c>
      <c r="BM56" s="520" t="s">
        <v>265</v>
      </c>
      <c r="BN56" s="656" t="str">
        <f t="shared" si="10"/>
        <v>N.S</v>
      </c>
      <c r="BO56" s="283">
        <f t="shared" si="11"/>
        <v>4433.7246834320576</v>
      </c>
      <c r="BP56" s="87" t="s">
        <v>265</v>
      </c>
      <c r="BQ56" s="41" t="s">
        <v>265</v>
      </c>
      <c r="BR56" s="41" t="s">
        <v>265</v>
      </c>
      <c r="BS56" s="41" t="s">
        <v>265</v>
      </c>
      <c r="BT56" s="41" t="s">
        <v>265</v>
      </c>
      <c r="BU56" s="41" t="s">
        <v>265</v>
      </c>
      <c r="BV56" s="41" t="s">
        <v>265</v>
      </c>
      <c r="BW56" s="41" t="s">
        <v>82</v>
      </c>
      <c r="BX56" s="339" t="s">
        <v>265</v>
      </c>
      <c r="BY56" s="41" t="s">
        <v>265</v>
      </c>
      <c r="BZ56" s="88" t="s">
        <v>577</v>
      </c>
      <c r="CA56" s="301" t="s">
        <v>265</v>
      </c>
      <c r="CB56" s="41" t="s">
        <v>265</v>
      </c>
      <c r="CC56" s="484" t="s">
        <v>82</v>
      </c>
      <c r="CD56" s="41" t="s">
        <v>265</v>
      </c>
      <c r="CE56" s="41" t="s">
        <v>265</v>
      </c>
      <c r="CF56" s="41" t="s">
        <v>265</v>
      </c>
      <c r="CG56" s="41" t="s">
        <v>265</v>
      </c>
      <c r="CH56" s="41" t="s">
        <v>265</v>
      </c>
      <c r="CI56" s="522" t="s">
        <v>265</v>
      </c>
      <c r="CJ56" s="127" t="s">
        <v>265</v>
      </c>
      <c r="CK56" s="523" t="s">
        <v>265</v>
      </c>
      <c r="CL56" s="100" t="s">
        <v>334</v>
      </c>
      <c r="CM56" s="68" t="s">
        <v>348</v>
      </c>
      <c r="CN56" s="68"/>
      <c r="CO56" s="183">
        <v>0</v>
      </c>
      <c r="CP56" s="127"/>
      <c r="CQ56" s="127"/>
      <c r="CR56" s="183"/>
      <c r="CS56" s="129"/>
      <c r="CT56" s="184">
        <v>0</v>
      </c>
      <c r="CU56" s="127"/>
      <c r="CV56" s="127"/>
      <c r="CW56" s="183"/>
      <c r="CX56" s="129"/>
      <c r="CY56" s="87">
        <v>0</v>
      </c>
      <c r="CZ56" s="41">
        <v>0</v>
      </c>
      <c r="DA56" s="41"/>
      <c r="DB56" s="41"/>
      <c r="DC56" s="41"/>
      <c r="DD56" s="41"/>
      <c r="DE56" s="41"/>
      <c r="DF56" s="41"/>
      <c r="DG56" s="41"/>
      <c r="DH56" s="41"/>
      <c r="DI56" s="123"/>
      <c r="DJ56" s="87">
        <v>0</v>
      </c>
      <c r="DK56" s="41">
        <v>0</v>
      </c>
      <c r="DL56" s="41"/>
      <c r="DM56" s="41"/>
      <c r="DN56" s="41"/>
      <c r="DO56" s="41"/>
      <c r="DP56" s="41"/>
      <c r="DQ56" s="41"/>
      <c r="DR56" s="41"/>
      <c r="DS56" s="41"/>
      <c r="DT56" s="88"/>
      <c r="DU56" s="87">
        <v>0</v>
      </c>
      <c r="DV56" s="41">
        <v>0</v>
      </c>
      <c r="DW56" s="41"/>
      <c r="DX56" s="41"/>
      <c r="DY56" s="41"/>
      <c r="DZ56" s="41"/>
      <c r="EA56" s="41"/>
      <c r="EB56" s="41"/>
      <c r="EC56" s="41"/>
      <c r="ED56" s="41"/>
      <c r="EE56" s="123"/>
      <c r="EF56" s="87">
        <v>0</v>
      </c>
      <c r="EG56" s="41"/>
      <c r="EH56" s="41"/>
      <c r="EI56" s="41"/>
      <c r="EJ56" s="88"/>
      <c r="EK56" s="87">
        <v>0</v>
      </c>
      <c r="EL56" s="41"/>
      <c r="EM56" s="41"/>
      <c r="EN56" s="41"/>
      <c r="EO56" s="88"/>
      <c r="EP56" s="87">
        <v>1</v>
      </c>
      <c r="EQ56" s="41"/>
      <c r="ER56" s="41"/>
      <c r="ES56" s="41">
        <v>1</v>
      </c>
      <c r="ET56" s="88">
        <v>128</v>
      </c>
      <c r="EU56" s="87">
        <v>0</v>
      </c>
      <c r="EV56" s="41"/>
      <c r="EW56" s="41"/>
      <c r="EX56" s="41"/>
      <c r="EY56" s="88"/>
      <c r="EZ56" s="87">
        <v>0</v>
      </c>
      <c r="FA56" s="41"/>
      <c r="FB56" s="41"/>
      <c r="FC56" s="41"/>
      <c r="FD56" s="88"/>
      <c r="FE56" s="87">
        <v>0</v>
      </c>
      <c r="FF56" s="127"/>
      <c r="FG56" s="127"/>
      <c r="FH56" s="127"/>
      <c r="FI56" s="123"/>
      <c r="FJ56" s="87">
        <v>1</v>
      </c>
      <c r="FK56" s="41"/>
      <c r="FL56" s="41"/>
      <c r="FM56" s="41">
        <v>1</v>
      </c>
      <c r="FN56" s="88">
        <v>50</v>
      </c>
      <c r="FO56" s="87">
        <v>0</v>
      </c>
      <c r="FP56" s="41"/>
      <c r="FQ56" s="41"/>
      <c r="FR56" s="41"/>
      <c r="FS56" s="88"/>
      <c r="FT56" s="87">
        <v>0</v>
      </c>
      <c r="FU56" s="41"/>
      <c r="FV56" s="41"/>
      <c r="FW56" s="41"/>
      <c r="FX56" s="88"/>
      <c r="FY56" s="87">
        <v>1</v>
      </c>
      <c r="FZ56" s="41"/>
      <c r="GA56" s="41"/>
      <c r="GB56" s="41"/>
      <c r="GC56" s="88"/>
      <c r="GD56" s="87">
        <v>0</v>
      </c>
      <c r="GE56" s="41"/>
      <c r="GF56" s="41"/>
      <c r="GG56" s="41"/>
      <c r="GH56" s="88"/>
      <c r="GI56" s="87">
        <v>0</v>
      </c>
      <c r="GJ56" s="41"/>
      <c r="GK56" s="127"/>
      <c r="GL56" s="41"/>
      <c r="GM56" s="88"/>
      <c r="GN56" s="87">
        <v>0</v>
      </c>
      <c r="GO56" s="41"/>
      <c r="GP56" s="41"/>
      <c r="GQ56" s="41"/>
      <c r="GR56" s="88"/>
      <c r="GS56" s="87">
        <v>0</v>
      </c>
      <c r="GT56" s="41"/>
      <c r="GU56" s="41"/>
      <c r="GV56" s="41"/>
      <c r="GW56" s="88"/>
      <c r="GX56" s="301">
        <f t="shared" si="1"/>
        <v>1</v>
      </c>
      <c r="GY56" s="301" t="str">
        <f t="shared" si="12"/>
        <v/>
      </c>
      <c r="GZ56" s="41" t="str">
        <f t="shared" si="2"/>
        <v/>
      </c>
      <c r="HA56" s="41" t="str">
        <f t="shared" si="3"/>
        <v/>
      </c>
      <c r="HB56" s="41" t="str">
        <f t="shared" si="4"/>
        <v/>
      </c>
      <c r="HC56" s="41" t="str">
        <f t="shared" si="5"/>
        <v/>
      </c>
      <c r="HD56" s="41" t="str">
        <f t="shared" si="6"/>
        <v/>
      </c>
      <c r="HE56" s="88" t="str">
        <f t="shared" si="7"/>
        <v/>
      </c>
      <c r="HF56" s="524" t="s">
        <v>82</v>
      </c>
      <c r="HG56" s="41" t="s">
        <v>82</v>
      </c>
      <c r="HH56" s="41" t="s">
        <v>82</v>
      </c>
      <c r="HI56" s="41" t="s">
        <v>82</v>
      </c>
      <c r="HJ56" s="41" t="s">
        <v>82</v>
      </c>
      <c r="HK56" s="41" t="s">
        <v>82</v>
      </c>
      <c r="HL56" s="41" t="s">
        <v>82</v>
      </c>
      <c r="HM56" s="41">
        <v>1</v>
      </c>
      <c r="HN56" s="41" t="s">
        <v>82</v>
      </c>
      <c r="HO56" s="41" t="s">
        <v>82</v>
      </c>
      <c r="HP56" s="41" t="s">
        <v>82</v>
      </c>
      <c r="HQ56" s="41" t="s">
        <v>82</v>
      </c>
      <c r="HR56" s="41" t="s">
        <v>82</v>
      </c>
      <c r="HS56" s="41" t="s">
        <v>82</v>
      </c>
      <c r="HT56" s="41" t="s">
        <v>82</v>
      </c>
      <c r="HU56" s="41" t="s">
        <v>82</v>
      </c>
      <c r="HV56" s="41" t="s">
        <v>82</v>
      </c>
      <c r="HW56" s="41" t="s">
        <v>82</v>
      </c>
      <c r="HX56" s="41" t="s">
        <v>82</v>
      </c>
      <c r="HY56" s="41" t="s">
        <v>82</v>
      </c>
      <c r="HZ56" s="41" t="s">
        <v>82</v>
      </c>
      <c r="IA56" s="41" t="s">
        <v>82</v>
      </c>
      <c r="IB56" s="41" t="s">
        <v>82</v>
      </c>
      <c r="IC56" s="41" t="s">
        <v>82</v>
      </c>
      <c r="ID56" s="41" t="s">
        <v>82</v>
      </c>
      <c r="IE56" s="41" t="s">
        <v>82</v>
      </c>
      <c r="IF56" s="41" t="s">
        <v>82</v>
      </c>
      <c r="IG56" s="41" t="s">
        <v>82</v>
      </c>
      <c r="IH56" s="41" t="s">
        <v>82</v>
      </c>
      <c r="II56" s="88" t="s">
        <v>82</v>
      </c>
    </row>
    <row r="57" spans="1:244" s="45" customFormat="1">
      <c r="A57" s="745"/>
      <c r="B57" s="41" t="s">
        <v>265</v>
      </c>
      <c r="C57" s="760"/>
      <c r="D57" s="41" t="s">
        <v>265</v>
      </c>
      <c r="E57" s="41" t="s">
        <v>265</v>
      </c>
      <c r="F57" s="41" t="s">
        <v>265</v>
      </c>
      <c r="G57" s="41" t="s">
        <v>265</v>
      </c>
      <c r="H57" s="41" t="s">
        <v>265</v>
      </c>
      <c r="I57" s="41" t="s">
        <v>265</v>
      </c>
      <c r="J57" s="41" t="s">
        <v>265</v>
      </c>
      <c r="K57" s="41" t="s">
        <v>265</v>
      </c>
      <c r="L57" s="88" t="s">
        <v>265</v>
      </c>
      <c r="M57" s="301" t="s">
        <v>265</v>
      </c>
      <c r="N57" s="41" t="s">
        <v>265</v>
      </c>
      <c r="O57" s="41" t="s">
        <v>265</v>
      </c>
      <c r="P57" s="41" t="s">
        <v>265</v>
      </c>
      <c r="Q57" s="41"/>
      <c r="R57" s="41" t="s">
        <v>265</v>
      </c>
      <c r="S57" s="41" t="s">
        <v>265</v>
      </c>
      <c r="T57" s="41" t="s">
        <v>265</v>
      </c>
      <c r="U57" s="41" t="s">
        <v>265</v>
      </c>
      <c r="V57" s="41" t="s">
        <v>265</v>
      </c>
      <c r="W57" s="41" t="s">
        <v>265</v>
      </c>
      <c r="X57" s="41" t="s">
        <v>265</v>
      </c>
      <c r="Y57" s="41" t="s">
        <v>265</v>
      </c>
      <c r="Z57" s="41" t="s">
        <v>265</v>
      </c>
      <c r="AA57" s="41" t="s">
        <v>265</v>
      </c>
      <c r="AB57" s="41" t="s">
        <v>265</v>
      </c>
      <c r="AC57" s="41" t="s">
        <v>265</v>
      </c>
      <c r="AD57" s="41" t="s">
        <v>265</v>
      </c>
      <c r="AE57" s="41" t="s">
        <v>265</v>
      </c>
      <c r="AF57" s="41" t="s">
        <v>265</v>
      </c>
      <c r="AG57" s="41" t="s">
        <v>265</v>
      </c>
      <c r="AH57" s="41" t="s">
        <v>265</v>
      </c>
      <c r="AI57" s="41" t="s">
        <v>265</v>
      </c>
      <c r="AJ57" s="38" t="s">
        <v>265</v>
      </c>
      <c r="AK57" s="88" t="s">
        <v>265</v>
      </c>
      <c r="AL57" s="92"/>
      <c r="AM57" s="301" t="s">
        <v>265</v>
      </c>
      <c r="AN57" s="41" t="s">
        <v>265</v>
      </c>
      <c r="AO57" s="249"/>
      <c r="AP57" s="249" t="str">
        <f t="shared" si="8"/>
        <v>N.S</v>
      </c>
      <c r="AQ57" s="518" t="str">
        <f t="shared" si="9"/>
        <v>N.S</v>
      </c>
      <c r="AR57" s="123" t="s">
        <v>265</v>
      </c>
      <c r="AS57" s="560" t="s">
        <v>265</v>
      </c>
      <c r="AT57" s="127" t="s">
        <v>265</v>
      </c>
      <c r="AU57" s="127" t="s">
        <v>265</v>
      </c>
      <c r="AV57" s="127" t="s">
        <v>265</v>
      </c>
      <c r="AW57" s="127" t="s">
        <v>265</v>
      </c>
      <c r="AX57" s="127" t="s">
        <v>265</v>
      </c>
      <c r="AY57" s="127" t="s">
        <v>265</v>
      </c>
      <c r="AZ57" s="127" t="s">
        <v>265</v>
      </c>
      <c r="BA57" s="477" t="s">
        <v>265</v>
      </c>
      <c r="BB57" s="477" t="s">
        <v>265</v>
      </c>
      <c r="BC57" s="41" t="s">
        <v>265</v>
      </c>
      <c r="BD57" s="41" t="s">
        <v>265</v>
      </c>
      <c r="BE57" s="41" t="s">
        <v>265</v>
      </c>
      <c r="BF57" s="41" t="s">
        <v>265</v>
      </c>
      <c r="BG57" s="41" t="s">
        <v>265</v>
      </c>
      <c r="BH57" s="41" t="s">
        <v>265</v>
      </c>
      <c r="BI57" s="41" t="s">
        <v>265</v>
      </c>
      <c r="BJ57" s="41" t="s">
        <v>265</v>
      </c>
      <c r="BK57" s="41" t="s">
        <v>265</v>
      </c>
      <c r="BL57" s="122" t="str">
        <f>IF(AZ57="N.S","N.S",3*(AZ57*BL1+0.001*IF(BB57="N.S",0,BB57*(1-BL1))))</f>
        <v>N.S</v>
      </c>
      <c r="BM57" s="520" t="s">
        <v>265</v>
      </c>
      <c r="BN57" s="656" t="str">
        <f t="shared" si="10"/>
        <v>N.S</v>
      </c>
      <c r="BO57" s="283" t="str">
        <f t="shared" si="11"/>
        <v>N.S</v>
      </c>
      <c r="BP57" s="653" t="s">
        <v>265</v>
      </c>
      <c r="BQ57" s="523" t="s">
        <v>265</v>
      </c>
      <c r="BR57" s="523" t="s">
        <v>265</v>
      </c>
      <c r="BS57" s="523" t="s">
        <v>265</v>
      </c>
      <c r="BT57" s="523" t="s">
        <v>265</v>
      </c>
      <c r="BU57" s="523" t="s">
        <v>265</v>
      </c>
      <c r="BV57" s="523" t="s">
        <v>265</v>
      </c>
      <c r="BW57" s="523" t="s">
        <v>265</v>
      </c>
      <c r="BX57" s="520" t="s">
        <v>265</v>
      </c>
      <c r="BY57" s="127" t="s">
        <v>265</v>
      </c>
      <c r="BZ57" s="123" t="s">
        <v>265</v>
      </c>
      <c r="CA57" s="301" t="s">
        <v>265</v>
      </c>
      <c r="CB57" s="41" t="s">
        <v>265</v>
      </c>
      <c r="CC57" s="484" t="s">
        <v>265</v>
      </c>
      <c r="CD57" s="41" t="s">
        <v>265</v>
      </c>
      <c r="CE57" s="41" t="s">
        <v>265</v>
      </c>
      <c r="CF57" s="41" t="s">
        <v>265</v>
      </c>
      <c r="CG57" s="41" t="s">
        <v>265</v>
      </c>
      <c r="CH57" s="88" t="s">
        <v>265</v>
      </c>
      <c r="CI57" s="561" t="s">
        <v>265</v>
      </c>
      <c r="CJ57" s="523" t="s">
        <v>265</v>
      </c>
      <c r="CK57" s="523" t="s">
        <v>265</v>
      </c>
      <c r="CL57" s="41"/>
      <c r="CM57" s="477"/>
      <c r="CN57" s="477"/>
      <c r="CO57" s="183">
        <v>0</v>
      </c>
      <c r="CP57" s="127"/>
      <c r="CQ57" s="127"/>
      <c r="CR57" s="183"/>
      <c r="CS57" s="129"/>
      <c r="CT57" s="184">
        <v>0</v>
      </c>
      <c r="CU57" s="127"/>
      <c r="CV57" s="127"/>
      <c r="CW57" s="183"/>
      <c r="CX57" s="129"/>
      <c r="CY57" s="87">
        <v>0</v>
      </c>
      <c r="CZ57" s="41">
        <v>0</v>
      </c>
      <c r="DA57" s="41"/>
      <c r="DB57" s="41"/>
      <c r="DC57" s="41"/>
      <c r="DD57" s="41"/>
      <c r="DE57" s="41"/>
      <c r="DF57" s="41"/>
      <c r="DG57" s="41"/>
      <c r="DH57" s="41"/>
      <c r="DI57" s="123"/>
      <c r="DJ57" s="87">
        <v>0</v>
      </c>
      <c r="DK57" s="41">
        <v>0</v>
      </c>
      <c r="DL57" s="41"/>
      <c r="DM57" s="41"/>
      <c r="DN57" s="41"/>
      <c r="DO57" s="41"/>
      <c r="DP57" s="41"/>
      <c r="DQ57" s="41"/>
      <c r="DR57" s="41"/>
      <c r="DS57" s="41"/>
      <c r="DT57" s="88"/>
      <c r="DU57" s="87">
        <v>0</v>
      </c>
      <c r="DV57" s="41">
        <v>0</v>
      </c>
      <c r="DW57" s="41"/>
      <c r="DX57" s="41"/>
      <c r="DY57" s="41"/>
      <c r="DZ57" s="41"/>
      <c r="EA57" s="41"/>
      <c r="EB57" s="41"/>
      <c r="EC57" s="41"/>
      <c r="ED57" s="41"/>
      <c r="EE57" s="123"/>
      <c r="EF57" s="87">
        <v>0</v>
      </c>
      <c r="EG57" s="41"/>
      <c r="EH57" s="41"/>
      <c r="EI57" s="41"/>
      <c r="EJ57" s="88"/>
      <c r="EK57" s="87">
        <v>0</v>
      </c>
      <c r="EL57" s="41"/>
      <c r="EM57" s="41"/>
      <c r="EN57" s="41"/>
      <c r="EO57" s="88"/>
      <c r="EP57" s="87">
        <v>0</v>
      </c>
      <c r="EQ57" s="41"/>
      <c r="ER57" s="41"/>
      <c r="ES57" s="41"/>
      <c r="ET57" s="88"/>
      <c r="EU57" s="87">
        <v>0</v>
      </c>
      <c r="EV57" s="41"/>
      <c r="EW57" s="41"/>
      <c r="EX57" s="41"/>
      <c r="EY57" s="88"/>
      <c r="EZ57" s="87">
        <v>0</v>
      </c>
      <c r="FA57" s="41"/>
      <c r="FB57" s="41"/>
      <c r="FC57" s="41"/>
      <c r="FD57" s="88"/>
      <c r="FE57" s="87">
        <v>0</v>
      </c>
      <c r="FF57" s="127"/>
      <c r="FG57" s="127"/>
      <c r="FH57" s="127"/>
      <c r="FI57" s="123"/>
      <c r="FJ57" s="87">
        <v>0</v>
      </c>
      <c r="FK57" s="41"/>
      <c r="FL57" s="41"/>
      <c r="FM57" s="41"/>
      <c r="FN57" s="88"/>
      <c r="FO57" s="87">
        <v>0</v>
      </c>
      <c r="FP57" s="41"/>
      <c r="FQ57" s="41"/>
      <c r="FR57" s="41"/>
      <c r="FS57" s="88"/>
      <c r="FT57" s="87">
        <v>0</v>
      </c>
      <c r="FU57" s="41"/>
      <c r="FV57" s="41"/>
      <c r="FW57" s="41"/>
      <c r="FX57" s="88"/>
      <c r="FY57" s="87">
        <v>0</v>
      </c>
      <c r="FZ57" s="41"/>
      <c r="GA57" s="41"/>
      <c r="GB57" s="41"/>
      <c r="GC57" s="88"/>
      <c r="GD57" s="87">
        <v>0</v>
      </c>
      <c r="GE57" s="41"/>
      <c r="GF57" s="41"/>
      <c r="GG57" s="41"/>
      <c r="GH57" s="88"/>
      <c r="GI57" s="87">
        <v>0</v>
      </c>
      <c r="GJ57" s="41"/>
      <c r="GK57" s="127"/>
      <c r="GL57" s="41"/>
      <c r="GM57" s="88"/>
      <c r="GN57" s="87">
        <v>0</v>
      </c>
      <c r="GO57" s="41"/>
      <c r="GP57" s="41"/>
      <c r="GQ57" s="41"/>
      <c r="GR57" s="88"/>
      <c r="GS57" s="87">
        <v>0</v>
      </c>
      <c r="GT57" s="41"/>
      <c r="GU57" s="41"/>
      <c r="GV57" s="41"/>
      <c r="GW57" s="88"/>
      <c r="GX57" s="301" t="str">
        <f t="shared" si="1"/>
        <v/>
      </c>
      <c r="GY57" s="301" t="str">
        <f t="shared" si="12"/>
        <v/>
      </c>
      <c r="GZ57" s="41" t="str">
        <f t="shared" si="2"/>
        <v/>
      </c>
      <c r="HA57" s="41" t="str">
        <f t="shared" si="3"/>
        <v/>
      </c>
      <c r="HB57" s="41" t="str">
        <f t="shared" si="4"/>
        <v/>
      </c>
      <c r="HC57" s="41" t="str">
        <f t="shared" si="5"/>
        <v/>
      </c>
      <c r="HD57" s="41">
        <f t="shared" si="6"/>
        <v>1</v>
      </c>
      <c r="HE57" s="88" t="str">
        <f t="shared" si="7"/>
        <v/>
      </c>
      <c r="HF57" s="524" t="s">
        <v>82</v>
      </c>
      <c r="HG57" s="41" t="s">
        <v>82</v>
      </c>
      <c r="HH57" s="41" t="s">
        <v>82</v>
      </c>
      <c r="HI57" s="41" t="s">
        <v>82</v>
      </c>
      <c r="HJ57" s="41" t="s">
        <v>82</v>
      </c>
      <c r="HK57" s="41" t="s">
        <v>82</v>
      </c>
      <c r="HL57" s="41" t="s">
        <v>82</v>
      </c>
      <c r="HM57" s="41" t="s">
        <v>82</v>
      </c>
      <c r="HN57" s="41" t="s">
        <v>82</v>
      </c>
      <c r="HO57" s="41" t="s">
        <v>82</v>
      </c>
      <c r="HP57" s="41" t="s">
        <v>82</v>
      </c>
      <c r="HQ57" s="41" t="s">
        <v>82</v>
      </c>
      <c r="HR57" s="41" t="s">
        <v>82</v>
      </c>
      <c r="HS57" s="41" t="s">
        <v>82</v>
      </c>
      <c r="HT57" s="41" t="s">
        <v>82</v>
      </c>
      <c r="HU57" s="41" t="s">
        <v>82</v>
      </c>
      <c r="HV57" s="41" t="s">
        <v>82</v>
      </c>
      <c r="HW57" s="41" t="s">
        <v>82</v>
      </c>
      <c r="HX57" s="41" t="s">
        <v>82</v>
      </c>
      <c r="HY57" s="41" t="s">
        <v>82</v>
      </c>
      <c r="HZ57" s="41" t="s">
        <v>82</v>
      </c>
      <c r="IA57" s="41" t="s">
        <v>82</v>
      </c>
      <c r="IB57" s="41" t="s">
        <v>82</v>
      </c>
      <c r="IC57" s="41" t="s">
        <v>82</v>
      </c>
      <c r="ID57" s="41" t="s">
        <v>82</v>
      </c>
      <c r="IE57" s="41" t="s">
        <v>82</v>
      </c>
      <c r="IF57" s="41" t="s">
        <v>82</v>
      </c>
      <c r="IG57" s="41" t="s">
        <v>82</v>
      </c>
      <c r="IH57" s="41" t="s">
        <v>82</v>
      </c>
      <c r="II57" s="88" t="s">
        <v>82</v>
      </c>
      <c r="IJ57" s="44"/>
    </row>
    <row r="58" spans="1:244" s="45" customFormat="1" ht="55.8">
      <c r="A58" s="744"/>
      <c r="B58" s="37" t="s">
        <v>352</v>
      </c>
      <c r="C58" s="760"/>
      <c r="D58" s="100" t="s">
        <v>230</v>
      </c>
      <c r="E58" s="343" t="s">
        <v>65</v>
      </c>
      <c r="F58" s="343" t="s">
        <v>124</v>
      </c>
      <c r="G58" s="343" t="s">
        <v>65</v>
      </c>
      <c r="H58" s="11" t="s">
        <v>65</v>
      </c>
      <c r="I58" s="758" t="s">
        <v>65</v>
      </c>
      <c r="J58" s="128">
        <v>1.66</v>
      </c>
      <c r="K58" s="362">
        <v>8</v>
      </c>
      <c r="L58" s="552">
        <v>2016</v>
      </c>
      <c r="M58" s="19" t="s">
        <v>966</v>
      </c>
      <c r="N58" s="41" t="s">
        <v>84</v>
      </c>
      <c r="O58" s="41" t="s">
        <v>82</v>
      </c>
      <c r="P58" s="41" t="s">
        <v>82</v>
      </c>
      <c r="Q58" s="41"/>
      <c r="R58" s="41" t="s">
        <v>82</v>
      </c>
      <c r="S58" s="41">
        <v>2</v>
      </c>
      <c r="T58" s="41">
        <v>1</v>
      </c>
      <c r="U58" s="41"/>
      <c r="V58" s="41">
        <v>14</v>
      </c>
      <c r="W58" s="41">
        <v>14</v>
      </c>
      <c r="X58" s="41">
        <v>13</v>
      </c>
      <c r="Y58" s="41">
        <v>12</v>
      </c>
      <c r="Z58" s="41">
        <v>11</v>
      </c>
      <c r="AA58" s="41">
        <v>10</v>
      </c>
      <c r="AB58" s="41">
        <v>8</v>
      </c>
      <c r="AC58" s="41" t="s">
        <v>265</v>
      </c>
      <c r="AD58" s="41" t="s">
        <v>265</v>
      </c>
      <c r="AE58" s="41" t="s">
        <v>265</v>
      </c>
      <c r="AF58" s="41" t="s">
        <v>265</v>
      </c>
      <c r="AG58" s="41" t="s">
        <v>265</v>
      </c>
      <c r="AH58" s="41" t="s">
        <v>265</v>
      </c>
      <c r="AI58" s="41" t="s">
        <v>265</v>
      </c>
      <c r="AJ58" s="38">
        <v>0</v>
      </c>
      <c r="AK58" s="88" t="s">
        <v>265</v>
      </c>
      <c r="AL58" s="92"/>
      <c r="AM58" s="301">
        <v>3</v>
      </c>
      <c r="AN58" s="41">
        <v>3</v>
      </c>
      <c r="AO58" s="249"/>
      <c r="AP58" s="249">
        <f t="shared" si="8"/>
        <v>3</v>
      </c>
      <c r="AQ58" s="518">
        <f t="shared" si="9"/>
        <v>9</v>
      </c>
      <c r="AR58" s="88" t="s">
        <v>354</v>
      </c>
      <c r="AS58" s="334">
        <v>1.9</v>
      </c>
      <c r="AT58" s="334">
        <v>3.6</v>
      </c>
      <c r="AU58" s="41" t="s">
        <v>265</v>
      </c>
      <c r="AV58" s="41" t="s">
        <v>265</v>
      </c>
      <c r="AW58" s="41" t="s">
        <v>265</v>
      </c>
      <c r="AX58" s="41" t="s">
        <v>265</v>
      </c>
      <c r="AY58" s="41" t="s">
        <v>265</v>
      </c>
      <c r="AZ58" s="127">
        <v>4</v>
      </c>
      <c r="BA58" s="41" t="s">
        <v>265</v>
      </c>
      <c r="BB58" s="41">
        <v>3.8</v>
      </c>
      <c r="BC58" s="41" t="s">
        <v>265</v>
      </c>
      <c r="BD58" s="41" t="s">
        <v>265</v>
      </c>
      <c r="BE58" s="41" t="s">
        <v>82</v>
      </c>
      <c r="BF58" s="41" t="s">
        <v>265</v>
      </c>
      <c r="BG58" s="41" t="s">
        <v>265</v>
      </c>
      <c r="BH58" s="41" t="s">
        <v>265</v>
      </c>
      <c r="BI58" s="41" t="s">
        <v>265</v>
      </c>
      <c r="BJ58" s="41" t="s">
        <v>265</v>
      </c>
      <c r="BK58" s="41" t="s">
        <v>82</v>
      </c>
      <c r="BL58" s="122">
        <f>IF(AZ58="N.S","N.S",3*(AZ58*BL1+0.001*IF(BB58="N.S",0,BB58*(1-BL1))))</f>
        <v>0.13128600000000001</v>
      </c>
      <c r="BM58" s="520" t="s">
        <v>265</v>
      </c>
      <c r="BN58" s="656" t="str">
        <f t="shared" si="10"/>
        <v>N.S</v>
      </c>
      <c r="BO58" s="283">
        <f t="shared" si="11"/>
        <v>5712.718797129929</v>
      </c>
      <c r="BP58" s="87" t="s">
        <v>353</v>
      </c>
      <c r="BQ58" s="41" t="s">
        <v>265</v>
      </c>
      <c r="BR58" s="41" t="s">
        <v>265</v>
      </c>
      <c r="BS58" s="41" t="s">
        <v>265</v>
      </c>
      <c r="BT58" s="41" t="s">
        <v>265</v>
      </c>
      <c r="BU58" s="41" t="s">
        <v>265</v>
      </c>
      <c r="BV58" s="41" t="s">
        <v>265</v>
      </c>
      <c r="BW58" s="41" t="s">
        <v>82</v>
      </c>
      <c r="BX58" s="339" t="s">
        <v>265</v>
      </c>
      <c r="BY58" s="41" t="s">
        <v>265</v>
      </c>
      <c r="BZ58" s="88" t="s">
        <v>577</v>
      </c>
      <c r="CA58" s="301" t="s">
        <v>265</v>
      </c>
      <c r="CB58" s="41" t="s">
        <v>265</v>
      </c>
      <c r="CC58" s="484" t="s">
        <v>82</v>
      </c>
      <c r="CD58" s="41" t="s">
        <v>265</v>
      </c>
      <c r="CE58" s="41" t="s">
        <v>265</v>
      </c>
      <c r="CF58" s="41" t="s">
        <v>265</v>
      </c>
      <c r="CG58" s="41" t="s">
        <v>265</v>
      </c>
      <c r="CH58" s="41" t="s">
        <v>265</v>
      </c>
      <c r="CI58" s="522" t="s">
        <v>265</v>
      </c>
      <c r="CJ58" s="127" t="s">
        <v>265</v>
      </c>
      <c r="CK58" s="662">
        <v>18000</v>
      </c>
      <c r="CL58" s="41"/>
      <c r="CM58" s="477" t="s">
        <v>359</v>
      </c>
      <c r="CN58" s="477"/>
      <c r="CO58" s="183">
        <v>1</v>
      </c>
      <c r="CP58" s="127"/>
      <c r="CQ58" s="127">
        <f>LOG((CS58-CR58)/1,2)</f>
        <v>6.5698556083309478</v>
      </c>
      <c r="CR58" s="183">
        <v>-10</v>
      </c>
      <c r="CS58" s="129">
        <v>85</v>
      </c>
      <c r="CT58" s="184">
        <v>1</v>
      </c>
      <c r="CU58" s="127">
        <v>12</v>
      </c>
      <c r="CV58" s="127">
        <f>LOG((CX58-CW58)/5,2)</f>
        <v>4.1699250014423122</v>
      </c>
      <c r="CW58" s="183">
        <v>0</v>
      </c>
      <c r="CX58" s="129">
        <v>90</v>
      </c>
      <c r="CY58" s="87">
        <v>0</v>
      </c>
      <c r="CZ58" s="41">
        <v>0</v>
      </c>
      <c r="DA58" s="41"/>
      <c r="DB58" s="41"/>
      <c r="DC58" s="41"/>
      <c r="DD58" s="41"/>
      <c r="DE58" s="41"/>
      <c r="DF58" s="41"/>
      <c r="DG58" s="41"/>
      <c r="DH58" s="41"/>
      <c r="DI58" s="123"/>
      <c r="DJ58" s="87">
        <v>0</v>
      </c>
      <c r="DK58" s="41">
        <v>0</v>
      </c>
      <c r="DL58" s="41"/>
      <c r="DM58" s="41"/>
      <c r="DN58" s="41"/>
      <c r="DO58" s="41"/>
      <c r="DP58" s="41"/>
      <c r="DQ58" s="41"/>
      <c r="DR58" s="41"/>
      <c r="DS58" s="41"/>
      <c r="DT58" s="88"/>
      <c r="DU58" s="87">
        <v>0</v>
      </c>
      <c r="DV58" s="41">
        <v>0</v>
      </c>
      <c r="DW58" s="41"/>
      <c r="DX58" s="41"/>
      <c r="DY58" s="41"/>
      <c r="DZ58" s="41"/>
      <c r="EA58" s="41"/>
      <c r="EB58" s="41"/>
      <c r="EC58" s="41"/>
      <c r="ED58" s="41"/>
      <c r="EE58" s="123"/>
      <c r="EF58" s="87">
        <v>0</v>
      </c>
      <c r="EG58" s="41"/>
      <c r="EH58" s="41"/>
      <c r="EI58" s="41"/>
      <c r="EJ58" s="88"/>
      <c r="EK58" s="87">
        <v>0</v>
      </c>
      <c r="EL58" s="41"/>
      <c r="EM58" s="41"/>
      <c r="EN58" s="41"/>
      <c r="EO58" s="88"/>
      <c r="EP58" s="87">
        <v>0</v>
      </c>
      <c r="EQ58" s="41"/>
      <c r="ER58" s="41"/>
      <c r="ES58" s="41"/>
      <c r="ET58" s="88"/>
      <c r="EU58" s="87">
        <v>0</v>
      </c>
      <c r="EV58" s="41"/>
      <c r="EW58" s="41"/>
      <c r="EX58" s="41"/>
      <c r="EY58" s="88"/>
      <c r="EZ58" s="87">
        <v>0</v>
      </c>
      <c r="FA58" s="41"/>
      <c r="FB58" s="41"/>
      <c r="FC58" s="41"/>
      <c r="FD58" s="88"/>
      <c r="FE58" s="87">
        <v>0</v>
      </c>
      <c r="FF58" s="127"/>
      <c r="FG58" s="127"/>
      <c r="FH58" s="127"/>
      <c r="FI58" s="123"/>
      <c r="FJ58" s="87">
        <v>0</v>
      </c>
      <c r="FK58" s="41"/>
      <c r="FL58" s="41"/>
      <c r="FM58" s="41"/>
      <c r="FN58" s="88"/>
      <c r="FO58" s="87">
        <v>0</v>
      </c>
      <c r="FP58" s="41"/>
      <c r="FQ58" s="41"/>
      <c r="FR58" s="41"/>
      <c r="FS58" s="88"/>
      <c r="FT58" s="87">
        <v>0</v>
      </c>
      <c r="FU58" s="41"/>
      <c r="FV58" s="41"/>
      <c r="FW58" s="41"/>
      <c r="FX58" s="88"/>
      <c r="FY58" s="87">
        <v>0</v>
      </c>
      <c r="FZ58" s="41"/>
      <c r="GA58" s="41"/>
      <c r="GB58" s="41"/>
      <c r="GC58" s="88"/>
      <c r="GD58" s="87">
        <v>0</v>
      </c>
      <c r="GE58" s="41"/>
      <c r="GF58" s="41"/>
      <c r="GG58" s="41"/>
      <c r="GH58" s="88"/>
      <c r="GI58" s="87">
        <v>0</v>
      </c>
      <c r="GJ58" s="41"/>
      <c r="GK58" s="127"/>
      <c r="GL58" s="41"/>
      <c r="GM58" s="88"/>
      <c r="GN58" s="87">
        <v>0</v>
      </c>
      <c r="GO58" s="41"/>
      <c r="GP58" s="41"/>
      <c r="GQ58" s="41"/>
      <c r="GR58" s="88"/>
      <c r="GS58" s="87">
        <v>0</v>
      </c>
      <c r="GT58" s="41"/>
      <c r="GU58" s="41"/>
      <c r="GV58" s="41"/>
      <c r="GW58" s="88"/>
      <c r="GX58" s="301" t="str">
        <f t="shared" si="1"/>
        <v/>
      </c>
      <c r="GY58" s="301" t="str">
        <f t="shared" si="12"/>
        <v/>
      </c>
      <c r="GZ58" s="41" t="str">
        <f t="shared" si="2"/>
        <v/>
      </c>
      <c r="HA58" s="41" t="str">
        <f t="shared" si="3"/>
        <v/>
      </c>
      <c r="HB58" s="41" t="str">
        <f t="shared" si="4"/>
        <v/>
      </c>
      <c r="HC58" s="41" t="str">
        <f t="shared" si="5"/>
        <v/>
      </c>
      <c r="HD58" s="41">
        <f t="shared" si="6"/>
        <v>1</v>
      </c>
      <c r="HE58" s="88" t="str">
        <f t="shared" si="7"/>
        <v/>
      </c>
      <c r="HF58" s="524" t="s">
        <v>82</v>
      </c>
      <c r="HG58" s="41" t="s">
        <v>82</v>
      </c>
      <c r="HH58" s="41" t="s">
        <v>82</v>
      </c>
      <c r="HI58" s="41" t="s">
        <v>82</v>
      </c>
      <c r="HJ58" s="41" t="s">
        <v>82</v>
      </c>
      <c r="HK58" s="41" t="s">
        <v>82</v>
      </c>
      <c r="HL58" s="41" t="s">
        <v>82</v>
      </c>
      <c r="HM58" s="41">
        <v>1</v>
      </c>
      <c r="HN58" s="41" t="s">
        <v>82</v>
      </c>
      <c r="HO58" s="41" t="s">
        <v>82</v>
      </c>
      <c r="HP58" s="41" t="s">
        <v>82</v>
      </c>
      <c r="HQ58" s="41" t="s">
        <v>82</v>
      </c>
      <c r="HR58" s="41" t="s">
        <v>82</v>
      </c>
      <c r="HS58" s="41" t="s">
        <v>82</v>
      </c>
      <c r="HT58" s="41" t="s">
        <v>82</v>
      </c>
      <c r="HU58" s="41" t="s">
        <v>82</v>
      </c>
      <c r="HV58" s="41" t="s">
        <v>82</v>
      </c>
      <c r="HW58" s="41" t="s">
        <v>82</v>
      </c>
      <c r="HX58" s="41" t="s">
        <v>82</v>
      </c>
      <c r="HY58" s="41" t="s">
        <v>82</v>
      </c>
      <c r="HZ58" s="41" t="s">
        <v>82</v>
      </c>
      <c r="IA58" s="41" t="s">
        <v>82</v>
      </c>
      <c r="IB58" s="41" t="s">
        <v>82</v>
      </c>
      <c r="IC58" s="41" t="s">
        <v>82</v>
      </c>
      <c r="ID58" s="41" t="s">
        <v>82</v>
      </c>
      <c r="IE58" s="41" t="s">
        <v>82</v>
      </c>
      <c r="IF58" s="41" t="s">
        <v>82</v>
      </c>
      <c r="IG58" s="41" t="s">
        <v>82</v>
      </c>
      <c r="IH58" s="41" t="s">
        <v>82</v>
      </c>
      <c r="II58" s="88" t="s">
        <v>82</v>
      </c>
      <c r="IJ58" s="44"/>
    </row>
    <row r="59" spans="1:244" s="289" customFormat="1" ht="55.8">
      <c r="A59" s="744"/>
      <c r="B59" s="37" t="s">
        <v>355</v>
      </c>
      <c r="C59" s="760"/>
      <c r="D59" s="100" t="s">
        <v>356</v>
      </c>
      <c r="E59" s="343" t="s">
        <v>65</v>
      </c>
      <c r="F59" s="343" t="s">
        <v>124</v>
      </c>
      <c r="G59" s="343" t="s">
        <v>65</v>
      </c>
      <c r="H59" s="11" t="s">
        <v>65</v>
      </c>
      <c r="I59" s="758"/>
      <c r="J59" s="128">
        <v>4.75</v>
      </c>
      <c r="K59" s="362">
        <v>8</v>
      </c>
      <c r="L59" s="552">
        <v>2016</v>
      </c>
      <c r="M59" s="19" t="s">
        <v>967</v>
      </c>
      <c r="N59" s="41" t="s">
        <v>84</v>
      </c>
      <c r="O59" s="41" t="s">
        <v>82</v>
      </c>
      <c r="P59" s="41" t="s">
        <v>357</v>
      </c>
      <c r="Q59" s="41"/>
      <c r="R59" s="41" t="s">
        <v>358</v>
      </c>
      <c r="S59" s="41">
        <v>3</v>
      </c>
      <c r="T59" s="41">
        <v>1</v>
      </c>
      <c r="U59" s="41"/>
      <c r="V59" s="41">
        <v>15</v>
      </c>
      <c r="W59" s="41">
        <v>14</v>
      </c>
      <c r="X59" s="41">
        <v>13</v>
      </c>
      <c r="Y59" s="41">
        <v>12</v>
      </c>
      <c r="Z59" s="41">
        <v>11</v>
      </c>
      <c r="AA59" s="41">
        <v>10</v>
      </c>
      <c r="AB59" s="41">
        <v>8</v>
      </c>
      <c r="AC59" s="41" t="s">
        <v>265</v>
      </c>
      <c r="AD59" s="41">
        <v>1</v>
      </c>
      <c r="AE59" s="41">
        <v>1</v>
      </c>
      <c r="AF59" s="41" t="s">
        <v>265</v>
      </c>
      <c r="AG59" s="41" t="s">
        <v>265</v>
      </c>
      <c r="AH59" s="41" t="s">
        <v>265</v>
      </c>
      <c r="AI59" s="41" t="s">
        <v>265</v>
      </c>
      <c r="AJ59" s="38">
        <v>0</v>
      </c>
      <c r="AK59" s="88" t="s">
        <v>265</v>
      </c>
      <c r="AL59" s="92"/>
      <c r="AM59" s="301">
        <v>3</v>
      </c>
      <c r="AN59" s="41">
        <v>3</v>
      </c>
      <c r="AO59" s="249"/>
      <c r="AP59" s="249">
        <f t="shared" si="8"/>
        <v>3</v>
      </c>
      <c r="AQ59" s="518">
        <f t="shared" si="9"/>
        <v>9</v>
      </c>
      <c r="AR59" s="88" t="s">
        <v>354</v>
      </c>
      <c r="AS59" s="334">
        <v>1.9</v>
      </c>
      <c r="AT59" s="334">
        <v>3.7</v>
      </c>
      <c r="AU59" s="41" t="s">
        <v>265</v>
      </c>
      <c r="AV59" s="41" t="s">
        <v>265</v>
      </c>
      <c r="AW59" s="41" t="s">
        <v>265</v>
      </c>
      <c r="AX59" s="41" t="s">
        <v>265</v>
      </c>
      <c r="AY59" s="41" t="s">
        <v>265</v>
      </c>
      <c r="AZ59" s="127">
        <v>4</v>
      </c>
      <c r="BA59" s="41" t="s">
        <v>265</v>
      </c>
      <c r="BB59" s="41">
        <v>3.8</v>
      </c>
      <c r="BC59" s="41" t="s">
        <v>265</v>
      </c>
      <c r="BD59" s="41" t="s">
        <v>265</v>
      </c>
      <c r="BE59" s="41" t="s">
        <v>82</v>
      </c>
      <c r="BF59" s="41" t="s">
        <v>265</v>
      </c>
      <c r="BG59" s="41" t="s">
        <v>265</v>
      </c>
      <c r="BH59" s="41" t="s">
        <v>265</v>
      </c>
      <c r="BI59" s="41" t="s">
        <v>265</v>
      </c>
      <c r="BJ59" s="41" t="s">
        <v>265</v>
      </c>
      <c r="BK59" s="41" t="s">
        <v>82</v>
      </c>
      <c r="BL59" s="122">
        <f>IF(AZ59="N.S","N.S",3*(AZ59*BL1+0.001*IF(BB59="N.S",0,BB59*(1-BL1))))</f>
        <v>0.13128600000000001</v>
      </c>
      <c r="BM59" s="520" t="s">
        <v>265</v>
      </c>
      <c r="BN59" s="656" t="str">
        <f t="shared" si="10"/>
        <v>N.S</v>
      </c>
      <c r="BO59" s="283">
        <f t="shared" si="11"/>
        <v>5712.718797129929</v>
      </c>
      <c r="BP59" s="87" t="s">
        <v>353</v>
      </c>
      <c r="BQ59" s="41" t="s">
        <v>265</v>
      </c>
      <c r="BR59" s="41" t="s">
        <v>265</v>
      </c>
      <c r="BS59" s="41" t="s">
        <v>265</v>
      </c>
      <c r="BT59" s="41" t="s">
        <v>265</v>
      </c>
      <c r="BU59" s="41" t="s">
        <v>265</v>
      </c>
      <c r="BV59" s="41" t="s">
        <v>265</v>
      </c>
      <c r="BW59" s="41" t="s">
        <v>82</v>
      </c>
      <c r="BX59" s="339" t="s">
        <v>265</v>
      </c>
      <c r="BY59" s="41" t="s">
        <v>265</v>
      </c>
      <c r="BZ59" s="88" t="s">
        <v>577</v>
      </c>
      <c r="CA59" s="301" t="s">
        <v>265</v>
      </c>
      <c r="CB59" s="41" t="s">
        <v>265</v>
      </c>
      <c r="CC59" s="484" t="s">
        <v>82</v>
      </c>
      <c r="CD59" s="41" t="s">
        <v>265</v>
      </c>
      <c r="CE59" s="41" t="s">
        <v>265</v>
      </c>
      <c r="CF59" s="41" t="s">
        <v>265</v>
      </c>
      <c r="CG59" s="41" t="s">
        <v>265</v>
      </c>
      <c r="CH59" s="41" t="s">
        <v>265</v>
      </c>
      <c r="CI59" s="522" t="s">
        <v>265</v>
      </c>
      <c r="CJ59" s="127" t="s">
        <v>265</v>
      </c>
      <c r="CK59" s="662">
        <v>18000</v>
      </c>
      <c r="CL59" s="41"/>
      <c r="CM59" s="477" t="s">
        <v>359</v>
      </c>
      <c r="CN59" s="477"/>
      <c r="CO59" s="183">
        <v>1</v>
      </c>
      <c r="CP59" s="127"/>
      <c r="CQ59" s="127">
        <f>LOG((CS59-CR59)/0.8,2)</f>
        <v>6.8917837032183105</v>
      </c>
      <c r="CR59" s="183">
        <v>-10</v>
      </c>
      <c r="CS59" s="129">
        <v>85</v>
      </c>
      <c r="CT59" s="184">
        <v>1</v>
      </c>
      <c r="CU59" s="127">
        <v>12</v>
      </c>
      <c r="CV59" s="127">
        <f>LOG((CX59-CW59)/6,2)</f>
        <v>3.7369655941662066</v>
      </c>
      <c r="CW59" s="183">
        <v>0</v>
      </c>
      <c r="CX59" s="129">
        <v>80</v>
      </c>
      <c r="CY59" s="87">
        <v>0</v>
      </c>
      <c r="CZ59" s="41">
        <v>0</v>
      </c>
      <c r="DA59" s="41"/>
      <c r="DB59" s="41"/>
      <c r="DC59" s="41"/>
      <c r="DD59" s="41"/>
      <c r="DE59" s="41"/>
      <c r="DF59" s="41"/>
      <c r="DG59" s="41"/>
      <c r="DH59" s="41"/>
      <c r="DI59" s="123"/>
      <c r="DJ59" s="87">
        <v>0</v>
      </c>
      <c r="DK59" s="41">
        <v>0</v>
      </c>
      <c r="DL59" s="41"/>
      <c r="DM59" s="41"/>
      <c r="DN59" s="41"/>
      <c r="DO59" s="41"/>
      <c r="DP59" s="41"/>
      <c r="DQ59" s="41"/>
      <c r="DR59" s="41"/>
      <c r="DS59" s="41"/>
      <c r="DT59" s="88"/>
      <c r="DU59" s="87">
        <v>0</v>
      </c>
      <c r="DV59" s="41">
        <v>0</v>
      </c>
      <c r="DW59" s="41"/>
      <c r="DX59" s="41"/>
      <c r="DY59" s="41"/>
      <c r="DZ59" s="41"/>
      <c r="EA59" s="41"/>
      <c r="EB59" s="41"/>
      <c r="EC59" s="41"/>
      <c r="ED59" s="41"/>
      <c r="EE59" s="123"/>
      <c r="EF59" s="87">
        <v>0</v>
      </c>
      <c r="EG59" s="41"/>
      <c r="EH59" s="41"/>
      <c r="EI59" s="41"/>
      <c r="EJ59" s="88"/>
      <c r="EK59" s="87">
        <v>0</v>
      </c>
      <c r="EL59" s="41"/>
      <c r="EM59" s="41"/>
      <c r="EN59" s="41"/>
      <c r="EO59" s="88"/>
      <c r="EP59" s="87">
        <v>0</v>
      </c>
      <c r="EQ59" s="41"/>
      <c r="ER59" s="41"/>
      <c r="ES59" s="41"/>
      <c r="ET59" s="88"/>
      <c r="EU59" s="87">
        <v>0</v>
      </c>
      <c r="EV59" s="41"/>
      <c r="EW59" s="41"/>
      <c r="EX59" s="41"/>
      <c r="EY59" s="88"/>
      <c r="EZ59" s="87">
        <v>0</v>
      </c>
      <c r="FA59" s="41"/>
      <c r="FB59" s="41"/>
      <c r="FC59" s="41"/>
      <c r="FD59" s="88"/>
      <c r="FE59" s="87">
        <v>0</v>
      </c>
      <c r="FF59" s="127"/>
      <c r="FG59" s="127"/>
      <c r="FH59" s="127"/>
      <c r="FI59" s="123"/>
      <c r="FJ59" s="87">
        <v>0</v>
      </c>
      <c r="FK59" s="41"/>
      <c r="FL59" s="41"/>
      <c r="FM59" s="41"/>
      <c r="FN59" s="88"/>
      <c r="FO59" s="87">
        <v>0</v>
      </c>
      <c r="FP59" s="41"/>
      <c r="FQ59" s="41"/>
      <c r="FR59" s="41"/>
      <c r="FS59" s="88"/>
      <c r="FT59" s="87">
        <v>0</v>
      </c>
      <c r="FU59" s="41"/>
      <c r="FV59" s="41"/>
      <c r="FW59" s="41"/>
      <c r="FX59" s="88"/>
      <c r="FY59" s="87">
        <v>0</v>
      </c>
      <c r="FZ59" s="41"/>
      <c r="GA59" s="41"/>
      <c r="GB59" s="41"/>
      <c r="GC59" s="88"/>
      <c r="GD59" s="87">
        <v>0</v>
      </c>
      <c r="GE59" s="41"/>
      <c r="GF59" s="41"/>
      <c r="GG59" s="41"/>
      <c r="GH59" s="88"/>
      <c r="GI59" s="87">
        <v>0</v>
      </c>
      <c r="GJ59" s="41"/>
      <c r="GK59" s="127"/>
      <c r="GL59" s="41"/>
      <c r="GM59" s="88"/>
      <c r="GN59" s="87">
        <v>0</v>
      </c>
      <c r="GO59" s="41"/>
      <c r="GP59" s="41"/>
      <c r="GQ59" s="41"/>
      <c r="GR59" s="88"/>
      <c r="GS59" s="87">
        <v>0</v>
      </c>
      <c r="GT59" s="41"/>
      <c r="GU59" s="41"/>
      <c r="GV59" s="41"/>
      <c r="GW59" s="88"/>
      <c r="GX59" s="301">
        <f t="shared" si="1"/>
        <v>1</v>
      </c>
      <c r="GY59" s="301" t="str">
        <f t="shared" si="12"/>
        <v/>
      </c>
      <c r="GZ59" s="41" t="str">
        <f t="shared" si="2"/>
        <v/>
      </c>
      <c r="HA59" s="41" t="str">
        <f t="shared" si="3"/>
        <v/>
      </c>
      <c r="HB59" s="41" t="str">
        <f t="shared" si="4"/>
        <v/>
      </c>
      <c r="HC59" s="41" t="str">
        <f t="shared" si="5"/>
        <v/>
      </c>
      <c r="HD59" s="41" t="str">
        <f t="shared" si="6"/>
        <v/>
      </c>
      <c r="HE59" s="88" t="str">
        <f t="shared" si="7"/>
        <v/>
      </c>
      <c r="HF59" s="524" t="s">
        <v>82</v>
      </c>
      <c r="HG59" s="41" t="s">
        <v>82</v>
      </c>
      <c r="HH59" s="41" t="s">
        <v>82</v>
      </c>
      <c r="HI59" s="41" t="s">
        <v>82</v>
      </c>
      <c r="HJ59" s="41" t="s">
        <v>82</v>
      </c>
      <c r="HK59" s="41" t="s">
        <v>82</v>
      </c>
      <c r="HL59" s="41" t="s">
        <v>82</v>
      </c>
      <c r="HM59" s="41">
        <v>1</v>
      </c>
      <c r="HN59" s="41" t="s">
        <v>82</v>
      </c>
      <c r="HO59" s="41" t="s">
        <v>82</v>
      </c>
      <c r="HP59" s="41" t="s">
        <v>82</v>
      </c>
      <c r="HQ59" s="41" t="s">
        <v>82</v>
      </c>
      <c r="HR59" s="41" t="s">
        <v>82</v>
      </c>
      <c r="HS59" s="41" t="s">
        <v>82</v>
      </c>
      <c r="HT59" s="41" t="s">
        <v>82</v>
      </c>
      <c r="HU59" s="41" t="s">
        <v>82</v>
      </c>
      <c r="HV59" s="41" t="s">
        <v>82</v>
      </c>
      <c r="HW59" s="41" t="s">
        <v>82</v>
      </c>
      <c r="HX59" s="41" t="s">
        <v>82</v>
      </c>
      <c r="HY59" s="41" t="s">
        <v>82</v>
      </c>
      <c r="HZ59" s="41" t="s">
        <v>82</v>
      </c>
      <c r="IA59" s="41" t="s">
        <v>82</v>
      </c>
      <c r="IB59" s="41" t="s">
        <v>82</v>
      </c>
      <c r="IC59" s="41" t="s">
        <v>82</v>
      </c>
      <c r="ID59" s="41" t="s">
        <v>82</v>
      </c>
      <c r="IE59" s="41" t="s">
        <v>82</v>
      </c>
      <c r="IF59" s="41" t="s">
        <v>82</v>
      </c>
      <c r="IG59" s="41" t="s">
        <v>82</v>
      </c>
      <c r="IH59" s="41" t="s">
        <v>82</v>
      </c>
      <c r="II59" s="88" t="s">
        <v>82</v>
      </c>
    </row>
    <row r="60" spans="1:244" s="45" customFormat="1">
      <c r="A60" s="744"/>
      <c r="B60" s="569" t="s">
        <v>265</v>
      </c>
      <c r="C60" s="760"/>
      <c r="D60" s="100" t="s">
        <v>265</v>
      </c>
      <c r="E60" s="45" t="s">
        <v>65</v>
      </c>
      <c r="F60" s="45" t="s">
        <v>65</v>
      </c>
      <c r="G60" s="45" t="s">
        <v>65</v>
      </c>
      <c r="H60" s="45" t="s">
        <v>65</v>
      </c>
      <c r="I60" s="45" t="s">
        <v>65</v>
      </c>
      <c r="J60" s="41" t="s">
        <v>265</v>
      </c>
      <c r="K60" s="41" t="s">
        <v>265</v>
      </c>
      <c r="L60" s="88" t="s">
        <v>265</v>
      </c>
      <c r="M60" s="301" t="s">
        <v>265</v>
      </c>
      <c r="N60" s="41" t="s">
        <v>265</v>
      </c>
      <c r="O60" s="41" t="s">
        <v>265</v>
      </c>
      <c r="P60" s="41" t="s">
        <v>265</v>
      </c>
      <c r="Q60" s="41"/>
      <c r="R60" s="41" t="s">
        <v>265</v>
      </c>
      <c r="S60" s="41" t="s">
        <v>265</v>
      </c>
      <c r="T60" s="41" t="s">
        <v>265</v>
      </c>
      <c r="U60" s="41" t="s">
        <v>265</v>
      </c>
      <c r="V60" s="41" t="s">
        <v>265</v>
      </c>
      <c r="W60" s="41" t="s">
        <v>265</v>
      </c>
      <c r="X60" s="41" t="s">
        <v>265</v>
      </c>
      <c r="Y60" s="41" t="s">
        <v>265</v>
      </c>
      <c r="Z60" s="41" t="s">
        <v>265</v>
      </c>
      <c r="AA60" s="41" t="s">
        <v>265</v>
      </c>
      <c r="AB60" s="41" t="s">
        <v>265</v>
      </c>
      <c r="AC60" s="41" t="s">
        <v>265</v>
      </c>
      <c r="AD60" s="41" t="s">
        <v>265</v>
      </c>
      <c r="AE60" s="41" t="s">
        <v>265</v>
      </c>
      <c r="AF60" s="41" t="s">
        <v>265</v>
      </c>
      <c r="AG60" s="41" t="s">
        <v>265</v>
      </c>
      <c r="AH60" s="41" t="s">
        <v>265</v>
      </c>
      <c r="AI60" s="41" t="s">
        <v>265</v>
      </c>
      <c r="AJ60" s="38" t="s">
        <v>265</v>
      </c>
      <c r="AK60" s="88" t="s">
        <v>265</v>
      </c>
      <c r="AL60" s="92"/>
      <c r="AM60" s="301" t="s">
        <v>265</v>
      </c>
      <c r="AN60" s="41" t="s">
        <v>265</v>
      </c>
      <c r="AO60" s="249"/>
      <c r="AP60" s="249" t="str">
        <f t="shared" si="8"/>
        <v>N.S</v>
      </c>
      <c r="AQ60" s="518" t="str">
        <f t="shared" si="9"/>
        <v>N.S</v>
      </c>
      <c r="AR60" s="88" t="s">
        <v>265</v>
      </c>
      <c r="AS60" s="334" t="s">
        <v>265</v>
      </c>
      <c r="AT60" s="334" t="s">
        <v>265</v>
      </c>
      <c r="AU60" s="41" t="s">
        <v>265</v>
      </c>
      <c r="AV60" s="41" t="s">
        <v>265</v>
      </c>
      <c r="AW60" s="41" t="s">
        <v>265</v>
      </c>
      <c r="AX60" s="41" t="s">
        <v>265</v>
      </c>
      <c r="AY60" s="41" t="s">
        <v>265</v>
      </c>
      <c r="AZ60" s="127" t="s">
        <v>265</v>
      </c>
      <c r="BA60" s="477" t="s">
        <v>265</v>
      </c>
      <c r="BB60" s="477" t="s">
        <v>265</v>
      </c>
      <c r="BC60" s="41" t="s">
        <v>265</v>
      </c>
      <c r="BD60" s="41" t="s">
        <v>265</v>
      </c>
      <c r="BE60" s="41" t="s">
        <v>265</v>
      </c>
      <c r="BF60" s="41" t="s">
        <v>265</v>
      </c>
      <c r="BG60" s="41" t="s">
        <v>265</v>
      </c>
      <c r="BH60" s="41" t="s">
        <v>265</v>
      </c>
      <c r="BI60" s="41" t="s">
        <v>265</v>
      </c>
      <c r="BJ60" s="41" t="s">
        <v>265</v>
      </c>
      <c r="BK60" s="41" t="s">
        <v>265</v>
      </c>
      <c r="BL60" s="122" t="str">
        <f>IF(AZ60="N.S","N.S",3*(AZ60*BL1+0.001*IF(BB60="N.S",0,BB60*(1-BL1))))</f>
        <v>N.S</v>
      </c>
      <c r="BM60" s="520" t="s">
        <v>265</v>
      </c>
      <c r="BN60" s="656" t="str">
        <f t="shared" si="10"/>
        <v>N.S</v>
      </c>
      <c r="BO60" s="283" t="str">
        <f t="shared" si="11"/>
        <v>N.S</v>
      </c>
      <c r="BP60" s="87" t="s">
        <v>265</v>
      </c>
      <c r="BQ60" s="41" t="s">
        <v>265</v>
      </c>
      <c r="BR60" s="41" t="s">
        <v>265</v>
      </c>
      <c r="BS60" s="41" t="s">
        <v>265</v>
      </c>
      <c r="BT60" s="41" t="s">
        <v>265</v>
      </c>
      <c r="BU60" s="41" t="s">
        <v>265</v>
      </c>
      <c r="BV60" s="41" t="s">
        <v>265</v>
      </c>
      <c r="BW60" s="41" t="s">
        <v>265</v>
      </c>
      <c r="BX60" s="41" t="s">
        <v>265</v>
      </c>
      <c r="BY60" s="41" t="s">
        <v>265</v>
      </c>
      <c r="BZ60" s="88" t="s">
        <v>265</v>
      </c>
      <c r="CA60" s="301" t="s">
        <v>265</v>
      </c>
      <c r="CB60" s="41" t="s">
        <v>265</v>
      </c>
      <c r="CC60" s="484" t="s">
        <v>265</v>
      </c>
      <c r="CD60" s="41" t="s">
        <v>265</v>
      </c>
      <c r="CE60" s="41" t="s">
        <v>265</v>
      </c>
      <c r="CF60" s="41" t="s">
        <v>265</v>
      </c>
      <c r="CG60" s="41" t="s">
        <v>265</v>
      </c>
      <c r="CH60" s="41" t="s">
        <v>265</v>
      </c>
      <c r="CI60" s="522" t="s">
        <v>265</v>
      </c>
      <c r="CJ60" s="127" t="s">
        <v>265</v>
      </c>
      <c r="CK60" s="523" t="s">
        <v>265</v>
      </c>
      <c r="CL60" s="41"/>
      <c r="CM60" s="477"/>
      <c r="CN60" s="477"/>
      <c r="CO60" s="183">
        <v>0</v>
      </c>
      <c r="CP60" s="127"/>
      <c r="CQ60" s="127"/>
      <c r="CR60" s="183"/>
      <c r="CS60" s="129"/>
      <c r="CT60" s="184">
        <v>0</v>
      </c>
      <c r="CU60" s="127"/>
      <c r="CV60" s="127"/>
      <c r="CW60" s="183"/>
      <c r="CX60" s="129"/>
      <c r="CY60" s="87">
        <v>0</v>
      </c>
      <c r="CZ60" s="41">
        <v>0</v>
      </c>
      <c r="DA60" s="41"/>
      <c r="DB60" s="41"/>
      <c r="DC60" s="41"/>
      <c r="DD60" s="41"/>
      <c r="DE60" s="41"/>
      <c r="DF60" s="41"/>
      <c r="DG60" s="41"/>
      <c r="DH60" s="41"/>
      <c r="DI60" s="123"/>
      <c r="DJ60" s="87">
        <v>0</v>
      </c>
      <c r="DK60" s="41">
        <v>0</v>
      </c>
      <c r="DL60" s="41"/>
      <c r="DM60" s="41"/>
      <c r="DN60" s="41"/>
      <c r="DO60" s="41"/>
      <c r="DP60" s="41"/>
      <c r="DQ60" s="41"/>
      <c r="DR60" s="41"/>
      <c r="DS60" s="41"/>
      <c r="DT60" s="88"/>
      <c r="DU60" s="87">
        <v>0</v>
      </c>
      <c r="DV60" s="41">
        <v>0</v>
      </c>
      <c r="DW60" s="41"/>
      <c r="DX60" s="41"/>
      <c r="DY60" s="41"/>
      <c r="DZ60" s="41"/>
      <c r="EA60" s="41"/>
      <c r="EB60" s="41"/>
      <c r="EC60" s="41"/>
      <c r="ED60" s="41"/>
      <c r="EE60" s="123"/>
      <c r="EF60" s="87">
        <v>0</v>
      </c>
      <c r="EG60" s="41"/>
      <c r="EH60" s="41"/>
      <c r="EI60" s="41"/>
      <c r="EJ60" s="88"/>
      <c r="EK60" s="87">
        <v>0</v>
      </c>
      <c r="EL60" s="41"/>
      <c r="EM60" s="41"/>
      <c r="EN60" s="41"/>
      <c r="EO60" s="88"/>
      <c r="EP60" s="87">
        <v>0</v>
      </c>
      <c r="EQ60" s="41"/>
      <c r="ER60" s="41"/>
      <c r="ES60" s="41"/>
      <c r="ET60" s="88"/>
      <c r="EU60" s="87">
        <v>0</v>
      </c>
      <c r="EV60" s="41"/>
      <c r="EW60" s="41"/>
      <c r="EX60" s="41"/>
      <c r="EY60" s="88"/>
      <c r="EZ60" s="87">
        <v>0</v>
      </c>
      <c r="FA60" s="41"/>
      <c r="FB60" s="41"/>
      <c r="FC60" s="41"/>
      <c r="FD60" s="88"/>
      <c r="FE60" s="87">
        <v>0</v>
      </c>
      <c r="FF60" s="127"/>
      <c r="FG60" s="127"/>
      <c r="FH60" s="127"/>
      <c r="FI60" s="123"/>
      <c r="FJ60" s="87">
        <v>0</v>
      </c>
      <c r="FK60" s="41"/>
      <c r="FL60" s="41"/>
      <c r="FM60" s="41"/>
      <c r="FN60" s="88"/>
      <c r="FO60" s="87">
        <v>0</v>
      </c>
      <c r="FP60" s="41"/>
      <c r="FQ60" s="41"/>
      <c r="FR60" s="41"/>
      <c r="FS60" s="88"/>
      <c r="FT60" s="87">
        <v>0</v>
      </c>
      <c r="FU60" s="41"/>
      <c r="FV60" s="41"/>
      <c r="FW60" s="41"/>
      <c r="FX60" s="88"/>
      <c r="FY60" s="87">
        <v>0</v>
      </c>
      <c r="FZ60" s="41"/>
      <c r="GA60" s="41"/>
      <c r="GB60" s="41"/>
      <c r="GC60" s="88"/>
      <c r="GD60" s="87">
        <v>0</v>
      </c>
      <c r="GE60" s="41"/>
      <c r="GF60" s="41"/>
      <c r="GG60" s="41"/>
      <c r="GH60" s="88"/>
      <c r="GI60" s="87">
        <v>0</v>
      </c>
      <c r="GJ60" s="41"/>
      <c r="GK60" s="127"/>
      <c r="GL60" s="41"/>
      <c r="GM60" s="88"/>
      <c r="GN60" s="87">
        <v>0</v>
      </c>
      <c r="GO60" s="41"/>
      <c r="GP60" s="41"/>
      <c r="GQ60" s="41"/>
      <c r="GR60" s="88"/>
      <c r="GS60" s="87">
        <v>0</v>
      </c>
      <c r="GT60" s="41"/>
      <c r="GU60" s="41"/>
      <c r="GV60" s="41"/>
      <c r="GW60" s="88"/>
      <c r="GX60" s="301" t="str">
        <f t="shared" si="1"/>
        <v/>
      </c>
      <c r="GY60" s="301" t="str">
        <f t="shared" si="12"/>
        <v/>
      </c>
      <c r="GZ60" s="41" t="str">
        <f t="shared" si="2"/>
        <v/>
      </c>
      <c r="HA60" s="41" t="str">
        <f t="shared" si="3"/>
        <v/>
      </c>
      <c r="HB60" s="41" t="str">
        <f t="shared" si="4"/>
        <v/>
      </c>
      <c r="HC60" s="41" t="str">
        <f t="shared" si="5"/>
        <v/>
      </c>
      <c r="HD60" s="41">
        <f t="shared" si="6"/>
        <v>1</v>
      </c>
      <c r="HE60" s="88" t="str">
        <f t="shared" si="7"/>
        <v/>
      </c>
      <c r="HF60" s="524" t="s">
        <v>82</v>
      </c>
      <c r="HG60" s="41" t="s">
        <v>82</v>
      </c>
      <c r="HH60" s="41" t="s">
        <v>82</v>
      </c>
      <c r="HI60" s="41" t="s">
        <v>82</v>
      </c>
      <c r="HJ60" s="41" t="s">
        <v>82</v>
      </c>
      <c r="HK60" s="41" t="s">
        <v>82</v>
      </c>
      <c r="HL60" s="41" t="s">
        <v>82</v>
      </c>
      <c r="HM60" s="41" t="s">
        <v>82</v>
      </c>
      <c r="HN60" s="41" t="s">
        <v>82</v>
      </c>
      <c r="HO60" s="41" t="s">
        <v>82</v>
      </c>
      <c r="HP60" s="41" t="s">
        <v>82</v>
      </c>
      <c r="HQ60" s="41" t="s">
        <v>82</v>
      </c>
      <c r="HR60" s="41" t="s">
        <v>82</v>
      </c>
      <c r="HS60" s="41" t="s">
        <v>82</v>
      </c>
      <c r="HT60" s="41" t="s">
        <v>82</v>
      </c>
      <c r="HU60" s="41" t="s">
        <v>82</v>
      </c>
      <c r="HV60" s="41" t="s">
        <v>82</v>
      </c>
      <c r="HW60" s="41" t="s">
        <v>82</v>
      </c>
      <c r="HX60" s="41" t="s">
        <v>82</v>
      </c>
      <c r="HY60" s="41" t="s">
        <v>82</v>
      </c>
      <c r="HZ60" s="41" t="s">
        <v>82</v>
      </c>
      <c r="IA60" s="41" t="s">
        <v>82</v>
      </c>
      <c r="IB60" s="41" t="s">
        <v>82</v>
      </c>
      <c r="IC60" s="41" t="s">
        <v>82</v>
      </c>
      <c r="ID60" s="41" t="s">
        <v>82</v>
      </c>
      <c r="IE60" s="41" t="s">
        <v>82</v>
      </c>
      <c r="IF60" s="41" t="s">
        <v>82</v>
      </c>
      <c r="IG60" s="41" t="s">
        <v>82</v>
      </c>
      <c r="IH60" s="41" t="s">
        <v>82</v>
      </c>
      <c r="II60" s="88" t="s">
        <v>82</v>
      </c>
      <c r="IJ60" s="44"/>
    </row>
    <row r="61" spans="1:244" s="45" customFormat="1" ht="27.6">
      <c r="A61" s="744"/>
      <c r="B61" s="388" t="s">
        <v>360</v>
      </c>
      <c r="C61" s="760"/>
      <c r="D61" s="100" t="s">
        <v>229</v>
      </c>
      <c r="E61" s="343" t="s">
        <v>65</v>
      </c>
      <c r="F61" s="343" t="s">
        <v>124</v>
      </c>
      <c r="G61" s="343" t="s">
        <v>65</v>
      </c>
      <c r="H61" s="11" t="s">
        <v>65</v>
      </c>
      <c r="I61" s="346" t="s">
        <v>65</v>
      </c>
      <c r="J61" s="128">
        <v>1.89</v>
      </c>
      <c r="K61" s="362">
        <v>7</v>
      </c>
      <c r="L61" s="552">
        <v>2016</v>
      </c>
      <c r="M61" s="19" t="s">
        <v>480</v>
      </c>
      <c r="N61" s="41" t="s">
        <v>82</v>
      </c>
      <c r="O61" s="41" t="s">
        <v>82</v>
      </c>
      <c r="P61" s="41" t="s">
        <v>82</v>
      </c>
      <c r="Q61" s="41"/>
      <c r="R61" s="41" t="s">
        <v>82</v>
      </c>
      <c r="S61" s="41">
        <v>1</v>
      </c>
      <c r="T61" s="41">
        <v>1</v>
      </c>
      <c r="U61" s="41"/>
      <c r="V61" s="41">
        <v>14</v>
      </c>
      <c r="W61" s="41">
        <v>13</v>
      </c>
      <c r="X61" s="41">
        <v>12</v>
      </c>
      <c r="Y61" s="41">
        <v>11</v>
      </c>
      <c r="Z61" s="41" t="s">
        <v>265</v>
      </c>
      <c r="AA61" s="41" t="s">
        <v>265</v>
      </c>
      <c r="AB61" s="41" t="s">
        <v>265</v>
      </c>
      <c r="AC61" s="41" t="s">
        <v>265</v>
      </c>
      <c r="AD61" s="41" t="s">
        <v>265</v>
      </c>
      <c r="AE61" s="41" t="s">
        <v>265</v>
      </c>
      <c r="AF61" s="41" t="s">
        <v>265</v>
      </c>
      <c r="AG61" s="41" t="s">
        <v>265</v>
      </c>
      <c r="AH61" s="41" t="s">
        <v>265</v>
      </c>
      <c r="AI61" s="41" t="s">
        <v>265</v>
      </c>
      <c r="AJ61" s="38">
        <v>0</v>
      </c>
      <c r="AK61" s="88" t="s">
        <v>265</v>
      </c>
      <c r="AL61" s="92"/>
      <c r="AM61" s="301">
        <v>3</v>
      </c>
      <c r="AN61" s="41">
        <v>3</v>
      </c>
      <c r="AO61" s="249"/>
      <c r="AP61" s="249">
        <f t="shared" si="8"/>
        <v>3</v>
      </c>
      <c r="AQ61" s="518">
        <f t="shared" si="9"/>
        <v>9</v>
      </c>
      <c r="AR61" s="88" t="s">
        <v>354</v>
      </c>
      <c r="AS61" s="334">
        <v>1.9</v>
      </c>
      <c r="AT61" s="334">
        <v>3.6</v>
      </c>
      <c r="AU61" s="41" t="s">
        <v>265</v>
      </c>
      <c r="AV61" s="41" t="s">
        <v>265</v>
      </c>
      <c r="AW61" s="41" t="s">
        <v>265</v>
      </c>
      <c r="AX61" s="41" t="s">
        <v>265</v>
      </c>
      <c r="AY61" s="41" t="s">
        <v>265</v>
      </c>
      <c r="AZ61" s="127">
        <v>4</v>
      </c>
      <c r="BA61" s="41" t="s">
        <v>265</v>
      </c>
      <c r="BB61" s="41">
        <v>3.8</v>
      </c>
      <c r="BC61" s="41" t="s">
        <v>265</v>
      </c>
      <c r="BD61" s="41" t="s">
        <v>265</v>
      </c>
      <c r="BE61" s="41" t="s">
        <v>82</v>
      </c>
      <c r="BF61" s="41" t="s">
        <v>265</v>
      </c>
      <c r="BG61" s="41" t="s">
        <v>265</v>
      </c>
      <c r="BH61" s="41" t="s">
        <v>265</v>
      </c>
      <c r="BI61" s="41" t="s">
        <v>265</v>
      </c>
      <c r="BJ61" s="41" t="s">
        <v>265</v>
      </c>
      <c r="BK61" s="41" t="s">
        <v>82</v>
      </c>
      <c r="BL61" s="122">
        <f>IF(AZ61="N.S","N.S",3*(AZ61*BL1+0.001*IF(BB61="N.S",0,BB61*(1-BL1))))</f>
        <v>0.13128600000000001</v>
      </c>
      <c r="BM61" s="520" t="s">
        <v>265</v>
      </c>
      <c r="BN61" s="656" t="str">
        <f t="shared" si="10"/>
        <v>N.S</v>
      </c>
      <c r="BO61" s="283">
        <f t="shared" si="11"/>
        <v>5712.718797129929</v>
      </c>
      <c r="BP61" s="87" t="s">
        <v>353</v>
      </c>
      <c r="BQ61" s="41" t="s">
        <v>265</v>
      </c>
      <c r="BR61" s="41" t="s">
        <v>265</v>
      </c>
      <c r="BS61" s="41" t="s">
        <v>265</v>
      </c>
      <c r="BT61" s="41" t="s">
        <v>265</v>
      </c>
      <c r="BU61" s="41" t="s">
        <v>265</v>
      </c>
      <c r="BV61" s="41" t="s">
        <v>265</v>
      </c>
      <c r="BW61" s="41" t="s">
        <v>82</v>
      </c>
      <c r="BX61" s="339" t="s">
        <v>265</v>
      </c>
      <c r="BY61" s="41" t="s">
        <v>265</v>
      </c>
      <c r="BZ61" s="88" t="s">
        <v>577</v>
      </c>
      <c r="CA61" s="301" t="s">
        <v>265</v>
      </c>
      <c r="CB61" s="41" t="s">
        <v>265</v>
      </c>
      <c r="CC61" s="484" t="s">
        <v>82</v>
      </c>
      <c r="CD61" s="41" t="s">
        <v>265</v>
      </c>
      <c r="CE61" s="41" t="s">
        <v>265</v>
      </c>
      <c r="CF61" s="41" t="s">
        <v>265</v>
      </c>
      <c r="CG61" s="41" t="s">
        <v>265</v>
      </c>
      <c r="CH61" s="41" t="s">
        <v>265</v>
      </c>
      <c r="CI61" s="522" t="s">
        <v>265</v>
      </c>
      <c r="CJ61" s="127" t="s">
        <v>265</v>
      </c>
      <c r="CK61" s="662">
        <v>18000</v>
      </c>
      <c r="CL61" s="41"/>
      <c r="CM61" s="477"/>
      <c r="CN61" s="477"/>
      <c r="CO61" s="183">
        <v>1</v>
      </c>
      <c r="CP61" s="127"/>
      <c r="CQ61" s="127">
        <f>LOG((CS61-CR61)/0.6,2)</f>
        <v>8.1032878084120235</v>
      </c>
      <c r="CR61" s="183">
        <v>-40</v>
      </c>
      <c r="CS61" s="129">
        <v>125</v>
      </c>
      <c r="CT61" s="184">
        <v>0</v>
      </c>
      <c r="CU61" s="127"/>
      <c r="CV61" s="127"/>
      <c r="CW61" s="183"/>
      <c r="CX61" s="129"/>
      <c r="CY61" s="87">
        <v>0</v>
      </c>
      <c r="CZ61" s="41">
        <v>0</v>
      </c>
      <c r="DA61" s="41"/>
      <c r="DB61" s="41"/>
      <c r="DC61" s="41"/>
      <c r="DD61" s="41"/>
      <c r="DE61" s="41"/>
      <c r="DF61" s="41"/>
      <c r="DG61" s="41"/>
      <c r="DH61" s="41"/>
      <c r="DI61" s="123"/>
      <c r="DJ61" s="87">
        <v>0</v>
      </c>
      <c r="DK61" s="41">
        <v>0</v>
      </c>
      <c r="DL61" s="41"/>
      <c r="DM61" s="41"/>
      <c r="DN61" s="41"/>
      <c r="DO61" s="41"/>
      <c r="DP61" s="41"/>
      <c r="DQ61" s="41"/>
      <c r="DR61" s="41"/>
      <c r="DS61" s="41"/>
      <c r="DT61" s="88"/>
      <c r="DU61" s="87">
        <v>0</v>
      </c>
      <c r="DV61" s="41">
        <v>0</v>
      </c>
      <c r="DW61" s="41"/>
      <c r="DX61" s="41"/>
      <c r="DY61" s="41"/>
      <c r="DZ61" s="41"/>
      <c r="EA61" s="41"/>
      <c r="EB61" s="41"/>
      <c r="EC61" s="41"/>
      <c r="ED61" s="41"/>
      <c r="EE61" s="123"/>
      <c r="EF61" s="87">
        <v>0</v>
      </c>
      <c r="EG61" s="41"/>
      <c r="EH61" s="41"/>
      <c r="EI61" s="41"/>
      <c r="EJ61" s="88"/>
      <c r="EK61" s="87">
        <v>0</v>
      </c>
      <c r="EL61" s="41"/>
      <c r="EM61" s="41"/>
      <c r="EN61" s="41"/>
      <c r="EO61" s="88"/>
      <c r="EP61" s="87">
        <v>0</v>
      </c>
      <c r="EQ61" s="41"/>
      <c r="ER61" s="41"/>
      <c r="ES61" s="41"/>
      <c r="ET61" s="88"/>
      <c r="EU61" s="87">
        <v>0</v>
      </c>
      <c r="EV61" s="41"/>
      <c r="EW61" s="41"/>
      <c r="EX61" s="41"/>
      <c r="EY61" s="88"/>
      <c r="EZ61" s="87">
        <v>0</v>
      </c>
      <c r="FA61" s="41"/>
      <c r="FB61" s="41"/>
      <c r="FC61" s="41"/>
      <c r="FD61" s="88"/>
      <c r="FE61" s="87">
        <v>0</v>
      </c>
      <c r="FF61" s="127"/>
      <c r="FG61" s="127"/>
      <c r="FH61" s="127"/>
      <c r="FI61" s="123"/>
      <c r="FJ61" s="87">
        <v>0</v>
      </c>
      <c r="FK61" s="41"/>
      <c r="FL61" s="41"/>
      <c r="FM61" s="41"/>
      <c r="FN61" s="88"/>
      <c r="FO61" s="87">
        <v>0</v>
      </c>
      <c r="FP61" s="41"/>
      <c r="FQ61" s="41"/>
      <c r="FR61" s="41"/>
      <c r="FS61" s="88"/>
      <c r="FT61" s="87">
        <v>0</v>
      </c>
      <c r="FU61" s="41"/>
      <c r="FV61" s="41"/>
      <c r="FW61" s="41"/>
      <c r="FX61" s="88"/>
      <c r="FY61" s="87">
        <v>0</v>
      </c>
      <c r="FZ61" s="41"/>
      <c r="GA61" s="41"/>
      <c r="GB61" s="41"/>
      <c r="GC61" s="88"/>
      <c r="GD61" s="87">
        <v>0</v>
      </c>
      <c r="GE61" s="41"/>
      <c r="GF61" s="41"/>
      <c r="GG61" s="41"/>
      <c r="GH61" s="88"/>
      <c r="GI61" s="87">
        <v>0</v>
      </c>
      <c r="GJ61" s="41"/>
      <c r="GK61" s="127"/>
      <c r="GL61" s="41"/>
      <c r="GM61" s="88"/>
      <c r="GN61" s="87">
        <v>0</v>
      </c>
      <c r="GO61" s="41"/>
      <c r="GP61" s="41"/>
      <c r="GQ61" s="41"/>
      <c r="GR61" s="88"/>
      <c r="GS61" s="87">
        <v>0</v>
      </c>
      <c r="GT61" s="41"/>
      <c r="GU61" s="41"/>
      <c r="GV61" s="41"/>
      <c r="GW61" s="88"/>
      <c r="GX61" s="301">
        <f t="shared" si="1"/>
        <v>1</v>
      </c>
      <c r="GY61" s="301" t="str">
        <f t="shared" si="12"/>
        <v/>
      </c>
      <c r="GZ61" s="41" t="str">
        <f t="shared" si="2"/>
        <v/>
      </c>
      <c r="HA61" s="41" t="str">
        <f t="shared" si="3"/>
        <v/>
      </c>
      <c r="HB61" s="41" t="str">
        <f t="shared" si="4"/>
        <v/>
      </c>
      <c r="HC61" s="41" t="str">
        <f t="shared" si="5"/>
        <v/>
      </c>
      <c r="HD61" s="41" t="str">
        <f t="shared" si="6"/>
        <v/>
      </c>
      <c r="HE61" s="88" t="str">
        <f t="shared" si="7"/>
        <v/>
      </c>
      <c r="HF61" s="524" t="s">
        <v>82</v>
      </c>
      <c r="HG61" s="41" t="s">
        <v>82</v>
      </c>
      <c r="HH61" s="41" t="s">
        <v>82</v>
      </c>
      <c r="HI61" s="41" t="s">
        <v>82</v>
      </c>
      <c r="HJ61" s="41" t="s">
        <v>82</v>
      </c>
      <c r="HK61" s="41" t="s">
        <v>82</v>
      </c>
      <c r="HL61" s="41" t="s">
        <v>82</v>
      </c>
      <c r="HM61" s="41">
        <v>1</v>
      </c>
      <c r="HN61" s="41" t="s">
        <v>82</v>
      </c>
      <c r="HO61" s="41" t="s">
        <v>82</v>
      </c>
      <c r="HP61" s="41" t="s">
        <v>82</v>
      </c>
      <c r="HQ61" s="41" t="s">
        <v>82</v>
      </c>
      <c r="HR61" s="41" t="s">
        <v>82</v>
      </c>
      <c r="HS61" s="41" t="s">
        <v>82</v>
      </c>
      <c r="HT61" s="41" t="s">
        <v>82</v>
      </c>
      <c r="HU61" s="41" t="s">
        <v>82</v>
      </c>
      <c r="HV61" s="41" t="s">
        <v>82</v>
      </c>
      <c r="HW61" s="41" t="s">
        <v>82</v>
      </c>
      <c r="HX61" s="41" t="s">
        <v>82</v>
      </c>
      <c r="HY61" s="41" t="s">
        <v>82</v>
      </c>
      <c r="HZ61" s="41" t="s">
        <v>82</v>
      </c>
      <c r="IA61" s="41" t="s">
        <v>82</v>
      </c>
      <c r="IB61" s="41" t="s">
        <v>82</v>
      </c>
      <c r="IC61" s="41" t="s">
        <v>82</v>
      </c>
      <c r="ID61" s="41" t="s">
        <v>82</v>
      </c>
      <c r="IE61" s="41" t="s">
        <v>82</v>
      </c>
      <c r="IF61" s="41" t="s">
        <v>82</v>
      </c>
      <c r="IG61" s="41" t="s">
        <v>82</v>
      </c>
      <c r="IH61" s="41" t="s">
        <v>82</v>
      </c>
      <c r="II61" s="88" t="s">
        <v>82</v>
      </c>
      <c r="IJ61" s="44"/>
    </row>
    <row r="62" spans="1:244" s="45" customFormat="1">
      <c r="A62" s="744"/>
      <c r="B62" s="569" t="s">
        <v>265</v>
      </c>
      <c r="C62" s="761"/>
      <c r="D62" s="100" t="s">
        <v>265</v>
      </c>
      <c r="E62" s="45" t="s">
        <v>65</v>
      </c>
      <c r="F62" s="45" t="s">
        <v>65</v>
      </c>
      <c r="G62" s="45" t="s">
        <v>65</v>
      </c>
      <c r="H62" s="45" t="s">
        <v>65</v>
      </c>
      <c r="I62" s="45" t="s">
        <v>65</v>
      </c>
      <c r="J62" s="127" t="s">
        <v>265</v>
      </c>
      <c r="K62" s="127" t="s">
        <v>265</v>
      </c>
      <c r="L62" s="123" t="s">
        <v>265</v>
      </c>
      <c r="M62" s="334" t="s">
        <v>265</v>
      </c>
      <c r="N62" s="41" t="s">
        <v>265</v>
      </c>
      <c r="O62" s="41" t="s">
        <v>265</v>
      </c>
      <c r="P62" s="41" t="s">
        <v>265</v>
      </c>
      <c r="Q62" s="41"/>
      <c r="R62" s="41" t="s">
        <v>265</v>
      </c>
      <c r="S62" s="41" t="s">
        <v>265</v>
      </c>
      <c r="T62" s="41" t="s">
        <v>265</v>
      </c>
      <c r="U62" s="41" t="s">
        <v>265</v>
      </c>
      <c r="V62" s="41" t="s">
        <v>265</v>
      </c>
      <c r="W62" s="41" t="s">
        <v>265</v>
      </c>
      <c r="X62" s="41" t="s">
        <v>265</v>
      </c>
      <c r="Y62" s="41" t="s">
        <v>265</v>
      </c>
      <c r="Z62" s="41" t="s">
        <v>265</v>
      </c>
      <c r="AA62" s="41" t="s">
        <v>265</v>
      </c>
      <c r="AB62" s="41" t="s">
        <v>265</v>
      </c>
      <c r="AC62" s="41" t="s">
        <v>265</v>
      </c>
      <c r="AD62" s="41" t="s">
        <v>265</v>
      </c>
      <c r="AE62" s="41" t="s">
        <v>265</v>
      </c>
      <c r="AF62" s="41" t="s">
        <v>265</v>
      </c>
      <c r="AG62" s="41" t="s">
        <v>265</v>
      </c>
      <c r="AH62" s="41" t="s">
        <v>265</v>
      </c>
      <c r="AI62" s="41" t="s">
        <v>265</v>
      </c>
      <c r="AJ62" s="38" t="s">
        <v>265</v>
      </c>
      <c r="AK62" s="88" t="s">
        <v>265</v>
      </c>
      <c r="AL62" s="92"/>
      <c r="AM62" s="301" t="s">
        <v>265</v>
      </c>
      <c r="AN62" s="41" t="s">
        <v>265</v>
      </c>
      <c r="AO62" s="249"/>
      <c r="AP62" s="249" t="str">
        <f t="shared" si="8"/>
        <v>N.S</v>
      </c>
      <c r="AQ62" s="518" t="str">
        <f t="shared" si="9"/>
        <v>N.S</v>
      </c>
      <c r="AR62" s="88" t="s">
        <v>265</v>
      </c>
      <c r="AS62" s="334" t="s">
        <v>265</v>
      </c>
      <c r="AT62" s="334" t="s">
        <v>265</v>
      </c>
      <c r="AU62" s="41" t="s">
        <v>265</v>
      </c>
      <c r="AV62" s="41" t="s">
        <v>265</v>
      </c>
      <c r="AW62" s="41" t="s">
        <v>265</v>
      </c>
      <c r="AX62" s="41" t="s">
        <v>265</v>
      </c>
      <c r="AY62" s="41" t="s">
        <v>265</v>
      </c>
      <c r="AZ62" s="127" t="s">
        <v>265</v>
      </c>
      <c r="BA62" s="477" t="s">
        <v>265</v>
      </c>
      <c r="BB62" s="477" t="s">
        <v>265</v>
      </c>
      <c r="BC62" s="41" t="s">
        <v>265</v>
      </c>
      <c r="BD62" s="41" t="s">
        <v>265</v>
      </c>
      <c r="BE62" s="41" t="s">
        <v>265</v>
      </c>
      <c r="BF62" s="41" t="s">
        <v>265</v>
      </c>
      <c r="BG62" s="41" t="s">
        <v>265</v>
      </c>
      <c r="BH62" s="41" t="s">
        <v>265</v>
      </c>
      <c r="BI62" s="41" t="s">
        <v>265</v>
      </c>
      <c r="BJ62" s="41" t="s">
        <v>265</v>
      </c>
      <c r="BK62" s="41" t="s">
        <v>265</v>
      </c>
      <c r="BL62" s="122" t="str">
        <f>IF(AZ62="N.S","N.S",3*(AZ62*BL1+0.001*IF(BB62="N.S",0,BB62*(1-BL1))))</f>
        <v>N.S</v>
      </c>
      <c r="BM62" s="520" t="s">
        <v>265</v>
      </c>
      <c r="BN62" s="656" t="str">
        <f t="shared" si="10"/>
        <v>N.S</v>
      </c>
      <c r="BO62" s="283" t="str">
        <f t="shared" si="11"/>
        <v>N.S</v>
      </c>
      <c r="BP62" s="87" t="s">
        <v>265</v>
      </c>
      <c r="BQ62" s="41" t="s">
        <v>265</v>
      </c>
      <c r="BR62" s="41" t="s">
        <v>265</v>
      </c>
      <c r="BS62" s="41" t="s">
        <v>265</v>
      </c>
      <c r="BT62" s="41" t="s">
        <v>265</v>
      </c>
      <c r="BU62" s="41" t="s">
        <v>265</v>
      </c>
      <c r="BV62" s="41" t="s">
        <v>265</v>
      </c>
      <c r="BW62" s="41" t="s">
        <v>265</v>
      </c>
      <c r="BX62" s="41" t="s">
        <v>265</v>
      </c>
      <c r="BY62" s="41" t="s">
        <v>265</v>
      </c>
      <c r="BZ62" s="88" t="s">
        <v>265</v>
      </c>
      <c r="CA62" s="301" t="s">
        <v>265</v>
      </c>
      <c r="CB62" s="41" t="s">
        <v>265</v>
      </c>
      <c r="CC62" s="484" t="s">
        <v>265</v>
      </c>
      <c r="CD62" s="41" t="s">
        <v>265</v>
      </c>
      <c r="CE62" s="41" t="s">
        <v>265</v>
      </c>
      <c r="CF62" s="41" t="s">
        <v>265</v>
      </c>
      <c r="CG62" s="41" t="s">
        <v>265</v>
      </c>
      <c r="CH62" s="41" t="s">
        <v>265</v>
      </c>
      <c r="CI62" s="522" t="s">
        <v>265</v>
      </c>
      <c r="CJ62" s="127" t="s">
        <v>265</v>
      </c>
      <c r="CK62" s="523" t="s">
        <v>265</v>
      </c>
      <c r="CL62" s="41"/>
      <c r="CM62" s="477"/>
      <c r="CN62" s="477"/>
      <c r="CO62" s="183">
        <v>0</v>
      </c>
      <c r="CP62" s="127"/>
      <c r="CQ62" s="127"/>
      <c r="CR62" s="183"/>
      <c r="CS62" s="129"/>
      <c r="CT62" s="184">
        <v>0</v>
      </c>
      <c r="CU62" s="127"/>
      <c r="CV62" s="127"/>
      <c r="CW62" s="183"/>
      <c r="CX62" s="129"/>
      <c r="CY62" s="87">
        <v>0</v>
      </c>
      <c r="CZ62" s="41">
        <v>0</v>
      </c>
      <c r="DA62" s="41"/>
      <c r="DB62" s="41"/>
      <c r="DC62" s="41"/>
      <c r="DD62" s="41"/>
      <c r="DE62" s="41"/>
      <c r="DF62" s="41"/>
      <c r="DG62" s="41"/>
      <c r="DH62" s="41"/>
      <c r="DI62" s="123"/>
      <c r="DJ62" s="87">
        <v>0</v>
      </c>
      <c r="DK62" s="41">
        <v>0</v>
      </c>
      <c r="DL62" s="41"/>
      <c r="DM62" s="41"/>
      <c r="DN62" s="41"/>
      <c r="DO62" s="41"/>
      <c r="DP62" s="41"/>
      <c r="DQ62" s="41"/>
      <c r="DR62" s="41"/>
      <c r="DS62" s="41"/>
      <c r="DT62" s="88"/>
      <c r="DU62" s="87">
        <v>0</v>
      </c>
      <c r="DV62" s="41">
        <v>0</v>
      </c>
      <c r="DW62" s="41"/>
      <c r="DX62" s="41"/>
      <c r="DY62" s="41"/>
      <c r="DZ62" s="41"/>
      <c r="EA62" s="41"/>
      <c r="EB62" s="41"/>
      <c r="EC62" s="41"/>
      <c r="ED62" s="41"/>
      <c r="EE62" s="123"/>
      <c r="EF62" s="87">
        <v>0</v>
      </c>
      <c r="EG62" s="41"/>
      <c r="EH62" s="41"/>
      <c r="EI62" s="41"/>
      <c r="EJ62" s="88"/>
      <c r="EK62" s="87">
        <v>0</v>
      </c>
      <c r="EL62" s="41"/>
      <c r="EM62" s="41"/>
      <c r="EN62" s="41"/>
      <c r="EO62" s="88"/>
      <c r="EP62" s="87">
        <v>0</v>
      </c>
      <c r="EQ62" s="41"/>
      <c r="ER62" s="41"/>
      <c r="ES62" s="41"/>
      <c r="ET62" s="88"/>
      <c r="EU62" s="87">
        <v>0</v>
      </c>
      <c r="EV62" s="41"/>
      <c r="EW62" s="41"/>
      <c r="EX62" s="41"/>
      <c r="EY62" s="88"/>
      <c r="EZ62" s="87">
        <v>0</v>
      </c>
      <c r="FA62" s="41"/>
      <c r="FB62" s="41"/>
      <c r="FC62" s="41"/>
      <c r="FD62" s="88"/>
      <c r="FE62" s="87">
        <v>0</v>
      </c>
      <c r="FF62" s="127"/>
      <c r="FG62" s="127"/>
      <c r="FH62" s="127"/>
      <c r="FI62" s="123"/>
      <c r="FJ62" s="87">
        <v>0</v>
      </c>
      <c r="FK62" s="41"/>
      <c r="FL62" s="41"/>
      <c r="FM62" s="41"/>
      <c r="FN62" s="88"/>
      <c r="FO62" s="87">
        <v>0</v>
      </c>
      <c r="FP62" s="41"/>
      <c r="FQ62" s="41"/>
      <c r="FR62" s="41"/>
      <c r="FS62" s="88"/>
      <c r="FT62" s="87">
        <v>0</v>
      </c>
      <c r="FU62" s="41"/>
      <c r="FV62" s="41"/>
      <c r="FW62" s="41"/>
      <c r="FX62" s="88"/>
      <c r="FY62" s="87">
        <v>0</v>
      </c>
      <c r="FZ62" s="41"/>
      <c r="GA62" s="41"/>
      <c r="GB62" s="41"/>
      <c r="GC62" s="88"/>
      <c r="GD62" s="87">
        <v>0</v>
      </c>
      <c r="GE62" s="41"/>
      <c r="GF62" s="41"/>
      <c r="GG62" s="41"/>
      <c r="GH62" s="88"/>
      <c r="GI62" s="87">
        <v>0</v>
      </c>
      <c r="GJ62" s="41"/>
      <c r="GK62" s="127"/>
      <c r="GL62" s="41"/>
      <c r="GM62" s="88"/>
      <c r="GN62" s="87">
        <v>0</v>
      </c>
      <c r="GO62" s="41"/>
      <c r="GP62" s="41"/>
      <c r="GQ62" s="41"/>
      <c r="GR62" s="88"/>
      <c r="GS62" s="87">
        <v>0</v>
      </c>
      <c r="GT62" s="41"/>
      <c r="GU62" s="41"/>
      <c r="GV62" s="41"/>
      <c r="GW62" s="88"/>
      <c r="GX62" s="301">
        <f t="shared" si="1"/>
        <v>1</v>
      </c>
      <c r="GY62" s="301" t="str">
        <f t="shared" si="12"/>
        <v/>
      </c>
      <c r="GZ62" s="41" t="str">
        <f t="shared" si="2"/>
        <v/>
      </c>
      <c r="HA62" s="41" t="str">
        <f t="shared" si="3"/>
        <v/>
      </c>
      <c r="HB62" s="41" t="str">
        <f t="shared" si="4"/>
        <v/>
      </c>
      <c r="HC62" s="41" t="str">
        <f t="shared" si="5"/>
        <v/>
      </c>
      <c r="HD62" s="41" t="str">
        <f t="shared" si="6"/>
        <v/>
      </c>
      <c r="HE62" s="88" t="str">
        <f t="shared" si="7"/>
        <v/>
      </c>
      <c r="HF62" s="524" t="s">
        <v>82</v>
      </c>
      <c r="HG62" s="41" t="s">
        <v>82</v>
      </c>
      <c r="HH62" s="41" t="s">
        <v>82</v>
      </c>
      <c r="HI62" s="41" t="s">
        <v>82</v>
      </c>
      <c r="HJ62" s="41" t="s">
        <v>82</v>
      </c>
      <c r="HK62" s="41" t="s">
        <v>82</v>
      </c>
      <c r="HL62" s="41" t="s">
        <v>82</v>
      </c>
      <c r="HM62" s="41" t="s">
        <v>82</v>
      </c>
      <c r="HN62" s="41" t="s">
        <v>82</v>
      </c>
      <c r="HO62" s="41" t="s">
        <v>82</v>
      </c>
      <c r="HP62" s="41" t="s">
        <v>82</v>
      </c>
      <c r="HQ62" s="41" t="s">
        <v>82</v>
      </c>
      <c r="HR62" s="41" t="s">
        <v>82</v>
      </c>
      <c r="HS62" s="41" t="s">
        <v>82</v>
      </c>
      <c r="HT62" s="41" t="s">
        <v>82</v>
      </c>
      <c r="HU62" s="41" t="s">
        <v>82</v>
      </c>
      <c r="HV62" s="41" t="s">
        <v>82</v>
      </c>
      <c r="HW62" s="41" t="s">
        <v>82</v>
      </c>
      <c r="HX62" s="41" t="s">
        <v>82</v>
      </c>
      <c r="HY62" s="41" t="s">
        <v>82</v>
      </c>
      <c r="HZ62" s="41" t="s">
        <v>82</v>
      </c>
      <c r="IA62" s="41" t="s">
        <v>82</v>
      </c>
      <c r="IB62" s="41" t="s">
        <v>82</v>
      </c>
      <c r="IC62" s="41" t="s">
        <v>82</v>
      </c>
      <c r="ID62" s="41" t="s">
        <v>82</v>
      </c>
      <c r="IE62" s="41" t="s">
        <v>82</v>
      </c>
      <c r="IF62" s="41" t="s">
        <v>82</v>
      </c>
      <c r="IG62" s="41" t="s">
        <v>82</v>
      </c>
      <c r="IH62" s="41" t="s">
        <v>82</v>
      </c>
      <c r="II62" s="88" t="s">
        <v>82</v>
      </c>
      <c r="IJ62" s="44"/>
    </row>
    <row r="63" spans="1:244" s="289" customFormat="1" ht="15" customHeight="1">
      <c r="A63" s="744"/>
      <c r="B63" s="569" t="s">
        <v>265</v>
      </c>
      <c r="C63" s="41" t="s">
        <v>265</v>
      </c>
      <c r="D63" s="100" t="s">
        <v>265</v>
      </c>
      <c r="E63" s="45" t="s">
        <v>65</v>
      </c>
      <c r="F63" s="45" t="s">
        <v>65</v>
      </c>
      <c r="G63" s="45" t="s">
        <v>65</v>
      </c>
      <c r="H63" s="45" t="s">
        <v>65</v>
      </c>
      <c r="I63" s="45" t="s">
        <v>65</v>
      </c>
      <c r="J63" s="127" t="s">
        <v>265</v>
      </c>
      <c r="K63" s="127" t="s">
        <v>265</v>
      </c>
      <c r="L63" s="123" t="s">
        <v>265</v>
      </c>
      <c r="M63" s="334" t="s">
        <v>265</v>
      </c>
      <c r="N63" s="41" t="s">
        <v>265</v>
      </c>
      <c r="O63" s="41" t="s">
        <v>265</v>
      </c>
      <c r="P63" s="41" t="s">
        <v>265</v>
      </c>
      <c r="Q63" s="41"/>
      <c r="R63" s="41" t="s">
        <v>265</v>
      </c>
      <c r="S63" s="41" t="s">
        <v>265</v>
      </c>
      <c r="T63" s="41" t="s">
        <v>265</v>
      </c>
      <c r="U63" s="41" t="s">
        <v>265</v>
      </c>
      <c r="V63" s="41" t="s">
        <v>265</v>
      </c>
      <c r="W63" s="41" t="s">
        <v>265</v>
      </c>
      <c r="X63" s="41" t="s">
        <v>265</v>
      </c>
      <c r="Y63" s="41" t="s">
        <v>265</v>
      </c>
      <c r="Z63" s="41" t="s">
        <v>265</v>
      </c>
      <c r="AA63" s="41" t="s">
        <v>265</v>
      </c>
      <c r="AB63" s="41" t="s">
        <v>265</v>
      </c>
      <c r="AC63" s="41" t="s">
        <v>265</v>
      </c>
      <c r="AD63" s="41" t="s">
        <v>265</v>
      </c>
      <c r="AE63" s="41" t="s">
        <v>265</v>
      </c>
      <c r="AF63" s="41" t="s">
        <v>265</v>
      </c>
      <c r="AG63" s="41" t="s">
        <v>265</v>
      </c>
      <c r="AH63" s="41" t="s">
        <v>265</v>
      </c>
      <c r="AI63" s="41" t="s">
        <v>265</v>
      </c>
      <c r="AJ63" s="38" t="s">
        <v>265</v>
      </c>
      <c r="AK63" s="88" t="s">
        <v>265</v>
      </c>
      <c r="AL63" s="92"/>
      <c r="AM63" s="301" t="s">
        <v>265</v>
      </c>
      <c r="AN63" s="41" t="s">
        <v>265</v>
      </c>
      <c r="AO63" s="249"/>
      <c r="AP63" s="249" t="str">
        <f t="shared" si="8"/>
        <v>N.S</v>
      </c>
      <c r="AQ63" s="518" t="str">
        <f t="shared" si="9"/>
        <v>N.S</v>
      </c>
      <c r="AR63" s="88" t="s">
        <v>265</v>
      </c>
      <c r="AS63" s="334" t="s">
        <v>265</v>
      </c>
      <c r="AT63" s="334" t="s">
        <v>265</v>
      </c>
      <c r="AU63" s="41" t="s">
        <v>265</v>
      </c>
      <c r="AV63" s="41" t="s">
        <v>265</v>
      </c>
      <c r="AW63" s="41" t="s">
        <v>265</v>
      </c>
      <c r="AX63" s="41" t="s">
        <v>265</v>
      </c>
      <c r="AY63" s="41" t="s">
        <v>265</v>
      </c>
      <c r="AZ63" s="127" t="s">
        <v>265</v>
      </c>
      <c r="BA63" s="477" t="s">
        <v>265</v>
      </c>
      <c r="BB63" s="477" t="s">
        <v>265</v>
      </c>
      <c r="BC63" s="41" t="s">
        <v>265</v>
      </c>
      <c r="BD63" s="41" t="s">
        <v>265</v>
      </c>
      <c r="BE63" s="41" t="s">
        <v>265</v>
      </c>
      <c r="BF63" s="41" t="s">
        <v>265</v>
      </c>
      <c r="BG63" s="41" t="s">
        <v>265</v>
      </c>
      <c r="BH63" s="41" t="s">
        <v>265</v>
      </c>
      <c r="BI63" s="41" t="s">
        <v>265</v>
      </c>
      <c r="BJ63" s="41" t="s">
        <v>265</v>
      </c>
      <c r="BK63" s="41" t="s">
        <v>265</v>
      </c>
      <c r="BL63" s="122" t="str">
        <f>IF(AZ63="N.S","N.S",3*(AZ63*BL1+0.001*IF(BB63="N.S",0,BB63*(1-BL1))))</f>
        <v>N.S</v>
      </c>
      <c r="BM63" s="520" t="s">
        <v>265</v>
      </c>
      <c r="BN63" s="656" t="str">
        <f t="shared" si="10"/>
        <v>N.S</v>
      </c>
      <c r="BO63" s="283" t="str">
        <f t="shared" si="11"/>
        <v>N.S</v>
      </c>
      <c r="BP63" s="87" t="s">
        <v>265</v>
      </c>
      <c r="BQ63" s="41" t="s">
        <v>265</v>
      </c>
      <c r="BR63" s="41" t="s">
        <v>265</v>
      </c>
      <c r="BS63" s="41" t="s">
        <v>265</v>
      </c>
      <c r="BT63" s="41" t="s">
        <v>265</v>
      </c>
      <c r="BU63" s="41" t="s">
        <v>265</v>
      </c>
      <c r="BV63" s="41" t="s">
        <v>265</v>
      </c>
      <c r="BW63" s="41" t="s">
        <v>265</v>
      </c>
      <c r="BX63" s="41" t="s">
        <v>265</v>
      </c>
      <c r="BY63" s="41" t="s">
        <v>265</v>
      </c>
      <c r="BZ63" s="88" t="s">
        <v>265</v>
      </c>
      <c r="CA63" s="301" t="s">
        <v>265</v>
      </c>
      <c r="CB63" s="41" t="s">
        <v>265</v>
      </c>
      <c r="CC63" s="484" t="s">
        <v>265</v>
      </c>
      <c r="CD63" s="41" t="s">
        <v>265</v>
      </c>
      <c r="CE63" s="41" t="s">
        <v>265</v>
      </c>
      <c r="CF63" s="41" t="s">
        <v>265</v>
      </c>
      <c r="CG63" s="41" t="s">
        <v>265</v>
      </c>
      <c r="CH63" s="41" t="s">
        <v>265</v>
      </c>
      <c r="CI63" s="522" t="s">
        <v>265</v>
      </c>
      <c r="CJ63" s="127" t="s">
        <v>265</v>
      </c>
      <c r="CK63" s="523" t="s">
        <v>265</v>
      </c>
      <c r="CL63" s="41"/>
      <c r="CM63" s="477"/>
      <c r="CN63" s="477"/>
      <c r="CO63" s="183">
        <v>0</v>
      </c>
      <c r="CP63" s="127"/>
      <c r="CQ63" s="127"/>
      <c r="CR63" s="183"/>
      <c r="CS63" s="129"/>
      <c r="CT63" s="184">
        <v>0</v>
      </c>
      <c r="CU63" s="127"/>
      <c r="CV63" s="127"/>
      <c r="CW63" s="183"/>
      <c r="CX63" s="129"/>
      <c r="CY63" s="87">
        <v>0</v>
      </c>
      <c r="CZ63" s="41">
        <v>0</v>
      </c>
      <c r="DA63" s="41"/>
      <c r="DB63" s="41"/>
      <c r="DC63" s="41"/>
      <c r="DD63" s="41"/>
      <c r="DE63" s="41"/>
      <c r="DF63" s="41"/>
      <c r="DG63" s="41"/>
      <c r="DH63" s="41"/>
      <c r="DI63" s="123"/>
      <c r="DJ63" s="87">
        <v>0</v>
      </c>
      <c r="DK63" s="41">
        <v>0</v>
      </c>
      <c r="DL63" s="41"/>
      <c r="DM63" s="41"/>
      <c r="DN63" s="41"/>
      <c r="DO63" s="41"/>
      <c r="DP63" s="41"/>
      <c r="DQ63" s="41"/>
      <c r="DR63" s="41"/>
      <c r="DS63" s="41"/>
      <c r="DT63" s="88"/>
      <c r="DU63" s="87">
        <v>0</v>
      </c>
      <c r="DV63" s="41">
        <v>0</v>
      </c>
      <c r="DW63" s="41"/>
      <c r="DX63" s="41"/>
      <c r="DY63" s="41"/>
      <c r="DZ63" s="41"/>
      <c r="EA63" s="41"/>
      <c r="EB63" s="41"/>
      <c r="EC63" s="41"/>
      <c r="ED63" s="41"/>
      <c r="EE63" s="123"/>
      <c r="EF63" s="87">
        <v>0</v>
      </c>
      <c r="EG63" s="41"/>
      <c r="EH63" s="41"/>
      <c r="EI63" s="41"/>
      <c r="EJ63" s="88"/>
      <c r="EK63" s="87">
        <v>0</v>
      </c>
      <c r="EL63" s="41"/>
      <c r="EM63" s="41"/>
      <c r="EN63" s="41"/>
      <c r="EO63" s="88"/>
      <c r="EP63" s="87">
        <v>0</v>
      </c>
      <c r="EQ63" s="41"/>
      <c r="ER63" s="41"/>
      <c r="ES63" s="41"/>
      <c r="ET63" s="88"/>
      <c r="EU63" s="87">
        <v>0</v>
      </c>
      <c r="EV63" s="41"/>
      <c r="EW63" s="41"/>
      <c r="EX63" s="41"/>
      <c r="EY63" s="88"/>
      <c r="EZ63" s="87">
        <v>0</v>
      </c>
      <c r="FA63" s="41"/>
      <c r="FB63" s="41"/>
      <c r="FC63" s="41"/>
      <c r="FD63" s="88"/>
      <c r="FE63" s="87">
        <v>0</v>
      </c>
      <c r="FF63" s="127"/>
      <c r="FG63" s="127"/>
      <c r="FH63" s="127"/>
      <c r="FI63" s="123"/>
      <c r="FJ63" s="87">
        <v>0</v>
      </c>
      <c r="FK63" s="41"/>
      <c r="FL63" s="41"/>
      <c r="FM63" s="41"/>
      <c r="FN63" s="88"/>
      <c r="FO63" s="87">
        <v>0</v>
      </c>
      <c r="FP63" s="41"/>
      <c r="FQ63" s="41"/>
      <c r="FR63" s="41"/>
      <c r="FS63" s="88"/>
      <c r="FT63" s="87">
        <v>0</v>
      </c>
      <c r="FU63" s="41"/>
      <c r="FV63" s="41"/>
      <c r="FW63" s="41"/>
      <c r="FX63" s="88"/>
      <c r="FY63" s="87">
        <v>0</v>
      </c>
      <c r="FZ63" s="41"/>
      <c r="GA63" s="41"/>
      <c r="GB63" s="41"/>
      <c r="GC63" s="88"/>
      <c r="GD63" s="87">
        <v>0</v>
      </c>
      <c r="GE63" s="41"/>
      <c r="GF63" s="41"/>
      <c r="GG63" s="41"/>
      <c r="GH63" s="88"/>
      <c r="GI63" s="87">
        <v>0</v>
      </c>
      <c r="GJ63" s="41"/>
      <c r="GK63" s="127"/>
      <c r="GL63" s="41"/>
      <c r="GM63" s="88"/>
      <c r="GN63" s="87">
        <v>0</v>
      </c>
      <c r="GO63" s="41"/>
      <c r="GP63" s="41"/>
      <c r="GQ63" s="41"/>
      <c r="GR63" s="88"/>
      <c r="GS63" s="87">
        <v>0</v>
      </c>
      <c r="GT63" s="41"/>
      <c r="GU63" s="41"/>
      <c r="GV63" s="41"/>
      <c r="GW63" s="88"/>
      <c r="GX63" s="301">
        <f t="shared" si="1"/>
        <v>1</v>
      </c>
      <c r="GY63" s="301" t="str">
        <f t="shared" si="12"/>
        <v/>
      </c>
      <c r="GZ63" s="41" t="str">
        <f t="shared" si="2"/>
        <v/>
      </c>
      <c r="HA63" s="41" t="str">
        <f t="shared" si="3"/>
        <v/>
      </c>
      <c r="HB63" s="41" t="str">
        <f t="shared" si="4"/>
        <v/>
      </c>
      <c r="HC63" s="41" t="str">
        <f t="shared" si="5"/>
        <v/>
      </c>
      <c r="HD63" s="41" t="str">
        <f t="shared" si="6"/>
        <v/>
      </c>
      <c r="HE63" s="88" t="str">
        <f t="shared" si="7"/>
        <v/>
      </c>
      <c r="HF63" s="524" t="s">
        <v>82</v>
      </c>
      <c r="HG63" s="41" t="s">
        <v>82</v>
      </c>
      <c r="HH63" s="41" t="s">
        <v>82</v>
      </c>
      <c r="HI63" s="41" t="s">
        <v>82</v>
      </c>
      <c r="HJ63" s="41" t="s">
        <v>82</v>
      </c>
      <c r="HK63" s="41" t="s">
        <v>82</v>
      </c>
      <c r="HL63" s="41" t="s">
        <v>82</v>
      </c>
      <c r="HM63" s="41" t="s">
        <v>82</v>
      </c>
      <c r="HN63" s="41" t="s">
        <v>82</v>
      </c>
      <c r="HO63" s="41" t="s">
        <v>82</v>
      </c>
      <c r="HP63" s="41" t="s">
        <v>82</v>
      </c>
      <c r="HQ63" s="41" t="s">
        <v>82</v>
      </c>
      <c r="HR63" s="41" t="s">
        <v>82</v>
      </c>
      <c r="HS63" s="41" t="s">
        <v>82</v>
      </c>
      <c r="HT63" s="41" t="s">
        <v>82</v>
      </c>
      <c r="HU63" s="41" t="s">
        <v>82</v>
      </c>
      <c r="HV63" s="41" t="s">
        <v>82</v>
      </c>
      <c r="HW63" s="41" t="s">
        <v>82</v>
      </c>
      <c r="HX63" s="41" t="s">
        <v>82</v>
      </c>
      <c r="HY63" s="41" t="s">
        <v>82</v>
      </c>
      <c r="HZ63" s="41" t="s">
        <v>82</v>
      </c>
      <c r="IA63" s="41" t="s">
        <v>82</v>
      </c>
      <c r="IB63" s="41" t="s">
        <v>82</v>
      </c>
      <c r="IC63" s="41" t="s">
        <v>82</v>
      </c>
      <c r="ID63" s="41" t="s">
        <v>82</v>
      </c>
      <c r="IE63" s="41" t="s">
        <v>82</v>
      </c>
      <c r="IF63" s="41" t="s">
        <v>82</v>
      </c>
      <c r="IG63" s="41" t="s">
        <v>82</v>
      </c>
      <c r="IH63" s="41" t="s">
        <v>82</v>
      </c>
      <c r="II63" s="88" t="s">
        <v>82</v>
      </c>
    </row>
    <row r="64" spans="1:244" s="45" customFormat="1" ht="14.4" thickBot="1">
      <c r="A64" s="746"/>
      <c r="B64" s="569" t="s">
        <v>265</v>
      </c>
      <c r="C64" s="41" t="s">
        <v>265</v>
      </c>
      <c r="D64" s="100" t="s">
        <v>265</v>
      </c>
      <c r="E64" s="45" t="s">
        <v>65</v>
      </c>
      <c r="F64" s="45" t="s">
        <v>65</v>
      </c>
      <c r="G64" s="45" t="s">
        <v>65</v>
      </c>
      <c r="H64" s="45" t="s">
        <v>65</v>
      </c>
      <c r="I64" s="45" t="s">
        <v>65</v>
      </c>
      <c r="J64" s="127" t="s">
        <v>265</v>
      </c>
      <c r="K64" s="127" t="s">
        <v>265</v>
      </c>
      <c r="L64" s="123" t="s">
        <v>265</v>
      </c>
      <c r="M64" s="334" t="s">
        <v>265</v>
      </c>
      <c r="N64" s="41" t="s">
        <v>265</v>
      </c>
      <c r="O64" s="41" t="s">
        <v>265</v>
      </c>
      <c r="P64" s="41" t="s">
        <v>265</v>
      </c>
      <c r="Q64" s="41"/>
      <c r="R64" s="41" t="s">
        <v>265</v>
      </c>
      <c r="S64" s="41" t="s">
        <v>265</v>
      </c>
      <c r="T64" s="41" t="s">
        <v>265</v>
      </c>
      <c r="U64" s="41" t="s">
        <v>265</v>
      </c>
      <c r="V64" s="41" t="s">
        <v>265</v>
      </c>
      <c r="W64" s="41" t="s">
        <v>265</v>
      </c>
      <c r="X64" s="41" t="s">
        <v>265</v>
      </c>
      <c r="Y64" s="41" t="s">
        <v>265</v>
      </c>
      <c r="Z64" s="41" t="s">
        <v>265</v>
      </c>
      <c r="AA64" s="41" t="s">
        <v>265</v>
      </c>
      <c r="AB64" s="41" t="s">
        <v>265</v>
      </c>
      <c r="AC64" s="41" t="s">
        <v>265</v>
      </c>
      <c r="AD64" s="41" t="s">
        <v>265</v>
      </c>
      <c r="AE64" s="41" t="s">
        <v>265</v>
      </c>
      <c r="AF64" s="41" t="s">
        <v>265</v>
      </c>
      <c r="AG64" s="41" t="s">
        <v>265</v>
      </c>
      <c r="AH64" s="41" t="s">
        <v>265</v>
      </c>
      <c r="AI64" s="41" t="s">
        <v>265</v>
      </c>
      <c r="AJ64" s="38" t="s">
        <v>265</v>
      </c>
      <c r="AK64" s="88" t="s">
        <v>265</v>
      </c>
      <c r="AL64" s="92"/>
      <c r="AM64" s="301" t="s">
        <v>265</v>
      </c>
      <c r="AN64" s="41" t="s">
        <v>265</v>
      </c>
      <c r="AO64" s="249"/>
      <c r="AP64" s="249" t="str">
        <f>IF(MAX(AM64:AN64)=0,"N.S",MAX(AM64:AN64))</f>
        <v>N.S</v>
      </c>
      <c r="AQ64" s="518" t="str">
        <f t="shared" si="9"/>
        <v>N.S</v>
      </c>
      <c r="AR64" s="88" t="s">
        <v>265</v>
      </c>
      <c r="AS64" s="334" t="s">
        <v>265</v>
      </c>
      <c r="AT64" s="334" t="s">
        <v>265</v>
      </c>
      <c r="AU64" s="41" t="s">
        <v>265</v>
      </c>
      <c r="AV64" s="41" t="s">
        <v>265</v>
      </c>
      <c r="AW64" s="41" t="s">
        <v>265</v>
      </c>
      <c r="AX64" s="41" t="s">
        <v>265</v>
      </c>
      <c r="AY64" s="41" t="s">
        <v>265</v>
      </c>
      <c r="AZ64" s="127" t="s">
        <v>265</v>
      </c>
      <c r="BA64" s="477" t="s">
        <v>265</v>
      </c>
      <c r="BB64" s="477" t="s">
        <v>265</v>
      </c>
      <c r="BC64" s="41" t="s">
        <v>265</v>
      </c>
      <c r="BD64" s="41" t="s">
        <v>265</v>
      </c>
      <c r="BE64" s="41" t="s">
        <v>265</v>
      </c>
      <c r="BF64" s="41" t="s">
        <v>265</v>
      </c>
      <c r="BG64" s="41" t="s">
        <v>265</v>
      </c>
      <c r="BH64" s="41" t="s">
        <v>265</v>
      </c>
      <c r="BI64" s="41" t="s">
        <v>265</v>
      </c>
      <c r="BJ64" s="41" t="s">
        <v>265</v>
      </c>
      <c r="BK64" s="41" t="s">
        <v>265</v>
      </c>
      <c r="BL64" s="122" t="str">
        <f>IF(AZ64="N.S","N.S",3*(AZ64*BL1+0.001*IF(BB64="N.S",0,BB64*(1-BL1))))</f>
        <v>N.S</v>
      </c>
      <c r="BM64" s="520" t="s">
        <v>265</v>
      </c>
      <c r="BN64" s="656" t="str">
        <f t="shared" si="10"/>
        <v>N.S</v>
      </c>
      <c r="BO64" s="283" t="str">
        <f t="shared" si="11"/>
        <v>N.S</v>
      </c>
      <c r="BP64" s="87" t="s">
        <v>265</v>
      </c>
      <c r="BQ64" s="41" t="s">
        <v>265</v>
      </c>
      <c r="BR64" s="41" t="s">
        <v>265</v>
      </c>
      <c r="BS64" s="41" t="s">
        <v>265</v>
      </c>
      <c r="BT64" s="41" t="s">
        <v>265</v>
      </c>
      <c r="BU64" s="41" t="s">
        <v>265</v>
      </c>
      <c r="BV64" s="41" t="s">
        <v>265</v>
      </c>
      <c r="BW64" s="41" t="s">
        <v>265</v>
      </c>
      <c r="BX64" s="41" t="s">
        <v>265</v>
      </c>
      <c r="BY64" s="41" t="s">
        <v>265</v>
      </c>
      <c r="BZ64" s="88" t="s">
        <v>265</v>
      </c>
      <c r="CA64" s="301" t="s">
        <v>265</v>
      </c>
      <c r="CB64" s="41" t="s">
        <v>265</v>
      </c>
      <c r="CC64" s="484" t="s">
        <v>837</v>
      </c>
      <c r="CD64" s="41" t="s">
        <v>265</v>
      </c>
      <c r="CE64" s="41" t="s">
        <v>265</v>
      </c>
      <c r="CF64" s="41" t="s">
        <v>265</v>
      </c>
      <c r="CG64" s="41" t="s">
        <v>265</v>
      </c>
      <c r="CH64" s="41" t="s">
        <v>265</v>
      </c>
      <c r="CI64" s="522" t="s">
        <v>265</v>
      </c>
      <c r="CJ64" s="127" t="s">
        <v>265</v>
      </c>
      <c r="CK64" s="523" t="s">
        <v>265</v>
      </c>
      <c r="CL64" s="41"/>
      <c r="CM64" s="477"/>
      <c r="CN64" s="477"/>
      <c r="CO64" s="183">
        <v>0</v>
      </c>
      <c r="CP64" s="127"/>
      <c r="CQ64" s="127"/>
      <c r="CR64" s="183"/>
      <c r="CS64" s="129"/>
      <c r="CT64" s="184">
        <v>0</v>
      </c>
      <c r="CU64" s="127"/>
      <c r="CV64" s="127"/>
      <c r="CW64" s="183"/>
      <c r="CX64" s="129"/>
      <c r="CY64" s="87">
        <v>0</v>
      </c>
      <c r="CZ64" s="41">
        <v>0</v>
      </c>
      <c r="DA64" s="41"/>
      <c r="DB64" s="41"/>
      <c r="DC64" s="41"/>
      <c r="DD64" s="41"/>
      <c r="DE64" s="41"/>
      <c r="DF64" s="41"/>
      <c r="DG64" s="41"/>
      <c r="DH64" s="41"/>
      <c r="DI64" s="123"/>
      <c r="DJ64" s="87">
        <v>0</v>
      </c>
      <c r="DK64" s="41">
        <v>0</v>
      </c>
      <c r="DL64" s="41"/>
      <c r="DM64" s="41"/>
      <c r="DN64" s="41"/>
      <c r="DO64" s="41"/>
      <c r="DP64" s="41"/>
      <c r="DQ64" s="41"/>
      <c r="DR64" s="41"/>
      <c r="DS64" s="41"/>
      <c r="DT64" s="88"/>
      <c r="DU64" s="87">
        <v>0</v>
      </c>
      <c r="DV64" s="41">
        <v>0</v>
      </c>
      <c r="DW64" s="41"/>
      <c r="DX64" s="41"/>
      <c r="DY64" s="41"/>
      <c r="DZ64" s="41"/>
      <c r="EA64" s="41"/>
      <c r="EB64" s="41"/>
      <c r="EC64" s="41"/>
      <c r="ED64" s="41"/>
      <c r="EE64" s="123"/>
      <c r="EF64" s="87">
        <v>0</v>
      </c>
      <c r="EG64" s="41"/>
      <c r="EH64" s="41"/>
      <c r="EI64" s="41"/>
      <c r="EJ64" s="88"/>
      <c r="EK64" s="87">
        <v>0</v>
      </c>
      <c r="EL64" s="41"/>
      <c r="EM64" s="41"/>
      <c r="EN64" s="41"/>
      <c r="EO64" s="88"/>
      <c r="EP64" s="562">
        <v>0</v>
      </c>
      <c r="EQ64" s="563"/>
      <c r="ER64" s="563"/>
      <c r="ES64" s="563"/>
      <c r="ET64" s="564"/>
      <c r="EU64" s="562">
        <v>0</v>
      </c>
      <c r="EV64" s="563"/>
      <c r="EW64" s="563"/>
      <c r="EX64" s="563"/>
      <c r="EY64" s="564"/>
      <c r="EZ64" s="87">
        <v>0</v>
      </c>
      <c r="FA64" s="41"/>
      <c r="FB64" s="41"/>
      <c r="FC64" s="41"/>
      <c r="FD64" s="88"/>
      <c r="FE64" s="562">
        <v>0</v>
      </c>
      <c r="FF64" s="565"/>
      <c r="FG64" s="565"/>
      <c r="FH64" s="565"/>
      <c r="FI64" s="566"/>
      <c r="FJ64" s="562">
        <v>0</v>
      </c>
      <c r="FK64" s="563"/>
      <c r="FL64" s="563"/>
      <c r="FM64" s="563"/>
      <c r="FN64" s="564"/>
      <c r="FO64" s="562">
        <v>0</v>
      </c>
      <c r="FP64" s="563"/>
      <c r="FQ64" s="563"/>
      <c r="FR64" s="563"/>
      <c r="FS64" s="564"/>
      <c r="FT64" s="562">
        <v>0</v>
      </c>
      <c r="FU64" s="563"/>
      <c r="FV64" s="563"/>
      <c r="FW64" s="563"/>
      <c r="FX64" s="564"/>
      <c r="FY64" s="562">
        <v>0</v>
      </c>
      <c r="FZ64" s="563"/>
      <c r="GA64" s="563"/>
      <c r="GB64" s="563"/>
      <c r="GC64" s="564"/>
      <c r="GD64" s="562">
        <v>0</v>
      </c>
      <c r="GE64" s="563"/>
      <c r="GF64" s="563"/>
      <c r="GG64" s="563"/>
      <c r="GH64" s="564"/>
      <c r="GI64" s="562">
        <v>0</v>
      </c>
      <c r="GJ64" s="563"/>
      <c r="GK64" s="565"/>
      <c r="GL64" s="563"/>
      <c r="GM64" s="564"/>
      <c r="GN64" s="562">
        <v>0</v>
      </c>
      <c r="GO64" s="563"/>
      <c r="GP64" s="563"/>
      <c r="GQ64" s="563"/>
      <c r="GR64" s="564"/>
      <c r="GS64" s="562">
        <v>0</v>
      </c>
      <c r="GT64" s="563"/>
      <c r="GU64" s="563"/>
      <c r="GV64" s="563"/>
      <c r="GW64" s="564"/>
      <c r="GX64" s="301" t="str">
        <f t="shared" si="1"/>
        <v/>
      </c>
      <c r="GY64" s="301" t="str">
        <f t="shared" si="12"/>
        <v/>
      </c>
      <c r="GZ64" s="41" t="str">
        <f t="shared" si="2"/>
        <v/>
      </c>
      <c r="HA64" s="41" t="str">
        <f t="shared" si="3"/>
        <v/>
      </c>
      <c r="HB64" s="41" t="str">
        <f t="shared" si="4"/>
        <v/>
      </c>
      <c r="HC64" s="41" t="str">
        <f t="shared" si="5"/>
        <v/>
      </c>
      <c r="HD64" s="41" t="str">
        <f t="shared" si="6"/>
        <v/>
      </c>
      <c r="HE64" s="88" t="str">
        <f t="shared" si="7"/>
        <v/>
      </c>
      <c r="HF64" s="524" t="s">
        <v>82</v>
      </c>
      <c r="HG64" s="41" t="s">
        <v>82</v>
      </c>
      <c r="HH64" s="41" t="s">
        <v>82</v>
      </c>
      <c r="HI64" s="41" t="s">
        <v>82</v>
      </c>
      <c r="HJ64" s="41" t="s">
        <v>82</v>
      </c>
      <c r="HK64" s="41" t="s">
        <v>82</v>
      </c>
      <c r="HL64" s="41" t="s">
        <v>82</v>
      </c>
      <c r="HM64" s="41" t="s">
        <v>82</v>
      </c>
      <c r="HN64" s="41" t="s">
        <v>82</v>
      </c>
      <c r="HO64" s="41" t="s">
        <v>82</v>
      </c>
      <c r="HP64" s="41" t="s">
        <v>82</v>
      </c>
      <c r="HQ64" s="41" t="s">
        <v>82</v>
      </c>
      <c r="HR64" s="41" t="s">
        <v>82</v>
      </c>
      <c r="HS64" s="41" t="s">
        <v>82</v>
      </c>
      <c r="HT64" s="41" t="s">
        <v>82</v>
      </c>
      <c r="HU64" s="41" t="s">
        <v>82</v>
      </c>
      <c r="HV64" s="41" t="s">
        <v>82</v>
      </c>
      <c r="HW64" s="41" t="s">
        <v>82</v>
      </c>
      <c r="HX64" s="41" t="s">
        <v>82</v>
      </c>
      <c r="HY64" s="41" t="s">
        <v>82</v>
      </c>
      <c r="HZ64" s="41" t="s">
        <v>82</v>
      </c>
      <c r="IA64" s="41" t="s">
        <v>82</v>
      </c>
      <c r="IB64" s="41" t="s">
        <v>82</v>
      </c>
      <c r="IC64" s="41" t="s">
        <v>82</v>
      </c>
      <c r="ID64" s="41" t="s">
        <v>82</v>
      </c>
      <c r="IE64" s="41" t="s">
        <v>82</v>
      </c>
      <c r="IF64" s="41" t="s">
        <v>82</v>
      </c>
      <c r="IG64" s="41" t="s">
        <v>82</v>
      </c>
      <c r="IH64" s="41" t="s">
        <v>82</v>
      </c>
      <c r="II64" s="88" t="s">
        <v>82</v>
      </c>
      <c r="IJ64" s="44"/>
    </row>
    <row r="65" spans="1:243">
      <c r="CF65" s="9">
        <v>2400</v>
      </c>
    </row>
    <row r="66" spans="1:243">
      <c r="L66" s="350">
        <f>MIN(L3:L64)</f>
        <v>2006</v>
      </c>
      <c r="CF66" s="9">
        <v>5000</v>
      </c>
    </row>
    <row r="67" spans="1:243">
      <c r="BB67" s="9">
        <f>MIN(BB3:BB64)</f>
        <v>0.2</v>
      </c>
      <c r="CF67" s="9">
        <v>2400</v>
      </c>
    </row>
    <row r="68" spans="1:243">
      <c r="BB68" s="9">
        <f>MAX(BB3:BB64)</f>
        <v>550</v>
      </c>
      <c r="CF68" s="9">
        <v>5000</v>
      </c>
    </row>
    <row r="69" spans="1:243">
      <c r="CI69" s="330">
        <f>MIN(CI3:CI64)</f>
        <v>0.15</v>
      </c>
      <c r="CJ69" s="330">
        <f>MIN(CJ3:CJ64)</f>
        <v>1.3</v>
      </c>
      <c r="CK69" s="330">
        <f>MIN(CK3:CK64)</f>
        <v>2</v>
      </c>
    </row>
    <row r="70" spans="1:243">
      <c r="CI70" s="330">
        <f>MAX(CI4:CI65)</f>
        <v>14</v>
      </c>
      <c r="CJ70" s="330">
        <f>MAX(CJ4:CJ65)</f>
        <v>151</v>
      </c>
      <c r="CK70" s="330">
        <f>MAX(CK4:CK65)</f>
        <v>18000</v>
      </c>
    </row>
    <row r="73" spans="1:243" s="639" customFormat="1" ht="10.199999999999999">
      <c r="A73" s="639" t="s">
        <v>399</v>
      </c>
      <c r="D73" s="640"/>
      <c r="J73" s="641">
        <f>AVERAGE(J3:J39)</f>
        <v>4.6423529411764717</v>
      </c>
      <c r="K73" s="641">
        <f t="shared" ref="K73:BW73" si="13">AVERAGE(K3:K39)</f>
        <v>6.4736842105263159</v>
      </c>
      <c r="L73" s="641">
        <f t="shared" si="13"/>
        <v>2012.5263157894738</v>
      </c>
      <c r="M73" s="641" t="e">
        <f t="shared" si="13"/>
        <v>#DIV/0!</v>
      </c>
      <c r="N73" s="641" t="e">
        <f t="shared" si="13"/>
        <v>#DIV/0!</v>
      </c>
      <c r="O73" s="641" t="e">
        <f t="shared" si="13"/>
        <v>#DIV/0!</v>
      </c>
      <c r="P73" s="641" t="e">
        <f t="shared" si="13"/>
        <v>#DIV/0!</v>
      </c>
      <c r="Q73" s="641" t="e">
        <f t="shared" si="13"/>
        <v>#DIV/0!</v>
      </c>
      <c r="R73" s="641" t="e">
        <f t="shared" si="13"/>
        <v>#DIV/0!</v>
      </c>
      <c r="S73" s="641">
        <f t="shared" si="13"/>
        <v>6.75</v>
      </c>
      <c r="T73" s="641">
        <f t="shared" si="13"/>
        <v>1.4705882352941178</v>
      </c>
      <c r="U73" s="641" t="e">
        <f t="shared" si="13"/>
        <v>#DIV/0!</v>
      </c>
      <c r="V73" s="641">
        <f t="shared" si="13"/>
        <v>12.411764705882353</v>
      </c>
      <c r="W73" s="641">
        <f t="shared" si="13"/>
        <v>8</v>
      </c>
      <c r="X73" s="641" t="e">
        <f t="shared" si="13"/>
        <v>#DIV/0!</v>
      </c>
      <c r="Y73" s="641" t="e">
        <f t="shared" si="13"/>
        <v>#DIV/0!</v>
      </c>
      <c r="Z73" s="641" t="e">
        <f t="shared" si="13"/>
        <v>#DIV/0!</v>
      </c>
      <c r="AA73" s="641" t="e">
        <f t="shared" si="13"/>
        <v>#DIV/0!</v>
      </c>
      <c r="AB73" s="641" t="e">
        <f t="shared" si="13"/>
        <v>#DIV/0!</v>
      </c>
      <c r="AC73" s="641" t="e">
        <f t="shared" si="13"/>
        <v>#DIV/0!</v>
      </c>
      <c r="AD73" s="641">
        <f t="shared" si="13"/>
        <v>1.4076923076923078</v>
      </c>
      <c r="AE73" s="641">
        <f t="shared" si="13"/>
        <v>1.5499999999999998</v>
      </c>
      <c r="AF73" s="641">
        <f t="shared" si="13"/>
        <v>10.402943521594686</v>
      </c>
      <c r="AG73" s="641">
        <f t="shared" si="13"/>
        <v>64.599999999999994</v>
      </c>
      <c r="AH73" s="641">
        <f t="shared" si="13"/>
        <v>387.82499999999999</v>
      </c>
      <c r="AI73" s="641">
        <f t="shared" si="13"/>
        <v>6.75</v>
      </c>
      <c r="AJ73" s="641">
        <f t="shared" si="13"/>
        <v>1.0909090909090908</v>
      </c>
      <c r="AK73" s="641">
        <f t="shared" si="13"/>
        <v>8.7272727272727266</v>
      </c>
      <c r="AL73" s="641" t="e">
        <f t="shared" si="13"/>
        <v>#DIV/0!</v>
      </c>
      <c r="AM73" s="641">
        <f t="shared" si="13"/>
        <v>5.5747368421052625</v>
      </c>
      <c r="AN73" s="641">
        <f t="shared" si="13"/>
        <v>5.5510526315789477</v>
      </c>
      <c r="AO73" s="641" t="e">
        <f t="shared" si="13"/>
        <v>#DIV/0!</v>
      </c>
      <c r="AP73" s="641">
        <f t="shared" si="13"/>
        <v>5.5747368421052625</v>
      </c>
      <c r="AQ73" s="641">
        <f t="shared" si="13"/>
        <v>27.774295454545452</v>
      </c>
      <c r="AR73" s="641" t="e">
        <f t="shared" si="13"/>
        <v>#DIV/0!</v>
      </c>
      <c r="AS73" s="641">
        <f t="shared" si="13"/>
        <v>1.9578947368421054</v>
      </c>
      <c r="AT73" s="641">
        <f t="shared" si="13"/>
        <v>3.521052631578947</v>
      </c>
      <c r="AU73" s="641">
        <f t="shared" si="13"/>
        <v>0.91599999999999993</v>
      </c>
      <c r="AV73" s="641">
        <f t="shared" si="13"/>
        <v>0.21430000000000005</v>
      </c>
      <c r="AW73" s="641">
        <f t="shared" si="13"/>
        <v>8.7370769230769234</v>
      </c>
      <c r="AX73" s="641">
        <f t="shared" si="13"/>
        <v>18.066666666666666</v>
      </c>
      <c r="AY73" s="641">
        <f t="shared" si="13"/>
        <v>38.918714285714294</v>
      </c>
      <c r="AZ73" s="641">
        <f t="shared" si="13"/>
        <v>43.263661538461534</v>
      </c>
      <c r="BA73" s="641">
        <f t="shared" si="13"/>
        <v>240.90923076923076</v>
      </c>
      <c r="BB73" s="641">
        <f t="shared" si="13"/>
        <v>177.3642857142857</v>
      </c>
      <c r="BC73" s="641">
        <f t="shared" si="13"/>
        <v>0.65769230769230758</v>
      </c>
      <c r="BD73" s="641" t="e">
        <f t="shared" si="13"/>
        <v>#DIV/0!</v>
      </c>
      <c r="BE73" s="641" t="e">
        <f t="shared" si="13"/>
        <v>#DIV/0!</v>
      </c>
      <c r="BF73" s="641">
        <f t="shared" si="13"/>
        <v>1</v>
      </c>
      <c r="BG73" s="641" t="e">
        <f t="shared" si="13"/>
        <v>#DIV/0!</v>
      </c>
      <c r="BH73" s="641" t="e">
        <f t="shared" si="13"/>
        <v>#DIV/0!</v>
      </c>
      <c r="BI73" s="641" t="e">
        <f t="shared" si="13"/>
        <v>#DIV/0!</v>
      </c>
      <c r="BJ73" s="641" t="e">
        <f t="shared" si="13"/>
        <v>#DIV/0!</v>
      </c>
      <c r="BK73" s="641" t="e">
        <f t="shared" si="13"/>
        <v>#DIV/0!</v>
      </c>
      <c r="BL73" s="641">
        <f t="shared" si="13"/>
        <v>1.1328712499999996</v>
      </c>
      <c r="BM73" s="641" t="e">
        <f t="shared" si="13"/>
        <v>#DIV/0!</v>
      </c>
      <c r="BN73" s="641" t="e">
        <f>AVERAGE(BN3:BN39)</f>
        <v>#DIV/0!</v>
      </c>
      <c r="BO73" s="641">
        <f t="shared" si="13"/>
        <v>1900.4843394174088</v>
      </c>
      <c r="BP73" s="641">
        <f t="shared" si="13"/>
        <v>8051</v>
      </c>
      <c r="BQ73" s="641">
        <f t="shared" si="13"/>
        <v>29</v>
      </c>
      <c r="BR73" s="641">
        <f t="shared" si="13"/>
        <v>67.666666666666671</v>
      </c>
      <c r="BS73" s="641" t="e">
        <f t="shared" si="13"/>
        <v>#DIV/0!</v>
      </c>
      <c r="BT73" s="641">
        <f t="shared" si="13"/>
        <v>81.146999999999991</v>
      </c>
      <c r="BU73" s="641">
        <f t="shared" si="13"/>
        <v>168.4375</v>
      </c>
      <c r="BV73" s="641" t="e">
        <f t="shared" si="13"/>
        <v>#DIV/0!</v>
      </c>
      <c r="BW73" s="641">
        <f t="shared" si="13"/>
        <v>16</v>
      </c>
      <c r="BX73" s="641">
        <f t="shared" ref="BX73:EI73" si="14">AVERAGE(BX3:BX39)</f>
        <v>11666666.555555556</v>
      </c>
      <c r="BY73" s="641" t="e">
        <f t="shared" si="14"/>
        <v>#DIV/0!</v>
      </c>
      <c r="BZ73" s="641" t="e">
        <f t="shared" si="14"/>
        <v>#DIV/0!</v>
      </c>
      <c r="CA73" s="641" t="e">
        <f t="shared" si="14"/>
        <v>#DIV/0!</v>
      </c>
      <c r="CB73" s="641" t="e">
        <f t="shared" si="14"/>
        <v>#DIV/0!</v>
      </c>
      <c r="CC73" s="641" t="e">
        <f t="shared" si="14"/>
        <v>#DIV/0!</v>
      </c>
      <c r="CD73" s="641" t="e">
        <f t="shared" si="14"/>
        <v>#DIV/0!</v>
      </c>
      <c r="CE73" s="641" t="e">
        <f t="shared" si="14"/>
        <v>#DIV/0!</v>
      </c>
      <c r="CF73" s="641">
        <f t="shared" si="14"/>
        <v>2405.6666666666665</v>
      </c>
      <c r="CG73" s="641">
        <f t="shared" si="14"/>
        <v>-101.71250000000001</v>
      </c>
      <c r="CH73" s="641">
        <f t="shared" si="14"/>
        <v>7.75</v>
      </c>
      <c r="CI73" s="641">
        <f t="shared" si="14"/>
        <v>5.8041666666666671</v>
      </c>
      <c r="CJ73" s="641">
        <f t="shared" si="14"/>
        <v>84.162499999999994</v>
      </c>
      <c r="CK73" s="641">
        <f t="shared" si="14"/>
        <v>344.16666666666669</v>
      </c>
      <c r="CL73" s="641" t="e">
        <f t="shared" si="14"/>
        <v>#DIV/0!</v>
      </c>
      <c r="CM73" s="641" t="e">
        <f t="shared" si="14"/>
        <v>#DIV/0!</v>
      </c>
      <c r="CN73" s="641" t="e">
        <f t="shared" si="14"/>
        <v>#DIV/0!</v>
      </c>
      <c r="CO73" s="641">
        <f t="shared" si="14"/>
        <v>0.44444444444444442</v>
      </c>
      <c r="CP73" s="641">
        <f t="shared" si="14"/>
        <v>4.9657842846620879</v>
      </c>
      <c r="CQ73" s="641">
        <f t="shared" si="14"/>
        <v>3.6438561897747253</v>
      </c>
      <c r="CR73" s="641">
        <f t="shared" si="14"/>
        <v>-40</v>
      </c>
      <c r="CS73" s="641">
        <f t="shared" si="14"/>
        <v>85</v>
      </c>
      <c r="CT73" s="641">
        <f t="shared" si="14"/>
        <v>2.7027027027027029E-2</v>
      </c>
      <c r="CU73" s="641" t="e">
        <f t="shared" si="14"/>
        <v>#DIV/0!</v>
      </c>
      <c r="CV73" s="641" t="e">
        <f t="shared" si="14"/>
        <v>#DIV/0!</v>
      </c>
      <c r="CW73" s="641" t="e">
        <f t="shared" si="14"/>
        <v>#DIV/0!</v>
      </c>
      <c r="CX73" s="641" t="e">
        <f t="shared" si="14"/>
        <v>#DIV/0!</v>
      </c>
      <c r="CY73" s="641">
        <f t="shared" si="14"/>
        <v>0</v>
      </c>
      <c r="CZ73" s="641">
        <f t="shared" si="14"/>
        <v>2.7027027027027029E-2</v>
      </c>
      <c r="DA73" s="641" t="e">
        <f t="shared" si="14"/>
        <v>#DIV/0!</v>
      </c>
      <c r="DB73" s="641" t="e">
        <f t="shared" si="14"/>
        <v>#DIV/0!</v>
      </c>
      <c r="DC73" s="641" t="e">
        <f t="shared" si="14"/>
        <v>#DIV/0!</v>
      </c>
      <c r="DD73" s="641" t="e">
        <f t="shared" si="14"/>
        <v>#DIV/0!</v>
      </c>
      <c r="DE73" s="641" t="e">
        <f t="shared" si="14"/>
        <v>#DIV/0!</v>
      </c>
      <c r="DF73" s="641" t="e">
        <f t="shared" si="14"/>
        <v>#DIV/0!</v>
      </c>
      <c r="DG73" s="641" t="e">
        <f t="shared" si="14"/>
        <v>#DIV/0!</v>
      </c>
      <c r="DH73" s="641" t="e">
        <f t="shared" si="14"/>
        <v>#DIV/0!</v>
      </c>
      <c r="DI73" s="641" t="e">
        <f t="shared" si="14"/>
        <v>#DIV/0!</v>
      </c>
      <c r="DJ73" s="641">
        <f t="shared" si="14"/>
        <v>0</v>
      </c>
      <c r="DK73" s="641">
        <f t="shared" si="14"/>
        <v>2.7777777777777776E-2</v>
      </c>
      <c r="DL73" s="641" t="e">
        <f t="shared" si="14"/>
        <v>#DIV/0!</v>
      </c>
      <c r="DM73" s="641" t="e">
        <f t="shared" si="14"/>
        <v>#DIV/0!</v>
      </c>
      <c r="DN73" s="641" t="e">
        <f t="shared" si="14"/>
        <v>#DIV/0!</v>
      </c>
      <c r="DO73" s="641" t="e">
        <f t="shared" si="14"/>
        <v>#DIV/0!</v>
      </c>
      <c r="DP73" s="641" t="e">
        <f t="shared" si="14"/>
        <v>#DIV/0!</v>
      </c>
      <c r="DQ73" s="641" t="e">
        <f t="shared" si="14"/>
        <v>#DIV/0!</v>
      </c>
      <c r="DR73" s="641" t="e">
        <f t="shared" si="14"/>
        <v>#DIV/0!</v>
      </c>
      <c r="DS73" s="641" t="e">
        <f t="shared" si="14"/>
        <v>#DIV/0!</v>
      </c>
      <c r="DT73" s="641" t="e">
        <f t="shared" si="14"/>
        <v>#DIV/0!</v>
      </c>
      <c r="DU73" s="641">
        <f t="shared" si="14"/>
        <v>0</v>
      </c>
      <c r="DV73" s="641">
        <f t="shared" si="14"/>
        <v>2.7027027027027029E-2</v>
      </c>
      <c r="DW73" s="641" t="e">
        <f t="shared" si="14"/>
        <v>#DIV/0!</v>
      </c>
      <c r="DX73" s="641" t="e">
        <f t="shared" si="14"/>
        <v>#DIV/0!</v>
      </c>
      <c r="DY73" s="641" t="e">
        <f t="shared" si="14"/>
        <v>#DIV/0!</v>
      </c>
      <c r="DZ73" s="641" t="e">
        <f t="shared" si="14"/>
        <v>#DIV/0!</v>
      </c>
      <c r="EA73" s="641" t="e">
        <f t="shared" si="14"/>
        <v>#DIV/0!</v>
      </c>
      <c r="EB73" s="641" t="e">
        <f t="shared" si="14"/>
        <v>#DIV/0!</v>
      </c>
      <c r="EC73" s="641" t="e">
        <f t="shared" si="14"/>
        <v>#DIV/0!</v>
      </c>
      <c r="ED73" s="641" t="e">
        <f t="shared" si="14"/>
        <v>#DIV/0!</v>
      </c>
      <c r="EE73" s="641" t="e">
        <f t="shared" si="14"/>
        <v>#DIV/0!</v>
      </c>
      <c r="EF73" s="641">
        <f t="shared" si="14"/>
        <v>2.7027027027027029E-2</v>
      </c>
      <c r="EG73" s="641" t="e">
        <f t="shared" si="14"/>
        <v>#DIV/0!</v>
      </c>
      <c r="EH73" s="641" t="e">
        <f t="shared" si="14"/>
        <v>#DIV/0!</v>
      </c>
      <c r="EI73" s="641" t="e">
        <f t="shared" si="14"/>
        <v>#DIV/0!</v>
      </c>
      <c r="EJ73" s="641" t="e">
        <f t="shared" ref="EJ73:GU73" si="15">AVERAGE(EJ3:EJ39)</f>
        <v>#DIV/0!</v>
      </c>
      <c r="EK73" s="641">
        <f t="shared" si="15"/>
        <v>0</v>
      </c>
      <c r="EL73" s="641" t="e">
        <f t="shared" si="15"/>
        <v>#DIV/0!</v>
      </c>
      <c r="EM73" s="641" t="e">
        <f t="shared" si="15"/>
        <v>#DIV/0!</v>
      </c>
      <c r="EN73" s="641" t="e">
        <f t="shared" si="15"/>
        <v>#DIV/0!</v>
      </c>
      <c r="EO73" s="641" t="e">
        <f t="shared" si="15"/>
        <v>#DIV/0!</v>
      </c>
      <c r="EP73" s="641">
        <f t="shared" si="15"/>
        <v>2.7027027027027029E-2</v>
      </c>
      <c r="EQ73" s="641" t="e">
        <f t="shared" si="15"/>
        <v>#DIV/0!</v>
      </c>
      <c r="ER73" s="641" t="e">
        <f t="shared" si="15"/>
        <v>#DIV/0!</v>
      </c>
      <c r="ES73" s="641" t="e">
        <f t="shared" si="15"/>
        <v>#DIV/0!</v>
      </c>
      <c r="ET73" s="641" t="e">
        <f t="shared" si="15"/>
        <v>#DIV/0!</v>
      </c>
      <c r="EU73" s="641">
        <f t="shared" si="15"/>
        <v>2.7027027027027029E-2</v>
      </c>
      <c r="EV73" s="641" t="e">
        <f t="shared" si="15"/>
        <v>#DIV/0!</v>
      </c>
      <c r="EW73" s="641" t="e">
        <f t="shared" si="15"/>
        <v>#DIV/0!</v>
      </c>
      <c r="EX73" s="641" t="e">
        <f t="shared" si="15"/>
        <v>#DIV/0!</v>
      </c>
      <c r="EY73" s="641" t="e">
        <f t="shared" si="15"/>
        <v>#DIV/0!</v>
      </c>
      <c r="EZ73" s="641">
        <f t="shared" si="15"/>
        <v>0</v>
      </c>
      <c r="FA73" s="641" t="e">
        <f t="shared" si="15"/>
        <v>#DIV/0!</v>
      </c>
      <c r="FB73" s="641" t="e">
        <f t="shared" si="15"/>
        <v>#DIV/0!</v>
      </c>
      <c r="FC73" s="641" t="e">
        <f t="shared" si="15"/>
        <v>#DIV/0!</v>
      </c>
      <c r="FD73" s="641" t="e">
        <f t="shared" si="15"/>
        <v>#DIV/0!</v>
      </c>
      <c r="FE73" s="641">
        <f t="shared" si="15"/>
        <v>0.13513513513513514</v>
      </c>
      <c r="FF73" s="641">
        <f t="shared" si="15"/>
        <v>5.3219280948873626</v>
      </c>
      <c r="FG73" s="641">
        <f t="shared" si="15"/>
        <v>7.2653445665209953</v>
      </c>
      <c r="FH73" s="641">
        <f t="shared" si="15"/>
        <v>1.8</v>
      </c>
      <c r="FI73" s="641">
        <f t="shared" si="15"/>
        <v>3.7999999999999994</v>
      </c>
      <c r="FJ73" s="641">
        <f t="shared" si="15"/>
        <v>0</v>
      </c>
      <c r="FK73" s="641" t="e">
        <f t="shared" si="15"/>
        <v>#DIV/0!</v>
      </c>
      <c r="FL73" s="641" t="e">
        <f t="shared" si="15"/>
        <v>#DIV/0!</v>
      </c>
      <c r="FM73" s="641" t="e">
        <f t="shared" si="15"/>
        <v>#DIV/0!</v>
      </c>
      <c r="FN73" s="641" t="e">
        <f t="shared" si="15"/>
        <v>#DIV/0!</v>
      </c>
      <c r="FO73" s="641">
        <f t="shared" si="15"/>
        <v>0</v>
      </c>
      <c r="FP73" s="641" t="e">
        <f t="shared" si="15"/>
        <v>#DIV/0!</v>
      </c>
      <c r="FQ73" s="641" t="e">
        <f t="shared" si="15"/>
        <v>#DIV/0!</v>
      </c>
      <c r="FR73" s="641" t="e">
        <f t="shared" si="15"/>
        <v>#DIV/0!</v>
      </c>
      <c r="FS73" s="641" t="e">
        <f t="shared" si="15"/>
        <v>#DIV/0!</v>
      </c>
      <c r="FT73" s="641">
        <f t="shared" si="15"/>
        <v>0</v>
      </c>
      <c r="FU73" s="641" t="e">
        <f t="shared" si="15"/>
        <v>#DIV/0!</v>
      </c>
      <c r="FV73" s="641" t="e">
        <f t="shared" si="15"/>
        <v>#DIV/0!</v>
      </c>
      <c r="FW73" s="641" t="e">
        <f t="shared" si="15"/>
        <v>#DIV/0!</v>
      </c>
      <c r="FX73" s="641" t="e">
        <f t="shared" si="15"/>
        <v>#DIV/0!</v>
      </c>
      <c r="FY73" s="641">
        <f t="shared" si="15"/>
        <v>0</v>
      </c>
      <c r="FZ73" s="641" t="e">
        <f t="shared" si="15"/>
        <v>#DIV/0!</v>
      </c>
      <c r="GA73" s="641" t="e">
        <f t="shared" si="15"/>
        <v>#DIV/0!</v>
      </c>
      <c r="GB73" s="641" t="e">
        <f t="shared" si="15"/>
        <v>#DIV/0!</v>
      </c>
      <c r="GC73" s="641" t="e">
        <f t="shared" si="15"/>
        <v>#DIV/0!</v>
      </c>
      <c r="GD73" s="641">
        <f t="shared" si="15"/>
        <v>0</v>
      </c>
      <c r="GE73" s="641" t="e">
        <f t="shared" si="15"/>
        <v>#DIV/0!</v>
      </c>
      <c r="GF73" s="641" t="e">
        <f t="shared" si="15"/>
        <v>#DIV/0!</v>
      </c>
      <c r="GG73" s="641" t="e">
        <f t="shared" si="15"/>
        <v>#DIV/0!</v>
      </c>
      <c r="GH73" s="641" t="e">
        <f t="shared" si="15"/>
        <v>#DIV/0!</v>
      </c>
      <c r="GI73" s="641">
        <f t="shared" si="15"/>
        <v>8.1081081081081086E-2</v>
      </c>
      <c r="GJ73" s="641" t="e">
        <f t="shared" si="15"/>
        <v>#DIV/0!</v>
      </c>
      <c r="GK73" s="641" t="e">
        <f t="shared" si="15"/>
        <v>#DIV/0!</v>
      </c>
      <c r="GL73" s="641" t="e">
        <f t="shared" si="15"/>
        <v>#DIV/0!</v>
      </c>
      <c r="GM73" s="641" t="e">
        <f t="shared" si="15"/>
        <v>#DIV/0!</v>
      </c>
      <c r="GN73" s="641">
        <f t="shared" si="15"/>
        <v>0</v>
      </c>
      <c r="GO73" s="641" t="e">
        <f t="shared" si="15"/>
        <v>#DIV/0!</v>
      </c>
      <c r="GP73" s="641" t="e">
        <f t="shared" si="15"/>
        <v>#DIV/0!</v>
      </c>
      <c r="GQ73" s="641" t="e">
        <f t="shared" si="15"/>
        <v>#DIV/0!</v>
      </c>
      <c r="GR73" s="641" t="e">
        <f t="shared" si="15"/>
        <v>#DIV/0!</v>
      </c>
      <c r="GS73" s="641">
        <f t="shared" si="15"/>
        <v>0</v>
      </c>
      <c r="GT73" s="641" t="e">
        <f t="shared" si="15"/>
        <v>#DIV/0!</v>
      </c>
      <c r="GU73" s="641" t="e">
        <f t="shared" si="15"/>
        <v>#DIV/0!</v>
      </c>
      <c r="GV73" s="641" t="e">
        <f t="shared" ref="GV73:II73" si="16">AVERAGE(GV3:GV39)</f>
        <v>#DIV/0!</v>
      </c>
      <c r="GW73" s="641" t="e">
        <f t="shared" si="16"/>
        <v>#DIV/0!</v>
      </c>
      <c r="GX73" s="641">
        <f t="shared" si="16"/>
        <v>1</v>
      </c>
      <c r="GY73" s="641">
        <f t="shared" si="16"/>
        <v>1</v>
      </c>
      <c r="GZ73" s="641">
        <f t="shared" si="16"/>
        <v>1</v>
      </c>
      <c r="HA73" s="641">
        <f t="shared" si="16"/>
        <v>1</v>
      </c>
      <c r="HB73" s="641">
        <f t="shared" si="16"/>
        <v>1</v>
      </c>
      <c r="HC73" s="641">
        <f t="shared" si="16"/>
        <v>1</v>
      </c>
      <c r="HD73" s="641" t="e">
        <f t="shared" si="16"/>
        <v>#DIV/0!</v>
      </c>
      <c r="HE73" s="641" t="e">
        <f t="shared" si="16"/>
        <v>#DIV/0!</v>
      </c>
      <c r="HF73" s="641">
        <f t="shared" si="16"/>
        <v>1</v>
      </c>
      <c r="HG73" s="641">
        <f t="shared" si="16"/>
        <v>1</v>
      </c>
      <c r="HH73" s="641">
        <f t="shared" si="16"/>
        <v>1.2857142857142858</v>
      </c>
      <c r="HI73" s="641">
        <f t="shared" si="16"/>
        <v>1</v>
      </c>
      <c r="HJ73" s="641">
        <f t="shared" si="16"/>
        <v>1</v>
      </c>
      <c r="HK73" s="641">
        <f t="shared" si="16"/>
        <v>1</v>
      </c>
      <c r="HL73" s="641">
        <f t="shared" si="16"/>
        <v>1</v>
      </c>
      <c r="HM73" s="641">
        <f t="shared" si="16"/>
        <v>1</v>
      </c>
      <c r="HN73" s="641">
        <f t="shared" si="16"/>
        <v>1</v>
      </c>
      <c r="HO73" s="641">
        <f t="shared" si="16"/>
        <v>1</v>
      </c>
      <c r="HP73" s="641">
        <f t="shared" si="16"/>
        <v>1.25</v>
      </c>
      <c r="HQ73" s="641" t="e">
        <f t="shared" si="16"/>
        <v>#DIV/0!</v>
      </c>
      <c r="HR73" s="641" t="e">
        <f t="shared" si="16"/>
        <v>#DIV/0!</v>
      </c>
      <c r="HS73" s="641">
        <f t="shared" si="16"/>
        <v>1</v>
      </c>
      <c r="HT73" s="641" t="e">
        <f t="shared" si="16"/>
        <v>#DIV/0!</v>
      </c>
      <c r="HU73" s="641" t="e">
        <f t="shared" si="16"/>
        <v>#DIV/0!</v>
      </c>
      <c r="HV73" s="641" t="e">
        <f t="shared" si="16"/>
        <v>#DIV/0!</v>
      </c>
      <c r="HW73" s="641" t="e">
        <f t="shared" si="16"/>
        <v>#DIV/0!</v>
      </c>
      <c r="HX73" s="641" t="e">
        <f t="shared" si="16"/>
        <v>#DIV/0!</v>
      </c>
      <c r="HY73" s="641" t="e">
        <f t="shared" si="16"/>
        <v>#DIV/0!</v>
      </c>
      <c r="HZ73" s="641" t="e">
        <f t="shared" si="16"/>
        <v>#DIV/0!</v>
      </c>
      <c r="IA73" s="641" t="e">
        <f t="shared" si="16"/>
        <v>#DIV/0!</v>
      </c>
      <c r="IB73" s="641" t="e">
        <f t="shared" si="16"/>
        <v>#DIV/0!</v>
      </c>
      <c r="IC73" s="641" t="e">
        <f t="shared" si="16"/>
        <v>#DIV/0!</v>
      </c>
      <c r="ID73" s="641" t="e">
        <f t="shared" si="16"/>
        <v>#DIV/0!</v>
      </c>
      <c r="IE73" s="641">
        <f t="shared" si="16"/>
        <v>1</v>
      </c>
      <c r="IF73" s="641" t="e">
        <f t="shared" si="16"/>
        <v>#DIV/0!</v>
      </c>
      <c r="IG73" s="641" t="e">
        <f t="shared" si="16"/>
        <v>#DIV/0!</v>
      </c>
      <c r="IH73" s="641">
        <f t="shared" si="16"/>
        <v>1</v>
      </c>
      <c r="II73" s="641">
        <f t="shared" si="16"/>
        <v>1</v>
      </c>
    </row>
    <row r="74" spans="1:243" s="643" customFormat="1" ht="20.399999999999999">
      <c r="A74" s="642" t="s">
        <v>1008</v>
      </c>
      <c r="D74" s="642"/>
      <c r="J74" s="644">
        <f>AVERAGE(J40:J64)</f>
        <v>4.9999999999999991</v>
      </c>
      <c r="K74" s="644">
        <f t="shared" ref="K74:BW74" si="17">AVERAGE(K40:K64)</f>
        <v>8.4166666666666661</v>
      </c>
      <c r="L74" s="644">
        <f t="shared" si="17"/>
        <v>2014.9166666666667</v>
      </c>
      <c r="M74" s="644" t="e">
        <f t="shared" si="17"/>
        <v>#DIV/0!</v>
      </c>
      <c r="N74" s="644" t="e">
        <f t="shared" si="17"/>
        <v>#DIV/0!</v>
      </c>
      <c r="O74" s="644" t="e">
        <f t="shared" si="17"/>
        <v>#DIV/0!</v>
      </c>
      <c r="P74" s="644" t="e">
        <f t="shared" si="17"/>
        <v>#DIV/0!</v>
      </c>
      <c r="Q74" s="644" t="e">
        <f t="shared" si="17"/>
        <v>#DIV/0!</v>
      </c>
      <c r="R74" s="644" t="e">
        <f t="shared" si="17"/>
        <v>#DIV/0!</v>
      </c>
      <c r="S74" s="644">
        <f t="shared" si="17"/>
        <v>2.3333333333333335</v>
      </c>
      <c r="T74" s="644">
        <f t="shared" si="17"/>
        <v>1</v>
      </c>
      <c r="U74" s="644" t="e">
        <f t="shared" si="17"/>
        <v>#DIV/0!</v>
      </c>
      <c r="V74" s="644">
        <f t="shared" si="17"/>
        <v>15.090909090909092</v>
      </c>
      <c r="W74" s="644">
        <f t="shared" si="17"/>
        <v>13.666666666666666</v>
      </c>
      <c r="X74" s="644">
        <f t="shared" si="17"/>
        <v>12.666666666666666</v>
      </c>
      <c r="Y74" s="644">
        <f t="shared" si="17"/>
        <v>11.666666666666666</v>
      </c>
      <c r="Z74" s="644">
        <f t="shared" si="17"/>
        <v>11</v>
      </c>
      <c r="AA74" s="644">
        <f t="shared" si="17"/>
        <v>10</v>
      </c>
      <c r="AB74" s="644">
        <f t="shared" si="17"/>
        <v>8</v>
      </c>
      <c r="AC74" s="644" t="e">
        <f t="shared" si="17"/>
        <v>#DIV/0!</v>
      </c>
      <c r="AD74" s="644">
        <f t="shared" si="17"/>
        <v>1</v>
      </c>
      <c r="AE74" s="644">
        <f t="shared" si="17"/>
        <v>1</v>
      </c>
      <c r="AF74" s="644" t="e">
        <f t="shared" si="17"/>
        <v>#DIV/0!</v>
      </c>
      <c r="AG74" s="644" t="e">
        <f t="shared" si="17"/>
        <v>#DIV/0!</v>
      </c>
      <c r="AH74" s="644" t="e">
        <f t="shared" si="17"/>
        <v>#DIV/0!</v>
      </c>
      <c r="AI74" s="644" t="e">
        <f t="shared" si="17"/>
        <v>#DIV/0!</v>
      </c>
      <c r="AJ74" s="644">
        <f t="shared" si="17"/>
        <v>0</v>
      </c>
      <c r="AK74" s="644" t="e">
        <f t="shared" si="17"/>
        <v>#DIV/0!</v>
      </c>
      <c r="AL74" s="644" t="e">
        <f t="shared" si="17"/>
        <v>#DIV/0!</v>
      </c>
      <c r="AM74" s="644">
        <f t="shared" si="17"/>
        <v>2.5992857142857142</v>
      </c>
      <c r="AN74" s="644">
        <f t="shared" si="17"/>
        <v>2.422857142857143</v>
      </c>
      <c r="AO74" s="644" t="e">
        <f t="shared" si="17"/>
        <v>#DIV/0!</v>
      </c>
      <c r="AP74" s="644">
        <f t="shared" si="17"/>
        <v>2.605</v>
      </c>
      <c r="AQ74" s="644">
        <f t="shared" si="17"/>
        <v>6.5688785714285718</v>
      </c>
      <c r="AR74" s="644" t="e">
        <f t="shared" si="17"/>
        <v>#DIV/0!</v>
      </c>
      <c r="AS74" s="644">
        <f t="shared" si="17"/>
        <v>1.9484615384615382</v>
      </c>
      <c r="AT74" s="644">
        <f t="shared" si="17"/>
        <v>3.66923076923077</v>
      </c>
      <c r="AU74" s="644" t="e">
        <f t="shared" si="17"/>
        <v>#DIV/0!</v>
      </c>
      <c r="AV74" s="644">
        <f t="shared" si="17"/>
        <v>0.3</v>
      </c>
      <c r="AW74" s="644">
        <f t="shared" si="17"/>
        <v>7.27</v>
      </c>
      <c r="AX74" s="644" t="e">
        <f t="shared" si="17"/>
        <v>#DIV/0!</v>
      </c>
      <c r="AY74" s="644" t="e">
        <f t="shared" si="17"/>
        <v>#DIV/0!</v>
      </c>
      <c r="AZ74" s="644">
        <f t="shared" si="17"/>
        <v>2.6520538461538461</v>
      </c>
      <c r="BA74" s="644">
        <f t="shared" si="17"/>
        <v>10</v>
      </c>
      <c r="BB74" s="644">
        <f t="shared" si="17"/>
        <v>9.6444444444444457</v>
      </c>
      <c r="BC74" s="644">
        <f t="shared" si="17"/>
        <v>0.83333333333333337</v>
      </c>
      <c r="BD74" s="644">
        <f t="shared" si="17"/>
        <v>112.5</v>
      </c>
      <c r="BE74" s="644" t="e">
        <f t="shared" si="17"/>
        <v>#DIV/0!</v>
      </c>
      <c r="BF74" s="644" t="e">
        <f t="shared" si="17"/>
        <v>#DIV/0!</v>
      </c>
      <c r="BG74" s="644" t="e">
        <f t="shared" si="17"/>
        <v>#DIV/0!</v>
      </c>
      <c r="BH74" s="644" t="e">
        <f t="shared" si="17"/>
        <v>#DIV/0!</v>
      </c>
      <c r="BI74" s="644" t="e">
        <f t="shared" si="17"/>
        <v>#DIV/0!</v>
      </c>
      <c r="BJ74" s="644" t="e">
        <f t="shared" si="17"/>
        <v>#DIV/0!</v>
      </c>
      <c r="BK74" s="644" t="e">
        <f t="shared" si="17"/>
        <v>#DIV/0!</v>
      </c>
      <c r="BL74" s="644">
        <f t="shared" si="17"/>
        <v>9.939207692307693E-2</v>
      </c>
      <c r="BM74" s="644" t="e">
        <f t="shared" si="17"/>
        <v>#DIV/0!</v>
      </c>
      <c r="BN74" s="644" t="e">
        <f>AVERAGE(BN40:BN64)</f>
        <v>#DIV/0!</v>
      </c>
      <c r="BO74" s="644">
        <f t="shared" si="17"/>
        <v>745016.99869396514</v>
      </c>
      <c r="BP74" s="644" t="e">
        <f t="shared" si="17"/>
        <v>#DIV/0!</v>
      </c>
      <c r="BQ74" s="644">
        <f t="shared" si="17"/>
        <v>32</v>
      </c>
      <c r="BR74" s="644">
        <f t="shared" si="17"/>
        <v>100</v>
      </c>
      <c r="BS74" s="644">
        <f t="shared" si="17"/>
        <v>175000</v>
      </c>
      <c r="BT74" s="644">
        <f t="shared" si="17"/>
        <v>288</v>
      </c>
      <c r="BU74" s="644" t="e">
        <f t="shared" si="17"/>
        <v>#DIV/0!</v>
      </c>
      <c r="BV74" s="644" t="e">
        <f t="shared" si="17"/>
        <v>#DIV/0!</v>
      </c>
      <c r="BW74" s="644" t="e">
        <f t="shared" si="17"/>
        <v>#DIV/0!</v>
      </c>
      <c r="BX74" s="644" t="e">
        <f t="shared" ref="BX74:EI74" si="18">AVERAGE(BX40:BX64)</f>
        <v>#DIV/0!</v>
      </c>
      <c r="BY74" s="644" t="e">
        <f t="shared" si="18"/>
        <v>#DIV/0!</v>
      </c>
      <c r="BZ74" s="644" t="e">
        <f t="shared" si="18"/>
        <v>#DIV/0!</v>
      </c>
      <c r="CA74" s="644" t="e">
        <f t="shared" si="18"/>
        <v>#DIV/0!</v>
      </c>
      <c r="CB74" s="644" t="e">
        <f t="shared" si="18"/>
        <v>#DIV/0!</v>
      </c>
      <c r="CC74" s="644" t="e">
        <f t="shared" si="18"/>
        <v>#DIV/0!</v>
      </c>
      <c r="CD74" s="644" t="e">
        <f t="shared" si="18"/>
        <v>#DIV/0!</v>
      </c>
      <c r="CE74" s="644" t="e">
        <f t="shared" si="18"/>
        <v>#DIV/0!</v>
      </c>
      <c r="CF74" s="644" t="e">
        <f t="shared" si="18"/>
        <v>#DIV/0!</v>
      </c>
      <c r="CG74" s="644" t="e">
        <f t="shared" si="18"/>
        <v>#DIV/0!</v>
      </c>
      <c r="CH74" s="644" t="e">
        <f t="shared" si="18"/>
        <v>#DIV/0!</v>
      </c>
      <c r="CI74" s="644" t="e">
        <f t="shared" si="18"/>
        <v>#DIV/0!</v>
      </c>
      <c r="CJ74" s="644" t="e">
        <f t="shared" si="18"/>
        <v>#DIV/0!</v>
      </c>
      <c r="CK74" s="644">
        <f t="shared" si="18"/>
        <v>18000</v>
      </c>
      <c r="CL74" s="644" t="e">
        <f t="shared" si="18"/>
        <v>#DIV/0!</v>
      </c>
      <c r="CM74" s="644" t="e">
        <f t="shared" si="18"/>
        <v>#DIV/0!</v>
      </c>
      <c r="CN74" s="644" t="e">
        <f t="shared" si="18"/>
        <v>#DIV/0!</v>
      </c>
      <c r="CO74" s="644">
        <f t="shared" si="18"/>
        <v>0.32</v>
      </c>
      <c r="CP74" s="644">
        <f t="shared" si="18"/>
        <v>11.23280957105124</v>
      </c>
      <c r="CQ74" s="644">
        <f t="shared" si="18"/>
        <v>6.3532499405567124</v>
      </c>
      <c r="CR74" s="644">
        <f t="shared" si="18"/>
        <v>-31.428571428571427</v>
      </c>
      <c r="CS74" s="644">
        <f t="shared" si="18"/>
        <v>107.85714285714286</v>
      </c>
      <c r="CT74" s="644">
        <f t="shared" si="18"/>
        <v>0.16</v>
      </c>
      <c r="CU74" s="644">
        <f t="shared" si="18"/>
        <v>12</v>
      </c>
      <c r="CV74" s="644">
        <f t="shared" si="18"/>
        <v>3.9885947615540296</v>
      </c>
      <c r="CW74" s="644">
        <f t="shared" si="18"/>
        <v>0</v>
      </c>
      <c r="CX74" s="644">
        <f t="shared" si="18"/>
        <v>90</v>
      </c>
      <c r="CY74" s="644">
        <f t="shared" si="18"/>
        <v>0.04</v>
      </c>
      <c r="CZ74" s="644">
        <f t="shared" si="18"/>
        <v>0.04</v>
      </c>
      <c r="DA74" s="644">
        <f t="shared" si="18"/>
        <v>2</v>
      </c>
      <c r="DB74" s="644">
        <f t="shared" si="18"/>
        <v>4</v>
      </c>
      <c r="DC74" s="644">
        <f t="shared" si="18"/>
        <v>8</v>
      </c>
      <c r="DD74" s="644">
        <f t="shared" si="18"/>
        <v>16</v>
      </c>
      <c r="DE74" s="644" t="e">
        <f t="shared" si="18"/>
        <v>#DIV/0!</v>
      </c>
      <c r="DF74" s="644" t="e">
        <f t="shared" si="18"/>
        <v>#DIV/0!</v>
      </c>
      <c r="DG74" s="644" t="e">
        <f t="shared" si="18"/>
        <v>#DIV/0!</v>
      </c>
      <c r="DH74" s="644" t="e">
        <f t="shared" si="18"/>
        <v>#DIV/0!</v>
      </c>
      <c r="DI74" s="644">
        <f t="shared" si="18"/>
        <v>16.000831231761289</v>
      </c>
      <c r="DJ74" s="644">
        <f t="shared" si="18"/>
        <v>0</v>
      </c>
      <c r="DK74" s="644">
        <f t="shared" si="18"/>
        <v>0.04</v>
      </c>
      <c r="DL74" s="644" t="e">
        <f t="shared" si="18"/>
        <v>#DIV/0!</v>
      </c>
      <c r="DM74" s="644" t="e">
        <f t="shared" si="18"/>
        <v>#DIV/0!</v>
      </c>
      <c r="DN74" s="644" t="e">
        <f t="shared" si="18"/>
        <v>#DIV/0!</v>
      </c>
      <c r="DO74" s="644" t="e">
        <f t="shared" si="18"/>
        <v>#DIV/0!</v>
      </c>
      <c r="DP74" s="644" t="e">
        <f t="shared" si="18"/>
        <v>#DIV/0!</v>
      </c>
      <c r="DQ74" s="644" t="e">
        <f t="shared" si="18"/>
        <v>#DIV/0!</v>
      </c>
      <c r="DR74" s="644" t="e">
        <f t="shared" si="18"/>
        <v>#DIV/0!</v>
      </c>
      <c r="DS74" s="644" t="e">
        <f t="shared" si="18"/>
        <v>#DIV/0!</v>
      </c>
      <c r="DT74" s="644" t="e">
        <f t="shared" si="18"/>
        <v>#DIV/0!</v>
      </c>
      <c r="DU74" s="644">
        <f t="shared" si="18"/>
        <v>0</v>
      </c>
      <c r="DV74" s="644">
        <f t="shared" si="18"/>
        <v>0.08</v>
      </c>
      <c r="DW74" s="644">
        <f t="shared" si="18"/>
        <v>4</v>
      </c>
      <c r="DX74" s="644">
        <f t="shared" si="18"/>
        <v>8</v>
      </c>
      <c r="DY74" s="644">
        <f t="shared" si="18"/>
        <v>12</v>
      </c>
      <c r="DZ74" s="644">
        <f t="shared" si="18"/>
        <v>16</v>
      </c>
      <c r="EA74" s="644" t="e">
        <f t="shared" si="18"/>
        <v>#DIV/0!</v>
      </c>
      <c r="EB74" s="644" t="e">
        <f t="shared" si="18"/>
        <v>#DIV/0!</v>
      </c>
      <c r="EC74" s="644" t="e">
        <f t="shared" si="18"/>
        <v>#DIV/0!</v>
      </c>
      <c r="ED74" s="644" t="e">
        <f t="shared" si="18"/>
        <v>#DIV/0!</v>
      </c>
      <c r="EE74" s="644">
        <f t="shared" si="18"/>
        <v>15.802285552379209</v>
      </c>
      <c r="EF74" s="644">
        <f t="shared" si="18"/>
        <v>0.04</v>
      </c>
      <c r="EG74" s="644" t="e">
        <f t="shared" si="18"/>
        <v>#DIV/0!</v>
      </c>
      <c r="EH74" s="644" t="e">
        <f t="shared" si="18"/>
        <v>#DIV/0!</v>
      </c>
      <c r="EI74" s="644" t="e">
        <f t="shared" si="18"/>
        <v>#DIV/0!</v>
      </c>
      <c r="EJ74" s="644" t="e">
        <f t="shared" ref="EJ74:GU74" si="19">AVERAGE(EJ40:EJ64)</f>
        <v>#DIV/0!</v>
      </c>
      <c r="EK74" s="644">
        <f t="shared" si="19"/>
        <v>0.08</v>
      </c>
      <c r="EL74" s="644" t="e">
        <f t="shared" si="19"/>
        <v>#DIV/0!</v>
      </c>
      <c r="EM74" s="644" t="e">
        <f t="shared" si="19"/>
        <v>#DIV/0!</v>
      </c>
      <c r="EN74" s="644" t="e">
        <f t="shared" si="19"/>
        <v>#DIV/0!</v>
      </c>
      <c r="EO74" s="644" t="e">
        <f t="shared" si="19"/>
        <v>#DIV/0!</v>
      </c>
      <c r="EP74" s="644">
        <f t="shared" si="19"/>
        <v>0.2</v>
      </c>
      <c r="EQ74" s="644">
        <f t="shared" si="19"/>
        <v>23</v>
      </c>
      <c r="ER74" s="644">
        <f t="shared" si="19"/>
        <v>13.033852958324529</v>
      </c>
      <c r="ES74" s="644">
        <f t="shared" si="19"/>
        <v>0.75000250000000002</v>
      </c>
      <c r="ET74" s="644">
        <f t="shared" si="19"/>
        <v>116.96625</v>
      </c>
      <c r="EU74" s="644">
        <f t="shared" si="19"/>
        <v>0.04</v>
      </c>
      <c r="EV74" s="644" t="e">
        <f t="shared" si="19"/>
        <v>#DIV/0!</v>
      </c>
      <c r="EW74" s="644" t="e">
        <f t="shared" si="19"/>
        <v>#DIV/0!</v>
      </c>
      <c r="EX74" s="644" t="e">
        <f t="shared" si="19"/>
        <v>#DIV/0!</v>
      </c>
      <c r="EY74" s="644" t="e">
        <f t="shared" si="19"/>
        <v>#DIV/0!</v>
      </c>
      <c r="EZ74" s="644">
        <f t="shared" si="19"/>
        <v>0</v>
      </c>
      <c r="FA74" s="644" t="e">
        <f t="shared" si="19"/>
        <v>#DIV/0!</v>
      </c>
      <c r="FB74" s="644" t="e">
        <f t="shared" si="19"/>
        <v>#DIV/0!</v>
      </c>
      <c r="FC74" s="644" t="e">
        <f t="shared" si="19"/>
        <v>#DIV/0!</v>
      </c>
      <c r="FD74" s="644" t="e">
        <f t="shared" si="19"/>
        <v>#DIV/0!</v>
      </c>
      <c r="FE74" s="644">
        <f t="shared" si="19"/>
        <v>0</v>
      </c>
      <c r="FF74" s="644" t="e">
        <f t="shared" si="19"/>
        <v>#DIV/0!</v>
      </c>
      <c r="FG74" s="644" t="e">
        <f t="shared" si="19"/>
        <v>#DIV/0!</v>
      </c>
      <c r="FH74" s="644" t="e">
        <f t="shared" si="19"/>
        <v>#DIV/0!</v>
      </c>
      <c r="FI74" s="644" t="e">
        <f t="shared" si="19"/>
        <v>#DIV/0!</v>
      </c>
      <c r="FJ74" s="644">
        <f t="shared" si="19"/>
        <v>0.16666666666666666</v>
      </c>
      <c r="FK74" s="644" t="e">
        <f t="shared" si="19"/>
        <v>#DIV/0!</v>
      </c>
      <c r="FL74" s="644" t="e">
        <f t="shared" si="19"/>
        <v>#DIV/0!</v>
      </c>
      <c r="FM74" s="644">
        <f t="shared" si="19"/>
        <v>1</v>
      </c>
      <c r="FN74" s="644">
        <f t="shared" si="19"/>
        <v>100</v>
      </c>
      <c r="FO74" s="644">
        <f t="shared" si="19"/>
        <v>0.04</v>
      </c>
      <c r="FP74" s="644" t="e">
        <f t="shared" si="19"/>
        <v>#DIV/0!</v>
      </c>
      <c r="FQ74" s="644" t="e">
        <f t="shared" si="19"/>
        <v>#DIV/0!</v>
      </c>
      <c r="FR74" s="644" t="e">
        <f t="shared" si="19"/>
        <v>#DIV/0!</v>
      </c>
      <c r="FS74" s="644" t="e">
        <f t="shared" si="19"/>
        <v>#DIV/0!</v>
      </c>
      <c r="FT74" s="644">
        <f t="shared" si="19"/>
        <v>0.04</v>
      </c>
      <c r="FU74" s="644" t="e">
        <f t="shared" si="19"/>
        <v>#DIV/0!</v>
      </c>
      <c r="FV74" s="644" t="e">
        <f t="shared" si="19"/>
        <v>#DIV/0!</v>
      </c>
      <c r="FW74" s="644" t="e">
        <f t="shared" si="19"/>
        <v>#DIV/0!</v>
      </c>
      <c r="FX74" s="644" t="e">
        <f t="shared" si="19"/>
        <v>#DIV/0!</v>
      </c>
      <c r="FY74" s="644">
        <f t="shared" si="19"/>
        <v>0.12</v>
      </c>
      <c r="FZ74" s="644" t="e">
        <f t="shared" si="19"/>
        <v>#DIV/0!</v>
      </c>
      <c r="GA74" s="644" t="e">
        <f t="shared" si="19"/>
        <v>#DIV/0!</v>
      </c>
      <c r="GB74" s="644" t="e">
        <f t="shared" si="19"/>
        <v>#DIV/0!</v>
      </c>
      <c r="GC74" s="644" t="e">
        <f t="shared" si="19"/>
        <v>#DIV/0!</v>
      </c>
      <c r="GD74" s="644">
        <f t="shared" si="19"/>
        <v>0</v>
      </c>
      <c r="GE74" s="644" t="e">
        <f t="shared" si="19"/>
        <v>#DIV/0!</v>
      </c>
      <c r="GF74" s="644" t="e">
        <f t="shared" si="19"/>
        <v>#DIV/0!</v>
      </c>
      <c r="GG74" s="644" t="e">
        <f t="shared" si="19"/>
        <v>#DIV/0!</v>
      </c>
      <c r="GH74" s="644" t="e">
        <f t="shared" si="19"/>
        <v>#DIV/0!</v>
      </c>
      <c r="GI74" s="644">
        <f t="shared" si="19"/>
        <v>0.04</v>
      </c>
      <c r="GJ74" s="644" t="e">
        <f t="shared" si="19"/>
        <v>#DIV/0!</v>
      </c>
      <c r="GK74" s="644">
        <f t="shared" si="19"/>
        <v>12.287712379549451</v>
      </c>
      <c r="GL74" s="644">
        <f t="shared" si="19"/>
        <v>-15</v>
      </c>
      <c r="GM74" s="644">
        <f t="shared" si="19"/>
        <v>15</v>
      </c>
      <c r="GN74" s="644">
        <f t="shared" si="19"/>
        <v>0</v>
      </c>
      <c r="GO74" s="644" t="e">
        <f t="shared" si="19"/>
        <v>#DIV/0!</v>
      </c>
      <c r="GP74" s="644" t="e">
        <f t="shared" si="19"/>
        <v>#DIV/0!</v>
      </c>
      <c r="GQ74" s="644" t="e">
        <f t="shared" si="19"/>
        <v>#DIV/0!</v>
      </c>
      <c r="GR74" s="644" t="e">
        <f t="shared" si="19"/>
        <v>#DIV/0!</v>
      </c>
      <c r="GS74" s="644">
        <f t="shared" si="19"/>
        <v>0</v>
      </c>
      <c r="GT74" s="644" t="e">
        <f t="shared" si="19"/>
        <v>#DIV/0!</v>
      </c>
      <c r="GU74" s="644" t="e">
        <f t="shared" si="19"/>
        <v>#DIV/0!</v>
      </c>
      <c r="GV74" s="644" t="e">
        <f t="shared" ref="GV74:II74" si="20">AVERAGE(GV40:GV64)</f>
        <v>#DIV/0!</v>
      </c>
      <c r="GW74" s="644" t="e">
        <f t="shared" si="20"/>
        <v>#DIV/0!</v>
      </c>
      <c r="GX74" s="644">
        <f t="shared" si="20"/>
        <v>1</v>
      </c>
      <c r="GY74" s="644">
        <f t="shared" si="20"/>
        <v>1</v>
      </c>
      <c r="GZ74" s="644" t="e">
        <f t="shared" si="20"/>
        <v>#DIV/0!</v>
      </c>
      <c r="HA74" s="644" t="e">
        <f t="shared" si="20"/>
        <v>#DIV/0!</v>
      </c>
      <c r="HB74" s="644" t="e">
        <f t="shared" si="20"/>
        <v>#DIV/0!</v>
      </c>
      <c r="HC74" s="644">
        <f t="shared" si="20"/>
        <v>1</v>
      </c>
      <c r="HD74" s="644">
        <f t="shared" si="20"/>
        <v>1</v>
      </c>
      <c r="HE74" s="644">
        <f t="shared" si="20"/>
        <v>1</v>
      </c>
      <c r="HF74" s="644" t="e">
        <f t="shared" si="20"/>
        <v>#DIV/0!</v>
      </c>
      <c r="HG74" s="644" t="e">
        <f t="shared" si="20"/>
        <v>#DIV/0!</v>
      </c>
      <c r="HH74" s="644">
        <f t="shared" si="20"/>
        <v>1</v>
      </c>
      <c r="HI74" s="644" t="e">
        <f t="shared" si="20"/>
        <v>#DIV/0!</v>
      </c>
      <c r="HJ74" s="644" t="e">
        <f t="shared" si="20"/>
        <v>#DIV/0!</v>
      </c>
      <c r="HK74" s="644" t="e">
        <f t="shared" si="20"/>
        <v>#DIV/0!</v>
      </c>
      <c r="HL74" s="644">
        <f t="shared" si="20"/>
        <v>1</v>
      </c>
      <c r="HM74" s="644">
        <f t="shared" si="20"/>
        <v>1</v>
      </c>
      <c r="HN74" s="644">
        <f t="shared" si="20"/>
        <v>1</v>
      </c>
      <c r="HO74" s="644" t="e">
        <f t="shared" si="20"/>
        <v>#DIV/0!</v>
      </c>
      <c r="HP74" s="644" t="e">
        <f t="shared" si="20"/>
        <v>#DIV/0!</v>
      </c>
      <c r="HQ74" s="644" t="e">
        <f t="shared" si="20"/>
        <v>#DIV/0!</v>
      </c>
      <c r="HR74" s="644" t="e">
        <f t="shared" si="20"/>
        <v>#DIV/0!</v>
      </c>
      <c r="HS74" s="644" t="e">
        <f t="shared" si="20"/>
        <v>#DIV/0!</v>
      </c>
      <c r="HT74" s="644" t="e">
        <f t="shared" si="20"/>
        <v>#DIV/0!</v>
      </c>
      <c r="HU74" s="644" t="e">
        <f t="shared" si="20"/>
        <v>#DIV/0!</v>
      </c>
      <c r="HV74" s="644" t="e">
        <f t="shared" si="20"/>
        <v>#DIV/0!</v>
      </c>
      <c r="HW74" s="644" t="e">
        <f t="shared" si="20"/>
        <v>#DIV/0!</v>
      </c>
      <c r="HX74" s="644" t="e">
        <f t="shared" si="20"/>
        <v>#DIV/0!</v>
      </c>
      <c r="HY74" s="644" t="e">
        <f t="shared" si="20"/>
        <v>#DIV/0!</v>
      </c>
      <c r="HZ74" s="644" t="e">
        <f t="shared" si="20"/>
        <v>#DIV/0!</v>
      </c>
      <c r="IA74" s="644" t="e">
        <f t="shared" si="20"/>
        <v>#DIV/0!</v>
      </c>
      <c r="IB74" s="644" t="e">
        <f t="shared" si="20"/>
        <v>#DIV/0!</v>
      </c>
      <c r="IC74" s="644" t="e">
        <f t="shared" si="20"/>
        <v>#DIV/0!</v>
      </c>
      <c r="ID74" s="644">
        <f t="shared" si="20"/>
        <v>1</v>
      </c>
      <c r="IE74" s="644" t="e">
        <f t="shared" si="20"/>
        <v>#DIV/0!</v>
      </c>
      <c r="IF74" s="644" t="e">
        <f t="shared" si="20"/>
        <v>#DIV/0!</v>
      </c>
      <c r="IG74" s="644" t="e">
        <f t="shared" si="20"/>
        <v>#DIV/0!</v>
      </c>
      <c r="IH74" s="644" t="e">
        <f t="shared" si="20"/>
        <v>#DIV/0!</v>
      </c>
      <c r="II74" s="644" t="e">
        <f t="shared" si="20"/>
        <v>#DIV/0!</v>
      </c>
    </row>
  </sheetData>
  <mergeCells count="54">
    <mergeCell ref="HF1:II1"/>
    <mergeCell ref="C43:C50"/>
    <mergeCell ref="C51:C52"/>
    <mergeCell ref="I53:I56"/>
    <mergeCell ref="H53:H54"/>
    <mergeCell ref="I20:I22"/>
    <mergeCell ref="C40:C42"/>
    <mergeCell ref="C19:C24"/>
    <mergeCell ref="C25:C28"/>
    <mergeCell ref="C33:C38"/>
    <mergeCell ref="I33:I38"/>
    <mergeCell ref="E29:E30"/>
    <mergeCell ref="F29:F30"/>
    <mergeCell ref="GX1:HE1"/>
    <mergeCell ref="FE1:FI1"/>
    <mergeCell ref="GS1:GW1"/>
    <mergeCell ref="A40:A64"/>
    <mergeCell ref="CL1:CN1"/>
    <mergeCell ref="CA1:CB1"/>
    <mergeCell ref="CC1:CH1"/>
    <mergeCell ref="CI1:CK1"/>
    <mergeCell ref="A3:A39"/>
    <mergeCell ref="AM1:AR1"/>
    <mergeCell ref="C29:C32"/>
    <mergeCell ref="C14:C18"/>
    <mergeCell ref="I58:I59"/>
    <mergeCell ref="BP1:BZ1"/>
    <mergeCell ref="H33:H38"/>
    <mergeCell ref="F31:F32"/>
    <mergeCell ref="E31:E32"/>
    <mergeCell ref="C53:C62"/>
    <mergeCell ref="M1:AK1"/>
    <mergeCell ref="G33:G38"/>
    <mergeCell ref="C1:L1"/>
    <mergeCell ref="EZ1:FD1"/>
    <mergeCell ref="EP1:ET1"/>
    <mergeCell ref="EU1:EY1"/>
    <mergeCell ref="CT1:CX1"/>
    <mergeCell ref="CY1:DI1"/>
    <mergeCell ref="DJ1:DT1"/>
    <mergeCell ref="DU1:EE1"/>
    <mergeCell ref="EF1:EJ1"/>
    <mergeCell ref="G29:G30"/>
    <mergeCell ref="C4:C13"/>
    <mergeCell ref="I3:I8"/>
    <mergeCell ref="GN1:GR1"/>
    <mergeCell ref="GI1:GM1"/>
    <mergeCell ref="CO1:CS1"/>
    <mergeCell ref="EK1:EO1"/>
    <mergeCell ref="FJ1:FN1"/>
    <mergeCell ref="FO1:FS1"/>
    <mergeCell ref="FT1:FX1"/>
    <mergeCell ref="FY1:GC1"/>
    <mergeCell ref="GD1:GH1"/>
  </mergeCells>
  <hyperlinks>
    <hyperlink ref="G8" r:id="rId1"/>
    <hyperlink ref="F8" r:id="rId2"/>
    <hyperlink ref="E8" r:id="rId3"/>
    <hyperlink ref="E6" r:id="rId4"/>
    <hyperlink ref="F6" r:id="rId5"/>
    <hyperlink ref="E4" r:id="rId6"/>
    <hyperlink ref="E5" r:id="rId7"/>
    <hyperlink ref="E7" r:id="rId8"/>
    <hyperlink ref="F7" r:id="rId9"/>
    <hyperlink ref="F4" r:id="rId10"/>
    <hyperlink ref="F5" r:id="rId11"/>
    <hyperlink ref="E15" r:id="rId12"/>
    <hyperlink ref="F15" r:id="rId13"/>
    <hyperlink ref="G15" r:id="rId14" display="Lnk"/>
    <hyperlink ref="H15" r:id="rId15"/>
    <hyperlink ref="E14" r:id="rId16"/>
    <hyperlink ref="F14" r:id="rId17"/>
    <hyperlink ref="G14" r:id="rId18"/>
    <hyperlink ref="H14" r:id="rId19"/>
    <hyperlink ref="E16" r:id="rId20"/>
    <hyperlink ref="F16" r:id="rId21"/>
    <hyperlink ref="G16" r:id="rId22"/>
    <hyperlink ref="E17" r:id="rId23"/>
    <hyperlink ref="F17" r:id="rId24"/>
    <hyperlink ref="E40" r:id="rId25"/>
    <hyperlink ref="F40" r:id="rId26"/>
    <hyperlink ref="G40" r:id="rId27"/>
    <hyperlink ref="H40" r:id="rId28"/>
    <hyperlink ref="E41" r:id="rId29"/>
    <hyperlink ref="F41" r:id="rId30"/>
    <hyperlink ref="G41" r:id="rId31"/>
    <hyperlink ref="E19" r:id="rId32"/>
    <hyperlink ref="I19" r:id="rId33"/>
    <hyperlink ref="I20:I22" r:id="rId34" display="Lnk"/>
    <hyperlink ref="E20" r:id="rId35"/>
    <hyperlink ref="E21" r:id="rId36"/>
    <hyperlink ref="E22" r:id="rId37"/>
    <hyperlink ref="E43" r:id="rId38"/>
    <hyperlink ref="F43" r:id="rId39"/>
    <hyperlink ref="F44" r:id="rId40"/>
    <hyperlink ref="E44" r:id="rId41"/>
    <hyperlink ref="E46" r:id="rId42"/>
    <hyperlink ref="F46" r:id="rId43"/>
    <hyperlink ref="E51" r:id="rId44"/>
    <hyperlink ref="F51" r:id="rId45"/>
    <hyperlink ref="I53:I56" r:id="rId46" display="Lnk"/>
    <hyperlink ref="E58" r:id="rId47"/>
    <hyperlink ref="E59" r:id="rId48"/>
    <hyperlink ref="I58:I59" r:id="rId49" display="Lnk"/>
    <hyperlink ref="I54" r:id="rId50" display="Lnk"/>
    <hyperlink ref="H53:H54" r:id="rId51" display="Lnk"/>
    <hyperlink ref="E53" r:id="rId52"/>
    <hyperlink ref="E54" r:id="rId53"/>
    <hyperlink ref="G58" r:id="rId54"/>
    <hyperlink ref="F58" r:id="rId55"/>
    <hyperlink ref="F59" r:id="rId56"/>
    <hyperlink ref="G59" r:id="rId57"/>
    <hyperlink ref="G61" r:id="rId58"/>
    <hyperlink ref="F61" r:id="rId59"/>
    <hyperlink ref="E61" r:id="rId60"/>
    <hyperlink ref="G19" r:id="rId61"/>
    <hyperlink ref="F20" r:id="rId62"/>
    <hyperlink ref="F21" r:id="rId63"/>
    <hyperlink ref="G21" r:id="rId64"/>
    <hyperlink ref="F22" r:id="rId65"/>
    <hyperlink ref="G22" r:id="rId66"/>
    <hyperlink ref="F23" r:id="rId67"/>
    <hyperlink ref="E23" r:id="rId68"/>
    <hyperlink ref="G23" r:id="rId69"/>
    <hyperlink ref="E25" r:id="rId70"/>
    <hyperlink ref="F25" r:id="rId71" display="Lnk"/>
    <hyperlink ref="E27" r:id="rId72"/>
    <hyperlink ref="G25" r:id="rId73"/>
    <hyperlink ref="F26" r:id="rId74"/>
    <hyperlink ref="I33:I38" r:id="rId75" display="Lnk"/>
    <hyperlink ref="E33" r:id="rId76"/>
    <hyperlink ref="E34" r:id="rId77"/>
    <hyperlink ref="E35" r:id="rId78"/>
    <hyperlink ref="E36" r:id="rId79"/>
    <hyperlink ref="E37" r:id="rId80"/>
    <hyperlink ref="E38" r:id="rId81"/>
    <hyperlink ref="G5" r:id="rId82"/>
    <hyperlink ref="F27" r:id="rId83"/>
    <hyperlink ref="H25" r:id="rId84"/>
    <hyperlink ref="G26" r:id="rId85"/>
    <hyperlink ref="E29" r:id="rId86"/>
    <hyperlink ref="F29" r:id="rId87"/>
    <hyperlink ref="G29:G30" r:id="rId88" display="PDF"/>
    <hyperlink ref="F31" r:id="rId89"/>
    <hyperlink ref="E31:E32" r:id="rId90" display="Lnk"/>
    <hyperlink ref="F33" r:id="rId91"/>
    <hyperlink ref="H33:H38" r:id="rId92" display="Lnk"/>
    <hyperlink ref="G33:G38" r:id="rId93" display="Lnk"/>
    <hyperlink ref="F34" r:id="rId94"/>
    <hyperlink ref="F35" r:id="rId95"/>
    <hyperlink ref="F36" r:id="rId96"/>
    <hyperlink ref="F37" r:id="rId97"/>
    <hyperlink ref="F38" r:id="rId98"/>
    <hyperlink ref="E45" r:id="rId99"/>
    <hyperlink ref="F45" r:id="rId100" display="Lnk"/>
    <hyperlink ref="E47" r:id="rId101"/>
    <hyperlink ref="F47" r:id="rId102"/>
    <hyperlink ref="E9" r:id="rId103"/>
    <hyperlink ref="F9" r:id="rId104"/>
    <hyperlink ref="E56" r:id="rId105"/>
  </hyperlinks>
  <pageMargins left="0.7" right="0.7" top="0.75" bottom="0.75" header="0.3" footer="0.3"/>
  <pageSetup paperSize="9" orientation="portrait" horizontalDpi="300" r:id="rId106"/>
  <legacyDrawing r:id="rId10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HI55"/>
  <sheetViews>
    <sheetView topLeftCell="AC7" zoomScale="70" zoomScaleNormal="70" workbookViewId="0">
      <selection activeCell="AQ38" sqref="AQ38"/>
    </sheetView>
  </sheetViews>
  <sheetFormatPr defaultColWidth="9.109375" defaultRowHeight="14.4"/>
  <cols>
    <col min="1" max="1" width="5" style="78" bestFit="1" customWidth="1"/>
    <col min="2" max="2" width="6.33203125" style="78" bestFit="1" customWidth="1"/>
    <col min="3" max="3" width="9.109375" style="78"/>
    <col min="4" max="6" width="9.109375" style="416"/>
    <col min="7" max="12" width="9.109375" style="78"/>
    <col min="13" max="13" width="9.109375" style="417"/>
    <col min="14" max="16" width="9.109375" style="78"/>
    <col min="17" max="18" width="9.109375" style="417"/>
    <col min="19" max="16384" width="9.109375" style="78"/>
  </cols>
  <sheetData>
    <row r="1" spans="1:217" s="9" customFormat="1" ht="15">
      <c r="C1" s="682" t="s">
        <v>67</v>
      </c>
      <c r="D1" s="683"/>
      <c r="E1" s="684"/>
      <c r="F1" s="705" t="s">
        <v>66</v>
      </c>
      <c r="G1" s="680"/>
      <c r="H1" s="680"/>
      <c r="I1" s="680"/>
      <c r="J1" s="680"/>
      <c r="K1" s="680"/>
      <c r="L1" s="680"/>
      <c r="M1" s="704" t="s">
        <v>68</v>
      </c>
      <c r="N1" s="704"/>
      <c r="O1" s="704"/>
      <c r="P1" s="704"/>
      <c r="Q1" s="704"/>
      <c r="R1" s="704"/>
      <c r="S1" s="704"/>
      <c r="T1" s="704"/>
      <c r="U1" s="704"/>
      <c r="V1" s="704"/>
      <c r="W1" s="704"/>
      <c r="X1" s="231" t="s">
        <v>516</v>
      </c>
      <c r="Y1" s="231"/>
      <c r="Z1" s="231"/>
      <c r="AA1" s="239">
        <v>0.01</v>
      </c>
      <c r="AB1" s="394"/>
      <c r="AC1" s="298"/>
      <c r="AD1" s="711" t="s">
        <v>71</v>
      </c>
      <c r="AE1" s="712"/>
      <c r="AF1" s="712"/>
      <c r="AG1" s="712"/>
      <c r="AH1" s="712"/>
      <c r="AI1" s="712"/>
      <c r="AJ1" s="712"/>
      <c r="AK1" s="712"/>
      <c r="AL1" s="712"/>
      <c r="AM1" s="712"/>
      <c r="AN1" s="713"/>
      <c r="AO1" s="704" t="s">
        <v>72</v>
      </c>
      <c r="AP1" s="704"/>
      <c r="AQ1" s="679" t="s">
        <v>73</v>
      </c>
      <c r="AR1" s="680"/>
      <c r="AS1" s="680"/>
      <c r="AT1" s="680"/>
      <c r="AU1" s="680"/>
      <c r="AV1" s="680"/>
      <c r="AW1" s="681"/>
      <c r="AX1" s="674" t="s">
        <v>255</v>
      </c>
      <c r="AY1" s="674"/>
      <c r="AZ1" s="675"/>
      <c r="BA1" s="426"/>
      <c r="BB1" s="26"/>
      <c r="BC1" s="679" t="s">
        <v>410</v>
      </c>
      <c r="BD1" s="680"/>
      <c r="BE1" s="680"/>
      <c r="BF1" s="680"/>
      <c r="BG1" s="681"/>
      <c r="BH1" s="721" t="s">
        <v>411</v>
      </c>
      <c r="BI1" s="704"/>
      <c r="BJ1" s="704"/>
      <c r="BK1" s="704"/>
      <c r="BL1" s="722"/>
      <c r="BM1" s="725" t="s">
        <v>434</v>
      </c>
      <c r="BN1" s="726"/>
      <c r="BO1" s="726"/>
      <c r="BP1" s="726"/>
      <c r="BQ1" s="726"/>
      <c r="BR1" s="726"/>
      <c r="BS1" s="726"/>
      <c r="BT1" s="726"/>
      <c r="BU1" s="726"/>
      <c r="BV1" s="726"/>
      <c r="BW1" s="726"/>
      <c r="BX1" s="682" t="s">
        <v>162</v>
      </c>
      <c r="BY1" s="683"/>
      <c r="BZ1" s="683"/>
      <c r="CA1" s="683"/>
      <c r="CB1" s="683"/>
      <c r="CC1" s="683"/>
      <c r="CD1" s="683"/>
      <c r="CE1" s="683"/>
      <c r="CF1" s="683"/>
      <c r="CG1" s="683"/>
      <c r="CH1" s="684"/>
      <c r="CI1" s="679" t="s">
        <v>455</v>
      </c>
      <c r="CJ1" s="680"/>
      <c r="CK1" s="680"/>
      <c r="CL1" s="680"/>
      <c r="CM1" s="680"/>
      <c r="CN1" s="680"/>
      <c r="CO1" s="680"/>
      <c r="CP1" s="680"/>
      <c r="CQ1" s="680"/>
      <c r="CR1" s="680"/>
      <c r="CS1" s="681"/>
      <c r="CT1" s="682" t="s">
        <v>419</v>
      </c>
      <c r="CU1" s="683"/>
      <c r="CV1" s="683"/>
      <c r="CW1" s="683"/>
      <c r="CX1" s="684"/>
      <c r="CY1" s="679" t="s">
        <v>420</v>
      </c>
      <c r="CZ1" s="680"/>
      <c r="DA1" s="680"/>
      <c r="DB1" s="680"/>
      <c r="DC1" s="681"/>
      <c r="DD1" s="682" t="s">
        <v>470</v>
      </c>
      <c r="DE1" s="683"/>
      <c r="DF1" s="683"/>
      <c r="DG1" s="683"/>
      <c r="DH1" s="684"/>
      <c r="DI1" s="679" t="s">
        <v>317</v>
      </c>
      <c r="DJ1" s="680"/>
      <c r="DK1" s="680"/>
      <c r="DL1" s="680"/>
      <c r="DM1" s="681"/>
      <c r="DN1" s="682" t="s">
        <v>422</v>
      </c>
      <c r="DO1" s="683"/>
      <c r="DP1" s="683"/>
      <c r="DQ1" s="683"/>
      <c r="DR1" s="684"/>
      <c r="DS1" s="679" t="s">
        <v>421</v>
      </c>
      <c r="DT1" s="680"/>
      <c r="DU1" s="680"/>
      <c r="DV1" s="680"/>
      <c r="DW1" s="681"/>
      <c r="DX1" s="682" t="s">
        <v>482</v>
      </c>
      <c r="DY1" s="683"/>
      <c r="DZ1" s="683"/>
      <c r="EA1" s="683"/>
      <c r="EB1" s="684"/>
      <c r="EC1" s="679" t="s">
        <v>423</v>
      </c>
      <c r="ED1" s="680"/>
      <c r="EE1" s="680"/>
      <c r="EF1" s="680"/>
      <c r="EG1" s="681"/>
      <c r="EH1" s="682" t="s">
        <v>424</v>
      </c>
      <c r="EI1" s="683"/>
      <c r="EJ1" s="683"/>
      <c r="EK1" s="683"/>
      <c r="EL1" s="684"/>
      <c r="EM1" s="679" t="s">
        <v>425</v>
      </c>
      <c r="EN1" s="680"/>
      <c r="EO1" s="680"/>
      <c r="EP1" s="680"/>
      <c r="EQ1" s="681"/>
      <c r="ER1" s="682" t="s">
        <v>426</v>
      </c>
      <c r="ES1" s="683"/>
      <c r="ET1" s="683"/>
      <c r="EU1" s="683"/>
      <c r="EV1" s="684"/>
      <c r="EW1" s="679" t="s">
        <v>427</v>
      </c>
      <c r="EX1" s="680"/>
      <c r="EY1" s="680"/>
      <c r="EZ1" s="680"/>
      <c r="FA1" s="681"/>
      <c r="FB1" s="682" t="s">
        <v>428</v>
      </c>
      <c r="FC1" s="683"/>
      <c r="FD1" s="683"/>
      <c r="FE1" s="683"/>
      <c r="FF1" s="684"/>
      <c r="FG1" s="679" t="s">
        <v>429</v>
      </c>
      <c r="FH1" s="680"/>
      <c r="FI1" s="680"/>
      <c r="FJ1" s="680"/>
      <c r="FK1" s="681"/>
      <c r="FL1" s="676" t="s">
        <v>585</v>
      </c>
      <c r="FM1" s="677"/>
      <c r="FN1" s="677"/>
      <c r="FO1" s="677"/>
      <c r="FP1" s="678"/>
      <c r="FQ1" s="723" t="s">
        <v>12</v>
      </c>
      <c r="FR1" s="723"/>
      <c r="FS1" s="724"/>
      <c r="FT1" s="717" t="s">
        <v>843</v>
      </c>
      <c r="FU1" s="718"/>
      <c r="FV1" s="719"/>
      <c r="FW1" s="719"/>
      <c r="FX1" s="719"/>
      <c r="FY1" s="719"/>
      <c r="FZ1" s="719"/>
      <c r="GA1" s="719"/>
      <c r="GB1" s="719"/>
      <c r="GC1" s="719"/>
      <c r="GD1" s="719"/>
      <c r="GE1" s="719"/>
      <c r="GF1" s="719"/>
      <c r="GG1" s="719"/>
      <c r="GH1" s="719"/>
      <c r="GI1" s="719"/>
      <c r="GJ1" s="719"/>
      <c r="GK1" s="719"/>
      <c r="GL1" s="719"/>
      <c r="GM1" s="719"/>
      <c r="GN1" s="719"/>
      <c r="GO1" s="719"/>
      <c r="GP1" s="719"/>
      <c r="GQ1" s="719"/>
      <c r="GR1" s="719"/>
      <c r="GS1" s="719"/>
      <c r="GT1" s="719"/>
      <c r="GU1" s="719"/>
      <c r="GV1" s="719"/>
      <c r="GW1" s="720"/>
      <c r="GX1" s="421"/>
      <c r="GY1" s="421"/>
      <c r="GZ1" s="421"/>
      <c r="HA1" s="421"/>
      <c r="HB1" s="421"/>
      <c r="HC1" s="421"/>
      <c r="HD1" s="421"/>
      <c r="HE1" s="421"/>
      <c r="HF1" s="421"/>
      <c r="HG1" s="421"/>
      <c r="HH1" s="421"/>
      <c r="HI1" s="421"/>
    </row>
    <row r="2" spans="1:217" s="119" customFormat="1" ht="69.599999999999994" thickBot="1">
      <c r="C2" s="401" t="s">
        <v>118</v>
      </c>
      <c r="D2" s="401" t="s">
        <v>117</v>
      </c>
      <c r="E2" s="402" t="s">
        <v>119</v>
      </c>
      <c r="F2" s="399" t="s">
        <v>28</v>
      </c>
      <c r="G2" s="366" t="s">
        <v>26</v>
      </c>
      <c r="H2" s="366" t="s">
        <v>27</v>
      </c>
      <c r="I2" s="366" t="s">
        <v>74</v>
      </c>
      <c r="J2" s="366" t="s">
        <v>75</v>
      </c>
      <c r="K2" s="397" t="s">
        <v>748</v>
      </c>
      <c r="L2" s="366" t="s">
        <v>12</v>
      </c>
      <c r="M2" s="367" t="s">
        <v>518</v>
      </c>
      <c r="N2" s="367" t="s">
        <v>519</v>
      </c>
      <c r="O2" s="368" t="s">
        <v>709</v>
      </c>
      <c r="P2" s="369" t="s">
        <v>595</v>
      </c>
      <c r="Q2" s="369" t="s">
        <v>596</v>
      </c>
      <c r="R2" s="369" t="s">
        <v>29</v>
      </c>
      <c r="S2" s="369" t="s">
        <v>30</v>
      </c>
      <c r="T2" s="369" t="s">
        <v>31</v>
      </c>
      <c r="U2" s="369" t="s">
        <v>83</v>
      </c>
      <c r="V2" s="369" t="s">
        <v>39</v>
      </c>
      <c r="W2" s="369" t="s">
        <v>40</v>
      </c>
      <c r="X2" s="370" t="s">
        <v>880</v>
      </c>
      <c r="Y2" s="369" t="s">
        <v>753</v>
      </c>
      <c r="Z2" s="369" t="s">
        <v>754</v>
      </c>
      <c r="AA2" s="371" t="s">
        <v>528</v>
      </c>
      <c r="AB2" s="372" t="s">
        <v>517</v>
      </c>
      <c r="AC2" s="393" t="s">
        <v>527</v>
      </c>
      <c r="AD2" s="373" t="s">
        <v>38</v>
      </c>
      <c r="AE2" s="374" t="s">
        <v>33</v>
      </c>
      <c r="AF2" s="375" t="s">
        <v>78</v>
      </c>
      <c r="AG2" s="375" t="s">
        <v>34</v>
      </c>
      <c r="AH2" s="375" t="s">
        <v>35</v>
      </c>
      <c r="AI2" s="375" t="s">
        <v>36</v>
      </c>
      <c r="AJ2" s="375" t="s">
        <v>41</v>
      </c>
      <c r="AK2" s="376" t="s">
        <v>569</v>
      </c>
      <c r="AL2" s="377" t="s">
        <v>632</v>
      </c>
      <c r="AM2" s="407" t="s">
        <v>631</v>
      </c>
      <c r="AN2" s="407" t="s">
        <v>557</v>
      </c>
      <c r="AO2" s="400" t="s">
        <v>46</v>
      </c>
      <c r="AP2" s="408" t="s">
        <v>47</v>
      </c>
      <c r="AQ2" s="410" t="s">
        <v>514</v>
      </c>
      <c r="AR2" s="404" t="s">
        <v>48</v>
      </c>
      <c r="AS2" s="404" t="s">
        <v>49</v>
      </c>
      <c r="AT2" s="404" t="s">
        <v>51</v>
      </c>
      <c r="AU2" s="403" t="s">
        <v>52</v>
      </c>
      <c r="AV2" s="404" t="s">
        <v>53</v>
      </c>
      <c r="AW2" s="411" t="s">
        <v>54</v>
      </c>
      <c r="AX2" s="409" t="s">
        <v>257</v>
      </c>
      <c r="AY2" s="319" t="s">
        <v>339</v>
      </c>
      <c r="AZ2" s="320" t="s">
        <v>256</v>
      </c>
      <c r="BA2" s="29" t="s">
        <v>55</v>
      </c>
      <c r="BB2" s="33" t="s">
        <v>624</v>
      </c>
      <c r="BC2" s="32" t="s">
        <v>407</v>
      </c>
      <c r="BD2" s="180" t="s">
        <v>408</v>
      </c>
      <c r="BE2" s="180" t="s">
        <v>409</v>
      </c>
      <c r="BF2" s="27" t="s">
        <v>412</v>
      </c>
      <c r="BG2" s="179" t="s">
        <v>413</v>
      </c>
      <c r="BH2" s="29" t="s">
        <v>407</v>
      </c>
      <c r="BI2" s="181" t="s">
        <v>408</v>
      </c>
      <c r="BJ2" s="181" t="s">
        <v>409</v>
      </c>
      <c r="BK2" s="30" t="s">
        <v>414</v>
      </c>
      <c r="BL2" s="31" t="s">
        <v>415</v>
      </c>
      <c r="BM2" s="32" t="s">
        <v>435</v>
      </c>
      <c r="BN2" s="32" t="s">
        <v>436</v>
      </c>
      <c r="BO2" s="180" t="s">
        <v>439</v>
      </c>
      <c r="BP2" s="180" t="s">
        <v>440</v>
      </c>
      <c r="BQ2" s="180" t="s">
        <v>441</v>
      </c>
      <c r="BR2" s="180" t="s">
        <v>442</v>
      </c>
      <c r="BS2" s="180" t="s">
        <v>443</v>
      </c>
      <c r="BT2" s="180" t="s">
        <v>444</v>
      </c>
      <c r="BU2" s="180" t="s">
        <v>445</v>
      </c>
      <c r="BV2" s="180" t="s">
        <v>437</v>
      </c>
      <c r="BW2" s="180" t="s">
        <v>438</v>
      </c>
      <c r="BX2" s="29" t="s">
        <v>435</v>
      </c>
      <c r="BY2" s="29" t="s">
        <v>436</v>
      </c>
      <c r="BZ2" s="181" t="s">
        <v>448</v>
      </c>
      <c r="CA2" s="181" t="s">
        <v>449</v>
      </c>
      <c r="CB2" s="181" t="s">
        <v>450</v>
      </c>
      <c r="CC2" s="181" t="s">
        <v>451</v>
      </c>
      <c r="CD2" s="181" t="s">
        <v>452</v>
      </c>
      <c r="CE2" s="181" t="s">
        <v>453</v>
      </c>
      <c r="CF2" s="181" t="s">
        <v>454</v>
      </c>
      <c r="CG2" s="181" t="s">
        <v>437</v>
      </c>
      <c r="CH2" s="196" t="s">
        <v>438</v>
      </c>
      <c r="CI2" s="32" t="s">
        <v>435</v>
      </c>
      <c r="CJ2" s="32" t="s">
        <v>436</v>
      </c>
      <c r="CK2" s="180" t="s">
        <v>456</v>
      </c>
      <c r="CL2" s="180" t="s">
        <v>457</v>
      </c>
      <c r="CM2" s="180" t="s">
        <v>458</v>
      </c>
      <c r="CN2" s="180" t="s">
        <v>459</v>
      </c>
      <c r="CO2" s="180" t="s">
        <v>460</v>
      </c>
      <c r="CP2" s="180" t="s">
        <v>461</v>
      </c>
      <c r="CQ2" s="180" t="s">
        <v>462</v>
      </c>
      <c r="CR2" s="180" t="s">
        <v>437</v>
      </c>
      <c r="CS2" s="197" t="s">
        <v>438</v>
      </c>
      <c r="CT2" s="29" t="s">
        <v>407</v>
      </c>
      <c r="CU2" s="181" t="s">
        <v>408</v>
      </c>
      <c r="CV2" s="181" t="s">
        <v>409</v>
      </c>
      <c r="CW2" s="30" t="s">
        <v>465</v>
      </c>
      <c r="CX2" s="31" t="s">
        <v>466</v>
      </c>
      <c r="CY2" s="32" t="s">
        <v>407</v>
      </c>
      <c r="CZ2" s="180" t="s">
        <v>408</v>
      </c>
      <c r="DA2" s="180" t="s">
        <v>409</v>
      </c>
      <c r="DB2" s="27" t="s">
        <v>468</v>
      </c>
      <c r="DC2" s="179" t="s">
        <v>469</v>
      </c>
      <c r="DD2" s="29" t="s">
        <v>407</v>
      </c>
      <c r="DE2" s="181" t="s">
        <v>408</v>
      </c>
      <c r="DF2" s="181" t="s">
        <v>409</v>
      </c>
      <c r="DG2" s="30" t="s">
        <v>472</v>
      </c>
      <c r="DH2" s="31" t="s">
        <v>471</v>
      </c>
      <c r="DI2" s="32" t="s">
        <v>407</v>
      </c>
      <c r="DJ2" s="180" t="s">
        <v>408</v>
      </c>
      <c r="DK2" s="180" t="s">
        <v>409</v>
      </c>
      <c r="DL2" s="27" t="s">
        <v>476</v>
      </c>
      <c r="DM2" s="179" t="s">
        <v>477</v>
      </c>
      <c r="DN2" s="29" t="s">
        <v>407</v>
      </c>
      <c r="DO2" s="181" t="s">
        <v>408</v>
      </c>
      <c r="DP2" s="181" t="s">
        <v>409</v>
      </c>
      <c r="DQ2" s="30" t="s">
        <v>476</v>
      </c>
      <c r="DR2" s="31" t="s">
        <v>477</v>
      </c>
      <c r="DS2" s="32" t="s">
        <v>407</v>
      </c>
      <c r="DT2" s="180" t="s">
        <v>408</v>
      </c>
      <c r="DU2" s="180" t="s">
        <v>409</v>
      </c>
      <c r="DV2" s="27" t="s">
        <v>476</v>
      </c>
      <c r="DW2" s="179" t="s">
        <v>477</v>
      </c>
      <c r="DX2" s="29" t="s">
        <v>407</v>
      </c>
      <c r="DY2" s="181" t="s">
        <v>408</v>
      </c>
      <c r="DZ2" s="181" t="s">
        <v>409</v>
      </c>
      <c r="EA2" s="30" t="s">
        <v>476</v>
      </c>
      <c r="EB2" s="31" t="s">
        <v>477</v>
      </c>
      <c r="EC2" s="32" t="s">
        <v>407</v>
      </c>
      <c r="ED2" s="180" t="s">
        <v>408</v>
      </c>
      <c r="EE2" s="180" t="s">
        <v>409</v>
      </c>
      <c r="EF2" s="27" t="s">
        <v>476</v>
      </c>
      <c r="EG2" s="179" t="s">
        <v>477</v>
      </c>
      <c r="EH2" s="29" t="s">
        <v>407</v>
      </c>
      <c r="EI2" s="181" t="s">
        <v>408</v>
      </c>
      <c r="EJ2" s="181" t="s">
        <v>409</v>
      </c>
      <c r="EK2" s="30" t="s">
        <v>476</v>
      </c>
      <c r="EL2" s="31" t="s">
        <v>477</v>
      </c>
      <c r="EM2" s="32" t="s">
        <v>407</v>
      </c>
      <c r="EN2" s="180" t="s">
        <v>408</v>
      </c>
      <c r="EO2" s="180" t="s">
        <v>409</v>
      </c>
      <c r="EP2" s="27" t="s">
        <v>476</v>
      </c>
      <c r="EQ2" s="179" t="s">
        <v>477</v>
      </c>
      <c r="ER2" s="29" t="s">
        <v>407</v>
      </c>
      <c r="ES2" s="181" t="s">
        <v>408</v>
      </c>
      <c r="ET2" s="181" t="s">
        <v>409</v>
      </c>
      <c r="EU2" s="30" t="s">
        <v>485</v>
      </c>
      <c r="EV2" s="31" t="s">
        <v>486</v>
      </c>
      <c r="EW2" s="32" t="s">
        <v>407</v>
      </c>
      <c r="EX2" s="180" t="s">
        <v>408</v>
      </c>
      <c r="EY2" s="180" t="s">
        <v>409</v>
      </c>
      <c r="EZ2" s="27" t="s">
        <v>476</v>
      </c>
      <c r="FA2" s="179" t="s">
        <v>477</v>
      </c>
      <c r="FB2" s="29" t="s">
        <v>407</v>
      </c>
      <c r="FC2" s="181" t="s">
        <v>408</v>
      </c>
      <c r="FD2" s="181" t="s">
        <v>409</v>
      </c>
      <c r="FE2" s="30" t="s">
        <v>476</v>
      </c>
      <c r="FF2" s="31" t="s">
        <v>477</v>
      </c>
      <c r="FG2" s="32" t="s">
        <v>407</v>
      </c>
      <c r="FH2" s="180" t="s">
        <v>408</v>
      </c>
      <c r="FI2" s="180" t="s">
        <v>409</v>
      </c>
      <c r="FJ2" s="27" t="s">
        <v>476</v>
      </c>
      <c r="FK2" s="179" t="s">
        <v>477</v>
      </c>
      <c r="FL2" s="292" t="s">
        <v>407</v>
      </c>
      <c r="FM2" s="293" t="s">
        <v>408</v>
      </c>
      <c r="FN2" s="293" t="s">
        <v>409</v>
      </c>
      <c r="FO2" s="294" t="s">
        <v>476</v>
      </c>
      <c r="FP2" s="413" t="s">
        <v>477</v>
      </c>
      <c r="FQ2" s="427" t="s">
        <v>265</v>
      </c>
      <c r="FR2" s="27" t="s">
        <v>601</v>
      </c>
      <c r="FS2" s="414" t="s">
        <v>148</v>
      </c>
      <c r="FT2" s="422" t="s">
        <v>814</v>
      </c>
      <c r="FU2" s="423" t="s">
        <v>865</v>
      </c>
      <c r="FV2" s="424" t="s">
        <v>712</v>
      </c>
      <c r="FW2" s="415" t="s">
        <v>869</v>
      </c>
      <c r="FX2" s="415" t="s">
        <v>870</v>
      </c>
      <c r="FY2" s="424" t="s">
        <v>845</v>
      </c>
      <c r="FZ2" s="424" t="s">
        <v>844</v>
      </c>
      <c r="GA2" s="424" t="s">
        <v>577</v>
      </c>
      <c r="GB2" s="424" t="s">
        <v>862</v>
      </c>
      <c r="GC2" s="424" t="s">
        <v>556</v>
      </c>
      <c r="GD2" s="424" t="s">
        <v>553</v>
      </c>
      <c r="GE2" s="424" t="s">
        <v>858</v>
      </c>
      <c r="GF2" s="424" t="s">
        <v>846</v>
      </c>
      <c r="GG2" s="424" t="s">
        <v>849</v>
      </c>
      <c r="GH2" s="424" t="s">
        <v>847</v>
      </c>
      <c r="GI2" s="424" t="s">
        <v>848</v>
      </c>
      <c r="GJ2" s="424" t="s">
        <v>850</v>
      </c>
      <c r="GK2" s="415" t="s">
        <v>851</v>
      </c>
      <c r="GL2" s="424" t="s">
        <v>852</v>
      </c>
      <c r="GM2" s="424" t="s">
        <v>853</v>
      </c>
      <c r="GN2" s="424" t="s">
        <v>850</v>
      </c>
      <c r="GO2" s="424" t="s">
        <v>854</v>
      </c>
      <c r="GP2" s="424" t="s">
        <v>855</v>
      </c>
      <c r="GQ2" s="424" t="s">
        <v>856</v>
      </c>
      <c r="GR2" s="424" t="s">
        <v>871</v>
      </c>
      <c r="GS2" s="424" t="s">
        <v>867</v>
      </c>
      <c r="GT2" s="424" t="s">
        <v>864</v>
      </c>
      <c r="GU2" s="424" t="s">
        <v>863</v>
      </c>
      <c r="GV2" s="424" t="s">
        <v>859</v>
      </c>
      <c r="GW2" s="425" t="s">
        <v>860</v>
      </c>
      <c r="GX2" s="420"/>
      <c r="GY2" s="420"/>
      <c r="GZ2" s="420"/>
      <c r="HA2" s="420"/>
      <c r="HB2" s="420"/>
      <c r="HC2" s="420"/>
      <c r="HD2" s="420"/>
      <c r="HE2" s="420"/>
      <c r="HF2" s="420"/>
      <c r="HG2" s="420"/>
      <c r="HH2" s="420"/>
      <c r="HI2" s="420"/>
    </row>
    <row r="3" spans="1:217">
      <c r="A3" s="775" t="s">
        <v>876</v>
      </c>
      <c r="B3" s="432">
        <v>2006</v>
      </c>
      <c r="C3" s="78" t="e">
        <f>IF(ISERROR(AVERAGEIF(Discrete!$L$3:$L$20, "=2006", Discrete!S$3:S$20)), NA(), AVERAGEIF(Discrete!$L$3:$L$20, "=2006", Discrete!S$3:S$20))</f>
        <v>#N/A</v>
      </c>
      <c r="D3" s="428" t="e">
        <f>IF(ISERROR(AVERAGEIF(Discrete!$L$3:$L$20, "=2006", Discrete!T$3:T$20)), NA(), AVERAGEIF(Discrete!$L$3:$L$20, "=2006", Discrete!T$3:T$20))</f>
        <v>#N/A</v>
      </c>
      <c r="E3" s="428" t="e">
        <f>IF(ISERROR(AVERAGEIF(Discrete!$L$3:$L$20, "=2006", Discrete!U$3:U$20)), NA(), AVERAGEIF(Discrete!$L$3:$L$20, "=2006", Discrete!U$3:U$20))</f>
        <v>#N/A</v>
      </c>
      <c r="F3" s="428" t="e">
        <f>IF(ISERROR(AVERAGEIF(Discrete!$L$3:$L$20, "=2006", Discrete!V$3:V$20)), NA(), AVERAGEIF(Discrete!$L$3:$L$20, "=2006", Discrete!V$3:V$20))</f>
        <v>#N/A</v>
      </c>
      <c r="G3" s="428" t="e">
        <f>IF(ISERROR(AVERAGEIF(Discrete!$L$3:$L$20, "=2006", Discrete!W$3:W$20)), NA(), AVERAGEIF(Discrete!$L$3:$L$20, "=2006", Discrete!W$3:W$20))</f>
        <v>#N/A</v>
      </c>
      <c r="H3" s="428" t="e">
        <f>IF(ISERROR(AVERAGEIF(Discrete!$L$3:$L$20, "=2006", Discrete!X$3:X$20)), NA(), AVERAGEIF(Discrete!$L$3:$L$20, "=2006", Discrete!X$3:X$20))</f>
        <v>#N/A</v>
      </c>
      <c r="I3" s="428" t="e">
        <f>IF(ISERROR(AVERAGEIF(Discrete!$L$3:$L$20, "=2006", Discrete!Y$3:Y$20)), NA(), AVERAGEIF(Discrete!$L$3:$L$20, "=2006", Discrete!Y$3:Y$20))</f>
        <v>#N/A</v>
      </c>
      <c r="J3" s="428" t="e">
        <f>IF(ISERROR(AVERAGEIF(Discrete!$L$3:$L$20, "=2006", Discrete!Z$3:Z$20)), NA(), AVERAGEIF(Discrete!$L$3:$L$20, "=2006", Discrete!Z$3:Z$20))</f>
        <v>#N/A</v>
      </c>
      <c r="K3" s="428" t="e">
        <f>IF(ISERROR(AVERAGEIF(Discrete!$L$3:$L$20, "=2006", Discrete!AA$3:AA$20)), NA(), AVERAGEIF(Discrete!$L$3:$L$20, "=2006", Discrete!AA$3:AA$20))</f>
        <v>#N/A</v>
      </c>
      <c r="L3" s="428" t="e">
        <f>IF(ISERROR(AVERAGEIF(Discrete!$L$3:$L$20, "=2006", Discrete!AB$3:AB$20)), NA(), AVERAGEIF(Discrete!$L$3:$L$20, "=2006", Discrete!AB$3:AB$20))</f>
        <v>#N/A</v>
      </c>
      <c r="M3" s="428" t="e">
        <f>IF(ISERROR(AVERAGEIF(Discrete!$L$3:$L$20, "=2006", Discrete!AC$3:AC$20)), NA(), AVERAGEIF(Discrete!$L$3:$L$20, "=2006", Discrete!AC$3:AC$20))</f>
        <v>#N/A</v>
      </c>
      <c r="N3" s="428" t="e">
        <f>IF(ISERROR(AVERAGEIF(Discrete!$L$3:$L$20, "=2006", Discrete!AD$3:AD$20)), NA(), AVERAGEIF(Discrete!$L$3:$L$20, "=2006", Discrete!AD$3:AD$20))</f>
        <v>#N/A</v>
      </c>
      <c r="O3" s="428" t="e">
        <f>IF(ISERROR(AVERAGEIF(Discrete!$L$3:$L$20, "=2006", Discrete!AE$3:AE$20)), NA(), AVERAGEIF(Discrete!$L$3:$L$20, "=2006", Discrete!AE$3:AE$20))</f>
        <v>#N/A</v>
      </c>
      <c r="P3" s="428" t="e">
        <f>IF(ISERROR(AVERAGEIF(Discrete!$L$3:$L$20, "=2006", Discrete!AF$3:AF$20)), NA(), AVERAGEIF(Discrete!$L$3:$L$20, "=2006", Discrete!AF$3:AF$20))</f>
        <v>#N/A</v>
      </c>
      <c r="Q3" s="428" t="e">
        <f>IF(ISERROR(AVERAGEIF(Discrete!$L$3:$L$20, "=2006", Discrete!AG$3:AG$20)), NA(), AVERAGEIF(Discrete!$L$3:$L$20, "=2006", Discrete!AG$3:AG$20))</f>
        <v>#N/A</v>
      </c>
      <c r="R3" s="428" t="e">
        <f>IF(ISERROR(AVERAGEIF(Discrete!$L$3:$L$20, "=2006", Discrete!AH$3:AH$20)), NA(), AVERAGEIF(Discrete!$L$3:$L$20, "=2006", Discrete!AH$3:AH$20))</f>
        <v>#N/A</v>
      </c>
      <c r="S3" s="428" t="e">
        <f>IF(ISERROR(AVERAGEIF(Discrete!$L$3:$L$20, "=2006", Discrete!AI$3:AI$20)), NA(), AVERAGEIF(Discrete!$L$3:$L$20, "=2006", Discrete!AI$3:AI$20))</f>
        <v>#N/A</v>
      </c>
      <c r="T3" s="428" t="e">
        <f>IF(ISERROR(AVERAGEIF(Discrete!$L$3:$L$20, "=2006", Discrete!AJ$3:AJ$20)), NA(), AVERAGEIF(Discrete!$L$3:$L$20, "=2006", Discrete!AJ$3:AJ$20))</f>
        <v>#N/A</v>
      </c>
      <c r="U3" s="428" t="e">
        <f>IF(ISERROR(AVERAGEIF(Discrete!$L$3:$L$20, "=2006", Discrete!AK$3:AK$20)), NA(), AVERAGEIF(Discrete!$L$3:$L$20, "=2006", Discrete!AK$3:AK$20))</f>
        <v>#N/A</v>
      </c>
      <c r="V3" s="428" t="e">
        <f>IF(ISERROR(AVERAGEIF(Discrete!$L$3:$L$20, "=2006", Discrete!AL$3:AL$20)), NA(), AVERAGEIF(Discrete!$L$3:$L$20, "=2006", Discrete!AL$3:AL$20))</f>
        <v>#N/A</v>
      </c>
      <c r="W3" s="428" t="e">
        <f>IF(ISERROR(AVERAGEIF(Discrete!$L$3:$L$20, "=2006", Discrete!AM$3:AM$20)), NA(), AVERAGEIF(Discrete!$L$3:$L$20, "=2006", Discrete!AM$3:AM$20))</f>
        <v>#N/A</v>
      </c>
      <c r="X3" s="428" t="e">
        <f>IF(ISERROR(AVERAGEIF(Discrete!$L$3:$L$20, "=2006", Discrete!AN$3:AN$20)), NA(), AVERAGEIF(Discrete!$L$3:$L$20, "=2006", Discrete!AN$3:AN$20)*1000)</f>
        <v>#N/A</v>
      </c>
      <c r="Y3" s="428" t="e">
        <f>IF(ISERROR(AVERAGEIF(Discrete!$L$3:$L$20, "=2006", Discrete!AO$3:AO$20)), NA(), AVERAGEIF(Discrete!$L$3:$L$20, "=2006", Discrete!AO$3:AO$20))</f>
        <v>#N/A</v>
      </c>
      <c r="Z3" s="428" t="e">
        <f>IF(ISERROR(AVERAGEIF(Discrete!$L$3:$L$20, "=2006", Discrete!AP$3:AP$20)), NA(), AVERAGEIF(Discrete!$L$3:$L$20, "=2006", Discrete!AP$3:AP$20))</f>
        <v>#N/A</v>
      </c>
      <c r="AA3" s="428" t="e">
        <f>IF(ISERROR(AVERAGEIF(Discrete!$L$3:$L$20, "=2006", Discrete!AQ$3:AQ$20)), NA(), AVERAGEIF(Discrete!$L$3:$L$20, "=2006", Discrete!AQ$3:AQ$20))</f>
        <v>#N/A</v>
      </c>
      <c r="AB3" s="428" t="e">
        <f>IF(ISERROR(AVERAGEIF(Discrete!$L$3:$L$20, "=2006", Discrete!AR$3:AR$20)), NA(), AVERAGEIF(Discrete!$L$3:$L$20, "=2006", Discrete!AR$3:AR$20))</f>
        <v>#N/A</v>
      </c>
      <c r="AC3" s="428" t="e">
        <f>IF(ISERROR(AVERAGEIF(Discrete!$L$3:$L$20, "=2006", Discrete!AS$3:AS$20)), NA(), AVERAGEIF(Discrete!$L$3:$L$20, "=2006", Discrete!AS$3:AS$20))</f>
        <v>#N/A</v>
      </c>
      <c r="AD3" s="428" t="e">
        <f>IF(ISERROR(AVERAGEIF(Discrete!$L$3:$L$20, "=2006", Discrete!AT$3:AT$20)), NA(), AVERAGEIF(Discrete!$L$3:$L$20, "=2006", Discrete!AT$3:AT$20))</f>
        <v>#N/A</v>
      </c>
      <c r="AE3" s="428" t="e">
        <f>IF(ISERROR(AVERAGEIF(Discrete!$L$3:$L$20, "=2006", Discrete!AU$3:AU$20)), NA(), AVERAGEIF(Discrete!$L$3:$L$20, "=2006", Discrete!AU$3:AU$20))</f>
        <v>#N/A</v>
      </c>
      <c r="AF3" s="428" t="e">
        <f>IF(ISERROR(AVERAGEIF(Discrete!$L$3:$L$20, "=2006", Discrete!AV$3:AV$20)), NA(), AVERAGEIF(Discrete!$L$3:$L$20, "=2006", Discrete!AV$3:AV$20))</f>
        <v>#N/A</v>
      </c>
      <c r="AG3" s="428" t="e">
        <f>IF(ISERROR(AVERAGEIF(Discrete!$L$3:$L$20, "=2006", Discrete!AW$3:AW$20)), NA(), AVERAGEIF(Discrete!$L$3:$L$20, "=2006", Discrete!AW$3:AW$20))</f>
        <v>#N/A</v>
      </c>
      <c r="AH3" s="428" t="e">
        <f>IF(ISERROR(AVERAGEIF(Discrete!$L$3:$L$20, "=2006", Discrete!AX$3:AX$20)), NA(), AVERAGEIF(Discrete!$L$3:$L$20, "=2006", Discrete!AX$3:AX$20))</f>
        <v>#N/A</v>
      </c>
      <c r="AI3" s="428" t="e">
        <f>IF(ISERROR(AVERAGEIF(Discrete!$L$3:$L$20, "=2006", Discrete!AY$3:AY$20)), NA(), AVERAGEIF(Discrete!$L$3:$L$20, "=2006", Discrete!AY$3:AY$20))</f>
        <v>#N/A</v>
      </c>
      <c r="AJ3" s="428" t="e">
        <f>IF(ISERROR(AVERAGEIF(Discrete!$L$3:$L$20, "=2006", Discrete!AZ$3:AZ$20)), NA(), AVERAGEIF(Discrete!$L$3:$L$20, "=2006", Discrete!AZ$3:AZ$20))</f>
        <v>#N/A</v>
      </c>
      <c r="AK3" s="428" t="e">
        <f>IF(ISERROR(AVERAGEIF(Discrete!$L$3:$L$20, "=2006", Discrete!BA$3:BA$20)), NA(), AVERAGEIF(Discrete!$L$3:$L$20, "=2006", Discrete!BA$3:BA$20))</f>
        <v>#N/A</v>
      </c>
      <c r="AL3" s="428" t="e">
        <f>IF(ISERROR(AVERAGEIF(Discrete!$L$3:$L$20, "=2006", Discrete!BB$3:BB$20)), NA(), AVERAGEIF(Discrete!$L$3:$L$20, "=2006", Discrete!BB$3:BB$20))</f>
        <v>#N/A</v>
      </c>
      <c r="AM3" s="428" t="e">
        <f>IF(ISERROR(AVERAGEIF(Discrete!$L$3:$L$20, "=2006", Discrete!BC$3:BC$20)), NA(), AVERAGEIF(Discrete!$L$3:$L$20, "=2006", Discrete!BC$3:BC$20))</f>
        <v>#N/A</v>
      </c>
      <c r="AN3" s="428" t="e">
        <f>IF(ISERROR(AVERAGEIF(Discrete!$L$3:$L$20, "=2006", Discrete!BD$3:BD$20)), NA(), AVERAGEIF(Discrete!$L$3:$L$20, "=2006", Discrete!BD$3:BD$20))</f>
        <v>#N/A</v>
      </c>
      <c r="AO3" s="428" t="e">
        <f>IF(ISERROR(AVERAGEIF(Discrete!$L$3:$L$20, "=2006", Discrete!BE$3:BE$20)), NA(), AVERAGEIF(Discrete!$L$3:$L$20, "=2006", Discrete!BE$3:BE$20))</f>
        <v>#N/A</v>
      </c>
      <c r="AP3" s="428" t="e">
        <f>IF(ISERROR(AVERAGEIF(Discrete!$L$3:$L$20, "=2006", Discrete!BF$3:BF$20)), NA(), AVERAGEIF(Discrete!$L$3:$L$20, "=2006", Discrete!BF$3:BF$20))</f>
        <v>#N/A</v>
      </c>
      <c r="AQ3" s="428" t="e">
        <f>IF(ISERROR(AVERAGEIF(Discrete!$L$3:$L$20, "=2006", Discrete!BG$3:BG$20)), NA(), AVERAGEIF(Discrete!$L$3:$L$20, "=2006", Discrete!BG$3:BG$20))</f>
        <v>#N/A</v>
      </c>
      <c r="AR3" s="428" t="e">
        <f>IF(ISERROR(AVERAGEIF(Discrete!$L$3:$L$20, "=2006", Discrete!BH$3:BH$20)), NA(), AVERAGEIF(Discrete!$L$3:$L$20, "=2006", Discrete!BH$3:BH$20))</f>
        <v>#N/A</v>
      </c>
      <c r="AS3" s="428" t="e">
        <f>IF(ISERROR(AVERAGEIF(Discrete!$L$3:$L$20, "=2006", Discrete!BI$3:BI$20)), NA(), AVERAGEIF(Discrete!$L$3:$L$20, "=2006", Discrete!BI$3:BI$20))</f>
        <v>#N/A</v>
      </c>
      <c r="AT3" s="428" t="e">
        <f>IF(ISERROR(AVERAGEIF(Discrete!$L$3:$L$20, "=2006", Discrete!BJ$3:BJ$20)), NA(), AVERAGEIF(Discrete!$L$3:$L$20, "=2006", Discrete!BJ$3:BJ$20))</f>
        <v>#N/A</v>
      </c>
      <c r="AU3" s="428" t="e">
        <f>IF(ISERROR(AVERAGEIF(Discrete!$L$3:$L$20, "=2006", Discrete!BK$3:BK$20)), NA(), AVERAGEIF(Discrete!$L$3:$L$20, "=2006", Discrete!BK$3:BK$20))</f>
        <v>#N/A</v>
      </c>
      <c r="AV3" s="428" t="e">
        <f>IF(ISERROR(AVERAGEIF(Discrete!$L$3:$L$20, "=2006", Discrete!BL$3:BL$20)), NA(), AVERAGEIF(Discrete!$L$3:$L$20, "=2006", Discrete!BL$3:BL$20))</f>
        <v>#N/A</v>
      </c>
      <c r="AW3" s="428" t="e">
        <f>IF(ISERROR(AVERAGEIF(Discrete!$L$3:$L$20, "=2006", Discrete!BM$3:BM$20)), NA(), AVERAGEIF(Discrete!$L$3:$L$20, "=2006", Discrete!BM$3:BM$20))</f>
        <v>#N/A</v>
      </c>
      <c r="AX3" s="428" t="e">
        <f>IF(ISERROR(AVERAGEIF(Discrete!$L$3:$L$20, "=2006", Discrete!BN$3:BN$20)), NA(), AVERAGEIF(Discrete!$L$3:$L$20, "=2006", Discrete!BN$3:BN$20))</f>
        <v>#N/A</v>
      </c>
      <c r="AY3" s="428" t="e">
        <f>IF(ISERROR(AVERAGEIF(Discrete!$L$3:$L$20, "=2006", Discrete!BO$3:BO$20)), NA(), AVERAGEIF(Discrete!$L$3:$L$20, "=2006", Discrete!BO$3:BO$20))</f>
        <v>#N/A</v>
      </c>
      <c r="AZ3" s="428" t="e">
        <f>IF(ISERROR(AVERAGEIF(Discrete!$L$3:$L$20, "=2006", Discrete!BP$3:BP$20)), NA(), AVERAGEIF(Discrete!$L$3:$L$20, "=2006", Discrete!BP$3:BP$20))</f>
        <v>#N/A</v>
      </c>
      <c r="BA3" s="428" t="e">
        <f>IF(ISERROR(AVERAGEIF(Discrete!$L$3:$L$20, "=2006", Discrete!BQ$3:BQ$20)), NA(), AVERAGEIF(Discrete!$L$3:$L$20, "=2006", Discrete!BQ$3:BQ$20))</f>
        <v>#N/A</v>
      </c>
      <c r="BB3" s="428" t="e">
        <f>IF(ISERROR(AVERAGEIF(Discrete!$L$3:$L$20, "=2006", Discrete!BR$3:BR$20)), NA(), AVERAGEIF(Discrete!$L$3:$L$20, "=2006", Discrete!BR$3:BR$20))</f>
        <v>#N/A</v>
      </c>
    </row>
    <row r="4" spans="1:217">
      <c r="A4" s="775"/>
      <c r="B4" s="432">
        <v>2007</v>
      </c>
      <c r="C4" s="416" t="e">
        <f>IF(ISERROR(AVERAGEIF(Discrete!$L$3:$L$20, "=2007", Discrete!S$3:S$20)), NA(), AVERAGEIF(Discrete!$L$3:$L$20, "=2007", Discrete!S$3:S$20))</f>
        <v>#N/A</v>
      </c>
      <c r="D4" s="428" t="e">
        <f>IF(ISERROR(AVERAGEIF(Discrete!$L$3:$L$20, "=2007", Discrete!T$3:T$20)), NA(), AVERAGEIF(Discrete!$L$3:$L$20, "=2007", Discrete!T$3:T$20))</f>
        <v>#N/A</v>
      </c>
      <c r="E4" s="428" t="e">
        <f>IF(ISERROR(AVERAGEIF(Discrete!$L$3:$L$20, "=2007", Discrete!U$3:U$20)), NA(), AVERAGEIF(Discrete!$L$3:$L$20, "=2007", Discrete!U$3:U$20))</f>
        <v>#N/A</v>
      </c>
      <c r="F4" s="428" t="e">
        <f>IF(ISERROR(AVERAGEIF(Discrete!$L$3:$L$20, "=2007", Discrete!V$3:V$20)), NA(), AVERAGEIF(Discrete!$L$3:$L$20, "=2007", Discrete!V$3:V$20))</f>
        <v>#N/A</v>
      </c>
      <c r="G4" s="428" t="e">
        <f>IF(ISERROR(AVERAGEIF(Discrete!$L$3:$L$20, "=2007", Discrete!W$3:W$20)), NA(), AVERAGEIF(Discrete!$L$3:$L$20, "=2007", Discrete!W$3:W$20))</f>
        <v>#N/A</v>
      </c>
      <c r="H4" s="428" t="e">
        <f>IF(ISERROR(AVERAGEIF(Discrete!$L$3:$L$20, "=2007", Discrete!X$3:X$20)), NA(), AVERAGEIF(Discrete!$L$3:$L$20, "=2007", Discrete!X$3:X$20))</f>
        <v>#N/A</v>
      </c>
      <c r="I4" s="428" t="e">
        <f>IF(ISERROR(AVERAGEIF(Discrete!$L$3:$L$20, "=2007", Discrete!Y$3:Y$20)), NA(), AVERAGEIF(Discrete!$L$3:$L$20, "=2007", Discrete!Y$3:Y$20))</f>
        <v>#N/A</v>
      </c>
      <c r="J4" s="428" t="e">
        <f>IF(ISERROR(AVERAGEIF(Discrete!$L$3:$L$20, "=2007", Discrete!Z$3:Z$20)), NA(), AVERAGEIF(Discrete!$L$3:$L$20, "=2007", Discrete!Z$3:Z$20))</f>
        <v>#N/A</v>
      </c>
      <c r="K4" s="428" t="e">
        <f>IF(ISERROR(AVERAGEIF(Discrete!$L$3:$L$20, "=2007", Discrete!AA$3:AA$20)), NA(), AVERAGEIF(Discrete!$L$3:$L$20, "=2007", Discrete!AA$3:AA$20))</f>
        <v>#N/A</v>
      </c>
      <c r="L4" s="428" t="e">
        <f>IF(ISERROR(AVERAGEIF(Discrete!$L$3:$L$20, "=2007", Discrete!AB$3:AB$20)), NA(), AVERAGEIF(Discrete!$L$3:$L$20, "=2007", Discrete!AB$3:AB$20))</f>
        <v>#N/A</v>
      </c>
      <c r="M4" s="428" t="e">
        <f>IF(ISERROR(AVERAGEIF(Discrete!$L$3:$L$20, "=2007", Discrete!AC$3:AC$20)), NA(), AVERAGEIF(Discrete!$L$3:$L$20, "=2007", Discrete!AC$3:AC$20))</f>
        <v>#N/A</v>
      </c>
      <c r="N4" s="428" t="e">
        <f>IF(ISERROR(AVERAGEIF(Discrete!$L$3:$L$20, "=2007", Discrete!AD$3:AD$20)), NA(), AVERAGEIF(Discrete!$L$3:$L$20, "=2007", Discrete!AD$3:AD$20))</f>
        <v>#N/A</v>
      </c>
      <c r="O4" s="428" t="e">
        <f>IF(ISERROR(AVERAGEIF(Discrete!$L$3:$L$20, "=2007", Discrete!AE$3:AE$20)), NA(), AVERAGEIF(Discrete!$L$3:$L$20, "=2007", Discrete!AE$3:AE$20))</f>
        <v>#N/A</v>
      </c>
      <c r="P4" s="428" t="e">
        <f>IF(ISERROR(AVERAGEIF(Discrete!$L$3:$L$20, "=2007", Discrete!AF$3:AF$20)), NA(), AVERAGEIF(Discrete!$L$3:$L$20, "=2007", Discrete!AF$3:AF$20))</f>
        <v>#N/A</v>
      </c>
      <c r="Q4" s="428" t="e">
        <f>IF(ISERROR(AVERAGEIF(Discrete!$L$3:$L$20, "=2007", Discrete!AG$3:AG$20)), NA(), AVERAGEIF(Discrete!$L$3:$L$20, "=2007", Discrete!AG$3:AG$20))</f>
        <v>#N/A</v>
      </c>
      <c r="R4" s="428" t="e">
        <f>IF(ISERROR(AVERAGEIF(Discrete!$L$3:$L$20, "=2007", Discrete!AH$3:AH$20)), NA(), AVERAGEIF(Discrete!$L$3:$L$20, "=2007", Discrete!AH$3:AH$20))</f>
        <v>#N/A</v>
      </c>
      <c r="S4" s="428" t="e">
        <f>IF(ISERROR(AVERAGEIF(Discrete!$L$3:$L$20, "=2007", Discrete!AI$3:AI$20)), NA(), AVERAGEIF(Discrete!$L$3:$L$20, "=2007", Discrete!AI$3:AI$20))</f>
        <v>#N/A</v>
      </c>
      <c r="T4" s="428" t="e">
        <f>IF(ISERROR(AVERAGEIF(Discrete!$L$3:$L$20, "=2007", Discrete!AJ$3:AJ$20)), NA(), AVERAGEIF(Discrete!$L$3:$L$20, "=2007", Discrete!AJ$3:AJ$20))</f>
        <v>#N/A</v>
      </c>
      <c r="U4" s="428" t="e">
        <f>IF(ISERROR(AVERAGEIF(Discrete!$L$3:$L$20, "=2007", Discrete!AK$3:AK$20)), NA(), AVERAGEIF(Discrete!$L$3:$L$20, "=2007", Discrete!AK$3:AK$20))</f>
        <v>#N/A</v>
      </c>
      <c r="V4" s="428" t="e">
        <f>IF(ISERROR(AVERAGEIF(Discrete!$L$3:$L$20, "=2007", Discrete!AL$3:AL$20)), NA(), AVERAGEIF(Discrete!$L$3:$L$20, "=2007", Discrete!AL$3:AL$20))</f>
        <v>#N/A</v>
      </c>
      <c r="W4" s="428" t="e">
        <f>IF(ISERROR(AVERAGEIF(Discrete!$L$3:$L$20, "=2007", Discrete!AM$3:AM$20)), NA(), AVERAGEIF(Discrete!$L$3:$L$20, "=2007", Discrete!AM$3:AM$20))</f>
        <v>#N/A</v>
      </c>
      <c r="X4" s="428" t="e">
        <f>IF(ISERROR(AVERAGEIF(Discrete!$L$3:$L$20, "=2007", Discrete!AN$3:AN$20)*1000), NA(), AVERAGEIF(Discrete!$L$3:$L$20, "=2007", Discrete!AN$3:AN$20)*1000)</f>
        <v>#N/A</v>
      </c>
      <c r="Y4" s="428" t="e">
        <f>IF(ISERROR(AVERAGEIF(Discrete!$L$3:$L$20, "=2007", Discrete!AO$3:AO$20)), NA(), AVERAGEIF(Discrete!$L$3:$L$20, "=2007", Discrete!AO$3:AO$20))</f>
        <v>#N/A</v>
      </c>
      <c r="Z4" s="428" t="e">
        <f>IF(ISERROR(AVERAGEIF(Discrete!$L$3:$L$20, "=2007", Discrete!AP$3:AP$20)), NA(), AVERAGEIF(Discrete!$L$3:$L$20, "=2007", Discrete!AP$3:AP$20))</f>
        <v>#N/A</v>
      </c>
      <c r="AA4" s="428" t="e">
        <f>IF(ISERROR(AVERAGEIF(Discrete!$L$3:$L$20, "=2007", Discrete!AQ$3:AQ$20)), NA(), AVERAGEIF(Discrete!$L$3:$L$20, "=2007", Discrete!AQ$3:AQ$20))</f>
        <v>#N/A</v>
      </c>
      <c r="AB4" s="428" t="e">
        <f>IF(ISERROR(AVERAGEIF(Discrete!$L$3:$L$20, "=2007", Discrete!AR$3:AR$20)), NA(), AVERAGEIF(Discrete!$L$3:$L$20, "=2007", Discrete!AR$3:AR$20))</f>
        <v>#N/A</v>
      </c>
      <c r="AC4" s="428" t="e">
        <f>IF(ISERROR(AVERAGEIF(Discrete!$L$3:$L$20, "=2007", Discrete!AS$3:AS$20)), NA(), AVERAGEIF(Discrete!$L$3:$L$20, "=2007", Discrete!AS$3:AS$20))</f>
        <v>#N/A</v>
      </c>
      <c r="AD4" s="428" t="e">
        <f>IF(ISERROR(AVERAGEIF(Discrete!$L$3:$L$20, "=2007", Discrete!AT$3:AT$20)), NA(), AVERAGEIF(Discrete!$L$3:$L$20, "=2007", Discrete!AT$3:AT$20))</f>
        <v>#N/A</v>
      </c>
      <c r="AE4" s="428" t="e">
        <f>IF(ISERROR(AVERAGEIF(Discrete!$L$3:$L$20, "=2007", Discrete!AU$3:AU$20)), NA(), AVERAGEIF(Discrete!$L$3:$L$20, "=2007", Discrete!AU$3:AU$20))</f>
        <v>#N/A</v>
      </c>
      <c r="AF4" s="428" t="e">
        <f>IF(ISERROR(AVERAGEIF(Discrete!$L$3:$L$20, "=2007", Discrete!AV$3:AV$20)), NA(), AVERAGEIF(Discrete!$L$3:$L$20, "=2007", Discrete!AV$3:AV$20))</f>
        <v>#N/A</v>
      </c>
      <c r="AG4" s="428" t="e">
        <f>IF(ISERROR(AVERAGEIF(Discrete!$L$3:$L$20, "=2007", Discrete!AW$3:AW$20)), NA(), AVERAGEIF(Discrete!$L$3:$L$20, "=2007", Discrete!AW$3:AW$20))</f>
        <v>#N/A</v>
      </c>
      <c r="AH4" s="428" t="e">
        <f>IF(ISERROR(AVERAGEIF(Discrete!$L$3:$L$20, "=2007", Discrete!AX$3:AX$20)), NA(), AVERAGEIF(Discrete!$L$3:$L$20, "=2007", Discrete!AX$3:AX$20))</f>
        <v>#N/A</v>
      </c>
      <c r="AI4" s="428" t="e">
        <f>IF(ISERROR(AVERAGEIF(Discrete!$L$3:$L$20, "=2007", Discrete!AY$3:AY$20)), NA(), AVERAGEIF(Discrete!$L$3:$L$20, "=2007", Discrete!AY$3:AY$20))</f>
        <v>#N/A</v>
      </c>
      <c r="AJ4" s="428" t="e">
        <f>IF(ISERROR(AVERAGEIF(Discrete!$L$3:$L$20, "=2007", Discrete!AZ$3:AZ$20)), NA(), AVERAGEIF(Discrete!$L$3:$L$20, "=2007", Discrete!AZ$3:AZ$20))</f>
        <v>#N/A</v>
      </c>
      <c r="AK4" s="428" t="e">
        <f>IF(ISERROR(AVERAGEIF(Discrete!$L$3:$L$20, "=2007", Discrete!BA$3:BA$20)), NA(), AVERAGEIF(Discrete!$L$3:$L$20, "=2007", Discrete!BA$3:BA$20))</f>
        <v>#N/A</v>
      </c>
      <c r="AL4" s="428" t="e">
        <f>IF(ISERROR(AVERAGEIF(Discrete!$L$3:$L$20, "=2007", Discrete!BB$3:BB$20)), NA(), AVERAGEIF(Discrete!$L$3:$L$20, "=2007", Discrete!BB$3:BB$20))</f>
        <v>#N/A</v>
      </c>
      <c r="AM4" s="428" t="e">
        <f>IF(ISERROR(AVERAGEIF(Discrete!$L$3:$L$20, "=2007", Discrete!BC$3:BC$20)), NA(), AVERAGEIF(Discrete!$L$3:$L$20, "=2007", Discrete!BC$3:BC$20))</f>
        <v>#N/A</v>
      </c>
      <c r="AN4" s="428" t="e">
        <f>IF(ISERROR(AVERAGEIF(Discrete!$L$3:$L$20, "=2007", Discrete!BD$3:BD$20)), NA(), AVERAGEIF(Discrete!$L$3:$L$20, "=2007", Discrete!BD$3:BD$20))</f>
        <v>#N/A</v>
      </c>
      <c r="AO4" s="428" t="e">
        <f>IF(ISERROR(AVERAGEIF(Discrete!$L$3:$L$20, "=2007", Discrete!BE$3:BE$20)), NA(), AVERAGEIF(Discrete!$L$3:$L$20, "=2007", Discrete!BE$3:BE$20))</f>
        <v>#N/A</v>
      </c>
      <c r="AP4" s="428" t="e">
        <f>IF(ISERROR(AVERAGEIF(Discrete!$L$3:$L$20, "=2007", Discrete!BF$3:BF$20)), NA(), AVERAGEIF(Discrete!$L$3:$L$20, "=2007", Discrete!BF$3:BF$20))</f>
        <v>#N/A</v>
      </c>
      <c r="AQ4" s="428" t="e">
        <f>IF(ISERROR(AVERAGEIF(Discrete!$L$3:$L$20, "=2007", Discrete!BG$3:BG$20)), NA(), AVERAGEIF(Discrete!$L$3:$L$20, "=2007", Discrete!BG$3:BG$20))</f>
        <v>#N/A</v>
      </c>
      <c r="AR4" s="428" t="e">
        <f>IF(ISERROR(AVERAGEIF(Discrete!$L$3:$L$20, "=2007", Discrete!BH$3:BH$20)), NA(), AVERAGEIF(Discrete!$L$3:$L$20, "=2007", Discrete!BH$3:BH$20))</f>
        <v>#N/A</v>
      </c>
      <c r="AS4" s="428" t="e">
        <f>IF(ISERROR(AVERAGEIF(Discrete!$L$3:$L$20, "=2007", Discrete!BI$3:BI$20)), NA(), AVERAGEIF(Discrete!$L$3:$L$20, "=2007", Discrete!BI$3:BI$20))</f>
        <v>#N/A</v>
      </c>
      <c r="AT4" s="428" t="e">
        <f>IF(ISERROR(AVERAGEIF(Discrete!$L$3:$L$20, "=2007", Discrete!BJ$3:BJ$20)), NA(), AVERAGEIF(Discrete!$L$3:$L$20, "=2007", Discrete!BJ$3:BJ$20))</f>
        <v>#N/A</v>
      </c>
      <c r="AU4" s="428" t="e">
        <f>IF(ISERROR(AVERAGEIF(Discrete!$L$3:$L$20, "=2007", Discrete!BK$3:BK$20)), NA(), AVERAGEIF(Discrete!$L$3:$L$20, "=2007", Discrete!BK$3:BK$20))</f>
        <v>#N/A</v>
      </c>
      <c r="AV4" s="428" t="e">
        <f>IF(ISERROR(AVERAGEIF(Discrete!$L$3:$L$20, "=2007", Discrete!BL$3:BL$20)), NA(), AVERAGEIF(Discrete!$L$3:$L$20, "=2007", Discrete!BL$3:BL$20))</f>
        <v>#N/A</v>
      </c>
      <c r="AW4" s="428" t="e">
        <f>IF(ISERROR(AVERAGEIF(Discrete!$L$3:$L$20, "=2007", Discrete!BM$3:BM$20)), NA(), AVERAGEIF(Discrete!$L$3:$L$20, "=2007", Discrete!BM$3:BM$20))</f>
        <v>#N/A</v>
      </c>
      <c r="AX4" s="428" t="e">
        <f>IF(ISERROR(AVERAGEIF(Discrete!$L$3:$L$20, "=2007", Discrete!BN$3:BN$20)), NA(), AVERAGEIF(Discrete!$L$3:$L$20, "=2007", Discrete!BN$3:BN$20))</f>
        <v>#N/A</v>
      </c>
      <c r="AY4" s="428" t="e">
        <f>IF(ISERROR(AVERAGEIF(Discrete!$L$3:$L$20, "=2007", Discrete!BO$3:BO$20)), NA(), AVERAGEIF(Discrete!$L$3:$L$20, "=2007", Discrete!BO$3:BO$20))</f>
        <v>#N/A</v>
      </c>
      <c r="AZ4" s="428" t="e">
        <f>IF(ISERROR(AVERAGEIF(Discrete!$L$3:$L$20, "=2007", Discrete!BP$3:BP$20)), NA(), AVERAGEIF(Discrete!$L$3:$L$20, "=2007", Discrete!BP$3:BP$20))</f>
        <v>#N/A</v>
      </c>
      <c r="BA4" s="428" t="e">
        <f>IF(ISERROR(AVERAGEIF(Discrete!$L$3:$L$20, "=2007", Discrete!BQ$3:BQ$20)), NA(), AVERAGEIF(Discrete!$L$3:$L$20, "=2007", Discrete!BQ$3:BQ$20))</f>
        <v>#N/A</v>
      </c>
      <c r="BB4" s="428" t="e">
        <f>IF(ISERROR(AVERAGEIF(Discrete!$L$3:$L$20, "=2007", Discrete!BR$3:BR$20)), NA(), AVERAGEIF(Discrete!$L$3:$L$20, "=2007", Discrete!BR$3:BR$20))</f>
        <v>#N/A</v>
      </c>
    </row>
    <row r="5" spans="1:217">
      <c r="A5" s="775"/>
      <c r="B5" s="432">
        <v>2008</v>
      </c>
      <c r="C5" s="416" t="e">
        <f>IF(ISERROR(AVERAGEIF(Discrete!$L$3:$L$20, "=2008", Discrete!S$3:S$20)), NA(), AVERAGEIF(Discrete!$L$3:$L$20, "=2008", Discrete!S$3:S$20))</f>
        <v>#N/A</v>
      </c>
      <c r="D5" s="428" t="e">
        <f>IF(ISERROR(AVERAGEIF(Discrete!$L$3:$L$20, "=2008", Discrete!T$3:T$20)), NA(), AVERAGEIF(Discrete!$L$3:$L$20, "=2008", Discrete!T$3:T$20))</f>
        <v>#N/A</v>
      </c>
      <c r="E5" s="428" t="e">
        <f>IF(ISERROR(AVERAGEIF(Discrete!$L$3:$L$20, "=2008", Discrete!U$3:U$20)), NA(), AVERAGEIF(Discrete!$L$3:$L$20, "=2008", Discrete!U$3:U$20))</f>
        <v>#N/A</v>
      </c>
      <c r="F5" s="428" t="e">
        <f>IF(ISERROR(AVERAGEIF(Discrete!$L$3:$L$20, "=2008", Discrete!V$3:V$20)), NA(), AVERAGEIF(Discrete!$L$3:$L$20, "=2008", Discrete!V$3:V$20))</f>
        <v>#N/A</v>
      </c>
      <c r="G5" s="428" t="e">
        <f>IF(ISERROR(AVERAGEIF(Discrete!$L$3:$L$20, "=2008", Discrete!W$3:W$20)), NA(), AVERAGEIF(Discrete!$L$3:$L$20, "=2008", Discrete!W$3:W$20))</f>
        <v>#N/A</v>
      </c>
      <c r="H5" s="428" t="e">
        <f>IF(ISERROR(AVERAGEIF(Discrete!$L$3:$L$20, "=2008", Discrete!X$3:X$20)), NA(), AVERAGEIF(Discrete!$L$3:$L$20, "=2008", Discrete!X$3:X$20))</f>
        <v>#N/A</v>
      </c>
      <c r="I5" s="428" t="e">
        <f>IF(ISERROR(AVERAGEIF(Discrete!$L$3:$L$20, "=2008", Discrete!Y$3:Y$20)), NA(), AVERAGEIF(Discrete!$L$3:$L$20, "=2008", Discrete!Y$3:Y$20))</f>
        <v>#N/A</v>
      </c>
      <c r="J5" s="428" t="e">
        <f>IF(ISERROR(AVERAGEIF(Discrete!$L$3:$L$20, "=2008", Discrete!Z$3:Z$20)), NA(), AVERAGEIF(Discrete!$L$3:$L$20, "=2008", Discrete!Z$3:Z$20))</f>
        <v>#N/A</v>
      </c>
      <c r="K5" s="428" t="e">
        <f>IF(ISERROR(AVERAGEIF(Discrete!$L$3:$L$20, "=2008", Discrete!AA$3:AA$20)), NA(), AVERAGEIF(Discrete!$L$3:$L$20, "=2008", Discrete!AA$3:AA$20))</f>
        <v>#N/A</v>
      </c>
      <c r="L5" s="428" t="e">
        <f>IF(ISERROR(AVERAGEIF(Discrete!$L$3:$L$20, "=2008", Discrete!AB$3:AB$20)), NA(), AVERAGEIF(Discrete!$L$3:$L$20, "=2008", Discrete!AB$3:AB$20))</f>
        <v>#N/A</v>
      </c>
      <c r="M5" s="428" t="e">
        <f>IF(ISERROR(AVERAGEIF(Discrete!$L$3:$L$20, "=2008", Discrete!AC$3:AC$20)), NA(), AVERAGEIF(Discrete!$L$3:$L$20, "=2008", Discrete!AC$3:AC$20))</f>
        <v>#N/A</v>
      </c>
      <c r="N5" s="428" t="e">
        <f>IF(ISERROR(AVERAGEIF(Discrete!$L$3:$L$20, "=2008", Discrete!AD$3:AD$20)), NA(), AVERAGEIF(Discrete!$L$3:$L$20, "=2008", Discrete!AD$3:AD$20))</f>
        <v>#N/A</v>
      </c>
      <c r="O5" s="428" t="e">
        <f>IF(ISERROR(AVERAGEIF(Discrete!$L$3:$L$20, "=2008", Discrete!AE$3:AE$20)), NA(), AVERAGEIF(Discrete!$L$3:$L$20, "=2008", Discrete!AE$3:AE$20))</f>
        <v>#N/A</v>
      </c>
      <c r="P5" s="428" t="e">
        <f>IF(ISERROR(AVERAGEIF(Discrete!$L$3:$L$20, "=2008", Discrete!AF$3:AF$20)), NA(), AVERAGEIF(Discrete!$L$3:$L$20, "=2008", Discrete!AF$3:AF$20))</f>
        <v>#N/A</v>
      </c>
      <c r="Q5" s="428" t="e">
        <f>IF(ISERROR(AVERAGEIF(Discrete!$L$3:$L$20, "=2008", Discrete!AG$3:AG$20)), NA(), AVERAGEIF(Discrete!$L$3:$L$20, "=2008", Discrete!AG$3:AG$20))</f>
        <v>#N/A</v>
      </c>
      <c r="R5" s="428" t="e">
        <f>IF(ISERROR(AVERAGEIF(Discrete!$L$3:$L$20, "=2008", Discrete!AH$3:AH$20)), NA(), AVERAGEIF(Discrete!$L$3:$L$20, "=2008", Discrete!AH$3:AH$20))</f>
        <v>#N/A</v>
      </c>
      <c r="S5" s="428" t="e">
        <f>IF(ISERROR(AVERAGEIF(Discrete!$L$3:$L$20, "=2008", Discrete!AI$3:AI$20)), NA(), AVERAGEIF(Discrete!$L$3:$L$20, "=2008", Discrete!AI$3:AI$20))</f>
        <v>#N/A</v>
      </c>
      <c r="T5" s="428" t="e">
        <f>IF(ISERROR(AVERAGEIF(Discrete!$L$3:$L$20, "=2008", Discrete!AJ$3:AJ$20)), NA(), AVERAGEIF(Discrete!$L$3:$L$20, "=2008", Discrete!AJ$3:AJ$20))</f>
        <v>#N/A</v>
      </c>
      <c r="U5" s="428" t="e">
        <f>IF(ISERROR(AVERAGEIF(Discrete!$L$3:$L$20, "=2008", Discrete!AK$3:AK$20)), NA(), AVERAGEIF(Discrete!$L$3:$L$20, "=2008", Discrete!AK$3:AK$20))</f>
        <v>#N/A</v>
      </c>
      <c r="V5" s="428" t="e">
        <f>IF(ISERROR(AVERAGEIF(Discrete!$L$3:$L$20, "=2008", Discrete!AL$3:AL$20)), NA(), AVERAGEIF(Discrete!$L$3:$L$20, "=2008", Discrete!AL$3:AL$20))</f>
        <v>#N/A</v>
      </c>
      <c r="W5" s="428" t="e">
        <f>IF(ISERROR(AVERAGEIF(Discrete!$L$3:$L$20, "=2008", Discrete!AM$3:AM$20)), NA(), AVERAGEIF(Discrete!$L$3:$L$20, "=2008", Discrete!AM$3:AM$20))</f>
        <v>#N/A</v>
      </c>
      <c r="X5" s="428" t="e">
        <f>IF(ISERROR(AVERAGEIF(Discrete!$L$3:$L$20, "=2008", Discrete!AN$3:AN$20)), NA(), AVERAGEIF(Discrete!$L$3:$L$20, "=2008", Discrete!AN$3:AN$20)*1000)</f>
        <v>#N/A</v>
      </c>
      <c r="Y5" s="428" t="e">
        <f>IF(ISERROR(AVERAGEIF(Discrete!$L$3:$L$20, "=2008", Discrete!AO$3:AO$20)), NA(), AVERAGEIF(Discrete!$L$3:$L$20, "=2008", Discrete!AO$3:AO$20))</f>
        <v>#N/A</v>
      </c>
      <c r="Z5" s="428" t="e">
        <f>IF(ISERROR(AVERAGEIF(Discrete!$L$3:$L$20, "=2008", Discrete!AP$3:AP$20)), NA(), AVERAGEIF(Discrete!$L$3:$L$20, "=2008", Discrete!AP$3:AP$20))</f>
        <v>#N/A</v>
      </c>
      <c r="AA5" s="428" t="e">
        <f>IF(ISERROR(AVERAGEIF(Discrete!$L$3:$L$20, "=2008", Discrete!AQ$3:AQ$20)), NA(), AVERAGEIF(Discrete!$L$3:$L$20, "=2008", Discrete!AQ$3:AQ$20))</f>
        <v>#N/A</v>
      </c>
      <c r="AB5" s="428" t="e">
        <f>IF(ISERROR(AVERAGEIF(Discrete!$L$3:$L$20, "=2008", Discrete!AR$3:AR$20)), NA(), AVERAGEIF(Discrete!$L$3:$L$20, "=2008", Discrete!AR$3:AR$20))</f>
        <v>#N/A</v>
      </c>
      <c r="AC5" s="428" t="e">
        <f>IF(ISERROR(AVERAGEIF(Discrete!$L$3:$L$20, "=2008", Discrete!AS$3:AS$20)), NA(), AVERAGEIF(Discrete!$L$3:$L$20, "=2008", Discrete!AS$3:AS$20))</f>
        <v>#N/A</v>
      </c>
      <c r="AD5" s="428" t="e">
        <f>IF(ISERROR(AVERAGEIF(Discrete!$L$3:$L$20, "=2008", Discrete!AT$3:AT$20)), NA(), AVERAGEIF(Discrete!$L$3:$L$20, "=2008", Discrete!AT$3:AT$20))</f>
        <v>#N/A</v>
      </c>
      <c r="AE5" s="428" t="e">
        <f>IF(ISERROR(AVERAGEIF(Discrete!$L$3:$L$20, "=2008", Discrete!AU$3:AU$20)), NA(), AVERAGEIF(Discrete!$L$3:$L$20, "=2008", Discrete!AU$3:AU$20))</f>
        <v>#N/A</v>
      </c>
      <c r="AF5" s="428" t="e">
        <f>IF(ISERROR(AVERAGEIF(Discrete!$L$3:$L$20, "=2008", Discrete!AV$3:AV$20)), NA(), AVERAGEIF(Discrete!$L$3:$L$20, "=2008", Discrete!AV$3:AV$20))</f>
        <v>#N/A</v>
      </c>
      <c r="AG5" s="428" t="e">
        <f>IF(ISERROR(AVERAGEIF(Discrete!$L$3:$L$20, "=2008", Discrete!AW$3:AW$20)), NA(), AVERAGEIF(Discrete!$L$3:$L$20, "=2008", Discrete!AW$3:AW$20))</f>
        <v>#N/A</v>
      </c>
      <c r="AH5" s="428" t="e">
        <f>IF(ISERROR(AVERAGEIF(Discrete!$L$3:$L$20, "=2008", Discrete!AX$3:AX$20)), NA(), AVERAGEIF(Discrete!$L$3:$L$20, "=2008", Discrete!AX$3:AX$20))</f>
        <v>#N/A</v>
      </c>
      <c r="AI5" s="428" t="e">
        <f>IF(ISERROR(AVERAGEIF(Discrete!$L$3:$L$20, "=2008", Discrete!AY$3:AY$20)), NA(), AVERAGEIF(Discrete!$L$3:$L$20, "=2008", Discrete!AY$3:AY$20))</f>
        <v>#N/A</v>
      </c>
      <c r="AJ5" s="428" t="e">
        <f>IF(ISERROR(AVERAGEIF(Discrete!$L$3:$L$20, "=2008", Discrete!AZ$3:AZ$20)), NA(), AVERAGEIF(Discrete!$L$3:$L$20, "=2008", Discrete!AZ$3:AZ$20))</f>
        <v>#N/A</v>
      </c>
      <c r="AK5" s="428" t="e">
        <f>IF(ISERROR(AVERAGEIF(Discrete!$L$3:$L$20, "=2008", Discrete!BA$3:BA$20)), NA(), AVERAGEIF(Discrete!$L$3:$L$20, "=2008", Discrete!BA$3:BA$20))</f>
        <v>#N/A</v>
      </c>
      <c r="AL5" s="428" t="e">
        <f>IF(ISERROR(AVERAGEIF(Discrete!$L$3:$L$20, "=2008", Discrete!BB$3:BB$20)), NA(), AVERAGEIF(Discrete!$L$3:$L$20, "=2008", Discrete!BB$3:BB$20))</f>
        <v>#N/A</v>
      </c>
      <c r="AM5" s="428" t="e">
        <f>IF(ISERROR(AVERAGEIF(Discrete!$L$3:$L$20, "=2008", Discrete!BC$3:BC$20)), NA(), AVERAGEIF(Discrete!$L$3:$L$20, "=2008", Discrete!BC$3:BC$20))</f>
        <v>#N/A</v>
      </c>
      <c r="AN5" s="428" t="e">
        <f>IF(ISERROR(AVERAGEIF(Discrete!$L$3:$L$20, "=2008", Discrete!BD$3:BD$20)), NA(), AVERAGEIF(Discrete!$L$3:$L$20, "=2008", Discrete!BD$3:BD$20))</f>
        <v>#N/A</v>
      </c>
      <c r="AO5" s="428" t="e">
        <f>IF(ISERROR(AVERAGEIF(Discrete!$L$3:$L$20, "=2008", Discrete!BE$3:BE$20)), NA(), AVERAGEIF(Discrete!$L$3:$L$20, "=2008", Discrete!BE$3:BE$20))</f>
        <v>#N/A</v>
      </c>
      <c r="AP5" s="428" t="e">
        <f>IF(ISERROR(AVERAGEIF(Discrete!$L$3:$L$20, "=2008", Discrete!BF$3:BF$20)), NA(), AVERAGEIF(Discrete!$L$3:$L$20, "=2008", Discrete!BF$3:BF$20))</f>
        <v>#N/A</v>
      </c>
      <c r="AQ5" s="428" t="e">
        <f>IF(ISERROR(AVERAGEIF(Discrete!$L$3:$L$20, "=2008", Discrete!BG$3:BG$20)), NA(), AVERAGEIF(Discrete!$L$3:$L$20, "=2008", Discrete!BG$3:BG$20))</f>
        <v>#N/A</v>
      </c>
      <c r="AR5" s="428" t="e">
        <f>IF(ISERROR(AVERAGEIF(Discrete!$L$3:$L$20, "=2008", Discrete!BH$3:BH$20)), NA(), AVERAGEIF(Discrete!$L$3:$L$20, "=2008", Discrete!BH$3:BH$20))</f>
        <v>#N/A</v>
      </c>
      <c r="AS5" s="428" t="e">
        <f>IF(ISERROR(AVERAGEIF(Discrete!$L$3:$L$20, "=2008", Discrete!BI$3:BI$20)), NA(), AVERAGEIF(Discrete!$L$3:$L$20, "=2008", Discrete!BI$3:BI$20))</f>
        <v>#N/A</v>
      </c>
      <c r="AT5" s="428" t="e">
        <f>IF(ISERROR(AVERAGEIF(Discrete!$L$3:$L$20, "=2008", Discrete!BJ$3:BJ$20)), NA(), AVERAGEIF(Discrete!$L$3:$L$20, "=2008", Discrete!BJ$3:BJ$20))</f>
        <v>#N/A</v>
      </c>
      <c r="AU5" s="428" t="e">
        <f>IF(ISERROR(AVERAGEIF(Discrete!$L$3:$L$20, "=2008", Discrete!BK$3:BK$20)), NA(), AVERAGEIF(Discrete!$L$3:$L$20, "=2008", Discrete!BK$3:BK$20))</f>
        <v>#N/A</v>
      </c>
      <c r="AV5" s="428" t="e">
        <f>IF(ISERROR(AVERAGEIF(Discrete!$L$3:$L$20, "=2008", Discrete!BL$3:BL$20)), NA(), AVERAGEIF(Discrete!$L$3:$L$20, "=2008", Discrete!BL$3:BL$20))</f>
        <v>#N/A</v>
      </c>
      <c r="AW5" s="428" t="e">
        <f>IF(ISERROR(AVERAGEIF(Discrete!$L$3:$L$20, "=2008", Discrete!BM$3:BM$20)), NA(), AVERAGEIF(Discrete!$L$3:$L$20, "=2008", Discrete!BM$3:BM$20))</f>
        <v>#N/A</v>
      </c>
      <c r="AX5" s="428" t="e">
        <f>IF(ISERROR(AVERAGEIF(Discrete!$L$3:$L$20, "=2008", Discrete!BN$3:BN$20)), NA(), AVERAGEIF(Discrete!$L$3:$L$20, "=2008", Discrete!BN$3:BN$20))</f>
        <v>#N/A</v>
      </c>
      <c r="AY5" s="428" t="e">
        <f>IF(ISERROR(AVERAGEIF(Discrete!$L$3:$L$20, "=2008", Discrete!BO$3:BO$20)), NA(), AVERAGEIF(Discrete!$L$3:$L$20, "=2008", Discrete!BO$3:BO$20))</f>
        <v>#N/A</v>
      </c>
      <c r="AZ5" s="428" t="e">
        <f>IF(ISERROR(AVERAGEIF(Discrete!$L$3:$L$20, "=2008", Discrete!BP$3:BP$20)), NA(), AVERAGEIF(Discrete!$L$3:$L$20, "=2008", Discrete!BP$3:BP$20))</f>
        <v>#N/A</v>
      </c>
      <c r="BA5" s="428" t="e">
        <f>IF(ISERROR(AVERAGEIF(Discrete!$L$3:$L$20, "=2008", Discrete!BQ$3:BQ$20)), NA(), AVERAGEIF(Discrete!$L$3:$L$20, "=2008", Discrete!BQ$3:BQ$20))</f>
        <v>#N/A</v>
      </c>
      <c r="BB5" s="428" t="e">
        <f>IF(ISERROR(AVERAGEIF(Discrete!$L$3:$L$20, "=2008", Discrete!BR$3:BR$20)), NA(), AVERAGEIF(Discrete!$L$3:$L$20, "=2008", Discrete!BR$3:BR$20))</f>
        <v>#N/A</v>
      </c>
    </row>
    <row r="6" spans="1:217">
      <c r="A6" s="775"/>
      <c r="B6" s="432">
        <v>2009</v>
      </c>
      <c r="C6" s="416" t="e">
        <f>IF(ISERROR(AVERAGEIF(Discrete!$L$3:$L$20, "=2009", Discrete!S$3:S$20)), NA(), AVERAGEIF(Discrete!$L$3:$L$20, "=2009", Discrete!S$3:S$20))</f>
        <v>#N/A</v>
      </c>
      <c r="D6" s="428" t="e">
        <f>IF(ISERROR(AVERAGEIF(Discrete!$L$3:$L$20, "=2009", Discrete!T$3:T$20)), NA(), AVERAGEIF(Discrete!$L$3:$L$20, "=2009", Discrete!T$3:T$20))</f>
        <v>#N/A</v>
      </c>
      <c r="E6" s="428" t="e">
        <f>IF(ISERROR(AVERAGEIF(Discrete!$L$3:$L$20, "=2009", Discrete!U$3:U$20)), NA(), AVERAGEIF(Discrete!$L$3:$L$20, "=2009", Discrete!U$3:U$20))</f>
        <v>#N/A</v>
      </c>
      <c r="F6" s="428" t="e">
        <f>IF(ISERROR(AVERAGEIF(Discrete!$L$3:$L$20, "=2009", Discrete!V$3:V$20)), NA(), AVERAGEIF(Discrete!$L$3:$L$20, "=2009", Discrete!V$3:V$20))</f>
        <v>#N/A</v>
      </c>
      <c r="G6" s="428" t="e">
        <f>IF(ISERROR(AVERAGEIF(Discrete!$L$3:$L$20, "=2009", Discrete!W$3:W$20)), NA(), AVERAGEIF(Discrete!$L$3:$L$20, "=2009", Discrete!W$3:W$20))</f>
        <v>#N/A</v>
      </c>
      <c r="H6" s="428" t="e">
        <f>IF(ISERROR(AVERAGEIF(Discrete!$L$3:$L$20, "=2009", Discrete!X$3:X$20)), NA(), AVERAGEIF(Discrete!$L$3:$L$20, "=2009", Discrete!X$3:X$20))</f>
        <v>#N/A</v>
      </c>
      <c r="I6" s="428" t="e">
        <f>IF(ISERROR(AVERAGEIF(Discrete!$L$3:$L$20, "=2009", Discrete!Y$3:Y$20)), NA(), AVERAGEIF(Discrete!$L$3:$L$20, "=2009", Discrete!Y$3:Y$20))</f>
        <v>#N/A</v>
      </c>
      <c r="J6" s="428" t="e">
        <f>IF(ISERROR(AVERAGEIF(Discrete!$L$3:$L$20, "=2009", Discrete!Z$3:Z$20)), NA(), AVERAGEIF(Discrete!$L$3:$L$20, "=2009", Discrete!Z$3:Z$20))</f>
        <v>#N/A</v>
      </c>
      <c r="K6" s="428" t="e">
        <f>IF(ISERROR(AVERAGEIF(Discrete!$L$3:$L$20, "=2009", Discrete!AA$3:AA$20)), NA(), AVERAGEIF(Discrete!$L$3:$L$20, "=2009", Discrete!AA$3:AA$20))</f>
        <v>#N/A</v>
      </c>
      <c r="L6" s="428" t="e">
        <f>IF(ISERROR(AVERAGEIF(Discrete!$L$3:$L$20, "=2009", Discrete!AB$3:AB$20)), NA(), AVERAGEIF(Discrete!$L$3:$L$20, "=2009", Discrete!AB$3:AB$20))</f>
        <v>#N/A</v>
      </c>
      <c r="M6" s="428" t="e">
        <f>IF(ISERROR(AVERAGEIF(Discrete!$L$3:$L$20, "=2009", Discrete!AC$3:AC$20)), NA(), AVERAGEIF(Discrete!$L$3:$L$20, "=2009", Discrete!AC$3:AC$20))</f>
        <v>#N/A</v>
      </c>
      <c r="N6" s="428" t="e">
        <f>IF(ISERROR(AVERAGEIF(Discrete!$L$3:$L$20, "=2009", Discrete!AD$3:AD$20)), NA(), AVERAGEIF(Discrete!$L$3:$L$20, "=2009", Discrete!AD$3:AD$20))</f>
        <v>#N/A</v>
      </c>
      <c r="O6" s="428" t="e">
        <f>IF(ISERROR(AVERAGEIF(Discrete!$L$3:$L$20, "=2009", Discrete!AE$3:AE$20)), NA(), AVERAGEIF(Discrete!$L$3:$L$20, "=2009", Discrete!AE$3:AE$20))</f>
        <v>#N/A</v>
      </c>
      <c r="P6" s="428" t="e">
        <f>IF(ISERROR(AVERAGEIF(Discrete!$L$3:$L$20, "=2009", Discrete!AF$3:AF$20)), NA(), AVERAGEIF(Discrete!$L$3:$L$20, "=2009", Discrete!AF$3:AF$20))</f>
        <v>#N/A</v>
      </c>
      <c r="Q6" s="428" t="e">
        <f>IF(ISERROR(AVERAGEIF(Discrete!$L$3:$L$20, "=2009", Discrete!AG$3:AG$20)), NA(), AVERAGEIF(Discrete!$L$3:$L$20, "=2009", Discrete!AG$3:AG$20))</f>
        <v>#N/A</v>
      </c>
      <c r="R6" s="428" t="e">
        <f>IF(ISERROR(AVERAGEIF(Discrete!$L$3:$L$20, "=2009", Discrete!AH$3:AH$20)), NA(), AVERAGEIF(Discrete!$L$3:$L$20, "=2009", Discrete!AH$3:AH$20))</f>
        <v>#N/A</v>
      </c>
      <c r="S6" s="428" t="e">
        <f>IF(ISERROR(AVERAGEIF(Discrete!$L$3:$L$20, "=2009", Discrete!AI$3:AI$20)), NA(), AVERAGEIF(Discrete!$L$3:$L$20, "=2009", Discrete!AI$3:AI$20))</f>
        <v>#N/A</v>
      </c>
      <c r="T6" s="428" t="e">
        <f>IF(ISERROR(AVERAGEIF(Discrete!$L$3:$L$20, "=2009", Discrete!AJ$3:AJ$20)), NA(), AVERAGEIF(Discrete!$L$3:$L$20, "=2009", Discrete!AJ$3:AJ$20))</f>
        <v>#N/A</v>
      </c>
      <c r="U6" s="428" t="e">
        <f>IF(ISERROR(AVERAGEIF(Discrete!$L$3:$L$20, "=2009", Discrete!AK$3:AK$20)), NA(), AVERAGEIF(Discrete!$L$3:$L$20, "=2009", Discrete!AK$3:AK$20))</f>
        <v>#N/A</v>
      </c>
      <c r="V6" s="428" t="e">
        <f>IF(ISERROR(AVERAGEIF(Discrete!$L$3:$L$20, "=2009", Discrete!AL$3:AL$20)), NA(), AVERAGEIF(Discrete!$L$3:$L$20, "=2009", Discrete!AL$3:AL$20))</f>
        <v>#N/A</v>
      </c>
      <c r="W6" s="428" t="e">
        <f>IF(ISERROR(AVERAGEIF(Discrete!$L$3:$L$20, "=2009", Discrete!AM$3:AM$20)), NA(), AVERAGEIF(Discrete!$L$3:$L$20, "=2009", Discrete!AM$3:AM$20))</f>
        <v>#N/A</v>
      </c>
      <c r="X6" s="428" t="e">
        <f>IF(ISERROR(AVERAGEIF(Discrete!$L$3:$L$20, "=2009", Discrete!AN$3:AN$20)), NA(), AVERAGEIF(Discrete!$L$3:$L$20, "=2009", Discrete!AN$3:AN$20)*1000)</f>
        <v>#N/A</v>
      </c>
      <c r="Y6" s="428" t="e">
        <f>IF(ISERROR(AVERAGEIF(Discrete!$L$3:$L$20, "=2009", Discrete!AO$3:AO$20)), NA(), AVERAGEIF(Discrete!$L$3:$L$20, "=2009", Discrete!AO$3:AO$20))</f>
        <v>#N/A</v>
      </c>
      <c r="Z6" s="428" t="e">
        <f>IF(ISERROR(AVERAGEIF(Discrete!$L$3:$L$20, "=2009", Discrete!AP$3:AP$20)), NA(), AVERAGEIF(Discrete!$L$3:$L$20, "=2009", Discrete!AP$3:AP$20))</f>
        <v>#N/A</v>
      </c>
      <c r="AA6" s="428" t="e">
        <f>IF(ISERROR(AVERAGEIF(Discrete!$L$3:$L$20, "=2009", Discrete!AQ$3:AQ$20)), NA(), AVERAGEIF(Discrete!$L$3:$L$20, "=2009", Discrete!AQ$3:AQ$20))</f>
        <v>#N/A</v>
      </c>
      <c r="AB6" s="428" t="e">
        <f>IF(ISERROR(AVERAGEIF(Discrete!$L$3:$L$20, "=2009", Discrete!AR$3:AR$20)), NA(), AVERAGEIF(Discrete!$L$3:$L$20, "=2009", Discrete!AR$3:AR$20))</f>
        <v>#N/A</v>
      </c>
      <c r="AC6" s="428" t="e">
        <f>IF(ISERROR(AVERAGEIF(Discrete!$L$3:$L$20, "=2009", Discrete!AS$3:AS$20)), NA(), AVERAGEIF(Discrete!$L$3:$L$20, "=2009", Discrete!AS$3:AS$20))</f>
        <v>#N/A</v>
      </c>
      <c r="AD6" s="428" t="e">
        <f>IF(ISERROR(AVERAGEIF(Discrete!$L$3:$L$20, "=2009", Discrete!AT$3:AT$20)), NA(), AVERAGEIF(Discrete!$L$3:$L$20, "=2009", Discrete!AT$3:AT$20))</f>
        <v>#N/A</v>
      </c>
      <c r="AE6" s="428" t="e">
        <f>IF(ISERROR(AVERAGEIF(Discrete!$L$3:$L$20, "=2009", Discrete!AU$3:AU$20)), NA(), AVERAGEIF(Discrete!$L$3:$L$20, "=2009", Discrete!AU$3:AU$20))</f>
        <v>#N/A</v>
      </c>
      <c r="AF6" s="428" t="e">
        <f>IF(ISERROR(AVERAGEIF(Discrete!$L$3:$L$20, "=2009", Discrete!AV$3:AV$20)), NA(), AVERAGEIF(Discrete!$L$3:$L$20, "=2009", Discrete!AV$3:AV$20))</f>
        <v>#N/A</v>
      </c>
      <c r="AG6" s="428" t="e">
        <f>IF(ISERROR(AVERAGEIF(Discrete!$L$3:$L$20, "=2009", Discrete!AW$3:AW$20)), NA(), AVERAGEIF(Discrete!$L$3:$L$20, "=2009", Discrete!AW$3:AW$20))</f>
        <v>#N/A</v>
      </c>
      <c r="AH6" s="428" t="e">
        <f>IF(ISERROR(AVERAGEIF(Discrete!$L$3:$L$20, "=2009", Discrete!AX$3:AX$20)), NA(), AVERAGEIF(Discrete!$L$3:$L$20, "=2009", Discrete!AX$3:AX$20))</f>
        <v>#N/A</v>
      </c>
      <c r="AI6" s="428" t="e">
        <f>IF(ISERROR(AVERAGEIF(Discrete!$L$3:$L$20, "=2009", Discrete!AY$3:AY$20)), NA(), AVERAGEIF(Discrete!$L$3:$L$20, "=2009", Discrete!AY$3:AY$20))</f>
        <v>#N/A</v>
      </c>
      <c r="AJ6" s="428" t="e">
        <f>IF(ISERROR(AVERAGEIF(Discrete!$L$3:$L$20, "=2009", Discrete!AZ$3:AZ$20)), NA(), AVERAGEIF(Discrete!$L$3:$L$20, "=2009", Discrete!AZ$3:AZ$20))</f>
        <v>#N/A</v>
      </c>
      <c r="AK6" s="428" t="e">
        <f>IF(ISERROR(AVERAGEIF(Discrete!$L$3:$L$20, "=2009", Discrete!BA$3:BA$20)), NA(), AVERAGEIF(Discrete!$L$3:$L$20, "=2009", Discrete!BA$3:BA$20))</f>
        <v>#N/A</v>
      </c>
      <c r="AL6" s="428" t="e">
        <f>IF(ISERROR(AVERAGEIF(Discrete!$L$3:$L$20, "=2009", Discrete!BB$3:BB$20)), NA(), AVERAGEIF(Discrete!$L$3:$L$20, "=2009", Discrete!BB$3:BB$20))</f>
        <v>#N/A</v>
      </c>
      <c r="AM6" s="428" t="e">
        <f>IF(ISERROR(AVERAGEIF(Discrete!$L$3:$L$20, "=2009", Discrete!BC$3:BC$20)), NA(), AVERAGEIF(Discrete!$L$3:$L$20, "=2009", Discrete!BC$3:BC$20))</f>
        <v>#N/A</v>
      </c>
      <c r="AN6" s="428" t="e">
        <f>IF(ISERROR(AVERAGEIF(Discrete!$L$3:$L$20, "=2009", Discrete!BD$3:BD$20)), NA(), AVERAGEIF(Discrete!$L$3:$L$20, "=2009", Discrete!BD$3:BD$20))</f>
        <v>#N/A</v>
      </c>
      <c r="AO6" s="428" t="e">
        <f>IF(ISERROR(AVERAGEIF(Discrete!$L$3:$L$20, "=2009", Discrete!BE$3:BE$20)), NA(), AVERAGEIF(Discrete!$L$3:$L$20, "=2009", Discrete!BE$3:BE$20))</f>
        <v>#N/A</v>
      </c>
      <c r="AP6" s="428" t="e">
        <f>IF(ISERROR(AVERAGEIF(Discrete!$L$3:$L$20, "=2009", Discrete!BF$3:BF$20)), NA(), AVERAGEIF(Discrete!$L$3:$L$20, "=2009", Discrete!BF$3:BF$20))</f>
        <v>#N/A</v>
      </c>
      <c r="AQ6" s="428" t="e">
        <f>IF(ISERROR(AVERAGEIF(Discrete!$L$3:$L$20, "=2009", Discrete!BG$3:BG$20)), NA(), AVERAGEIF(Discrete!$L$3:$L$20, "=2009", Discrete!BG$3:BG$20))</f>
        <v>#N/A</v>
      </c>
      <c r="AR6" s="428" t="e">
        <f>IF(ISERROR(AVERAGEIF(Discrete!$L$3:$L$20, "=2009", Discrete!BH$3:BH$20)), NA(), AVERAGEIF(Discrete!$L$3:$L$20, "=2009", Discrete!BH$3:BH$20))</f>
        <v>#N/A</v>
      </c>
      <c r="AS6" s="428" t="e">
        <f>IF(ISERROR(AVERAGEIF(Discrete!$L$3:$L$20, "=2009", Discrete!BI$3:BI$20)), NA(), AVERAGEIF(Discrete!$L$3:$L$20, "=2009", Discrete!BI$3:BI$20))</f>
        <v>#N/A</v>
      </c>
      <c r="AT6" s="428" t="e">
        <f>IF(ISERROR(AVERAGEIF(Discrete!$L$3:$L$20, "=2009", Discrete!BJ$3:BJ$20)), NA(), AVERAGEIF(Discrete!$L$3:$L$20, "=2009", Discrete!BJ$3:BJ$20))</f>
        <v>#N/A</v>
      </c>
      <c r="AU6" s="428" t="e">
        <f>IF(ISERROR(AVERAGEIF(Discrete!$L$3:$L$20, "=2009", Discrete!BK$3:BK$20)), NA(), AVERAGEIF(Discrete!$L$3:$L$20, "=2009", Discrete!BK$3:BK$20))</f>
        <v>#N/A</v>
      </c>
      <c r="AV6" s="428" t="e">
        <f>IF(ISERROR(AVERAGEIF(Discrete!$L$3:$L$20, "=2009", Discrete!BL$3:BL$20)), NA(), AVERAGEIF(Discrete!$L$3:$L$20, "=2009", Discrete!BL$3:BL$20))</f>
        <v>#N/A</v>
      </c>
      <c r="AW6" s="428" t="e">
        <f>IF(ISERROR(AVERAGEIF(Discrete!$L$3:$L$20, "=2009", Discrete!BM$3:BM$20)), NA(), AVERAGEIF(Discrete!$L$3:$L$20, "=2009", Discrete!BM$3:BM$20))</f>
        <v>#N/A</v>
      </c>
      <c r="AX6" s="428" t="e">
        <f>IF(ISERROR(AVERAGEIF(Discrete!$L$3:$L$20, "=2009", Discrete!BN$3:BN$20)), NA(), AVERAGEIF(Discrete!$L$3:$L$20, "=2009", Discrete!BN$3:BN$20))</f>
        <v>#N/A</v>
      </c>
      <c r="AY6" s="428" t="e">
        <f>IF(ISERROR(AVERAGEIF(Discrete!$L$3:$L$20, "=2009", Discrete!BO$3:BO$20)), NA(), AVERAGEIF(Discrete!$L$3:$L$20, "=2009", Discrete!BO$3:BO$20))</f>
        <v>#N/A</v>
      </c>
      <c r="AZ6" s="428" t="e">
        <f>IF(ISERROR(AVERAGEIF(Discrete!$L$3:$L$20, "=2009", Discrete!BP$3:BP$20)), NA(), AVERAGEIF(Discrete!$L$3:$L$20, "=2009", Discrete!BP$3:BP$20))</f>
        <v>#N/A</v>
      </c>
      <c r="BA6" s="428" t="e">
        <f>IF(ISERROR(AVERAGEIF(Discrete!$L$3:$L$20, "=2009", Discrete!BQ$3:BQ$20)), NA(), AVERAGEIF(Discrete!$L$3:$L$20, "=2009", Discrete!BQ$3:BQ$20))</f>
        <v>#N/A</v>
      </c>
      <c r="BB6" s="428" t="e">
        <f>IF(ISERROR(AVERAGEIF(Discrete!$L$3:$L$20, "=2009", Discrete!BR$3:BR$20)), NA(), AVERAGEIF(Discrete!$L$3:$L$20, "=2009", Discrete!BR$3:BR$20))</f>
        <v>#N/A</v>
      </c>
    </row>
    <row r="7" spans="1:217">
      <c r="A7" s="775"/>
      <c r="B7" s="432">
        <v>2010</v>
      </c>
      <c r="C7" s="416" t="e">
        <f>IF(ISERROR(AVERAGEIF(Discrete!$L$3:$L$20, "=2010", Discrete!S$3:S$20)), NA(), AVERAGEIF(Discrete!$L$3:$L$20, "=2010", Discrete!S$3:S$20))</f>
        <v>#N/A</v>
      </c>
      <c r="D7" s="428" t="e">
        <f>IF(ISERROR(AVERAGEIF(Discrete!$L$3:$L$20, "=2010", Discrete!T$3:T$20)), NA(), AVERAGEIF(Discrete!$L$3:$L$20, "=2010", Discrete!T$3:T$20))</f>
        <v>#N/A</v>
      </c>
      <c r="E7" s="428" t="e">
        <f>IF(ISERROR(AVERAGEIF(Discrete!$L$3:$L$20, "=2010", Discrete!U$3:U$20)), NA(), AVERAGEIF(Discrete!$L$3:$L$20, "=2010", Discrete!U$3:U$20))</f>
        <v>#N/A</v>
      </c>
      <c r="F7" s="428" t="e">
        <f>IF(ISERROR(AVERAGEIF(Discrete!$L$3:$L$20, "=2010", Discrete!V$3:V$20)), NA(), AVERAGEIF(Discrete!$L$3:$L$20, "=2010", Discrete!V$3:V$20))</f>
        <v>#N/A</v>
      </c>
      <c r="G7" s="428" t="e">
        <f>IF(ISERROR(AVERAGEIF(Discrete!$L$3:$L$20, "=2010", Discrete!W$3:W$20)), NA(), AVERAGEIF(Discrete!$L$3:$L$20, "=2010", Discrete!W$3:W$20))</f>
        <v>#N/A</v>
      </c>
      <c r="H7" s="428" t="e">
        <f>IF(ISERROR(AVERAGEIF(Discrete!$L$3:$L$20, "=2010", Discrete!X$3:X$20)), NA(), AVERAGEIF(Discrete!$L$3:$L$20, "=2010", Discrete!X$3:X$20))</f>
        <v>#N/A</v>
      </c>
      <c r="I7" s="428" t="e">
        <f>IF(ISERROR(AVERAGEIF(Discrete!$L$3:$L$20, "=2010", Discrete!Y$3:Y$20)), NA(), AVERAGEIF(Discrete!$L$3:$L$20, "=2010", Discrete!Y$3:Y$20))</f>
        <v>#N/A</v>
      </c>
      <c r="J7" s="428" t="e">
        <f>IF(ISERROR(AVERAGEIF(Discrete!$L$3:$L$20, "=2010", Discrete!Z$3:Z$20)), NA(), AVERAGEIF(Discrete!$L$3:$L$20, "=2010", Discrete!Z$3:Z$20))</f>
        <v>#N/A</v>
      </c>
      <c r="K7" s="428" t="e">
        <f>IF(ISERROR(AVERAGEIF(Discrete!$L$3:$L$20, "=2010", Discrete!AA$3:AA$20)), NA(), AVERAGEIF(Discrete!$L$3:$L$20, "=2010", Discrete!AA$3:AA$20))</f>
        <v>#N/A</v>
      </c>
      <c r="L7" s="428" t="e">
        <f>IF(ISERROR(AVERAGEIF(Discrete!$L$3:$L$20, "=2010", Discrete!AB$3:AB$20)), NA(), AVERAGEIF(Discrete!$L$3:$L$20, "=2010", Discrete!AB$3:AB$20))</f>
        <v>#N/A</v>
      </c>
      <c r="M7" s="428" t="e">
        <f>IF(ISERROR(AVERAGEIF(Discrete!$L$3:$L$20, "=2010", Discrete!AC$3:AC$20)), NA(), AVERAGEIF(Discrete!$L$3:$L$20, "=2010", Discrete!AC$3:AC$20))</f>
        <v>#N/A</v>
      </c>
      <c r="N7" s="428" t="e">
        <f>IF(ISERROR(AVERAGEIF(Discrete!$L$3:$L$20, "=2010", Discrete!AD$3:AD$20)), NA(), AVERAGEIF(Discrete!$L$3:$L$20, "=2010", Discrete!AD$3:AD$20))</f>
        <v>#N/A</v>
      </c>
      <c r="O7" s="428" t="e">
        <f>IF(ISERROR(AVERAGEIF(Discrete!$L$3:$L$20, "=2010", Discrete!AE$3:AE$20)), NA(), AVERAGEIF(Discrete!$L$3:$L$20, "=2010", Discrete!AE$3:AE$20))</f>
        <v>#N/A</v>
      </c>
      <c r="P7" s="428" t="e">
        <f>IF(ISERROR(AVERAGEIF(Discrete!$L$3:$L$20, "=2010", Discrete!AF$3:AF$20)), NA(), AVERAGEIF(Discrete!$L$3:$L$20, "=2010", Discrete!AF$3:AF$20))</f>
        <v>#N/A</v>
      </c>
      <c r="Q7" s="428" t="e">
        <f>IF(ISERROR(AVERAGEIF(Discrete!$L$3:$L$20, "=2010", Discrete!AG$3:AG$20)), NA(), AVERAGEIF(Discrete!$L$3:$L$20, "=2010", Discrete!AG$3:AG$20))</f>
        <v>#N/A</v>
      </c>
      <c r="R7" s="428" t="e">
        <f>IF(ISERROR(AVERAGEIF(Discrete!$L$3:$L$20, "=2010", Discrete!AH$3:AH$20)), NA(), AVERAGEIF(Discrete!$L$3:$L$20, "=2010", Discrete!AH$3:AH$20))</f>
        <v>#N/A</v>
      </c>
      <c r="S7" s="428" t="e">
        <f>IF(ISERROR(AVERAGEIF(Discrete!$L$3:$L$20, "=2010", Discrete!AI$3:AI$20)), NA(), AVERAGEIF(Discrete!$L$3:$L$20, "=2010", Discrete!AI$3:AI$20))</f>
        <v>#N/A</v>
      </c>
      <c r="T7" s="428" t="e">
        <f>IF(ISERROR(AVERAGEIF(Discrete!$L$3:$L$20, "=2010", Discrete!AJ$3:AJ$20)), NA(), AVERAGEIF(Discrete!$L$3:$L$20, "=2010", Discrete!AJ$3:AJ$20))</f>
        <v>#N/A</v>
      </c>
      <c r="U7" s="428" t="e">
        <f>IF(ISERROR(AVERAGEIF(Discrete!$L$3:$L$20, "=2010", Discrete!AK$3:AK$20)), NA(), AVERAGEIF(Discrete!$L$3:$L$20, "=2010", Discrete!AK$3:AK$20))</f>
        <v>#N/A</v>
      </c>
      <c r="V7" s="428" t="e">
        <f>IF(ISERROR(AVERAGEIF(Discrete!$L$3:$L$20, "=2010", Discrete!AL$3:AL$20)), NA(), AVERAGEIF(Discrete!$L$3:$L$20, "=2010", Discrete!AL$3:AL$20))</f>
        <v>#N/A</v>
      </c>
      <c r="W7" s="428" t="e">
        <f>IF(ISERROR(AVERAGEIF(Discrete!$L$3:$L$20, "=2010", Discrete!AM$3:AM$20)), NA(), AVERAGEIF(Discrete!$L$3:$L$20, "=2010", Discrete!AM$3:AM$20))</f>
        <v>#N/A</v>
      </c>
      <c r="X7" s="428" t="e">
        <f>IF(ISERROR(AVERAGEIF(Discrete!$L$3:$L$20, "=2010", Discrete!AN$3:AN$20)), NA(), AVERAGEIF(Discrete!$L$3:$L$20, "=2010", Discrete!AN$3:AN$20)*1000)</f>
        <v>#N/A</v>
      </c>
      <c r="Y7" s="428" t="e">
        <f>IF(ISERROR(AVERAGEIF(Discrete!$L$3:$L$20, "=2010", Discrete!AO$3:AO$20)), NA(), AVERAGEIF(Discrete!$L$3:$L$20, "=2010", Discrete!AO$3:AO$20))</f>
        <v>#N/A</v>
      </c>
      <c r="Z7" s="428" t="e">
        <f>IF(ISERROR(AVERAGEIF(Discrete!$L$3:$L$20, "=2010", Discrete!AP$3:AP$20)), NA(), AVERAGEIF(Discrete!$L$3:$L$20, "=2010", Discrete!AP$3:AP$20))</f>
        <v>#N/A</v>
      </c>
      <c r="AA7" s="428" t="e">
        <f>IF(ISERROR(AVERAGEIF(Discrete!$L$3:$L$20, "=2010", Discrete!AQ$3:AQ$20)), NA(), AVERAGEIF(Discrete!$L$3:$L$20, "=2010", Discrete!AQ$3:AQ$20))</f>
        <v>#N/A</v>
      </c>
      <c r="AB7" s="428" t="e">
        <f>IF(ISERROR(AVERAGEIF(Discrete!$L$3:$L$20, "=2010", Discrete!AR$3:AR$20)), NA(), AVERAGEIF(Discrete!$L$3:$L$20, "=2010", Discrete!AR$3:AR$20))</f>
        <v>#N/A</v>
      </c>
      <c r="AC7" s="428" t="e">
        <f>IF(ISERROR(AVERAGEIF(Discrete!$L$3:$L$20, "=2010", Discrete!AS$3:AS$20)), NA(), AVERAGEIF(Discrete!$L$3:$L$20, "=2010", Discrete!AS$3:AS$20))</f>
        <v>#N/A</v>
      </c>
      <c r="AD7" s="428" t="e">
        <f>IF(ISERROR(AVERAGEIF(Discrete!$L$3:$L$20, "=2010", Discrete!AT$3:AT$20)), NA(), AVERAGEIF(Discrete!$L$3:$L$20, "=2010", Discrete!AT$3:AT$20))</f>
        <v>#N/A</v>
      </c>
      <c r="AE7" s="428" t="e">
        <f>IF(ISERROR(AVERAGEIF(Discrete!$L$3:$L$20, "=2010", Discrete!AU$3:AU$20)), NA(), AVERAGEIF(Discrete!$L$3:$L$20, "=2010", Discrete!AU$3:AU$20))</f>
        <v>#N/A</v>
      </c>
      <c r="AF7" s="428" t="e">
        <f>IF(ISERROR(AVERAGEIF(Discrete!$L$3:$L$20, "=2010", Discrete!AV$3:AV$20)), NA(), AVERAGEIF(Discrete!$L$3:$L$20, "=2010", Discrete!AV$3:AV$20))</f>
        <v>#N/A</v>
      </c>
      <c r="AG7" s="428" t="e">
        <f>IF(ISERROR(AVERAGEIF(Discrete!$L$3:$L$20, "=2010", Discrete!AW$3:AW$20)), NA(), AVERAGEIF(Discrete!$L$3:$L$20, "=2010", Discrete!AW$3:AW$20))</f>
        <v>#N/A</v>
      </c>
      <c r="AH7" s="428" t="e">
        <f>IF(ISERROR(AVERAGEIF(Discrete!$L$3:$L$20, "=2010", Discrete!AX$3:AX$20)), NA(), AVERAGEIF(Discrete!$L$3:$L$20, "=2010", Discrete!AX$3:AX$20))</f>
        <v>#N/A</v>
      </c>
      <c r="AI7" s="428" t="e">
        <f>IF(ISERROR(AVERAGEIF(Discrete!$L$3:$L$20, "=2010", Discrete!AY$3:AY$20)), NA(), AVERAGEIF(Discrete!$L$3:$L$20, "=2010", Discrete!AY$3:AY$20))</f>
        <v>#N/A</v>
      </c>
      <c r="AJ7" s="428" t="e">
        <f>IF(ISERROR(AVERAGEIF(Discrete!$L$3:$L$20, "=2010", Discrete!AZ$3:AZ$20)), NA(), AVERAGEIF(Discrete!$L$3:$L$20, "=2010", Discrete!AZ$3:AZ$20))</f>
        <v>#N/A</v>
      </c>
      <c r="AK7" s="428" t="e">
        <f>IF(ISERROR(AVERAGEIF(Discrete!$L$3:$L$20, "=2010", Discrete!BA$3:BA$20)), NA(), AVERAGEIF(Discrete!$L$3:$L$20, "=2010", Discrete!BA$3:BA$20))</f>
        <v>#N/A</v>
      </c>
      <c r="AL7" s="428" t="e">
        <f>IF(ISERROR(AVERAGEIF(Discrete!$L$3:$L$20, "=2010", Discrete!BB$3:BB$20)), NA(), AVERAGEIF(Discrete!$L$3:$L$20, "=2010", Discrete!BB$3:BB$20))</f>
        <v>#N/A</v>
      </c>
      <c r="AM7" s="428" t="e">
        <f>IF(ISERROR(AVERAGEIF(Discrete!$L$3:$L$20, "=2010", Discrete!BC$3:BC$20)), NA(), AVERAGEIF(Discrete!$L$3:$L$20, "=2010", Discrete!BC$3:BC$20))</f>
        <v>#N/A</v>
      </c>
      <c r="AN7" s="428" t="e">
        <f>IF(ISERROR(AVERAGEIF(Discrete!$L$3:$L$20, "=2010", Discrete!BD$3:BD$20)), NA(), AVERAGEIF(Discrete!$L$3:$L$20, "=2010", Discrete!BD$3:BD$20))</f>
        <v>#N/A</v>
      </c>
      <c r="AO7" s="428" t="e">
        <f>IF(ISERROR(AVERAGEIF(Discrete!$L$3:$L$20, "=2010", Discrete!BE$3:BE$20)), NA(), AVERAGEIF(Discrete!$L$3:$L$20, "=2010", Discrete!BE$3:BE$20))</f>
        <v>#N/A</v>
      </c>
      <c r="AP7" s="428" t="e">
        <f>IF(ISERROR(AVERAGEIF(Discrete!$L$3:$L$20, "=2010", Discrete!BF$3:BF$20)), NA(), AVERAGEIF(Discrete!$L$3:$L$20, "=2010", Discrete!BF$3:BF$20))</f>
        <v>#N/A</v>
      </c>
      <c r="AQ7" s="428" t="e">
        <f>IF(ISERROR(AVERAGEIF(Discrete!$L$3:$L$20, "=2010", Discrete!BG$3:BG$20)), NA(), AVERAGEIF(Discrete!$L$3:$L$20, "=2010", Discrete!BG$3:BG$20))</f>
        <v>#N/A</v>
      </c>
      <c r="AR7" s="428" t="e">
        <f>IF(ISERROR(AVERAGEIF(Discrete!$L$3:$L$20, "=2010", Discrete!BH$3:BH$20)), NA(), AVERAGEIF(Discrete!$L$3:$L$20, "=2010", Discrete!BH$3:BH$20))</f>
        <v>#N/A</v>
      </c>
      <c r="AS7" s="428" t="e">
        <f>IF(ISERROR(AVERAGEIF(Discrete!$L$3:$L$20, "=2010", Discrete!BI$3:BI$20)), NA(), AVERAGEIF(Discrete!$L$3:$L$20, "=2010", Discrete!BI$3:BI$20))</f>
        <v>#N/A</v>
      </c>
      <c r="AT7" s="428" t="e">
        <f>IF(ISERROR(AVERAGEIF(Discrete!$L$3:$L$20, "=2010", Discrete!BJ$3:BJ$20)), NA(), AVERAGEIF(Discrete!$L$3:$L$20, "=2010", Discrete!BJ$3:BJ$20))</f>
        <v>#N/A</v>
      </c>
      <c r="AU7" s="428" t="e">
        <f>IF(ISERROR(AVERAGEIF(Discrete!$L$3:$L$20, "=2010", Discrete!BK$3:BK$20)), NA(), AVERAGEIF(Discrete!$L$3:$L$20, "=2010", Discrete!BK$3:BK$20))</f>
        <v>#N/A</v>
      </c>
      <c r="AV7" s="428" t="e">
        <f>IF(ISERROR(AVERAGEIF(Discrete!$L$3:$L$20, "=2010", Discrete!BL$3:BL$20)), NA(), AVERAGEIF(Discrete!$L$3:$L$20, "=2010", Discrete!BL$3:BL$20))</f>
        <v>#N/A</v>
      </c>
      <c r="AW7" s="428" t="e">
        <f>IF(ISERROR(AVERAGEIF(Discrete!$L$3:$L$20, "=2010", Discrete!BM$3:BM$20)), NA(), AVERAGEIF(Discrete!$L$3:$L$20, "=2010", Discrete!BM$3:BM$20))</f>
        <v>#N/A</v>
      </c>
      <c r="AX7" s="428" t="e">
        <f>IF(ISERROR(AVERAGEIF(Discrete!$L$3:$L$20, "=2010", Discrete!BN$3:BN$20)), NA(), AVERAGEIF(Discrete!$L$3:$L$20, "=2010", Discrete!BN$3:BN$20))</f>
        <v>#N/A</v>
      </c>
      <c r="AY7" s="428" t="e">
        <f>IF(ISERROR(AVERAGEIF(Discrete!$L$3:$L$20, "=2010", Discrete!BO$3:BO$20)), NA(), AVERAGEIF(Discrete!$L$3:$L$20, "=2010", Discrete!BO$3:BO$20))</f>
        <v>#N/A</v>
      </c>
      <c r="AZ7" s="428" t="e">
        <f>IF(ISERROR(AVERAGEIF(Discrete!$L$3:$L$20, "=2010", Discrete!BP$3:BP$20)), NA(), AVERAGEIF(Discrete!$L$3:$L$20, "=2010", Discrete!BP$3:BP$20))</f>
        <v>#N/A</v>
      </c>
      <c r="BA7" s="428" t="e">
        <f>IF(ISERROR(AVERAGEIF(Discrete!$L$3:$L$20, "=2010", Discrete!BQ$3:BQ$20)), NA(), AVERAGEIF(Discrete!$L$3:$L$20, "=2010", Discrete!BQ$3:BQ$20))</f>
        <v>#N/A</v>
      </c>
      <c r="BB7" s="428" t="e">
        <f>IF(ISERROR(AVERAGEIF(Discrete!$L$3:$L$20, "=2010", Discrete!BR$3:BR$20)), NA(), AVERAGEIF(Discrete!$L$3:$L$20, "=2010", Discrete!BR$3:BR$20))</f>
        <v>#N/A</v>
      </c>
    </row>
    <row r="8" spans="1:217">
      <c r="A8" s="775"/>
      <c r="B8" s="432">
        <v>2011</v>
      </c>
      <c r="C8" s="416" t="e">
        <f>IF(ISERROR(AVERAGEIF(Discrete!$L$3:$L$20, "=2011", Discrete!S$3:S$20)), NA(), AVERAGEIF(Discrete!$L$3:$L$20, "=2011", Discrete!S$3:S$20))</f>
        <v>#N/A</v>
      </c>
      <c r="D8" s="428" t="e">
        <f>IF(ISERROR(AVERAGEIF(Discrete!$L$3:$L$20, "=2011", Discrete!T$3:T$20)), NA(), AVERAGEIF(Discrete!$L$3:$L$20, "=2011", Discrete!T$3:T$20))</f>
        <v>#N/A</v>
      </c>
      <c r="E8" s="428" t="e">
        <f>IF(ISERROR(AVERAGEIF(Discrete!$L$3:$L$20, "=2011", Discrete!U$3:U$20)), NA(), AVERAGEIF(Discrete!$L$3:$L$20, "=2011", Discrete!U$3:U$20))</f>
        <v>#N/A</v>
      </c>
      <c r="F8" s="428" t="e">
        <f>IF(ISERROR(AVERAGEIF(Discrete!$L$3:$L$20, "=2011", Discrete!V$3:V$20)), NA(), AVERAGEIF(Discrete!$L$3:$L$20, "=2011", Discrete!V$3:V$20))</f>
        <v>#N/A</v>
      </c>
      <c r="G8" s="428" t="e">
        <f>IF(ISERROR(AVERAGEIF(Discrete!$L$3:$L$20, "=2011", Discrete!W$3:W$20)), NA(), AVERAGEIF(Discrete!$L$3:$L$20, "=2011", Discrete!W$3:W$20))</f>
        <v>#N/A</v>
      </c>
      <c r="H8" s="428" t="e">
        <f>IF(ISERROR(AVERAGEIF(Discrete!$L$3:$L$20, "=2011", Discrete!X$3:X$20)), NA(), AVERAGEIF(Discrete!$L$3:$L$20, "=2011", Discrete!X$3:X$20))</f>
        <v>#N/A</v>
      </c>
      <c r="I8" s="428" t="e">
        <f>IF(ISERROR(AVERAGEIF(Discrete!$L$3:$L$20, "=2011", Discrete!Y$3:Y$20)), NA(), AVERAGEIF(Discrete!$L$3:$L$20, "=2011", Discrete!Y$3:Y$20))</f>
        <v>#N/A</v>
      </c>
      <c r="J8" s="428" t="e">
        <f>IF(ISERROR(AVERAGEIF(Discrete!$L$3:$L$20, "=2011", Discrete!Z$3:Z$20)), NA(), AVERAGEIF(Discrete!$L$3:$L$20, "=2011", Discrete!Z$3:Z$20))</f>
        <v>#N/A</v>
      </c>
      <c r="K8" s="428" t="e">
        <f>IF(ISERROR(AVERAGEIF(Discrete!$L$3:$L$20, "=2011", Discrete!AA$3:AA$20)), NA(), AVERAGEIF(Discrete!$L$3:$L$20, "=2011", Discrete!AA$3:AA$20))</f>
        <v>#N/A</v>
      </c>
      <c r="L8" s="428" t="e">
        <f>IF(ISERROR(AVERAGEIF(Discrete!$L$3:$L$20, "=2011", Discrete!AB$3:AB$20)), NA(), AVERAGEIF(Discrete!$L$3:$L$20, "=2011", Discrete!AB$3:AB$20))</f>
        <v>#N/A</v>
      </c>
      <c r="M8" s="428" t="e">
        <f>IF(ISERROR(AVERAGEIF(Discrete!$L$3:$L$20, "=2011", Discrete!AC$3:AC$20)), NA(), AVERAGEIF(Discrete!$L$3:$L$20, "=2011", Discrete!AC$3:AC$20))</f>
        <v>#N/A</v>
      </c>
      <c r="N8" s="428" t="e">
        <f>IF(ISERROR(AVERAGEIF(Discrete!$L$3:$L$20, "=2011", Discrete!AD$3:AD$20)), NA(), AVERAGEIF(Discrete!$L$3:$L$20, "=2011", Discrete!AD$3:AD$20))</f>
        <v>#N/A</v>
      </c>
      <c r="O8" s="428" t="e">
        <f>IF(ISERROR(AVERAGEIF(Discrete!$L$3:$L$20, "=2011", Discrete!AE$3:AE$20)), NA(), AVERAGEIF(Discrete!$L$3:$L$20, "=2011", Discrete!AE$3:AE$20))</f>
        <v>#N/A</v>
      </c>
      <c r="P8" s="428" t="e">
        <f>IF(ISERROR(AVERAGEIF(Discrete!$L$3:$L$20, "=2011", Discrete!AF$3:AF$20)), NA(), AVERAGEIF(Discrete!$L$3:$L$20, "=2011", Discrete!AF$3:AF$20))</f>
        <v>#N/A</v>
      </c>
      <c r="Q8" s="428" t="e">
        <f>IF(ISERROR(AVERAGEIF(Discrete!$L$3:$L$20, "=2011", Discrete!AG$3:AG$20)), NA(), AVERAGEIF(Discrete!$L$3:$L$20, "=2011", Discrete!AG$3:AG$20))</f>
        <v>#N/A</v>
      </c>
      <c r="R8" s="428" t="e">
        <f>IF(ISERROR(AVERAGEIF(Discrete!$L$3:$L$20, "=2011", Discrete!AH$3:AH$20)), NA(), AVERAGEIF(Discrete!$L$3:$L$20, "=2011", Discrete!AH$3:AH$20))</f>
        <v>#N/A</v>
      </c>
      <c r="S8" s="428" t="e">
        <f>IF(ISERROR(AVERAGEIF(Discrete!$L$3:$L$20, "=2011", Discrete!AI$3:AI$20)), NA(), AVERAGEIF(Discrete!$L$3:$L$20, "=2011", Discrete!AI$3:AI$20))</f>
        <v>#N/A</v>
      </c>
      <c r="T8" s="428" t="e">
        <f>IF(ISERROR(AVERAGEIF(Discrete!$L$3:$L$20, "=2011", Discrete!AJ$3:AJ$20)), NA(), AVERAGEIF(Discrete!$L$3:$L$20, "=2011", Discrete!AJ$3:AJ$20))</f>
        <v>#N/A</v>
      </c>
      <c r="U8" s="428" t="e">
        <f>IF(ISERROR(AVERAGEIF(Discrete!$L$3:$L$20, "=2011", Discrete!AK$3:AK$20)), NA(), AVERAGEIF(Discrete!$L$3:$L$20, "=2011", Discrete!AK$3:AK$20))</f>
        <v>#N/A</v>
      </c>
      <c r="V8" s="428" t="e">
        <f>IF(ISERROR(AVERAGEIF(Discrete!$L$3:$L$20, "=2011", Discrete!AL$3:AL$20)), NA(), AVERAGEIF(Discrete!$L$3:$L$20, "=2011", Discrete!AL$3:AL$20))</f>
        <v>#N/A</v>
      </c>
      <c r="W8" s="428" t="e">
        <f>IF(ISERROR(AVERAGEIF(Discrete!$L$3:$L$20, "=2011", Discrete!AM$3:AM$20)), NA(), AVERAGEIF(Discrete!$L$3:$L$20, "=2011", Discrete!AM$3:AM$20))</f>
        <v>#N/A</v>
      </c>
      <c r="X8" s="428" t="e">
        <f>IF(ISERROR(AVERAGEIF(Discrete!$L$3:$L$20, "=2011", Discrete!AN$3:AN$20)), NA(), AVERAGEIF(Discrete!$L$3:$L$20, "=2011", Discrete!AN$3:AN$20)*1000)</f>
        <v>#N/A</v>
      </c>
      <c r="Y8" s="428" t="e">
        <f>IF(ISERROR(AVERAGEIF(Discrete!$L$3:$L$20, "=2011", Discrete!AO$3:AO$20)), NA(), AVERAGEIF(Discrete!$L$3:$L$20, "=2011", Discrete!AO$3:AO$20))</f>
        <v>#N/A</v>
      </c>
      <c r="Z8" s="428" t="e">
        <f>IF(ISERROR(AVERAGEIF(Discrete!$L$3:$L$20, "=2011", Discrete!AP$3:AP$20)), NA(), AVERAGEIF(Discrete!$L$3:$L$20, "=2011", Discrete!AP$3:AP$20))</f>
        <v>#N/A</v>
      </c>
      <c r="AA8" s="428" t="e">
        <f>IF(ISERROR(AVERAGEIF(Discrete!$L$3:$L$20, "=2011", Discrete!AQ$3:AQ$20)), NA(), AVERAGEIF(Discrete!$L$3:$L$20, "=2011", Discrete!AQ$3:AQ$20))</f>
        <v>#N/A</v>
      </c>
      <c r="AB8" s="428" t="e">
        <f>IF(ISERROR(AVERAGEIF(Discrete!$L$3:$L$20, "=2011", Discrete!AR$3:AR$20)), NA(), AVERAGEIF(Discrete!$L$3:$L$20, "=2011", Discrete!AR$3:AR$20))</f>
        <v>#N/A</v>
      </c>
      <c r="AC8" s="428" t="e">
        <f>IF(ISERROR(AVERAGEIF(Discrete!$L$3:$L$20, "=2011", Discrete!AS$3:AS$20)), NA(), AVERAGEIF(Discrete!$L$3:$L$20, "=2011", Discrete!AS$3:AS$20))</f>
        <v>#N/A</v>
      </c>
      <c r="AD8" s="428" t="e">
        <f>IF(ISERROR(AVERAGEIF(Discrete!$L$3:$L$20, "=2011", Discrete!AT$3:AT$20)), NA(), AVERAGEIF(Discrete!$L$3:$L$20, "=2011", Discrete!AT$3:AT$20))</f>
        <v>#N/A</v>
      </c>
      <c r="AE8" s="428" t="e">
        <f>IF(ISERROR(AVERAGEIF(Discrete!$L$3:$L$20, "=2011", Discrete!AU$3:AU$20)), NA(), AVERAGEIF(Discrete!$L$3:$L$20, "=2011", Discrete!AU$3:AU$20))</f>
        <v>#N/A</v>
      </c>
      <c r="AF8" s="428" t="e">
        <f>IF(ISERROR(AVERAGEIF(Discrete!$L$3:$L$20, "=2011", Discrete!AV$3:AV$20)), NA(), AVERAGEIF(Discrete!$L$3:$L$20, "=2011", Discrete!AV$3:AV$20))</f>
        <v>#N/A</v>
      </c>
      <c r="AG8" s="428" t="e">
        <f>IF(ISERROR(AVERAGEIF(Discrete!$L$3:$L$20, "=2011", Discrete!AW$3:AW$20)), NA(), AVERAGEIF(Discrete!$L$3:$L$20, "=2011", Discrete!AW$3:AW$20))</f>
        <v>#N/A</v>
      </c>
      <c r="AH8" s="428" t="e">
        <f>IF(ISERROR(AVERAGEIF(Discrete!$L$3:$L$20, "=2011", Discrete!AX$3:AX$20)), NA(), AVERAGEIF(Discrete!$L$3:$L$20, "=2011", Discrete!AX$3:AX$20))</f>
        <v>#N/A</v>
      </c>
      <c r="AI8" s="428" t="e">
        <f>IF(ISERROR(AVERAGEIF(Discrete!$L$3:$L$20, "=2011", Discrete!AY$3:AY$20)), NA(), AVERAGEIF(Discrete!$L$3:$L$20, "=2011", Discrete!AY$3:AY$20))</f>
        <v>#N/A</v>
      </c>
      <c r="AJ8" s="428" t="e">
        <f>IF(ISERROR(AVERAGEIF(Discrete!$L$3:$L$20, "=2011", Discrete!AZ$3:AZ$20)), NA(), AVERAGEIF(Discrete!$L$3:$L$20, "=2011", Discrete!AZ$3:AZ$20))</f>
        <v>#N/A</v>
      </c>
      <c r="AK8" s="428" t="e">
        <f>IF(ISERROR(AVERAGEIF(Discrete!$L$3:$L$20, "=2011", Discrete!BA$3:BA$20)), NA(), AVERAGEIF(Discrete!$L$3:$L$20, "=2011", Discrete!BA$3:BA$20))</f>
        <v>#N/A</v>
      </c>
      <c r="AL8" s="428" t="e">
        <f>IF(ISERROR(AVERAGEIF(Discrete!$L$3:$L$20, "=2011", Discrete!BB$3:BB$20)), NA(), AVERAGEIF(Discrete!$L$3:$L$20, "=2011", Discrete!BB$3:BB$20))</f>
        <v>#N/A</v>
      </c>
      <c r="AM8" s="428" t="e">
        <f>IF(ISERROR(AVERAGEIF(Discrete!$L$3:$L$20, "=2011", Discrete!BC$3:BC$20)), NA(), AVERAGEIF(Discrete!$L$3:$L$20, "=2011", Discrete!BC$3:BC$20))</f>
        <v>#N/A</v>
      </c>
      <c r="AN8" s="428" t="e">
        <f>IF(ISERROR(AVERAGEIF(Discrete!$L$3:$L$20, "=2011", Discrete!BD$3:BD$20)), NA(), AVERAGEIF(Discrete!$L$3:$L$20, "=2011", Discrete!BD$3:BD$20))</f>
        <v>#N/A</v>
      </c>
      <c r="AO8" s="428" t="e">
        <f>IF(ISERROR(AVERAGEIF(Discrete!$L$3:$L$20, "=2011", Discrete!BE$3:BE$20)), NA(), AVERAGEIF(Discrete!$L$3:$L$20, "=2011", Discrete!BE$3:BE$20))</f>
        <v>#N/A</v>
      </c>
      <c r="AP8" s="428" t="e">
        <f>IF(ISERROR(AVERAGEIF(Discrete!$L$3:$L$20, "=2011", Discrete!BF$3:BF$20)), NA(), AVERAGEIF(Discrete!$L$3:$L$20, "=2011", Discrete!BF$3:BF$20))</f>
        <v>#N/A</v>
      </c>
      <c r="AQ8" s="428" t="e">
        <f>IF(ISERROR(AVERAGEIF(Discrete!$L$3:$L$20, "=2011", Discrete!BG$3:BG$20)), NA(), AVERAGEIF(Discrete!$L$3:$L$20, "=2011", Discrete!BG$3:BG$20))</f>
        <v>#N/A</v>
      </c>
      <c r="AR8" s="428" t="e">
        <f>IF(ISERROR(AVERAGEIF(Discrete!$L$3:$L$20, "=2011", Discrete!BH$3:BH$20)), NA(), AVERAGEIF(Discrete!$L$3:$L$20, "=2011", Discrete!BH$3:BH$20))</f>
        <v>#N/A</v>
      </c>
      <c r="AS8" s="428" t="e">
        <f>IF(ISERROR(AVERAGEIF(Discrete!$L$3:$L$20, "=2011", Discrete!BI$3:BI$20)), NA(), AVERAGEIF(Discrete!$L$3:$L$20, "=2011", Discrete!BI$3:BI$20))</f>
        <v>#N/A</v>
      </c>
      <c r="AT8" s="428" t="e">
        <f>IF(ISERROR(AVERAGEIF(Discrete!$L$3:$L$20, "=2011", Discrete!BJ$3:BJ$20)), NA(), AVERAGEIF(Discrete!$L$3:$L$20, "=2011", Discrete!BJ$3:BJ$20))</f>
        <v>#N/A</v>
      </c>
      <c r="AU8" s="428" t="e">
        <f>IF(ISERROR(AVERAGEIF(Discrete!$L$3:$L$20, "=2011", Discrete!BK$3:BK$20)), NA(), AVERAGEIF(Discrete!$L$3:$L$20, "=2011", Discrete!BK$3:BK$20))</f>
        <v>#N/A</v>
      </c>
      <c r="AV8" s="428" t="e">
        <f>IF(ISERROR(AVERAGEIF(Discrete!$L$3:$L$20, "=2011", Discrete!BL$3:BL$20)), NA(), AVERAGEIF(Discrete!$L$3:$L$20, "=2011", Discrete!BL$3:BL$20))</f>
        <v>#N/A</v>
      </c>
      <c r="AW8" s="428" t="e">
        <f>IF(ISERROR(AVERAGEIF(Discrete!$L$3:$L$20, "=2011", Discrete!BM$3:BM$20)), NA(), AVERAGEIF(Discrete!$L$3:$L$20, "=2011", Discrete!BM$3:BM$20))</f>
        <v>#N/A</v>
      </c>
      <c r="AX8" s="428" t="e">
        <f>IF(ISERROR(AVERAGEIF(Discrete!$L$3:$L$20, "=2011", Discrete!BN$3:BN$20)), NA(), AVERAGEIF(Discrete!$L$3:$L$20, "=2011", Discrete!BN$3:BN$20))</f>
        <v>#N/A</v>
      </c>
      <c r="AY8" s="428" t="e">
        <f>IF(ISERROR(AVERAGEIF(Discrete!$L$3:$L$20, "=2011", Discrete!BO$3:BO$20)), NA(), AVERAGEIF(Discrete!$L$3:$L$20, "=2011", Discrete!BO$3:BO$20))</f>
        <v>#N/A</v>
      </c>
      <c r="AZ8" s="428" t="e">
        <f>IF(ISERROR(AVERAGEIF(Discrete!$L$3:$L$20, "=2011", Discrete!BP$3:BP$20)), NA(), AVERAGEIF(Discrete!$L$3:$L$20, "=2011", Discrete!BP$3:BP$20))</f>
        <v>#N/A</v>
      </c>
      <c r="BA8" s="428" t="e">
        <f>IF(ISERROR(AVERAGEIF(Discrete!$L$3:$L$20, "=2011", Discrete!BQ$3:BQ$20)), NA(), AVERAGEIF(Discrete!$L$3:$L$20, "=2011", Discrete!BQ$3:BQ$20))</f>
        <v>#N/A</v>
      </c>
      <c r="BB8" s="428" t="e">
        <f>IF(ISERROR(AVERAGEIF(Discrete!$L$3:$L$20, "=2011", Discrete!BR$3:BR$20)), NA(), AVERAGEIF(Discrete!$L$3:$L$20, "=2011", Discrete!BR$3:BR$20))</f>
        <v>#N/A</v>
      </c>
    </row>
    <row r="9" spans="1:217">
      <c r="A9" s="775"/>
      <c r="B9" s="432">
        <v>2012</v>
      </c>
      <c r="C9" s="416" t="e">
        <f>IF(ISERROR(AVERAGEIF(Discrete!$L$3:$L$20, "=2012", Discrete!S$3:S$20)), NA(), AVERAGEIF(Discrete!$L$3:$L$20, "=2012", Discrete!S$3:S$20))</f>
        <v>#N/A</v>
      </c>
      <c r="D9" s="428" t="e">
        <f>IF(ISERROR(AVERAGEIF(Discrete!$L$3:$L$20, "=2012", Discrete!T$3:T$20)), NA(), AVERAGEIF(Discrete!$L$3:$L$20, "=2012", Discrete!T$3:T$20))</f>
        <v>#N/A</v>
      </c>
      <c r="E9" s="428" t="e">
        <f>IF(ISERROR(AVERAGEIF(Discrete!$L$3:$L$20, "=2012", Discrete!U$3:U$20)), NA(), AVERAGEIF(Discrete!$L$3:$L$20, "=2012", Discrete!U$3:U$20))</f>
        <v>#N/A</v>
      </c>
      <c r="F9" s="428" t="e">
        <f>IF(ISERROR(AVERAGEIF(Discrete!$L$3:$L$20, "=2012", Discrete!V$3:V$20)), NA(), AVERAGEIF(Discrete!$L$3:$L$20, "=2012", Discrete!V$3:V$20))</f>
        <v>#N/A</v>
      </c>
      <c r="G9" s="428" t="e">
        <f>IF(ISERROR(AVERAGEIF(Discrete!$L$3:$L$20, "=2012", Discrete!W$3:W$20)), NA(), AVERAGEIF(Discrete!$L$3:$L$20, "=2012", Discrete!W$3:W$20))</f>
        <v>#N/A</v>
      </c>
      <c r="H9" s="428" t="e">
        <f>IF(ISERROR(AVERAGEIF(Discrete!$L$3:$L$20, "=2012", Discrete!X$3:X$20)), NA(), AVERAGEIF(Discrete!$L$3:$L$20, "=2012", Discrete!X$3:X$20))</f>
        <v>#N/A</v>
      </c>
      <c r="I9" s="428" t="e">
        <f>IF(ISERROR(AVERAGEIF(Discrete!$L$3:$L$20, "=2012", Discrete!Y$3:Y$20)), NA(), AVERAGEIF(Discrete!$L$3:$L$20, "=2012", Discrete!Y$3:Y$20))</f>
        <v>#N/A</v>
      </c>
      <c r="J9" s="428" t="e">
        <f>IF(ISERROR(AVERAGEIF(Discrete!$L$3:$L$20, "=2012", Discrete!Z$3:Z$20)), NA(), AVERAGEIF(Discrete!$L$3:$L$20, "=2012", Discrete!Z$3:Z$20))</f>
        <v>#N/A</v>
      </c>
      <c r="K9" s="428" t="e">
        <f>IF(ISERROR(AVERAGEIF(Discrete!$L$3:$L$20, "=2012", Discrete!AA$3:AA$20)), NA(), AVERAGEIF(Discrete!$L$3:$L$20, "=2012", Discrete!AA$3:AA$20))</f>
        <v>#N/A</v>
      </c>
      <c r="L9" s="428" t="e">
        <f>IF(ISERROR(AVERAGEIF(Discrete!$L$3:$L$20, "=2012", Discrete!AB$3:AB$20)), NA(), AVERAGEIF(Discrete!$L$3:$L$20, "=2012", Discrete!AB$3:AB$20))</f>
        <v>#N/A</v>
      </c>
      <c r="M9" s="428" t="e">
        <f>IF(ISERROR(AVERAGEIF(Discrete!$L$3:$L$20, "=2012", Discrete!AC$3:AC$20)), NA(), AVERAGEIF(Discrete!$L$3:$L$20, "=2012", Discrete!AC$3:AC$20))</f>
        <v>#N/A</v>
      </c>
      <c r="N9" s="428" t="e">
        <f>IF(ISERROR(AVERAGEIF(Discrete!$L$3:$L$20, "=2012", Discrete!AD$3:AD$20)), NA(), AVERAGEIF(Discrete!$L$3:$L$20, "=2012", Discrete!AD$3:AD$20))</f>
        <v>#N/A</v>
      </c>
      <c r="O9" s="428" t="e">
        <f>IF(ISERROR(AVERAGEIF(Discrete!$L$3:$L$20, "=2012", Discrete!AE$3:AE$20)), NA(), AVERAGEIF(Discrete!$L$3:$L$20, "=2012", Discrete!AE$3:AE$20))</f>
        <v>#N/A</v>
      </c>
      <c r="P9" s="428" t="e">
        <f>IF(ISERROR(AVERAGEIF(Discrete!$L$3:$L$20, "=2012", Discrete!AF$3:AF$20)), NA(), AVERAGEIF(Discrete!$L$3:$L$20, "=2012", Discrete!AF$3:AF$20))</f>
        <v>#N/A</v>
      </c>
      <c r="Q9" s="428" t="e">
        <f>IF(ISERROR(AVERAGEIF(Discrete!$L$3:$L$20, "=2012", Discrete!AG$3:AG$20)), NA(), AVERAGEIF(Discrete!$L$3:$L$20, "=2012", Discrete!AG$3:AG$20))</f>
        <v>#N/A</v>
      </c>
      <c r="R9" s="428" t="e">
        <f>IF(ISERROR(AVERAGEIF(Discrete!$L$3:$L$20, "=2012", Discrete!AH$3:AH$20)), NA(), AVERAGEIF(Discrete!$L$3:$L$20, "=2012", Discrete!AH$3:AH$20))</f>
        <v>#N/A</v>
      </c>
      <c r="S9" s="428" t="e">
        <f>IF(ISERROR(AVERAGEIF(Discrete!$L$3:$L$20, "=2012", Discrete!AI$3:AI$20)), NA(), AVERAGEIF(Discrete!$L$3:$L$20, "=2012", Discrete!AI$3:AI$20))</f>
        <v>#N/A</v>
      </c>
      <c r="T9" s="428" t="e">
        <f>IF(ISERROR(AVERAGEIF(Discrete!$L$3:$L$20, "=2012", Discrete!AJ$3:AJ$20)), NA(), AVERAGEIF(Discrete!$L$3:$L$20, "=2012", Discrete!AJ$3:AJ$20))</f>
        <v>#N/A</v>
      </c>
      <c r="U9" s="428" t="e">
        <f>IF(ISERROR(AVERAGEIF(Discrete!$L$3:$L$20, "=2012", Discrete!AK$3:AK$20)), NA(), AVERAGEIF(Discrete!$L$3:$L$20, "=2012", Discrete!AK$3:AK$20))</f>
        <v>#N/A</v>
      </c>
      <c r="V9" s="428" t="e">
        <f>IF(ISERROR(AVERAGEIF(Discrete!$L$3:$L$20, "=2012", Discrete!AL$3:AL$20)), NA(), AVERAGEIF(Discrete!$L$3:$L$20, "=2012", Discrete!AL$3:AL$20))</f>
        <v>#N/A</v>
      </c>
      <c r="W9" s="428" t="e">
        <f>IF(ISERROR(AVERAGEIF(Discrete!$L$3:$L$20, "=2012", Discrete!AM$3:AM$20)), NA(), AVERAGEIF(Discrete!$L$3:$L$20, "=2012", Discrete!AM$3:AM$20))</f>
        <v>#N/A</v>
      </c>
      <c r="X9" s="428" t="e">
        <f>IF(ISERROR(AVERAGEIF(Discrete!$L$3:$L$20, "=2012", Discrete!AN$3:AN$20)), NA(), AVERAGEIF(Discrete!$L$3:$L$20, "=2012", Discrete!AN$3:AN$20)*1000)</f>
        <v>#N/A</v>
      </c>
      <c r="Y9" s="428" t="e">
        <f>IF(ISERROR(AVERAGEIF(Discrete!$L$3:$L$20, "=2012", Discrete!AO$3:AO$20)), NA(), AVERAGEIF(Discrete!$L$3:$L$20, "=2012", Discrete!AO$3:AO$20))</f>
        <v>#N/A</v>
      </c>
      <c r="Z9" s="428" t="e">
        <f>IF(ISERROR(AVERAGEIF(Discrete!$L$3:$L$20, "=2012", Discrete!AP$3:AP$20)), NA(), AVERAGEIF(Discrete!$L$3:$L$20, "=2012", Discrete!AP$3:AP$20))</f>
        <v>#N/A</v>
      </c>
      <c r="AA9" s="428" t="e">
        <f>IF(ISERROR(AVERAGEIF(Discrete!$L$3:$L$20, "=2012", Discrete!AQ$3:AQ$20)), NA(), AVERAGEIF(Discrete!$L$3:$L$20, "=2012", Discrete!AQ$3:AQ$20))</f>
        <v>#N/A</v>
      </c>
      <c r="AB9" s="428" t="e">
        <f>IF(ISERROR(AVERAGEIF(Discrete!$L$3:$L$20, "=2012", Discrete!AR$3:AR$20)), NA(), AVERAGEIF(Discrete!$L$3:$L$20, "=2012", Discrete!AR$3:AR$20))</f>
        <v>#N/A</v>
      </c>
      <c r="AC9" s="428" t="e">
        <f>IF(ISERROR(AVERAGEIF(Discrete!$L$3:$L$20, "=2012", Discrete!AS$3:AS$20)), NA(), AVERAGEIF(Discrete!$L$3:$L$20, "=2012", Discrete!AS$3:AS$20))</f>
        <v>#N/A</v>
      </c>
      <c r="AD9" s="428" t="e">
        <f>IF(ISERROR(AVERAGEIF(Discrete!$L$3:$L$20, "=2012", Discrete!AT$3:AT$20)), NA(), AVERAGEIF(Discrete!$L$3:$L$20, "=2012", Discrete!AT$3:AT$20))</f>
        <v>#N/A</v>
      </c>
      <c r="AE9" s="428" t="e">
        <f>IF(ISERROR(AVERAGEIF(Discrete!$L$3:$L$20, "=2012", Discrete!AU$3:AU$20)), NA(), AVERAGEIF(Discrete!$L$3:$L$20, "=2012", Discrete!AU$3:AU$20))</f>
        <v>#N/A</v>
      </c>
      <c r="AF9" s="428" t="e">
        <f>IF(ISERROR(AVERAGEIF(Discrete!$L$3:$L$20, "=2012", Discrete!AV$3:AV$20)), NA(), AVERAGEIF(Discrete!$L$3:$L$20, "=2012", Discrete!AV$3:AV$20))</f>
        <v>#N/A</v>
      </c>
      <c r="AG9" s="428" t="e">
        <f>IF(ISERROR(AVERAGEIF(Discrete!$L$3:$L$20, "=2012", Discrete!AW$3:AW$20)), NA(), AVERAGEIF(Discrete!$L$3:$L$20, "=2012", Discrete!AW$3:AW$20))</f>
        <v>#N/A</v>
      </c>
      <c r="AH9" s="428" t="e">
        <f>IF(ISERROR(AVERAGEIF(Discrete!$L$3:$L$20, "=2012", Discrete!AX$3:AX$20)), NA(), AVERAGEIF(Discrete!$L$3:$L$20, "=2012", Discrete!AX$3:AX$20))</f>
        <v>#N/A</v>
      </c>
      <c r="AI9" s="428" t="e">
        <f>IF(ISERROR(AVERAGEIF(Discrete!$L$3:$L$20, "=2012", Discrete!AY$3:AY$20)), NA(), AVERAGEIF(Discrete!$L$3:$L$20, "=2012", Discrete!AY$3:AY$20))</f>
        <v>#N/A</v>
      </c>
      <c r="AJ9" s="428" t="e">
        <f>IF(ISERROR(AVERAGEIF(Discrete!$L$3:$L$20, "=2012", Discrete!AZ$3:AZ$20)), NA(), AVERAGEIF(Discrete!$L$3:$L$20, "=2012", Discrete!AZ$3:AZ$20))</f>
        <v>#N/A</v>
      </c>
      <c r="AK9" s="428" t="e">
        <f>IF(ISERROR(AVERAGEIF(Discrete!$L$3:$L$20, "=2012", Discrete!BA$3:BA$20)), NA(), AVERAGEIF(Discrete!$L$3:$L$20, "=2012", Discrete!BA$3:BA$20))</f>
        <v>#N/A</v>
      </c>
      <c r="AL9" s="428" t="e">
        <f>IF(ISERROR(AVERAGEIF(Discrete!$L$3:$L$20, "=2012", Discrete!BB$3:BB$20)), NA(), AVERAGEIF(Discrete!$L$3:$L$20, "=2012", Discrete!BB$3:BB$20))</f>
        <v>#N/A</v>
      </c>
      <c r="AM9" s="428" t="e">
        <f>IF(ISERROR(AVERAGEIF(Discrete!$L$3:$L$20, "=2012", Discrete!BC$3:BC$20)), NA(), AVERAGEIF(Discrete!$L$3:$L$20, "=2012", Discrete!BC$3:BC$20))</f>
        <v>#N/A</v>
      </c>
      <c r="AN9" s="428" t="e">
        <f>IF(ISERROR(AVERAGEIF(Discrete!$L$3:$L$20, "=2012", Discrete!BD$3:BD$20)), NA(), AVERAGEIF(Discrete!$L$3:$L$20, "=2012", Discrete!BD$3:BD$20))</f>
        <v>#N/A</v>
      </c>
      <c r="AO9" s="428" t="e">
        <f>IF(ISERROR(AVERAGEIF(Discrete!$L$3:$L$20, "=2012", Discrete!BE$3:BE$20)), NA(), AVERAGEIF(Discrete!$L$3:$L$20, "=2012", Discrete!BE$3:BE$20))</f>
        <v>#N/A</v>
      </c>
      <c r="AP9" s="428" t="e">
        <f>IF(ISERROR(AVERAGEIF(Discrete!$L$3:$L$20, "=2012", Discrete!BF$3:BF$20)), NA(), AVERAGEIF(Discrete!$L$3:$L$20, "=2012", Discrete!BF$3:BF$20))</f>
        <v>#N/A</v>
      </c>
      <c r="AQ9" s="428" t="e">
        <f>IF(ISERROR(AVERAGEIF(Discrete!$L$3:$L$20, "=2012", Discrete!BG$3:BG$20)), NA(), AVERAGEIF(Discrete!$L$3:$L$20, "=2012", Discrete!BG$3:BG$20))</f>
        <v>#N/A</v>
      </c>
      <c r="AR9" s="428" t="e">
        <f>IF(ISERROR(AVERAGEIF(Discrete!$L$3:$L$20, "=2012", Discrete!BH$3:BH$20)), NA(), AVERAGEIF(Discrete!$L$3:$L$20, "=2012", Discrete!BH$3:BH$20))</f>
        <v>#N/A</v>
      </c>
      <c r="AS9" s="428" t="e">
        <f>IF(ISERROR(AVERAGEIF(Discrete!$L$3:$L$20, "=2012", Discrete!BI$3:BI$20)), NA(), AVERAGEIF(Discrete!$L$3:$L$20, "=2012", Discrete!BI$3:BI$20))</f>
        <v>#N/A</v>
      </c>
      <c r="AT9" s="428" t="e">
        <f>IF(ISERROR(AVERAGEIF(Discrete!$L$3:$L$20, "=2012", Discrete!BJ$3:BJ$20)), NA(), AVERAGEIF(Discrete!$L$3:$L$20, "=2012", Discrete!BJ$3:BJ$20))</f>
        <v>#N/A</v>
      </c>
      <c r="AU9" s="428" t="e">
        <f>IF(ISERROR(AVERAGEIF(Discrete!$L$3:$L$20, "=2012", Discrete!BK$3:BK$20)), NA(), AVERAGEIF(Discrete!$L$3:$L$20, "=2012", Discrete!BK$3:BK$20))</f>
        <v>#N/A</v>
      </c>
      <c r="AV9" s="428" t="e">
        <f>IF(ISERROR(AVERAGEIF(Discrete!$L$3:$L$20, "=2012", Discrete!BL$3:BL$20)), NA(), AVERAGEIF(Discrete!$L$3:$L$20, "=2012", Discrete!BL$3:BL$20))</f>
        <v>#N/A</v>
      </c>
      <c r="AW9" s="428" t="e">
        <f>IF(ISERROR(AVERAGEIF(Discrete!$L$3:$L$20, "=2012", Discrete!BM$3:BM$20)), NA(), AVERAGEIF(Discrete!$L$3:$L$20, "=2012", Discrete!BM$3:BM$20))</f>
        <v>#N/A</v>
      </c>
      <c r="AX9" s="428" t="e">
        <f>IF(ISERROR(AVERAGEIF(Discrete!$L$3:$L$20, "=2012", Discrete!BN$3:BN$20)), NA(), AVERAGEIF(Discrete!$L$3:$L$20, "=2012", Discrete!BN$3:BN$20))</f>
        <v>#N/A</v>
      </c>
      <c r="AY9" s="428" t="e">
        <f>IF(ISERROR(AVERAGEIF(Discrete!$L$3:$L$20, "=2012", Discrete!BO$3:BO$20)), NA(), AVERAGEIF(Discrete!$L$3:$L$20, "=2012", Discrete!BO$3:BO$20))</f>
        <v>#N/A</v>
      </c>
      <c r="AZ9" s="428" t="e">
        <f>IF(ISERROR(AVERAGEIF(Discrete!$L$3:$L$20, "=2012", Discrete!BP$3:BP$20)), NA(), AVERAGEIF(Discrete!$L$3:$L$20, "=2012", Discrete!BP$3:BP$20))</f>
        <v>#N/A</v>
      </c>
      <c r="BA9" s="428" t="e">
        <f>IF(ISERROR(AVERAGEIF(Discrete!$L$3:$L$20, "=2012", Discrete!BQ$3:BQ$20)), NA(), AVERAGEIF(Discrete!$L$3:$L$20, "=2012", Discrete!BQ$3:BQ$20))</f>
        <v>#N/A</v>
      </c>
      <c r="BB9" s="428" t="e">
        <f>IF(ISERROR(AVERAGEIF(Discrete!$L$3:$L$20, "=2012", Discrete!BR$3:BR$20)), NA(), AVERAGEIF(Discrete!$L$3:$L$20, "=2012", Discrete!BR$3:BR$20))</f>
        <v>#N/A</v>
      </c>
    </row>
    <row r="10" spans="1:217">
      <c r="A10" s="775"/>
      <c r="B10" s="432">
        <v>2013</v>
      </c>
      <c r="C10" s="416" t="e">
        <f>IF(ISERROR(AVERAGEIF(Discrete!$L$3:$L$20, "=2013", Discrete!S$3:S$20)), NA(), AVERAGEIF(Discrete!$L$3:$L$20, "=2013", Discrete!S$3:S$20))</f>
        <v>#N/A</v>
      </c>
      <c r="D10" s="428" t="e">
        <f>IF(ISERROR(AVERAGEIF(Discrete!$L$3:$L$20, "=2013", Discrete!T$3:T$20)), NA(), AVERAGEIF(Discrete!$L$3:$L$20, "=2013", Discrete!T$3:T$20))</f>
        <v>#N/A</v>
      </c>
      <c r="E10" s="428" t="e">
        <f>IF(ISERROR(AVERAGEIF(Discrete!$L$3:$L$20, "=2013", Discrete!U$3:U$20)), NA(), AVERAGEIF(Discrete!$L$3:$L$20, "=2013", Discrete!U$3:U$20))</f>
        <v>#N/A</v>
      </c>
      <c r="F10" s="428">
        <f>IF(ISERROR(AVERAGEIF(Discrete!$L$3:$L$20, "=2013", Discrete!V$3:V$20)), NA(), AVERAGEIF(Discrete!$L$3:$L$20, "=2013", Discrete!V$3:V$20))</f>
        <v>8</v>
      </c>
      <c r="G10" s="428">
        <f>IF(ISERROR(AVERAGEIF(Discrete!$L$3:$L$20, "=2013", Discrete!W$3:W$20)), NA(), AVERAGEIF(Discrete!$L$3:$L$20, "=2013", Discrete!W$3:W$20))</f>
        <v>19.3</v>
      </c>
      <c r="H10" s="428">
        <f>IF(ISERROR(AVERAGEIF(Discrete!$L$3:$L$20, "=2013", Discrete!X$3:X$20)), NA(), AVERAGEIF(Discrete!$L$3:$L$20, "=2013", Discrete!X$3:X$20))</f>
        <v>48</v>
      </c>
      <c r="I10" s="428">
        <f>IF(ISERROR(AVERAGEIF(Discrete!$L$3:$L$20, "=2013", Discrete!Y$3:Y$20)), NA(), AVERAGEIF(Discrete!$L$3:$L$20, "=2013", Discrete!Y$3:Y$20))</f>
        <v>9.65</v>
      </c>
      <c r="J10" s="428">
        <f>IF(ISERROR(AVERAGEIF(Discrete!$L$3:$L$20, "=2013", Discrete!Z$3:Z$20)), NA(), AVERAGEIF(Discrete!$L$3:$L$20, "=2013", Discrete!Z$3:Z$20))</f>
        <v>48</v>
      </c>
      <c r="K10" s="428">
        <f>IF(ISERROR(AVERAGEIF(Discrete!$L$3:$L$20, "=2013", Discrete!AA$3:AA$20)), NA(), AVERAGEIF(Discrete!$L$3:$L$20, "=2013", Discrete!AA$3:AA$20))</f>
        <v>8939.760000000002</v>
      </c>
      <c r="L10" s="428" t="e">
        <f>IF(ISERROR(AVERAGEIF(Discrete!$L$3:$L$20, "=2013", Discrete!AB$3:AB$20)), NA(), AVERAGEIF(Discrete!$L$3:$L$20, "=2013", Discrete!AB$3:AB$20))</f>
        <v>#N/A</v>
      </c>
      <c r="M10" s="428">
        <f>IF(ISERROR(AVERAGEIF(Discrete!$L$3:$L$20, "=2013", Discrete!AC$3:AC$20)), NA(), AVERAGEIF(Discrete!$L$3:$L$20, "=2013", Discrete!AC$3:AC$20))</f>
        <v>3</v>
      </c>
      <c r="N10" s="428">
        <f>IF(ISERROR(AVERAGEIF(Discrete!$L$3:$L$20, "=2013", Discrete!AD$3:AD$20)), NA(), AVERAGEIF(Discrete!$L$3:$L$20, "=2013", Discrete!AD$3:AD$20))</f>
        <v>3</v>
      </c>
      <c r="O10" s="428" t="e">
        <f>IF(ISERROR(AVERAGEIF(Discrete!$L$3:$L$20, "=2013", Discrete!AE$3:AE$20)), NA(), AVERAGEIF(Discrete!$L$3:$L$20, "=2013", Discrete!AE$3:AE$20))</f>
        <v>#N/A</v>
      </c>
      <c r="P10" s="428" t="e">
        <f>IF(ISERROR(AVERAGEIF(Discrete!$L$3:$L$20, "=2013", Discrete!AF$3:AF$20)), NA(), AVERAGEIF(Discrete!$L$3:$L$20, "=2013", Discrete!AF$3:AF$20))</f>
        <v>#N/A</v>
      </c>
      <c r="Q10" s="428" t="e">
        <f>IF(ISERROR(AVERAGEIF(Discrete!$L$3:$L$20, "=2013", Discrete!AG$3:AG$20)), NA(), AVERAGEIF(Discrete!$L$3:$L$20, "=2013", Discrete!AG$3:AG$20))</f>
        <v>#N/A</v>
      </c>
      <c r="R10" s="428">
        <f>IF(ISERROR(AVERAGEIF(Discrete!$L$3:$L$20, "=2013", Discrete!AH$3:AH$20)), NA(), AVERAGEIF(Discrete!$L$3:$L$20, "=2013", Discrete!AH$3:AH$20))</f>
        <v>0.16300000000000001</v>
      </c>
      <c r="S10" s="428">
        <f>IF(ISERROR(AVERAGEIF(Discrete!$L$3:$L$20, "=2013", Discrete!AI$3:AI$20)), NA(), AVERAGEIF(Discrete!$L$3:$L$20, "=2013", Discrete!AI$3:AI$20))</f>
        <v>1760.3999999999999</v>
      </c>
      <c r="T10" s="428" t="e">
        <f>IF(ISERROR(AVERAGEIF(Discrete!$L$3:$L$20, "=2013", Discrete!AJ$3:AJ$20)), NA(), AVERAGEIF(Discrete!$L$3:$L$20, "=2013", Discrete!AJ$3:AJ$20))</f>
        <v>#N/A</v>
      </c>
      <c r="U10" s="428" t="e">
        <f>IF(ISERROR(AVERAGEIF(Discrete!$L$3:$L$20, "=2013", Discrete!AK$3:AK$20)), NA(), AVERAGEIF(Discrete!$L$3:$L$20, "=2013", Discrete!AK$3:AK$20))</f>
        <v>#N/A</v>
      </c>
      <c r="V10" s="428" t="e">
        <f>IF(ISERROR(AVERAGEIF(Discrete!$L$3:$L$20, "=2013", Discrete!AL$3:AL$20)), NA(), AVERAGEIF(Discrete!$L$3:$L$20, "=2013", Discrete!AL$3:AL$20))</f>
        <v>#N/A</v>
      </c>
      <c r="W10" s="428" t="e">
        <f>IF(ISERROR(AVERAGEIF(Discrete!$L$3:$L$20, "=2013", Discrete!AM$3:AM$20)), NA(), AVERAGEIF(Discrete!$L$3:$L$20, "=2013", Discrete!AM$3:AM$20))</f>
        <v>#N/A</v>
      </c>
      <c r="X10" s="428" t="e">
        <f>IF(ISERROR(AVERAGEIF(Discrete!$L$3:$L$20, "=2013", Discrete!AN$3:AN$20)), NA(), AVERAGEIF(Discrete!$L$3:$L$20, "=2013", Discrete!AN$3:AN$20)*1000)</f>
        <v>#N/A</v>
      </c>
      <c r="Y10" s="428" t="e">
        <f>IF(ISERROR(AVERAGEIF(Discrete!$L$3:$L$20, "=2013", Discrete!AO$3:AO$20)), NA(), AVERAGEIF(Discrete!$L$3:$L$20, "=2013", Discrete!AO$3:AO$20))</f>
        <v>#N/A</v>
      </c>
      <c r="Z10" s="428" t="e">
        <f>IF(ISERROR(AVERAGEIF(Discrete!$L$3:$L$20, "=2013", Discrete!AP$3:AP$20)), NA(), AVERAGEIF(Discrete!$L$3:$L$20, "=2013", Discrete!AP$3:AP$20))</f>
        <v>#N/A</v>
      </c>
      <c r="AA10" s="428">
        <f>IF(ISERROR(AVERAGEIF(Discrete!$L$3:$L$20, "=2013", Discrete!AQ$3:AQ$20)), NA(), AVERAGEIF(Discrete!$L$3:$L$20, "=2013", Discrete!AQ$3:AQ$20))</f>
        <v>288</v>
      </c>
      <c r="AB10" s="428" t="e">
        <f>IF(ISERROR(AVERAGEIF(Discrete!$L$3:$L$20, "=2013", Discrete!AR$3:AR$20)), NA(), AVERAGEIF(Discrete!$L$3:$L$20, "=2013", Discrete!AR$3:AR$20))</f>
        <v>#N/A</v>
      </c>
      <c r="AC10" s="428" t="e">
        <f>IF(ISERROR(AVERAGEIF(Discrete!$L$3:$L$20, "=2013", Discrete!AS$3:AS$20)), NA(), AVERAGEIF(Discrete!$L$3:$L$20, "=2013", Discrete!AS$3:AS$20))</f>
        <v>#N/A</v>
      </c>
      <c r="AD10" s="428" t="e">
        <f>IF(ISERROR(AVERAGEIF(Discrete!$L$3:$L$20, "=2013", Discrete!AT$3:AT$20)), NA(), AVERAGEIF(Discrete!$L$3:$L$20, "=2013", Discrete!AT$3:AT$20))</f>
        <v>#N/A</v>
      </c>
      <c r="AE10" s="428" t="e">
        <f>IF(ISERROR(AVERAGEIF(Discrete!$L$3:$L$20, "=2013", Discrete!AU$3:AU$20)), NA(), AVERAGEIF(Discrete!$L$3:$L$20, "=2013", Discrete!AU$3:AU$20))</f>
        <v>#N/A</v>
      </c>
      <c r="AF10" s="428" t="e">
        <f>IF(ISERROR(AVERAGEIF(Discrete!$L$3:$L$20, "=2013", Discrete!AV$3:AV$20)), NA(), AVERAGEIF(Discrete!$L$3:$L$20, "=2013", Discrete!AV$3:AV$20))</f>
        <v>#N/A</v>
      </c>
      <c r="AG10" s="428" t="e">
        <f>IF(ISERROR(AVERAGEIF(Discrete!$L$3:$L$20, "=2013", Discrete!AW$3:AW$20)), NA(), AVERAGEIF(Discrete!$L$3:$L$20, "=2013", Discrete!AW$3:AW$20))</f>
        <v>#N/A</v>
      </c>
      <c r="AH10" s="428" t="e">
        <f>IF(ISERROR(AVERAGEIF(Discrete!$L$3:$L$20, "=2013", Discrete!AX$3:AX$20)), NA(), AVERAGEIF(Discrete!$L$3:$L$20, "=2013", Discrete!AX$3:AX$20))</f>
        <v>#N/A</v>
      </c>
      <c r="AI10" s="428" t="e">
        <f>IF(ISERROR(AVERAGEIF(Discrete!$L$3:$L$20, "=2013", Discrete!AY$3:AY$20)), NA(), AVERAGEIF(Discrete!$L$3:$L$20, "=2013", Discrete!AY$3:AY$20))</f>
        <v>#N/A</v>
      </c>
      <c r="AJ10" s="428" t="e">
        <f>IF(ISERROR(AVERAGEIF(Discrete!$L$3:$L$20, "=2013", Discrete!AZ$3:AZ$20)), NA(), AVERAGEIF(Discrete!$L$3:$L$20, "=2013", Discrete!AZ$3:AZ$20))</f>
        <v>#N/A</v>
      </c>
      <c r="AK10" s="428" t="e">
        <f>IF(ISERROR(AVERAGEIF(Discrete!$L$3:$L$20, "=2013", Discrete!BA$3:BA$20)), NA(), AVERAGEIF(Discrete!$L$3:$L$20, "=2013", Discrete!BA$3:BA$20))</f>
        <v>#N/A</v>
      </c>
      <c r="AL10" s="428" t="e">
        <f>IF(ISERROR(AVERAGEIF(Discrete!$L$3:$L$20, "=2013", Discrete!BB$3:BB$20)), NA(), AVERAGEIF(Discrete!$L$3:$L$20, "=2013", Discrete!BB$3:BB$20))</f>
        <v>#N/A</v>
      </c>
      <c r="AM10" s="428" t="e">
        <f>IF(ISERROR(AVERAGEIF(Discrete!$L$3:$L$20, "=2013", Discrete!BC$3:BC$20)), NA(), AVERAGEIF(Discrete!$L$3:$L$20, "=2013", Discrete!BC$3:BC$20))</f>
        <v>#N/A</v>
      </c>
      <c r="AN10" s="428" t="e">
        <f>IF(ISERROR(AVERAGEIF(Discrete!$L$3:$L$20, "=2013", Discrete!BD$3:BD$20)), NA(), AVERAGEIF(Discrete!$L$3:$L$20, "=2013", Discrete!BD$3:BD$20))</f>
        <v>#N/A</v>
      </c>
      <c r="AO10" s="428" t="e">
        <f>IF(ISERROR(AVERAGEIF(Discrete!$L$3:$L$20, "=2013", Discrete!BE$3:BE$20)), NA(), AVERAGEIF(Discrete!$L$3:$L$20, "=2013", Discrete!BE$3:BE$20))</f>
        <v>#N/A</v>
      </c>
      <c r="AP10" s="428" t="e">
        <f>IF(ISERROR(AVERAGEIF(Discrete!$L$3:$L$20, "=2013", Discrete!BF$3:BF$20)), NA(), AVERAGEIF(Discrete!$L$3:$L$20, "=2013", Discrete!BF$3:BF$20))</f>
        <v>#N/A</v>
      </c>
      <c r="AQ10" s="428" t="e">
        <f>IF(ISERROR(AVERAGEIF(Discrete!$L$3:$L$20, "=2013", Discrete!BG$3:BG$20)), NA(), AVERAGEIF(Discrete!$L$3:$L$20, "=2013", Discrete!BG$3:BG$20))</f>
        <v>#N/A</v>
      </c>
      <c r="AR10" s="428" t="e">
        <f>IF(ISERROR(AVERAGEIF(Discrete!$L$3:$L$20, "=2013", Discrete!BH$3:BH$20)), NA(), AVERAGEIF(Discrete!$L$3:$L$20, "=2013", Discrete!BH$3:BH$20))</f>
        <v>#N/A</v>
      </c>
      <c r="AS10" s="428" t="e">
        <f>IF(ISERROR(AVERAGEIF(Discrete!$L$3:$L$20, "=2013", Discrete!BI$3:BI$20)), NA(), AVERAGEIF(Discrete!$L$3:$L$20, "=2013", Discrete!BI$3:BI$20))</f>
        <v>#N/A</v>
      </c>
      <c r="AT10" s="428" t="e">
        <f>IF(ISERROR(AVERAGEIF(Discrete!$L$3:$L$20, "=2013", Discrete!BJ$3:BJ$20)), NA(), AVERAGEIF(Discrete!$L$3:$L$20, "=2013", Discrete!BJ$3:BJ$20))</f>
        <v>#N/A</v>
      </c>
      <c r="AU10" s="428" t="e">
        <f>IF(ISERROR(AVERAGEIF(Discrete!$L$3:$L$20, "=2013", Discrete!BK$3:BK$20)), NA(), AVERAGEIF(Discrete!$L$3:$L$20, "=2013", Discrete!BK$3:BK$20))</f>
        <v>#N/A</v>
      </c>
      <c r="AV10" s="428" t="e">
        <f>IF(ISERROR(AVERAGEIF(Discrete!$L$3:$L$20, "=2013", Discrete!BL$3:BL$20)), NA(), AVERAGEIF(Discrete!$L$3:$L$20, "=2013", Discrete!BL$3:BL$20))</f>
        <v>#N/A</v>
      </c>
      <c r="AW10" s="428" t="e">
        <f>IF(ISERROR(AVERAGEIF(Discrete!$L$3:$L$20, "=2013", Discrete!BM$3:BM$20)), NA(), AVERAGEIF(Discrete!$L$3:$L$20, "=2013", Discrete!BM$3:BM$20))</f>
        <v>#N/A</v>
      </c>
      <c r="AX10" s="428" t="e">
        <f>IF(ISERROR(AVERAGEIF(Discrete!$L$3:$L$20, "=2013", Discrete!BN$3:BN$20)), NA(), AVERAGEIF(Discrete!$L$3:$L$20, "=2013", Discrete!BN$3:BN$20))</f>
        <v>#N/A</v>
      </c>
      <c r="AY10" s="428" t="e">
        <f>IF(ISERROR(AVERAGEIF(Discrete!$L$3:$L$20, "=2013", Discrete!BO$3:BO$20)), NA(), AVERAGEIF(Discrete!$L$3:$L$20, "=2013", Discrete!BO$3:BO$20))</f>
        <v>#N/A</v>
      </c>
      <c r="AZ10" s="428" t="e">
        <f>IF(ISERROR(AVERAGEIF(Discrete!$L$3:$L$20, "=2013", Discrete!BP$3:BP$20)), NA(), AVERAGEIF(Discrete!$L$3:$L$20, "=2013", Discrete!BP$3:BP$20))</f>
        <v>#N/A</v>
      </c>
      <c r="BA10" s="428" t="e">
        <f>IF(ISERROR(AVERAGEIF(Discrete!$L$3:$L$20, "=2013", Discrete!BQ$3:BQ$20)), NA(), AVERAGEIF(Discrete!$L$3:$L$20, "=2013", Discrete!BQ$3:BQ$20))</f>
        <v>#N/A</v>
      </c>
      <c r="BB10" s="428" t="e">
        <f>IF(ISERROR(AVERAGEIF(Discrete!$L$3:$L$20, "=2013", Discrete!BR$3:BR$20)), NA(), AVERAGEIF(Discrete!$L$3:$L$20, "=2013", Discrete!BR$3:BR$20))</f>
        <v>#N/A</v>
      </c>
    </row>
    <row r="11" spans="1:217">
      <c r="A11" s="775"/>
      <c r="B11" s="432">
        <v>2014</v>
      </c>
      <c r="C11" s="416" t="e">
        <f>IF(ISERROR(AVERAGEIF(Discrete!$L$3:$L$20, "=2014", Discrete!S$3:S$20)), NA(), AVERAGEIF(Discrete!$L$3:$L$20, "=2014", Discrete!S$3:S$20))</f>
        <v>#N/A</v>
      </c>
      <c r="D11" s="428" t="e">
        <f>IF(ISERROR(AVERAGEIF(Discrete!$L$3:$L$20, "=2014", Discrete!T$3:T$20)), NA(), AVERAGEIF(Discrete!$L$3:$L$20, "=2014", Discrete!T$3:T$20))</f>
        <v>#N/A</v>
      </c>
      <c r="E11" s="428" t="e">
        <f>IF(ISERROR(AVERAGEIF(Discrete!$L$3:$L$20, "=2014", Discrete!U$3:U$20)), NA(), AVERAGEIF(Discrete!$L$3:$L$20, "=2014", Discrete!U$3:U$20))</f>
        <v>#N/A</v>
      </c>
      <c r="F11" s="428">
        <f>IF(ISERROR(AVERAGEIF(Discrete!$L$3:$L$20, "=2014", Discrete!V$3:V$20)), NA(), AVERAGEIF(Discrete!$L$3:$L$20, "=2014", Discrete!V$3:V$20))</f>
        <v>83.89500000000001</v>
      </c>
      <c r="G11" s="428">
        <f>IF(ISERROR(AVERAGEIF(Discrete!$L$3:$L$20, "=2014", Discrete!W$3:W$20)), NA(), AVERAGEIF(Discrete!$L$3:$L$20, "=2014", Discrete!W$3:W$20))</f>
        <v>31.05</v>
      </c>
      <c r="H11" s="428">
        <f>IF(ISERROR(AVERAGEIF(Discrete!$L$3:$L$20, "=2014", Discrete!X$3:X$20)), NA(), AVERAGEIF(Discrete!$L$3:$L$20, "=2014", Discrete!X$3:X$20))</f>
        <v>69</v>
      </c>
      <c r="I11" s="428">
        <f>IF(ISERROR(AVERAGEIF(Discrete!$L$3:$L$20, "=2014", Discrete!Y$3:Y$20)), NA(), AVERAGEIF(Discrete!$L$3:$L$20, "=2014", Discrete!Y$3:Y$20))</f>
        <v>64.55</v>
      </c>
      <c r="J11" s="428">
        <f>IF(ISERROR(AVERAGEIF(Discrete!$L$3:$L$20, "=2014", Discrete!Z$3:Z$20)), NA(), AVERAGEIF(Discrete!$L$3:$L$20, "=2014", Discrete!Z$3:Z$20))</f>
        <v>69</v>
      </c>
      <c r="K11" s="428">
        <f>IF(ISERROR(AVERAGEIF(Discrete!$L$3:$L$20, "=2014", Discrete!AA$3:AA$20)), NA(), AVERAGEIF(Discrete!$L$3:$L$20, "=2014", Discrete!AA$3:AA$20))</f>
        <v>124587.245</v>
      </c>
      <c r="L11" s="428" t="e">
        <f>IF(ISERROR(AVERAGEIF(Discrete!$L$3:$L$20, "=2014", Discrete!AB$3:AB$20)), NA(), AVERAGEIF(Discrete!$L$3:$L$20, "=2014", Discrete!AB$3:AB$20))</f>
        <v>#N/A</v>
      </c>
      <c r="M11" s="428">
        <f>IF(ISERROR(AVERAGEIF(Discrete!$L$3:$L$20, "=2014", Discrete!AC$3:AC$20)), NA(), AVERAGEIF(Discrete!$L$3:$L$20, "=2014", Discrete!AC$3:AC$20))</f>
        <v>3.3</v>
      </c>
      <c r="N11" s="428">
        <f>IF(ISERROR(AVERAGEIF(Discrete!$L$3:$L$20, "=2014", Discrete!AD$3:AD$20)), NA(), AVERAGEIF(Discrete!$L$3:$L$20, "=2014", Discrete!AD$3:AD$20))</f>
        <v>3.3</v>
      </c>
      <c r="O11" s="428" t="e">
        <f>IF(ISERROR(AVERAGEIF(Discrete!$L$3:$L$20, "=2014", Discrete!AE$3:AE$20)), NA(), AVERAGEIF(Discrete!$L$3:$L$20, "=2014", Discrete!AE$3:AE$20))</f>
        <v>#N/A</v>
      </c>
      <c r="P11" s="428" t="e">
        <f>IF(ISERROR(AVERAGEIF(Discrete!$L$3:$L$20, "=2014", Discrete!AF$3:AF$20)), NA(), AVERAGEIF(Discrete!$L$3:$L$20, "=2014", Discrete!AF$3:AF$20))</f>
        <v>#N/A</v>
      </c>
      <c r="Q11" s="428" t="e">
        <f>IF(ISERROR(AVERAGEIF(Discrete!$L$3:$L$20, "=2014", Discrete!AG$3:AG$20)), NA(), AVERAGEIF(Discrete!$L$3:$L$20, "=2014", Discrete!AG$3:AG$20))</f>
        <v>#N/A</v>
      </c>
      <c r="R11" s="428">
        <f>IF(ISERROR(AVERAGEIF(Discrete!$L$3:$L$20, "=2014", Discrete!AH$3:AH$20)), NA(), AVERAGEIF(Discrete!$L$3:$L$20, "=2014", Discrete!AH$3:AH$20))</f>
        <v>0.25</v>
      </c>
      <c r="S11" s="428">
        <f>IF(ISERROR(AVERAGEIF(Discrete!$L$3:$L$20, "=2014", Discrete!AI$3:AI$20)), NA(), AVERAGEIF(Discrete!$L$3:$L$20, "=2014", Discrete!AI$3:AI$20))</f>
        <v>3024.0000000000005</v>
      </c>
      <c r="T11" s="428" t="e">
        <f>IF(ISERROR(AVERAGEIF(Discrete!$L$3:$L$20, "=2014", Discrete!AJ$3:AJ$20)), NA(), AVERAGEIF(Discrete!$L$3:$L$20, "=2014", Discrete!AJ$3:AJ$20))</f>
        <v>#N/A</v>
      </c>
      <c r="U11" s="428" t="e">
        <f>IF(ISERROR(AVERAGEIF(Discrete!$L$3:$L$20, "=2014", Discrete!AK$3:AK$20)), NA(), AVERAGEIF(Discrete!$L$3:$L$20, "=2014", Discrete!AK$3:AK$20))</f>
        <v>#N/A</v>
      </c>
      <c r="V11" s="428" t="e">
        <f>IF(ISERROR(AVERAGEIF(Discrete!$L$3:$L$20, "=2014", Discrete!AL$3:AL$20)), NA(), AVERAGEIF(Discrete!$L$3:$L$20, "=2014", Discrete!AL$3:AL$20))</f>
        <v>#N/A</v>
      </c>
      <c r="W11" s="428" t="e">
        <f>IF(ISERROR(AVERAGEIF(Discrete!$L$3:$L$20, "=2014", Discrete!AM$3:AM$20)), NA(), AVERAGEIF(Discrete!$L$3:$L$20, "=2014", Discrete!AM$3:AM$20))</f>
        <v>#N/A</v>
      </c>
      <c r="X11" s="428" t="e">
        <f>IF(ISERROR(AVERAGEIF(Discrete!$L$3:$L$20, "=2014", Discrete!AN$3:AN$20)), NA(), AVERAGEIF(Discrete!$L$3:$L$20, "=2014", Discrete!AN$3:AN$20)*1000)</f>
        <v>#N/A</v>
      </c>
      <c r="Y11" s="428" t="e">
        <f>IF(ISERROR(AVERAGEIF(Discrete!$L$3:$L$20, "=2014", Discrete!AO$3:AO$20)), NA(), AVERAGEIF(Discrete!$L$3:$L$20, "=2014", Discrete!AO$3:AO$20))</f>
        <v>#N/A</v>
      </c>
      <c r="Z11" s="428" t="e">
        <f>IF(ISERROR(AVERAGEIF(Discrete!$L$3:$L$20, "=2014", Discrete!AP$3:AP$20)), NA(), AVERAGEIF(Discrete!$L$3:$L$20, "=2014", Discrete!AP$3:AP$20))</f>
        <v>#N/A</v>
      </c>
      <c r="AA11" s="428">
        <f>IF(ISERROR(AVERAGEIF(Discrete!$L$3:$L$20, "=2014", Discrete!AQ$3:AQ$20)), NA(), AVERAGEIF(Discrete!$L$3:$L$20, "=2014", Discrete!AQ$3:AQ$20))</f>
        <v>8760</v>
      </c>
      <c r="AB11" s="428" t="e">
        <f>IF(ISERROR(AVERAGEIF(Discrete!$L$3:$L$20, "=2014", Discrete!AR$3:AR$20)), NA(), AVERAGEIF(Discrete!$L$3:$L$20, "=2014", Discrete!AR$3:AR$20))</f>
        <v>#N/A</v>
      </c>
      <c r="AC11" s="428" t="e">
        <f>IF(ISERROR(AVERAGEIF(Discrete!$L$3:$L$20, "=2014", Discrete!AS$3:AS$20)), NA(), AVERAGEIF(Discrete!$L$3:$L$20, "=2014", Discrete!AS$3:AS$20))</f>
        <v>#N/A</v>
      </c>
      <c r="AD11" s="428" t="e">
        <f>IF(ISERROR(AVERAGEIF(Discrete!$L$3:$L$20, "=2014", Discrete!AT$3:AT$20)), NA(), AVERAGEIF(Discrete!$L$3:$L$20, "=2014", Discrete!AT$3:AT$20))</f>
        <v>#N/A</v>
      </c>
      <c r="AE11" s="428">
        <f>IF(ISERROR(AVERAGEIF(Discrete!$L$3:$L$20, "=2014", Discrete!AU$3:AU$20)), NA(), AVERAGEIF(Discrete!$L$3:$L$20, "=2014", Discrete!AU$3:AU$20))</f>
        <v>32</v>
      </c>
      <c r="AF11" s="428" t="e">
        <f>IF(ISERROR(AVERAGEIF(Discrete!$L$3:$L$20, "=2014", Discrete!AV$3:AV$20)), NA(), AVERAGEIF(Discrete!$L$3:$L$20, "=2014", Discrete!AV$3:AV$20))</f>
        <v>#N/A</v>
      </c>
      <c r="AG11" s="428">
        <f>IF(ISERROR(AVERAGEIF(Discrete!$L$3:$L$20, "=2014", Discrete!AW$3:AW$20)), NA(), AVERAGEIF(Discrete!$L$3:$L$20, "=2014", Discrete!AW$3:AW$20))</f>
        <v>512</v>
      </c>
      <c r="AH11" s="428">
        <f>IF(ISERROR(AVERAGEIF(Discrete!$L$3:$L$20, "=2014", Discrete!AX$3:AX$20)), NA(), AVERAGEIF(Discrete!$L$3:$L$20, "=2014", Discrete!AX$3:AX$20))</f>
        <v>4000000</v>
      </c>
      <c r="AI11" s="428" t="e">
        <f>IF(ISERROR(AVERAGEIF(Discrete!$L$3:$L$20, "=2014", Discrete!AY$3:AY$20)), NA(), AVERAGEIF(Discrete!$L$3:$L$20, "=2014", Discrete!AY$3:AY$20))</f>
        <v>#N/A</v>
      </c>
      <c r="AJ11" s="428" t="e">
        <f>IF(ISERROR(AVERAGEIF(Discrete!$L$3:$L$20, "=2014", Discrete!AZ$3:AZ$20)), NA(), AVERAGEIF(Discrete!$L$3:$L$20, "=2014", Discrete!AZ$3:AZ$20))</f>
        <v>#N/A</v>
      </c>
      <c r="AK11" s="428" t="e">
        <f>IF(ISERROR(AVERAGEIF(Discrete!$L$3:$L$20, "=2014", Discrete!BA$3:BA$20)), NA(), AVERAGEIF(Discrete!$L$3:$L$20, "=2014", Discrete!BA$3:BA$20))</f>
        <v>#N/A</v>
      </c>
      <c r="AL11" s="428">
        <f>IF(ISERROR(AVERAGEIF(Discrete!$L$3:$L$20, "=2014", Discrete!BB$3:BB$20)), NA(), AVERAGEIF(Discrete!$L$3:$L$20, "=2014", Discrete!BB$3:BB$20))</f>
        <v>1000</v>
      </c>
      <c r="AM11" s="428" t="e">
        <f>IF(ISERROR(AVERAGEIF(Discrete!$L$3:$L$20, "=2014", Discrete!BC$3:BC$20)), NA(), AVERAGEIF(Discrete!$L$3:$L$20, "=2014", Discrete!BC$3:BC$20))</f>
        <v>#N/A</v>
      </c>
      <c r="AN11" s="428" t="e">
        <f>IF(ISERROR(AVERAGEIF(Discrete!$L$3:$L$20, "=2014", Discrete!BD$3:BD$20)), NA(), AVERAGEIF(Discrete!$L$3:$L$20, "=2014", Discrete!BD$3:BD$20))</f>
        <v>#N/A</v>
      </c>
      <c r="AO11" s="428" t="e">
        <f>IF(ISERROR(AVERAGEIF(Discrete!$L$3:$L$20, "=2014", Discrete!BE$3:BE$20)), NA(), AVERAGEIF(Discrete!$L$3:$L$20, "=2014", Discrete!BE$3:BE$20))</f>
        <v>#N/A</v>
      </c>
      <c r="AP11" s="428" t="e">
        <f>IF(ISERROR(AVERAGEIF(Discrete!$L$3:$L$20, "=2014", Discrete!BF$3:BF$20)), NA(), AVERAGEIF(Discrete!$L$3:$L$20, "=2014", Discrete!BF$3:BF$20))</f>
        <v>#N/A</v>
      </c>
      <c r="AQ11" s="428" t="e">
        <f>IF(ISERROR(AVERAGEIF(Discrete!$L$3:$L$20, "=2014", Discrete!BG$3:BG$20)), NA(), AVERAGEIF(Discrete!$L$3:$L$20, "=2014", Discrete!BG$3:BG$20))</f>
        <v>#N/A</v>
      </c>
      <c r="AR11" s="428" t="e">
        <f>IF(ISERROR(AVERAGEIF(Discrete!$L$3:$L$20, "=2014", Discrete!BH$3:BH$20)), NA(), AVERAGEIF(Discrete!$L$3:$L$20, "=2014", Discrete!BH$3:BH$20))</f>
        <v>#N/A</v>
      </c>
      <c r="AS11" s="428" t="e">
        <f>IF(ISERROR(AVERAGEIF(Discrete!$L$3:$L$20, "=2014", Discrete!BI$3:BI$20)), NA(), AVERAGEIF(Discrete!$L$3:$L$20, "=2014", Discrete!BI$3:BI$20))</f>
        <v>#N/A</v>
      </c>
      <c r="AT11" s="428" t="e">
        <f>IF(ISERROR(AVERAGEIF(Discrete!$L$3:$L$20, "=2014", Discrete!BJ$3:BJ$20)), NA(), AVERAGEIF(Discrete!$L$3:$L$20, "=2014", Discrete!BJ$3:BJ$20))</f>
        <v>#N/A</v>
      </c>
      <c r="AU11" s="428" t="e">
        <f>IF(ISERROR(AVERAGEIF(Discrete!$L$3:$L$20, "=2014", Discrete!BK$3:BK$20)), NA(), AVERAGEIF(Discrete!$L$3:$L$20, "=2014", Discrete!BK$3:BK$20))</f>
        <v>#N/A</v>
      </c>
      <c r="AV11" s="428" t="e">
        <f>IF(ISERROR(AVERAGEIF(Discrete!$L$3:$L$20, "=2014", Discrete!BL$3:BL$20)), NA(), AVERAGEIF(Discrete!$L$3:$L$20, "=2014", Discrete!BL$3:BL$20))</f>
        <v>#N/A</v>
      </c>
      <c r="AW11" s="428" t="e">
        <f>IF(ISERROR(AVERAGEIF(Discrete!$L$3:$L$20, "=2014", Discrete!BM$3:BM$20)), NA(), AVERAGEIF(Discrete!$L$3:$L$20, "=2014", Discrete!BM$3:BM$20))</f>
        <v>#N/A</v>
      </c>
      <c r="AX11" s="428" t="e">
        <f>IF(ISERROR(AVERAGEIF(Discrete!$L$3:$L$20, "=2014", Discrete!BN$3:BN$20)), NA(), AVERAGEIF(Discrete!$L$3:$L$20, "=2014", Discrete!BN$3:BN$20))</f>
        <v>#N/A</v>
      </c>
      <c r="AY11" s="428" t="e">
        <f>IF(ISERROR(AVERAGEIF(Discrete!$L$3:$L$20, "=2014", Discrete!BO$3:BO$20)), NA(), AVERAGEIF(Discrete!$L$3:$L$20, "=2014", Discrete!BO$3:BO$20))</f>
        <v>#N/A</v>
      </c>
      <c r="AZ11" s="428" t="e">
        <f>IF(ISERROR(AVERAGEIF(Discrete!$L$3:$L$20, "=2014", Discrete!BP$3:BP$20)), NA(), AVERAGEIF(Discrete!$L$3:$L$20, "=2014", Discrete!BP$3:BP$20))</f>
        <v>#N/A</v>
      </c>
      <c r="BA11" s="428" t="e">
        <f>IF(ISERROR(AVERAGEIF(Discrete!$L$3:$L$20, "=2014", Discrete!BQ$3:BQ$20)), NA(), AVERAGEIF(Discrete!$L$3:$L$20, "=2014", Discrete!BQ$3:BQ$20))</f>
        <v>#N/A</v>
      </c>
      <c r="BB11" s="428" t="e">
        <f>IF(ISERROR(AVERAGEIF(Discrete!$L$3:$L$20, "=2014", Discrete!BR$3:BR$20)), NA(), AVERAGEIF(Discrete!$L$3:$L$20, "=2014", Discrete!BR$3:BR$20))</f>
        <v>#N/A</v>
      </c>
    </row>
    <row r="12" spans="1:217">
      <c r="A12" s="775"/>
      <c r="B12" s="432">
        <v>2015</v>
      </c>
      <c r="C12" s="416" t="e">
        <f>IF(ISERROR(AVERAGEIF(Discrete!$L$3:$L$20, "=2015", Discrete!S$3:S$20)), NA(), AVERAGEIF(Discrete!$L$3:$L$20, "=2015", Discrete!S$3:S$20))</f>
        <v>#N/A</v>
      </c>
      <c r="D12" s="428" t="e">
        <f>IF(ISERROR(AVERAGEIF(Discrete!$L$3:$L$20, "=2015", Discrete!T$3:T$20)), NA(), AVERAGEIF(Discrete!$L$3:$L$20, "=2015", Discrete!T$3:T$20))</f>
        <v>#N/A</v>
      </c>
      <c r="E12" s="428" t="e">
        <f>IF(ISERROR(AVERAGEIF(Discrete!$L$3:$L$20, "=2015", Discrete!U$3:U$20)), NA(), AVERAGEIF(Discrete!$L$3:$L$20, "=2015", Discrete!U$3:U$20))</f>
        <v>#N/A</v>
      </c>
      <c r="F12" s="428">
        <f>IF(ISERROR(AVERAGEIF(Discrete!$L$3:$L$20, "=2015", Discrete!V$3:V$20)), NA(), AVERAGEIF(Discrete!$L$3:$L$20, "=2015", Discrete!V$3:V$20))</f>
        <v>37</v>
      </c>
      <c r="G12" s="428" t="e">
        <f>IF(ISERROR(AVERAGEIF(Discrete!$L$3:$L$20, "=2015", Discrete!W$3:W$20)), NA(), AVERAGEIF(Discrete!$L$3:$L$20, "=2015", Discrete!W$3:W$20))</f>
        <v>#N/A</v>
      </c>
      <c r="H12" s="428" t="e">
        <f>IF(ISERROR(AVERAGEIF(Discrete!$L$3:$L$20, "=2015", Discrete!X$3:X$20)), NA(), AVERAGEIF(Discrete!$L$3:$L$20, "=2015", Discrete!X$3:X$20))</f>
        <v>#N/A</v>
      </c>
      <c r="I12" s="428" t="e">
        <f>IF(ISERROR(AVERAGEIF(Discrete!$L$3:$L$20, "=2015", Discrete!Y$3:Y$20)), NA(), AVERAGEIF(Discrete!$L$3:$L$20, "=2015", Discrete!Y$3:Y$20))</f>
        <v>#N/A</v>
      </c>
      <c r="J12" s="428" t="e">
        <f>IF(ISERROR(AVERAGEIF(Discrete!$L$3:$L$20, "=2015", Discrete!Z$3:Z$20)), NA(), AVERAGEIF(Discrete!$L$3:$L$20, "=2015", Discrete!Z$3:Z$20))</f>
        <v>#N/A</v>
      </c>
      <c r="K12" s="428" t="e">
        <f>IF(ISERROR(AVERAGEIF(Discrete!$L$3:$L$20, "=2015", Discrete!AA$3:AA$20)), NA(), AVERAGEIF(Discrete!$L$3:$L$20, "=2015", Discrete!AA$3:AA$20))</f>
        <v>#N/A</v>
      </c>
      <c r="L12" s="428" t="e">
        <f>IF(ISERROR(AVERAGEIF(Discrete!$L$3:$L$20, "=2015", Discrete!AB$3:AB$20)), NA(), AVERAGEIF(Discrete!$L$3:$L$20, "=2015", Discrete!AB$3:AB$20))</f>
        <v>#N/A</v>
      </c>
      <c r="M12" s="428" t="e">
        <f>IF(ISERROR(AVERAGEIF(Discrete!$L$3:$L$20, "=2015", Discrete!AC$3:AC$20)), NA(), AVERAGEIF(Discrete!$L$3:$L$20, "=2015", Discrete!AC$3:AC$20))</f>
        <v>#N/A</v>
      </c>
      <c r="N12" s="428" t="e">
        <f>IF(ISERROR(AVERAGEIF(Discrete!$L$3:$L$20, "=2015", Discrete!AD$3:AD$20)), NA(), AVERAGEIF(Discrete!$L$3:$L$20, "=2015", Discrete!AD$3:AD$20))</f>
        <v>#N/A</v>
      </c>
      <c r="O12" s="428" t="e">
        <f>IF(ISERROR(AVERAGEIF(Discrete!$L$3:$L$20, "=2015", Discrete!AE$3:AE$20)), NA(), AVERAGEIF(Discrete!$L$3:$L$20, "=2015", Discrete!AE$3:AE$20))</f>
        <v>#N/A</v>
      </c>
      <c r="P12" s="428" t="e">
        <f>IF(ISERROR(AVERAGEIF(Discrete!$L$3:$L$20, "=2015", Discrete!AF$3:AF$20)), NA(), AVERAGEIF(Discrete!$L$3:$L$20, "=2015", Discrete!AF$3:AF$20))</f>
        <v>#N/A</v>
      </c>
      <c r="Q12" s="428" t="e">
        <f>IF(ISERROR(AVERAGEIF(Discrete!$L$3:$L$20, "=2015", Discrete!AG$3:AG$20)), NA(), AVERAGEIF(Discrete!$L$3:$L$20, "=2015", Discrete!AG$3:AG$20))</f>
        <v>#N/A</v>
      </c>
      <c r="R12" s="428">
        <f>IF(ISERROR(AVERAGEIF(Discrete!$L$3:$L$20, "=2015", Discrete!AH$3:AH$20)), NA(), AVERAGEIF(Discrete!$L$3:$L$20, "=2015", Discrete!AH$3:AH$20))</f>
        <v>0.16300000000000001</v>
      </c>
      <c r="S12" s="428" t="e">
        <f>IF(ISERROR(AVERAGEIF(Discrete!$L$3:$L$20, "=2015", Discrete!AI$3:AI$20)), NA(), AVERAGEIF(Discrete!$L$3:$L$20, "=2015", Discrete!AI$3:AI$20))</f>
        <v>#N/A</v>
      </c>
      <c r="T12" s="428" t="e">
        <f>IF(ISERROR(AVERAGEIF(Discrete!$L$3:$L$20, "=2015", Discrete!AJ$3:AJ$20)), NA(), AVERAGEIF(Discrete!$L$3:$L$20, "=2015", Discrete!AJ$3:AJ$20))</f>
        <v>#N/A</v>
      </c>
      <c r="U12" s="428" t="e">
        <f>IF(ISERROR(AVERAGEIF(Discrete!$L$3:$L$20, "=2015", Discrete!AK$3:AK$20)), NA(), AVERAGEIF(Discrete!$L$3:$L$20, "=2015", Discrete!AK$3:AK$20))</f>
        <v>#N/A</v>
      </c>
      <c r="V12" s="428" t="e">
        <f>IF(ISERROR(AVERAGEIF(Discrete!$L$3:$L$20, "=2015", Discrete!AL$3:AL$20)), NA(), AVERAGEIF(Discrete!$L$3:$L$20, "=2015", Discrete!AL$3:AL$20))</f>
        <v>#N/A</v>
      </c>
      <c r="W12" s="428" t="e">
        <f>IF(ISERROR(AVERAGEIF(Discrete!$L$3:$L$20, "=2015", Discrete!AM$3:AM$20)), NA(), AVERAGEIF(Discrete!$L$3:$L$20, "=2015", Discrete!AM$3:AM$20))</f>
        <v>#N/A</v>
      </c>
      <c r="X12" s="428" t="e">
        <f>IF(ISERROR(AVERAGEIF(Discrete!$L$3:$L$20, "=2015", Discrete!AN$3:AN$20)), NA(), AVERAGEIF(Discrete!$L$3:$L$20, "=2015", Discrete!AN$3:AN$20)*1000)</f>
        <v>#N/A</v>
      </c>
      <c r="Y12" s="428" t="e">
        <f>IF(ISERROR(AVERAGEIF(Discrete!$L$3:$L$20, "=2015", Discrete!AO$3:AO$20)), NA(), AVERAGEIF(Discrete!$L$3:$L$20, "=2015", Discrete!AO$3:AO$20))</f>
        <v>#N/A</v>
      </c>
      <c r="Z12" s="428" t="e">
        <f>IF(ISERROR(AVERAGEIF(Discrete!$L$3:$L$20, "=2015", Discrete!AP$3:AP$20)), NA(), AVERAGEIF(Discrete!$L$3:$L$20, "=2015", Discrete!AP$3:AP$20))</f>
        <v>#N/A</v>
      </c>
      <c r="AA12" s="428">
        <f>IF(ISERROR(AVERAGEIF(Discrete!$L$3:$L$20, "=2015", Discrete!AQ$3:AQ$20)), NA(), AVERAGEIF(Discrete!$L$3:$L$20, "=2015", Discrete!AQ$3:AQ$20))</f>
        <v>5760</v>
      </c>
      <c r="AB12" s="428" t="e">
        <f>IF(ISERROR(AVERAGEIF(Discrete!$L$3:$L$20, "=2015", Discrete!AR$3:AR$20)), NA(), AVERAGEIF(Discrete!$L$3:$L$20, "=2015", Discrete!AR$3:AR$20))</f>
        <v>#N/A</v>
      </c>
      <c r="AC12" s="428" t="e">
        <f>IF(ISERROR(AVERAGEIF(Discrete!$L$3:$L$20, "=2015", Discrete!AS$3:AS$20)), NA(), AVERAGEIF(Discrete!$L$3:$L$20, "=2015", Discrete!AS$3:AS$20))</f>
        <v>#N/A</v>
      </c>
      <c r="AD12" s="428" t="e">
        <f>IF(ISERROR(AVERAGEIF(Discrete!$L$3:$L$20, "=2015", Discrete!AT$3:AT$20)), NA(), AVERAGEIF(Discrete!$L$3:$L$20, "=2015", Discrete!AT$3:AT$20))</f>
        <v>#N/A</v>
      </c>
      <c r="AE12" s="428" t="e">
        <f>IF(ISERROR(AVERAGEIF(Discrete!$L$3:$L$20, "=2015", Discrete!AU$3:AU$20)), NA(), AVERAGEIF(Discrete!$L$3:$L$20, "=2015", Discrete!AU$3:AU$20))</f>
        <v>#N/A</v>
      </c>
      <c r="AF12" s="428" t="e">
        <f>IF(ISERROR(AVERAGEIF(Discrete!$L$3:$L$20, "=2015", Discrete!AV$3:AV$20)), NA(), AVERAGEIF(Discrete!$L$3:$L$20, "=2015", Discrete!AV$3:AV$20))</f>
        <v>#N/A</v>
      </c>
      <c r="AG12" s="428" t="e">
        <f>IF(ISERROR(AVERAGEIF(Discrete!$L$3:$L$20, "=2015", Discrete!AW$3:AW$20)), NA(), AVERAGEIF(Discrete!$L$3:$L$20, "=2015", Discrete!AW$3:AW$20))</f>
        <v>#N/A</v>
      </c>
      <c r="AH12" s="428" t="e">
        <f>IF(ISERROR(AVERAGEIF(Discrete!$L$3:$L$20, "=2015", Discrete!AX$3:AX$20)), NA(), AVERAGEIF(Discrete!$L$3:$L$20, "=2015", Discrete!AX$3:AX$20))</f>
        <v>#N/A</v>
      </c>
      <c r="AI12" s="428" t="e">
        <f>IF(ISERROR(AVERAGEIF(Discrete!$L$3:$L$20, "=2015", Discrete!AY$3:AY$20)), NA(), AVERAGEIF(Discrete!$L$3:$L$20, "=2015", Discrete!AY$3:AY$20))</f>
        <v>#N/A</v>
      </c>
      <c r="AJ12" s="428" t="e">
        <f>IF(ISERROR(AVERAGEIF(Discrete!$L$3:$L$20, "=2015", Discrete!AZ$3:AZ$20)), NA(), AVERAGEIF(Discrete!$L$3:$L$20, "=2015", Discrete!AZ$3:AZ$20))</f>
        <v>#N/A</v>
      </c>
      <c r="AK12" s="428" t="e">
        <f>IF(ISERROR(AVERAGEIF(Discrete!$L$3:$L$20, "=2015", Discrete!BA$3:BA$20)), NA(), AVERAGEIF(Discrete!$L$3:$L$20, "=2015", Discrete!BA$3:BA$20))</f>
        <v>#N/A</v>
      </c>
      <c r="AL12" s="428" t="e">
        <f>IF(ISERROR(AVERAGEIF(Discrete!$L$3:$L$20, "=2015", Discrete!BB$3:BB$20)), NA(), AVERAGEIF(Discrete!$L$3:$L$20, "=2015", Discrete!BB$3:BB$20))</f>
        <v>#N/A</v>
      </c>
      <c r="AM12" s="428" t="e">
        <f>IF(ISERROR(AVERAGEIF(Discrete!$L$3:$L$20, "=2015", Discrete!BC$3:BC$20)), NA(), AVERAGEIF(Discrete!$L$3:$L$20, "=2015", Discrete!BC$3:BC$20))</f>
        <v>#N/A</v>
      </c>
      <c r="AN12" s="428" t="e">
        <f>IF(ISERROR(AVERAGEIF(Discrete!$L$3:$L$20, "=2015", Discrete!BD$3:BD$20)), NA(), AVERAGEIF(Discrete!$L$3:$L$20, "=2015", Discrete!BD$3:BD$20))</f>
        <v>#N/A</v>
      </c>
      <c r="AO12" s="428" t="e">
        <f>IF(ISERROR(AVERAGEIF(Discrete!$L$3:$L$20, "=2015", Discrete!BE$3:BE$20)), NA(), AVERAGEIF(Discrete!$L$3:$L$20, "=2015", Discrete!BE$3:BE$20))</f>
        <v>#N/A</v>
      </c>
      <c r="AP12" s="428" t="e">
        <f>IF(ISERROR(AVERAGEIF(Discrete!$L$3:$L$20, "=2015", Discrete!BF$3:BF$20)), NA(), AVERAGEIF(Discrete!$L$3:$L$20, "=2015", Discrete!BF$3:BF$20))</f>
        <v>#N/A</v>
      </c>
      <c r="AQ12" s="428" t="e">
        <f>IF(ISERROR(AVERAGEIF(Discrete!$L$3:$L$20, "=2015", Discrete!BG$3:BG$20)), NA(), AVERAGEIF(Discrete!$L$3:$L$20, "=2015", Discrete!BG$3:BG$20))</f>
        <v>#N/A</v>
      </c>
      <c r="AR12" s="428" t="e">
        <f>IF(ISERROR(AVERAGEIF(Discrete!$L$3:$L$20, "=2015", Discrete!BH$3:BH$20)), NA(), AVERAGEIF(Discrete!$L$3:$L$20, "=2015", Discrete!BH$3:BH$20))</f>
        <v>#N/A</v>
      </c>
      <c r="AS12" s="428" t="e">
        <f>IF(ISERROR(AVERAGEIF(Discrete!$L$3:$L$20, "=2015", Discrete!BI$3:BI$20)), NA(), AVERAGEIF(Discrete!$L$3:$L$20, "=2015", Discrete!BI$3:BI$20))</f>
        <v>#N/A</v>
      </c>
      <c r="AT12" s="428" t="e">
        <f>IF(ISERROR(AVERAGEIF(Discrete!$L$3:$L$20, "=2015", Discrete!BJ$3:BJ$20)), NA(), AVERAGEIF(Discrete!$L$3:$L$20, "=2015", Discrete!BJ$3:BJ$20))</f>
        <v>#N/A</v>
      </c>
      <c r="AU12" s="428" t="e">
        <f>IF(ISERROR(AVERAGEIF(Discrete!$L$3:$L$20, "=2015", Discrete!BK$3:BK$20)), NA(), AVERAGEIF(Discrete!$L$3:$L$20, "=2015", Discrete!BK$3:BK$20))</f>
        <v>#N/A</v>
      </c>
      <c r="AV12" s="428" t="e">
        <f>IF(ISERROR(AVERAGEIF(Discrete!$L$3:$L$20, "=2015", Discrete!BL$3:BL$20)), NA(), AVERAGEIF(Discrete!$L$3:$L$20, "=2015", Discrete!BL$3:BL$20))</f>
        <v>#N/A</v>
      </c>
      <c r="AW12" s="428" t="e">
        <f>IF(ISERROR(AVERAGEIF(Discrete!$L$3:$L$20, "=2015", Discrete!BM$3:BM$20)), NA(), AVERAGEIF(Discrete!$L$3:$L$20, "=2015", Discrete!BM$3:BM$20))</f>
        <v>#N/A</v>
      </c>
      <c r="AX12" s="428" t="e">
        <f>IF(ISERROR(AVERAGEIF(Discrete!$L$3:$L$20, "=2015", Discrete!BN$3:BN$20)), NA(), AVERAGEIF(Discrete!$L$3:$L$20, "=2015", Discrete!BN$3:BN$20))</f>
        <v>#N/A</v>
      </c>
      <c r="AY12" s="428" t="e">
        <f>IF(ISERROR(AVERAGEIF(Discrete!$L$3:$L$20, "=2015", Discrete!BO$3:BO$20)), NA(), AVERAGEIF(Discrete!$L$3:$L$20, "=2015", Discrete!BO$3:BO$20))</f>
        <v>#N/A</v>
      </c>
      <c r="AZ12" s="428" t="e">
        <f>IF(ISERROR(AVERAGEIF(Discrete!$L$3:$L$20, "=2015", Discrete!BP$3:BP$20)), NA(), AVERAGEIF(Discrete!$L$3:$L$20, "=2015", Discrete!BP$3:BP$20))</f>
        <v>#N/A</v>
      </c>
      <c r="BA12" s="428" t="e">
        <f>IF(ISERROR(AVERAGEIF(Discrete!$L$3:$L$20, "=2015", Discrete!BQ$3:BQ$20)), NA(), AVERAGEIF(Discrete!$L$3:$L$20, "=2015", Discrete!BQ$3:BQ$20))</f>
        <v>#N/A</v>
      </c>
      <c r="BB12" s="428" t="e">
        <f>IF(ISERROR(AVERAGEIF(Discrete!$L$3:$L$20, "=2015", Discrete!BR$3:BR$20)), NA(), AVERAGEIF(Discrete!$L$3:$L$20, "=2015", Discrete!BR$3:BR$20))</f>
        <v>#N/A</v>
      </c>
    </row>
    <row r="13" spans="1:217">
      <c r="A13" s="775"/>
      <c r="B13" s="432">
        <v>2016</v>
      </c>
      <c r="C13" s="416" t="e">
        <f>IF(ISERROR(AVERAGEIF(Discrete!$L$3:$L$20, "=2016", Discrete!S$3:S$20)), NA(), AVERAGEIF(Discrete!$L$3:$L$20, "=2016", Discrete!S$3:S$20))</f>
        <v>#N/A</v>
      </c>
      <c r="D13" s="428" t="e">
        <f>IF(ISERROR(AVERAGEIF(Discrete!$L$3:$L$20, "=2016", Discrete!T$3:T$20)), NA(), AVERAGEIF(Discrete!$L$3:$L$20, "=2016", Discrete!T$3:T$20))</f>
        <v>#N/A</v>
      </c>
      <c r="E13" s="428" t="e">
        <f>IF(ISERROR(AVERAGEIF(Discrete!$L$3:$L$20, "=2016", Discrete!U$3:U$20)), NA(), AVERAGEIF(Discrete!$L$3:$L$20, "=2016", Discrete!U$3:U$20))</f>
        <v>#N/A</v>
      </c>
      <c r="F13" s="428" t="e">
        <f>IF(ISERROR(AVERAGEIF(Discrete!$L$3:$L$20, "=2016", Discrete!V$3:V$20)), NA(), AVERAGEIF(Discrete!$L$3:$L$20, "=2016", Discrete!V$3:V$20))</f>
        <v>#N/A</v>
      </c>
      <c r="G13" s="428" t="e">
        <f>IF(ISERROR(AVERAGEIF(Discrete!$L$3:$L$20, "=2016", Discrete!W$3:W$20)), NA(), AVERAGEIF(Discrete!$L$3:$L$20, "=2016", Discrete!W$3:W$20))</f>
        <v>#N/A</v>
      </c>
      <c r="H13" s="428" t="e">
        <f>IF(ISERROR(AVERAGEIF(Discrete!$L$3:$L$20, "=2016", Discrete!X$3:X$20)), NA(), AVERAGEIF(Discrete!$L$3:$L$20, "=2016", Discrete!X$3:X$20))</f>
        <v>#N/A</v>
      </c>
      <c r="I13" s="428" t="e">
        <f>IF(ISERROR(AVERAGEIF(Discrete!$L$3:$L$20, "=2016", Discrete!Y$3:Y$20)), NA(), AVERAGEIF(Discrete!$L$3:$L$20, "=2016", Discrete!Y$3:Y$20))</f>
        <v>#N/A</v>
      </c>
      <c r="J13" s="428" t="e">
        <f>IF(ISERROR(AVERAGEIF(Discrete!$L$3:$L$20, "=2016", Discrete!Z$3:Z$20)), NA(), AVERAGEIF(Discrete!$L$3:$L$20, "=2016", Discrete!Z$3:Z$20))</f>
        <v>#N/A</v>
      </c>
      <c r="K13" s="428" t="e">
        <f>IF(ISERROR(AVERAGEIF(Discrete!$L$3:$L$20, "=2016", Discrete!AA$3:AA$20)), NA(), AVERAGEIF(Discrete!$L$3:$L$20, "=2016", Discrete!AA$3:AA$20))</f>
        <v>#N/A</v>
      </c>
      <c r="L13" s="428" t="e">
        <f>IF(ISERROR(AVERAGEIF(Discrete!$L$3:$L$20, "=2016", Discrete!AB$3:AB$20)), NA(), AVERAGEIF(Discrete!$L$3:$L$20, "=2016", Discrete!AB$3:AB$20))</f>
        <v>#N/A</v>
      </c>
      <c r="M13" s="428" t="e">
        <f>IF(ISERROR(AVERAGEIF(Discrete!$L$3:$L$20, "=2016", Discrete!AC$3:AC$20)), NA(), AVERAGEIF(Discrete!$L$3:$L$20, "=2016", Discrete!AC$3:AC$20))</f>
        <v>#N/A</v>
      </c>
      <c r="N13" s="428" t="e">
        <f>IF(ISERROR(AVERAGEIF(Discrete!$L$3:$L$20, "=2016", Discrete!AD$3:AD$20)), NA(), AVERAGEIF(Discrete!$L$3:$L$20, "=2016", Discrete!AD$3:AD$20))</f>
        <v>#N/A</v>
      </c>
      <c r="O13" s="428" t="e">
        <f>IF(ISERROR(AVERAGEIF(Discrete!$L$3:$L$20, "=2016", Discrete!AE$3:AE$20)), NA(), AVERAGEIF(Discrete!$L$3:$L$20, "=2016", Discrete!AE$3:AE$20))</f>
        <v>#N/A</v>
      </c>
      <c r="P13" s="428" t="e">
        <f>IF(ISERROR(AVERAGEIF(Discrete!$L$3:$L$20, "=2016", Discrete!AF$3:AF$20)), NA(), AVERAGEIF(Discrete!$L$3:$L$20, "=2016", Discrete!AF$3:AF$20))</f>
        <v>#N/A</v>
      </c>
      <c r="Q13" s="428" t="e">
        <f>IF(ISERROR(AVERAGEIF(Discrete!$L$3:$L$20, "=2016", Discrete!AG$3:AG$20)), NA(), AVERAGEIF(Discrete!$L$3:$L$20, "=2016", Discrete!AG$3:AG$20))</f>
        <v>#N/A</v>
      </c>
      <c r="R13" s="428" t="e">
        <f>IF(ISERROR(AVERAGEIF(Discrete!$L$3:$L$20, "=2016", Discrete!AH$3:AH$20)), NA(), AVERAGEIF(Discrete!$L$3:$L$20, "=2016", Discrete!AH$3:AH$20))</f>
        <v>#N/A</v>
      </c>
      <c r="S13" s="428" t="e">
        <f>IF(ISERROR(AVERAGEIF(Discrete!$L$3:$L$20, "=2016", Discrete!AI$3:AI$20)), NA(), AVERAGEIF(Discrete!$L$3:$L$20, "=2016", Discrete!AI$3:AI$20))</f>
        <v>#N/A</v>
      </c>
      <c r="T13" s="428" t="e">
        <f>IF(ISERROR(AVERAGEIF(Discrete!$L$3:$L$20, "=2016", Discrete!AJ$3:AJ$20)), NA(), AVERAGEIF(Discrete!$L$3:$L$20, "=2016", Discrete!AJ$3:AJ$20))</f>
        <v>#N/A</v>
      </c>
      <c r="U13" s="428" t="e">
        <f>IF(ISERROR(AVERAGEIF(Discrete!$L$3:$L$20, "=2016", Discrete!AK$3:AK$20)), NA(), AVERAGEIF(Discrete!$L$3:$L$20, "=2016", Discrete!AK$3:AK$20))</f>
        <v>#N/A</v>
      </c>
      <c r="V13" s="428" t="e">
        <f>IF(ISERROR(AVERAGEIF(Discrete!$L$3:$L$20, "=2016", Discrete!AL$3:AL$20)), NA(), AVERAGEIF(Discrete!$L$3:$L$20, "=2016", Discrete!AL$3:AL$20))</f>
        <v>#N/A</v>
      </c>
      <c r="W13" s="428" t="e">
        <f>IF(ISERROR(AVERAGEIF(Discrete!$L$3:$L$20, "=2016", Discrete!AM$3:AM$20)), NA(), AVERAGEIF(Discrete!$L$3:$L$20, "=2016", Discrete!AM$3:AM$20))</f>
        <v>#N/A</v>
      </c>
      <c r="X13" s="428" t="e">
        <f>IF(ISERROR(AVERAGEIF(Discrete!$L$3:$L$20, "=2016", Discrete!AN$3:AN$20)), NA(), AVERAGEIF(Discrete!$L$3:$L$20, "=2016", Discrete!AN$3:AN$20)*1000)</f>
        <v>#N/A</v>
      </c>
      <c r="Y13" s="428" t="e">
        <f>IF(ISERROR(AVERAGEIF(Discrete!$L$3:$L$20, "=2016", Discrete!AO$3:AO$20)), NA(), AVERAGEIF(Discrete!$L$3:$L$20, "=2016", Discrete!AO$3:AO$20))</f>
        <v>#N/A</v>
      </c>
      <c r="Z13" s="428" t="e">
        <f>IF(ISERROR(AVERAGEIF(Discrete!$L$3:$L$20, "=2016", Discrete!AP$3:AP$20)), NA(), AVERAGEIF(Discrete!$L$3:$L$20, "=2016", Discrete!AP$3:AP$20))</f>
        <v>#N/A</v>
      </c>
      <c r="AA13" s="428" t="e">
        <f>IF(ISERROR(AVERAGEIF(Discrete!$L$3:$L$20, "=2016", Discrete!AQ$3:AQ$20)), NA(), AVERAGEIF(Discrete!$L$3:$L$20, "=2016", Discrete!AQ$3:AQ$20))</f>
        <v>#N/A</v>
      </c>
      <c r="AB13" s="428" t="e">
        <f>IF(ISERROR(AVERAGEIF(Discrete!$L$3:$L$20, "=2016", Discrete!AR$3:AR$20)), NA(), AVERAGEIF(Discrete!$L$3:$L$20, "=2016", Discrete!AR$3:AR$20))</f>
        <v>#N/A</v>
      </c>
      <c r="AC13" s="428" t="e">
        <f>IF(ISERROR(AVERAGEIF(Discrete!$L$3:$L$20, "=2016", Discrete!AS$3:AS$20)), NA(), AVERAGEIF(Discrete!$L$3:$L$20, "=2016", Discrete!AS$3:AS$20))</f>
        <v>#N/A</v>
      </c>
      <c r="AD13" s="428" t="e">
        <f>IF(ISERROR(AVERAGEIF(Discrete!$L$3:$L$20, "=2016", Discrete!AT$3:AT$20)), NA(), AVERAGEIF(Discrete!$L$3:$L$20, "=2016", Discrete!AT$3:AT$20))</f>
        <v>#N/A</v>
      </c>
      <c r="AE13" s="428" t="e">
        <f>IF(ISERROR(AVERAGEIF(Discrete!$L$3:$L$20, "=2016", Discrete!AU$3:AU$20)), NA(), AVERAGEIF(Discrete!$L$3:$L$20, "=2016", Discrete!AU$3:AU$20))</f>
        <v>#N/A</v>
      </c>
      <c r="AF13" s="428" t="e">
        <f>IF(ISERROR(AVERAGEIF(Discrete!$L$3:$L$20, "=2016", Discrete!AV$3:AV$20)), NA(), AVERAGEIF(Discrete!$L$3:$L$20, "=2016", Discrete!AV$3:AV$20))</f>
        <v>#N/A</v>
      </c>
      <c r="AG13" s="428" t="e">
        <f>IF(ISERROR(AVERAGEIF(Discrete!$L$3:$L$20, "=2016", Discrete!AW$3:AW$20)), NA(), AVERAGEIF(Discrete!$L$3:$L$20, "=2016", Discrete!AW$3:AW$20))</f>
        <v>#N/A</v>
      </c>
      <c r="AH13" s="428" t="e">
        <f>IF(ISERROR(AVERAGEIF(Discrete!$L$3:$L$20, "=2016", Discrete!AX$3:AX$20)), NA(), AVERAGEIF(Discrete!$L$3:$L$20, "=2016", Discrete!AX$3:AX$20))</f>
        <v>#N/A</v>
      </c>
      <c r="AI13" s="428" t="e">
        <f>IF(ISERROR(AVERAGEIF(Discrete!$L$3:$L$20, "=2016", Discrete!AY$3:AY$20)), NA(), AVERAGEIF(Discrete!$L$3:$L$20, "=2016", Discrete!AY$3:AY$20))</f>
        <v>#N/A</v>
      </c>
      <c r="AJ13" s="428" t="e">
        <f>IF(ISERROR(AVERAGEIF(Discrete!$L$3:$L$20, "=2016", Discrete!AZ$3:AZ$20)), NA(), AVERAGEIF(Discrete!$L$3:$L$20, "=2016", Discrete!AZ$3:AZ$20))</f>
        <v>#N/A</v>
      </c>
      <c r="AK13" s="428" t="e">
        <f>IF(ISERROR(AVERAGEIF(Discrete!$L$3:$L$20, "=2016", Discrete!BA$3:BA$20)), NA(), AVERAGEIF(Discrete!$L$3:$L$20, "=2016", Discrete!BA$3:BA$20))</f>
        <v>#N/A</v>
      </c>
      <c r="AL13" s="428" t="e">
        <f>IF(ISERROR(AVERAGEIF(Discrete!$L$3:$L$20, "=2016", Discrete!BB$3:BB$20)), NA(), AVERAGEIF(Discrete!$L$3:$L$20, "=2016", Discrete!BB$3:BB$20))</f>
        <v>#N/A</v>
      </c>
      <c r="AM13" s="428" t="e">
        <f>IF(ISERROR(AVERAGEIF(Discrete!$L$3:$L$20, "=2016", Discrete!BC$3:BC$20)), NA(), AVERAGEIF(Discrete!$L$3:$L$20, "=2016", Discrete!BC$3:BC$20))</f>
        <v>#N/A</v>
      </c>
      <c r="AN13" s="428" t="e">
        <f>IF(ISERROR(AVERAGEIF(Discrete!$L$3:$L$20, "=2016", Discrete!BD$3:BD$20)), NA(), AVERAGEIF(Discrete!$L$3:$L$20, "=2016", Discrete!BD$3:BD$20))</f>
        <v>#N/A</v>
      </c>
      <c r="AO13" s="428" t="e">
        <f>IF(ISERROR(AVERAGEIF(Discrete!$L$3:$L$20, "=2016", Discrete!BE$3:BE$20)), NA(), AVERAGEIF(Discrete!$L$3:$L$20, "=2016", Discrete!BE$3:BE$20))</f>
        <v>#N/A</v>
      </c>
      <c r="AP13" s="428" t="e">
        <f>IF(ISERROR(AVERAGEIF(Discrete!$L$3:$L$20, "=2016", Discrete!BF$3:BF$20)), NA(), AVERAGEIF(Discrete!$L$3:$L$20, "=2016", Discrete!BF$3:BF$20))</f>
        <v>#N/A</v>
      </c>
      <c r="AQ13" s="428" t="e">
        <f>IF(ISERROR(AVERAGEIF(Discrete!$L$3:$L$20, "=2016", Discrete!BG$3:BG$20)), NA(), AVERAGEIF(Discrete!$L$3:$L$20, "=2016", Discrete!BG$3:BG$20))</f>
        <v>#N/A</v>
      </c>
      <c r="AR13" s="428" t="e">
        <f>IF(ISERROR(AVERAGEIF(Discrete!$L$3:$L$20, "=2016", Discrete!BH$3:BH$20)), NA(), AVERAGEIF(Discrete!$L$3:$L$20, "=2016", Discrete!BH$3:BH$20))</f>
        <v>#N/A</v>
      </c>
      <c r="AS13" s="428" t="e">
        <f>IF(ISERROR(AVERAGEIF(Discrete!$L$3:$L$20, "=2016", Discrete!BI$3:BI$20)), NA(), AVERAGEIF(Discrete!$L$3:$L$20, "=2016", Discrete!BI$3:BI$20))</f>
        <v>#N/A</v>
      </c>
      <c r="AT13" s="428" t="e">
        <f>IF(ISERROR(AVERAGEIF(Discrete!$L$3:$L$20, "=2016", Discrete!BJ$3:BJ$20)), NA(), AVERAGEIF(Discrete!$L$3:$L$20, "=2016", Discrete!BJ$3:BJ$20))</f>
        <v>#N/A</v>
      </c>
      <c r="AU13" s="428" t="e">
        <f>IF(ISERROR(AVERAGEIF(Discrete!$L$3:$L$20, "=2016", Discrete!BK$3:BK$20)), NA(), AVERAGEIF(Discrete!$L$3:$L$20, "=2016", Discrete!BK$3:BK$20))</f>
        <v>#N/A</v>
      </c>
      <c r="AV13" s="428" t="e">
        <f>IF(ISERROR(AVERAGEIF(Discrete!$L$3:$L$20, "=2016", Discrete!BL$3:BL$20)), NA(), AVERAGEIF(Discrete!$L$3:$L$20, "=2016", Discrete!BL$3:BL$20))</f>
        <v>#N/A</v>
      </c>
      <c r="AW13" s="428" t="e">
        <f>IF(ISERROR(AVERAGEIF(Discrete!$L$3:$L$20, "=2016", Discrete!BM$3:BM$20)), NA(), AVERAGEIF(Discrete!$L$3:$L$20, "=2016", Discrete!BM$3:BM$20))</f>
        <v>#N/A</v>
      </c>
      <c r="AX13" s="428" t="e">
        <f>IF(ISERROR(AVERAGEIF(Discrete!$L$3:$L$20, "=2016", Discrete!BN$3:BN$20)), NA(), AVERAGEIF(Discrete!$L$3:$L$20, "=2016", Discrete!BN$3:BN$20))</f>
        <v>#N/A</v>
      </c>
      <c r="AY13" s="428" t="e">
        <f>IF(ISERROR(AVERAGEIF(Discrete!$L$3:$L$20, "=2016", Discrete!BO$3:BO$20)), NA(), AVERAGEIF(Discrete!$L$3:$L$20, "=2016", Discrete!BO$3:BO$20))</f>
        <v>#N/A</v>
      </c>
      <c r="AZ13" s="428" t="e">
        <f>IF(ISERROR(AVERAGEIF(Discrete!$L$3:$L$20, "=2016", Discrete!BP$3:BP$20)), NA(), AVERAGEIF(Discrete!$L$3:$L$20, "=2016", Discrete!BP$3:BP$20))</f>
        <v>#N/A</v>
      </c>
      <c r="BA13" s="428" t="e">
        <f>IF(ISERROR(AVERAGEIF(Discrete!$L$3:$L$20, "=2016", Discrete!BQ$3:BQ$20)), NA(), AVERAGEIF(Discrete!$L$3:$L$20, "=2016", Discrete!BQ$3:BQ$20))</f>
        <v>#N/A</v>
      </c>
      <c r="BB13" s="428" t="e">
        <f>IF(ISERROR(AVERAGEIF(Discrete!$L$3:$L$20, "=2016", Discrete!BR$3:BR$20)), NA(), AVERAGEIF(Discrete!$L$3:$L$20, "=2016", Discrete!BR$3:BR$20))</f>
        <v>#N/A</v>
      </c>
    </row>
    <row r="14" spans="1:217" s="431" customFormat="1" ht="15" thickBot="1">
      <c r="A14" s="775"/>
      <c r="B14" s="433">
        <v>2017</v>
      </c>
      <c r="C14" s="431" t="e">
        <f>IF(ISERROR(AVERAGEIF(Discrete!$L$3:$L$20, "=2017", Discrete!S$3:S$20)), NA(), AVERAGEIF(Discrete!$L$3:$L$20, "=2017", Discrete!S$3:S$20))</f>
        <v>#N/A</v>
      </c>
      <c r="D14" s="431" t="e">
        <f>IF(ISERROR(AVERAGEIF(Discrete!$L$3:$L$20, "=2017", Discrete!T$3:T$20)), NA(), AVERAGEIF(Discrete!$L$3:$L$20, "=2017", Discrete!T$3:T$20))</f>
        <v>#N/A</v>
      </c>
      <c r="E14" s="431" t="e">
        <f>IF(ISERROR(AVERAGEIF(Discrete!$L$3:$L$20, "=2017", Discrete!U$3:U$20)), NA(), AVERAGEIF(Discrete!$L$3:$L$20, "=2017", Discrete!U$3:U$20))</f>
        <v>#N/A</v>
      </c>
      <c r="F14" s="431" t="e">
        <f>IF(ISERROR(AVERAGEIF(Discrete!$L$3:$L$20, "=2017", Discrete!V$3:V$20)), NA(), AVERAGEIF(Discrete!$L$3:$L$20, "=2017", Discrete!V$3:V$20))</f>
        <v>#N/A</v>
      </c>
      <c r="G14" s="431" t="e">
        <f>IF(ISERROR(AVERAGEIF(Discrete!$L$3:$L$20, "=2017", Discrete!W$3:W$20)), NA(), AVERAGEIF(Discrete!$L$3:$L$20, "=2017", Discrete!W$3:W$20))</f>
        <v>#N/A</v>
      </c>
      <c r="H14" s="431" t="e">
        <f>IF(ISERROR(AVERAGEIF(Discrete!$L$3:$L$20, "=2017", Discrete!X$3:X$20)), NA(), AVERAGEIF(Discrete!$L$3:$L$20, "=2017", Discrete!X$3:X$20))</f>
        <v>#N/A</v>
      </c>
      <c r="I14" s="431" t="e">
        <f>IF(ISERROR(AVERAGEIF(Discrete!$L$3:$L$20, "=2017", Discrete!Y$3:Y$20)), NA(), AVERAGEIF(Discrete!$L$3:$L$20, "=2017", Discrete!Y$3:Y$20))</f>
        <v>#N/A</v>
      </c>
      <c r="J14" s="431" t="e">
        <f>IF(ISERROR(AVERAGEIF(Discrete!$L$3:$L$20, "=2017", Discrete!Z$3:Z$20)), NA(), AVERAGEIF(Discrete!$L$3:$L$20, "=2017", Discrete!Z$3:Z$20))</f>
        <v>#N/A</v>
      </c>
      <c r="K14" s="431" t="e">
        <f>IF(ISERROR(AVERAGEIF(Discrete!$L$3:$L$20, "=2017", Discrete!AA$3:AA$20)), NA(), AVERAGEIF(Discrete!$L$3:$L$20, "=2017", Discrete!AA$3:AA$20))</f>
        <v>#N/A</v>
      </c>
      <c r="L14" s="431" t="e">
        <f>IF(ISERROR(AVERAGEIF(Discrete!$L$3:$L$20, "=2017", Discrete!AB$3:AB$20)), NA(), AVERAGEIF(Discrete!$L$3:$L$20, "=2017", Discrete!AB$3:AB$20))</f>
        <v>#N/A</v>
      </c>
      <c r="M14" s="431" t="e">
        <f>IF(ISERROR(AVERAGEIF(Discrete!$L$3:$L$20, "=2017", Discrete!AC$3:AC$20)), NA(), AVERAGEIF(Discrete!$L$3:$L$20, "=2017", Discrete!AC$3:AC$20))</f>
        <v>#N/A</v>
      </c>
      <c r="N14" s="431" t="e">
        <f>IF(ISERROR(AVERAGEIF(Discrete!$L$3:$L$20, "=2017", Discrete!AD$3:AD$20)), NA(), AVERAGEIF(Discrete!$L$3:$L$20, "=2017", Discrete!AD$3:AD$20))</f>
        <v>#N/A</v>
      </c>
      <c r="O14" s="431" t="e">
        <f>IF(ISERROR(AVERAGEIF(Discrete!$L$3:$L$20, "=2017", Discrete!AE$3:AE$20)), NA(), AVERAGEIF(Discrete!$L$3:$L$20, "=2017", Discrete!AE$3:AE$20))</f>
        <v>#N/A</v>
      </c>
      <c r="P14" s="431" t="e">
        <f>IF(ISERROR(AVERAGEIF(Discrete!$L$3:$L$20, "=2017", Discrete!AF$3:AF$20)), NA(), AVERAGEIF(Discrete!$L$3:$L$20, "=2017", Discrete!AF$3:AF$20))</f>
        <v>#N/A</v>
      </c>
      <c r="Q14" s="431" t="e">
        <f>IF(ISERROR(AVERAGEIF(Discrete!$L$3:$L$20, "=2017", Discrete!AG$3:AG$20)), NA(), AVERAGEIF(Discrete!$L$3:$L$20, "=2017", Discrete!AG$3:AG$20))</f>
        <v>#N/A</v>
      </c>
      <c r="R14" s="431" t="e">
        <f>IF(ISERROR(AVERAGEIF(Discrete!$L$3:$L$20, "=2017", Discrete!AH$3:AH$20)), NA(), AVERAGEIF(Discrete!$L$3:$L$20, "=2017", Discrete!AH$3:AH$20))</f>
        <v>#N/A</v>
      </c>
      <c r="S14" s="431" t="e">
        <f>IF(ISERROR(AVERAGEIF(Discrete!$L$3:$L$20, "=2017", Discrete!AI$3:AI$20)), NA(), AVERAGEIF(Discrete!$L$3:$L$20, "=2017", Discrete!AI$3:AI$20))</f>
        <v>#N/A</v>
      </c>
      <c r="T14" s="431" t="e">
        <f>IF(ISERROR(AVERAGEIF(Discrete!$L$3:$L$20, "=2017", Discrete!AJ$3:AJ$20)), NA(), AVERAGEIF(Discrete!$L$3:$L$20, "=2017", Discrete!AJ$3:AJ$20))</f>
        <v>#N/A</v>
      </c>
      <c r="U14" s="431" t="e">
        <f>IF(ISERROR(AVERAGEIF(Discrete!$L$3:$L$20, "=2017", Discrete!AK$3:AK$20)), NA(), AVERAGEIF(Discrete!$L$3:$L$20, "=2017", Discrete!AK$3:AK$20))</f>
        <v>#N/A</v>
      </c>
      <c r="V14" s="431" t="e">
        <f>IF(ISERROR(AVERAGEIF(Discrete!$L$3:$L$20, "=2017", Discrete!AL$3:AL$20)), NA(), AVERAGEIF(Discrete!$L$3:$L$20, "=2017", Discrete!AL$3:AL$20))</f>
        <v>#N/A</v>
      </c>
      <c r="W14" s="431" t="e">
        <f>IF(ISERROR(AVERAGEIF(Discrete!$L$3:$L$20, "=2017", Discrete!AM$3:AM$20)), NA(), AVERAGEIF(Discrete!$L$3:$L$20, "=2017", Discrete!AM$3:AM$20))</f>
        <v>#N/A</v>
      </c>
      <c r="X14" s="431" t="e">
        <f>IF(ISERROR(AVERAGEIF(Discrete!$L$3:$L$20, "=2017", Discrete!AN$3:AN$20)), NA(), AVERAGEIF(Discrete!$L$3:$L$20, "=2017", Discrete!AN$3:AN$20)*1000)</f>
        <v>#N/A</v>
      </c>
      <c r="Y14" s="431" t="e">
        <f>IF(ISERROR(AVERAGEIF(Discrete!$L$3:$L$20, "=2017", Discrete!AO$3:AO$20)), NA(), AVERAGEIF(Discrete!$L$3:$L$20, "=2017", Discrete!AO$3:AO$20))</f>
        <v>#N/A</v>
      </c>
      <c r="Z14" s="431" t="e">
        <f>IF(ISERROR(AVERAGEIF(Discrete!$L$3:$L$20, "=2017", Discrete!AP$3:AP$20)), NA(), AVERAGEIF(Discrete!$L$3:$L$20, "=2017", Discrete!AP$3:AP$20))</f>
        <v>#N/A</v>
      </c>
      <c r="AA14" s="431" t="e">
        <f>IF(ISERROR(AVERAGEIF(Discrete!$L$3:$L$20, "=2017", Discrete!AQ$3:AQ$20)), NA(), AVERAGEIF(Discrete!$L$3:$L$20, "=2017", Discrete!AQ$3:AQ$20))</f>
        <v>#N/A</v>
      </c>
      <c r="AB14" s="431" t="e">
        <f>IF(ISERROR(AVERAGEIF(Discrete!$L$3:$L$20, "=2017", Discrete!AR$3:AR$20)), NA(), AVERAGEIF(Discrete!$L$3:$L$20, "=2017", Discrete!AR$3:AR$20))</f>
        <v>#N/A</v>
      </c>
      <c r="AC14" s="431" t="e">
        <f>IF(ISERROR(AVERAGEIF(Discrete!$L$3:$L$20, "=2017", Discrete!AS$3:AS$20)), NA(), AVERAGEIF(Discrete!$L$3:$L$20, "=2017", Discrete!AS$3:AS$20))</f>
        <v>#N/A</v>
      </c>
      <c r="AD14" s="431" t="e">
        <f>IF(ISERROR(AVERAGEIF(Discrete!$L$3:$L$20, "=2017", Discrete!AT$3:AT$20)), NA(), AVERAGEIF(Discrete!$L$3:$L$20, "=2017", Discrete!AT$3:AT$20))</f>
        <v>#N/A</v>
      </c>
      <c r="AE14" s="431" t="e">
        <f>IF(ISERROR(AVERAGEIF(Discrete!$L$3:$L$20, "=2017", Discrete!AU$3:AU$20)), NA(), AVERAGEIF(Discrete!$L$3:$L$20, "=2017", Discrete!AU$3:AU$20))</f>
        <v>#N/A</v>
      </c>
      <c r="AF14" s="431" t="e">
        <f>IF(ISERROR(AVERAGEIF(Discrete!$L$3:$L$20, "=2017", Discrete!AV$3:AV$20)), NA(), AVERAGEIF(Discrete!$L$3:$L$20, "=2017", Discrete!AV$3:AV$20))</f>
        <v>#N/A</v>
      </c>
      <c r="AG14" s="431" t="e">
        <f>IF(ISERROR(AVERAGEIF(Discrete!$L$3:$L$20, "=2017", Discrete!AW$3:AW$20)), NA(), AVERAGEIF(Discrete!$L$3:$L$20, "=2017", Discrete!AW$3:AW$20))</f>
        <v>#N/A</v>
      </c>
      <c r="AH14" s="431" t="e">
        <f>IF(ISERROR(AVERAGEIF(Discrete!$L$3:$L$20, "=2017", Discrete!AX$3:AX$20)), NA(), AVERAGEIF(Discrete!$L$3:$L$20, "=2017", Discrete!AX$3:AX$20))</f>
        <v>#N/A</v>
      </c>
      <c r="AI14" s="431" t="e">
        <f>IF(ISERROR(AVERAGEIF(Discrete!$L$3:$L$20, "=2017", Discrete!AY$3:AY$20)), NA(), AVERAGEIF(Discrete!$L$3:$L$20, "=2017", Discrete!AY$3:AY$20))</f>
        <v>#N/A</v>
      </c>
      <c r="AJ14" s="431" t="e">
        <f>IF(ISERROR(AVERAGEIF(Discrete!$L$3:$L$20, "=2017", Discrete!AZ$3:AZ$20)), NA(), AVERAGEIF(Discrete!$L$3:$L$20, "=2017", Discrete!AZ$3:AZ$20))</f>
        <v>#N/A</v>
      </c>
      <c r="AK14" s="431" t="e">
        <f>IF(ISERROR(AVERAGEIF(Discrete!$L$3:$L$20, "=2017", Discrete!BA$3:BA$20)), NA(), AVERAGEIF(Discrete!$L$3:$L$20, "=2017", Discrete!BA$3:BA$20))</f>
        <v>#N/A</v>
      </c>
      <c r="AL14" s="431" t="e">
        <f>IF(ISERROR(AVERAGEIF(Discrete!$L$3:$L$20, "=2017", Discrete!BB$3:BB$20)), NA(), AVERAGEIF(Discrete!$L$3:$L$20, "=2017", Discrete!BB$3:BB$20))</f>
        <v>#N/A</v>
      </c>
      <c r="AM14" s="431" t="e">
        <f>IF(ISERROR(AVERAGEIF(Discrete!$L$3:$L$20, "=2017", Discrete!BC$3:BC$20)), NA(), AVERAGEIF(Discrete!$L$3:$L$20, "=2017", Discrete!BC$3:BC$20))</f>
        <v>#N/A</v>
      </c>
      <c r="AN14" s="431" t="e">
        <f>IF(ISERROR(AVERAGEIF(Discrete!$L$3:$L$20, "=2017", Discrete!BD$3:BD$20)), NA(), AVERAGEIF(Discrete!$L$3:$L$20, "=2017", Discrete!BD$3:BD$20))</f>
        <v>#N/A</v>
      </c>
      <c r="AO14" s="431" t="e">
        <f>IF(ISERROR(AVERAGEIF(Discrete!$L$3:$L$20, "=2017", Discrete!BE$3:BE$20)), NA(), AVERAGEIF(Discrete!$L$3:$L$20, "=2017", Discrete!BE$3:BE$20))</f>
        <v>#N/A</v>
      </c>
      <c r="AP14" s="431" t="e">
        <f>IF(ISERROR(AVERAGEIF(Discrete!$L$3:$L$20, "=2017", Discrete!BF$3:BF$20)), NA(), AVERAGEIF(Discrete!$L$3:$L$20, "=2017", Discrete!BF$3:BF$20))</f>
        <v>#N/A</v>
      </c>
      <c r="AQ14" s="431" t="e">
        <f>IF(ISERROR(AVERAGEIF(Discrete!$L$3:$L$20, "=2017", Discrete!BG$3:BG$20)), NA(), AVERAGEIF(Discrete!$L$3:$L$20, "=2017", Discrete!BG$3:BG$20))</f>
        <v>#N/A</v>
      </c>
      <c r="AR14" s="431" t="e">
        <f>IF(ISERROR(AVERAGEIF(Discrete!$L$3:$L$20, "=2017", Discrete!BH$3:BH$20)), NA(), AVERAGEIF(Discrete!$L$3:$L$20, "=2017", Discrete!BH$3:BH$20))</f>
        <v>#N/A</v>
      </c>
      <c r="AS14" s="431" t="e">
        <f>IF(ISERROR(AVERAGEIF(Discrete!$L$3:$L$20, "=2017", Discrete!BI$3:BI$20)), NA(), AVERAGEIF(Discrete!$L$3:$L$20, "=2017", Discrete!BI$3:BI$20))</f>
        <v>#N/A</v>
      </c>
      <c r="AT14" s="431" t="e">
        <f>IF(ISERROR(AVERAGEIF(Discrete!$L$3:$L$20, "=2017", Discrete!BJ$3:BJ$20)), NA(), AVERAGEIF(Discrete!$L$3:$L$20, "=2017", Discrete!BJ$3:BJ$20))</f>
        <v>#N/A</v>
      </c>
      <c r="AU14" s="431" t="e">
        <f>IF(ISERROR(AVERAGEIF(Discrete!$L$3:$L$20, "=2017", Discrete!BK$3:BK$20)), NA(), AVERAGEIF(Discrete!$L$3:$L$20, "=2017", Discrete!BK$3:BK$20))</f>
        <v>#N/A</v>
      </c>
      <c r="AV14" s="431" t="e">
        <f>IF(ISERROR(AVERAGEIF(Discrete!$L$3:$L$20, "=2017", Discrete!BL$3:BL$20)), NA(), AVERAGEIF(Discrete!$L$3:$L$20, "=2017", Discrete!BL$3:BL$20))</f>
        <v>#N/A</v>
      </c>
      <c r="AW14" s="431" t="e">
        <f>IF(ISERROR(AVERAGEIF(Discrete!$L$3:$L$20, "=2017", Discrete!BM$3:BM$20)), NA(), AVERAGEIF(Discrete!$L$3:$L$20, "=2017", Discrete!BM$3:BM$20))</f>
        <v>#N/A</v>
      </c>
      <c r="AX14" s="431" t="e">
        <f>IF(ISERROR(AVERAGEIF(Discrete!$L$3:$L$20, "=2017", Discrete!BN$3:BN$20)), NA(), AVERAGEIF(Discrete!$L$3:$L$20, "=2017", Discrete!BN$3:BN$20))</f>
        <v>#N/A</v>
      </c>
      <c r="AY14" s="431" t="e">
        <f>IF(ISERROR(AVERAGEIF(Discrete!$L$3:$L$20, "=2017", Discrete!BO$3:BO$20)), NA(), AVERAGEIF(Discrete!$L$3:$L$20, "=2017", Discrete!BO$3:BO$20))</f>
        <v>#N/A</v>
      </c>
      <c r="AZ14" s="431" t="e">
        <f>IF(ISERROR(AVERAGEIF(Discrete!$L$3:$L$20, "=2017", Discrete!BP$3:BP$20)), NA(), AVERAGEIF(Discrete!$L$3:$L$20, "=2017", Discrete!BP$3:BP$20))</f>
        <v>#N/A</v>
      </c>
      <c r="BA14" s="431" t="e">
        <f>IF(ISERROR(AVERAGEIF(Discrete!$L$3:$L$20, "=2017", Discrete!BQ$3:BQ$20)), NA(), AVERAGEIF(Discrete!$L$3:$L$20, "=2017", Discrete!BQ$3:BQ$20))</f>
        <v>#N/A</v>
      </c>
      <c r="BB14" s="431" t="e">
        <f>IF(ISERROR(AVERAGEIF(Discrete!$L$3:$L$20, "=2017", Discrete!BR$3:BR$20)), NA(), AVERAGEIF(Discrete!$L$3:$L$20, "=2017", Discrete!BR$3:BR$20))</f>
        <v>#N/A</v>
      </c>
    </row>
    <row r="15" spans="1:217">
      <c r="A15" s="774" t="s">
        <v>877</v>
      </c>
      <c r="B15" s="434">
        <v>2006</v>
      </c>
      <c r="C15" s="428" t="e">
        <f>IF(ISERROR(AVERAGEIF(Discrete!$L$21:$L$78, "=2006", Discrete!S$21:S$78)), NA(), AVERAGEIF(Discrete!$L$21:$L$78, "=2006", Discrete!S$21:S$78))</f>
        <v>#N/A</v>
      </c>
      <c r="D15" s="428" t="e">
        <f>IF(ISERROR(AVERAGEIF(Discrete!$L$21:$L$78, "=2006", Discrete!T$21:T$78)), NA(), AVERAGEIF(Discrete!$L$21:$L$78, "=2006", Discrete!T$21:T$78))</f>
        <v>#N/A</v>
      </c>
      <c r="E15" s="428" t="e">
        <f>IF(ISERROR(AVERAGEIF(Discrete!$L$21:$L$78, "=2006", Discrete!U$21:U$78)), NA(), AVERAGEIF(Discrete!$L$21:$L$78, "=2006", Discrete!U$21:U$78))</f>
        <v>#N/A</v>
      </c>
      <c r="F15" s="428" t="e">
        <f>IF(ISERROR(AVERAGEIF(Discrete!$L$21:$L$78, "=2006", Discrete!V$21:V$78)), NA(), AVERAGEIF(Discrete!$L$21:$L$78, "=2006", Discrete!V$21:V$78))</f>
        <v>#N/A</v>
      </c>
      <c r="G15" s="428" t="e">
        <f>IF(ISERROR(AVERAGEIF(Discrete!$L$21:$L$78, "=2006", Discrete!W$21:W$78)), NA(), AVERAGEIF(Discrete!$L$21:$L$78, "=2006", Discrete!W$21:W$78))</f>
        <v>#N/A</v>
      </c>
      <c r="H15" s="428" t="e">
        <f>IF(ISERROR(AVERAGEIF(Discrete!$L$21:$L$78, "=2006", Discrete!X$21:X$78)), NA(), AVERAGEIF(Discrete!$L$21:$L$78, "=2006", Discrete!X$21:X$78))</f>
        <v>#N/A</v>
      </c>
      <c r="I15" s="428" t="e">
        <f>IF(ISERROR(AVERAGEIF(Discrete!$L$21:$L$78, "=2006", Discrete!Y$21:Y$78)), NA(), AVERAGEIF(Discrete!$L$21:$L$78, "=2006", Discrete!Y$21:Y$78))</f>
        <v>#N/A</v>
      </c>
      <c r="J15" s="428" t="e">
        <f>IF(ISERROR(AVERAGEIF(Discrete!$L$21:$L$78, "=2006", Discrete!Z$21:Z$78)), NA(), AVERAGEIF(Discrete!$L$21:$L$78, "=2006", Discrete!Z$21:Z$78))</f>
        <v>#N/A</v>
      </c>
      <c r="K15" s="428" t="e">
        <f>IF(ISERROR(AVERAGEIF(Discrete!$L$21:$L$78, "=2006", Discrete!AA$21:AA$78)), NA(), AVERAGEIF(Discrete!$L$21:$L$78, "=2006", Discrete!AA$21:AA$78))</f>
        <v>#N/A</v>
      </c>
      <c r="L15" s="428" t="e">
        <f>IF(ISERROR(AVERAGEIF(Discrete!$L$21:$L$78, "=2006", Discrete!AB$21:AB$78)), NA(), AVERAGEIF(Discrete!$L$21:$L$78, "=2006", Discrete!AB$21:AB$78))</f>
        <v>#N/A</v>
      </c>
      <c r="M15" s="428" t="e">
        <f>IF(ISERROR(AVERAGEIF(Discrete!$L$21:$L$78, "=2006", Discrete!AC$21:AC$78)), NA(), AVERAGEIF(Discrete!$L$21:$L$78, "=2006", Discrete!AC$21:AC$78))</f>
        <v>#N/A</v>
      </c>
      <c r="N15" s="428" t="e">
        <f>IF(ISERROR(AVERAGEIF(Discrete!$L$21:$L$78, "=2006", Discrete!AD$21:AD$78)), NA(), AVERAGEIF(Discrete!$L$21:$L$78, "=2006", Discrete!AD$21:AD$78))</f>
        <v>#N/A</v>
      </c>
      <c r="O15" s="428" t="e">
        <f>IF(ISERROR(AVERAGEIF(Discrete!$L$21:$L$78, "=2006", Discrete!AE$21:AE$78)), NA(), AVERAGEIF(Discrete!$L$21:$L$78, "=2006", Discrete!AE$21:AE$78))</f>
        <v>#N/A</v>
      </c>
      <c r="P15" s="428" t="e">
        <f>IF(ISERROR(AVERAGEIF(Discrete!$L$21:$L$78, "=2006", Discrete!AF$21:AF$78)), NA(), AVERAGEIF(Discrete!$L$21:$L$78, "=2006", Discrete!AF$21:AF$78))</f>
        <v>#N/A</v>
      </c>
      <c r="Q15" s="428" t="e">
        <f>IF(ISERROR(AVERAGEIF(Discrete!$L$21:$L$78, "=2006", Discrete!AG$21:AG$78)), NA(), AVERAGEIF(Discrete!$L$21:$L$78, "=2006", Discrete!AG$21:AG$78))</f>
        <v>#N/A</v>
      </c>
      <c r="R15" s="428" t="e">
        <f>IF(ISERROR(AVERAGEIF(Discrete!$L$21:$L$78, "=2006", Discrete!AH$21:AH$78)), NA(), AVERAGEIF(Discrete!$L$21:$L$78, "=2006", Discrete!AH$21:AH$78))</f>
        <v>#N/A</v>
      </c>
      <c r="S15" s="428" t="e">
        <f>IF(ISERROR(AVERAGEIF(Discrete!$L$21:$L$78, "=2006", Discrete!AI$21:AI$78)), NA(), AVERAGEIF(Discrete!$L$21:$L$78, "=2006", Discrete!AI$21:AI$78))</f>
        <v>#N/A</v>
      </c>
      <c r="T15" s="428" t="e">
        <f>IF(ISERROR(AVERAGEIF(Discrete!$L$21:$L$78, "=2006", Discrete!AJ$21:AJ$78)), NA(), AVERAGEIF(Discrete!$L$21:$L$78, "=2006", Discrete!AJ$21:AJ$78))</f>
        <v>#N/A</v>
      </c>
      <c r="U15" s="428" t="e">
        <f>IF(ISERROR(AVERAGEIF(Discrete!$L$21:$L$78, "=2006", Discrete!AK$21:AK$78)), NA(), AVERAGEIF(Discrete!$L$21:$L$78, "=2006", Discrete!AK$21:AK$78))</f>
        <v>#N/A</v>
      </c>
      <c r="V15" s="428" t="e">
        <f>IF(ISERROR(AVERAGEIF(Discrete!$L$21:$L$78, "=2006", Discrete!AL$21:AL$78)), NA(), AVERAGEIF(Discrete!$L$21:$L$78, "=2006", Discrete!AL$21:AL$78))</f>
        <v>#N/A</v>
      </c>
      <c r="W15" s="428" t="e">
        <f>IF(ISERROR(AVERAGEIF(Discrete!$L$21:$L$78, "=2006", Discrete!AM$21:AM$78)), NA(), AVERAGEIF(Discrete!$L$21:$L$78, "=2006", Discrete!AM$21:AM$78))</f>
        <v>#N/A</v>
      </c>
      <c r="X15" s="428" t="e">
        <f>IF(ISERROR(AVERAGEIF(Discrete!$L$21:$L$78, "=2006", Discrete!AN$21:AN$78)), NA(), AVERAGEIF(Discrete!$L$21:$L$78, "=2006", Discrete!AN$21:AN$78)*1000)</f>
        <v>#N/A</v>
      </c>
      <c r="Y15" s="428" t="e">
        <f>IF(ISERROR(AVERAGEIF(Discrete!$L$21:$L$78, "=2006", Discrete!AO$21:AO$78)), NA(), AVERAGEIF(Discrete!$L$21:$L$78, "=2006", Discrete!AO$21:AO$78))</f>
        <v>#N/A</v>
      </c>
      <c r="Z15" s="428" t="e">
        <f>IF(ISERROR(AVERAGEIF(Discrete!$L$21:$L$78, "=2006", Discrete!AP$21:AP$78)), NA(), AVERAGEIF(Discrete!$L$21:$L$78, "=2006", Discrete!AP$21:AP$78))</f>
        <v>#N/A</v>
      </c>
      <c r="AA15" s="428" t="e">
        <f>IF(ISERROR(AVERAGEIF(Discrete!$L$21:$L$78, "=2006", Discrete!AQ$21:AQ$78)), NA(), AVERAGEIF(Discrete!$L$21:$L$78, "=2006", Discrete!AQ$21:AQ$78))</f>
        <v>#N/A</v>
      </c>
      <c r="AB15" s="428" t="e">
        <f>IF(ISERROR(AVERAGEIF(Discrete!$L$21:$L$78, "=2006", Discrete!AR$21:AR$78)), NA(), AVERAGEIF(Discrete!$L$21:$L$78, "=2006", Discrete!AR$21:AR$78))</f>
        <v>#N/A</v>
      </c>
      <c r="AC15" s="428" t="e">
        <f>IF(ISERROR(AVERAGEIF(Discrete!$L$21:$L$78, "=2006", Discrete!AS$21:AS$78)), NA(), AVERAGEIF(Discrete!$L$21:$L$78, "=2006", Discrete!AS$21:AS$78))</f>
        <v>#N/A</v>
      </c>
      <c r="AD15" s="428" t="e">
        <f>IF(ISERROR(AVERAGEIF(Discrete!$L$21:$L$78, "=2006", Discrete!AT$21:AT$78)), NA(), AVERAGEIF(Discrete!$L$21:$L$78, "=2006", Discrete!AT$21:AT$78))</f>
        <v>#N/A</v>
      </c>
      <c r="AE15" s="428" t="e">
        <f>IF(ISERROR(AVERAGEIF(Discrete!$L$21:$L$78, "=2006", Discrete!AU$21:AU$78)), NA(), AVERAGEIF(Discrete!$L$21:$L$78, "=2006", Discrete!AU$21:AU$78))</f>
        <v>#N/A</v>
      </c>
      <c r="AF15" s="428" t="e">
        <f>IF(ISERROR(AVERAGEIF(Discrete!$L$21:$L$78, "=2006", Discrete!AV$21:AV$78)), NA(), AVERAGEIF(Discrete!$L$21:$L$78, "=2006", Discrete!AV$21:AV$78))</f>
        <v>#N/A</v>
      </c>
      <c r="AG15" s="428" t="e">
        <f>IF(ISERROR(AVERAGEIF(Discrete!$L$21:$L$78, "=2006", Discrete!AW$21:AW$78)), NA(), AVERAGEIF(Discrete!$L$21:$L$78, "=2006", Discrete!AW$21:AW$78))</f>
        <v>#N/A</v>
      </c>
      <c r="AH15" s="428" t="e">
        <f>IF(ISERROR(AVERAGEIF(Discrete!$L$21:$L$78, "=2006", Discrete!AX$21:AX$78)), NA(), AVERAGEIF(Discrete!$L$21:$L$78, "=2006", Discrete!AX$21:AX$78))</f>
        <v>#N/A</v>
      </c>
      <c r="AI15" s="428" t="e">
        <f>IF(ISERROR(AVERAGEIF(Discrete!$L$21:$L$78, "=2006", Discrete!AY$21:AY$78)), NA(), AVERAGEIF(Discrete!$L$21:$L$78, "=2006", Discrete!AY$21:AY$78))</f>
        <v>#N/A</v>
      </c>
      <c r="AJ15" s="428" t="e">
        <f>IF(ISERROR(AVERAGEIF(Discrete!$L$21:$L$78, "=2006", Discrete!AZ$21:AZ$78)), NA(), AVERAGEIF(Discrete!$L$21:$L$78, "=2006", Discrete!AZ$21:AZ$78))</f>
        <v>#N/A</v>
      </c>
      <c r="AK15" s="428" t="e">
        <f>IF(ISERROR(AVERAGEIF(Discrete!$L$21:$L$78, "=2006", Discrete!BA$21:BA$78)), NA(), AVERAGEIF(Discrete!$L$21:$L$78, "=2006", Discrete!BA$21:BA$78))</f>
        <v>#N/A</v>
      </c>
      <c r="AL15" s="428" t="e">
        <f>IF(ISERROR(AVERAGEIF(Discrete!$L$21:$L$78, "=2006", Discrete!BB$21:BB$78)), NA(), AVERAGEIF(Discrete!$L$21:$L$78, "=2006", Discrete!BB$21:BB$78))</f>
        <v>#N/A</v>
      </c>
      <c r="AM15" s="428" t="e">
        <f>IF(ISERROR(AVERAGEIF(Discrete!$L$21:$L$78, "=2006", Discrete!BC$21:BC$78)), NA(), AVERAGEIF(Discrete!$L$21:$L$78, "=2006", Discrete!BC$21:BC$78))</f>
        <v>#N/A</v>
      </c>
      <c r="AN15" s="428" t="e">
        <f>IF(ISERROR(AVERAGEIF(Discrete!$L$21:$L$78, "=2006", Discrete!BD$21:BD$78)), NA(), AVERAGEIF(Discrete!$L$21:$L$78, "=2006", Discrete!BD$21:BD$78))</f>
        <v>#N/A</v>
      </c>
      <c r="AO15" s="428" t="e">
        <f>IF(ISERROR(AVERAGEIF(Discrete!$L$21:$L$78, "=2006", Discrete!BE$21:BE$78)), NA(), AVERAGEIF(Discrete!$L$21:$L$78, "=2006", Discrete!BE$21:BE$78))</f>
        <v>#N/A</v>
      </c>
      <c r="AP15" s="428" t="e">
        <f>IF(ISERROR(AVERAGEIF(Discrete!$L$21:$L$78, "=2006", Discrete!BF$21:BF$78)), NA(), AVERAGEIF(Discrete!$L$21:$L$78, "=2006", Discrete!BF$21:BF$78))</f>
        <v>#N/A</v>
      </c>
      <c r="AQ15" s="428" t="e">
        <f>IF(ISERROR(AVERAGEIF(Discrete!$L$21:$L$78, "=2006", Discrete!BG$21:BG$78)), NA(), AVERAGEIF(Discrete!$L$21:$L$78, "=2006", Discrete!BG$21:BG$78))</f>
        <v>#N/A</v>
      </c>
      <c r="AR15" s="428" t="e">
        <f>IF(ISERROR(AVERAGEIF(Discrete!$L$21:$L$78, "=2006", Discrete!BH$21:BH$78)), NA(), AVERAGEIF(Discrete!$L$21:$L$78, "=2006", Discrete!BH$21:BH$78))</f>
        <v>#N/A</v>
      </c>
      <c r="AS15" s="428" t="e">
        <f>IF(ISERROR(AVERAGEIF(Discrete!$L$21:$L$78, "=2006", Discrete!BI$21:BI$78)), NA(), AVERAGEIF(Discrete!$L$21:$L$78, "=2006", Discrete!BI$21:BI$78))</f>
        <v>#N/A</v>
      </c>
      <c r="AT15" s="428" t="e">
        <f>IF(ISERROR(AVERAGEIF(Discrete!$L$21:$L$78, "=2006", Discrete!BJ$21:BJ$78)), NA(), AVERAGEIF(Discrete!$L$21:$L$78, "=2006", Discrete!BJ$21:BJ$78))</f>
        <v>#N/A</v>
      </c>
      <c r="AU15" s="428" t="e">
        <f>IF(ISERROR(AVERAGEIF(Discrete!$L$21:$L$78, "=2006", Discrete!BK$21:BK$78)), NA(), AVERAGEIF(Discrete!$L$21:$L$78, "=2006", Discrete!BK$21:BK$78))</f>
        <v>#N/A</v>
      </c>
      <c r="AV15" s="428" t="e">
        <f>IF(ISERROR(AVERAGEIF(Discrete!$L$21:$L$78, "=2006", Discrete!BL$21:BL$78)), NA(), AVERAGEIF(Discrete!$L$21:$L$78, "=2006", Discrete!BL$21:BL$78))</f>
        <v>#N/A</v>
      </c>
      <c r="AW15" s="428" t="e">
        <f>IF(ISERROR(AVERAGEIF(Discrete!$L$21:$L$78, "=2006", Discrete!BM$21:BM$78)), NA(), AVERAGEIF(Discrete!$L$21:$L$78, "=2006", Discrete!BM$21:BM$78))</f>
        <v>#N/A</v>
      </c>
      <c r="AX15" s="428" t="e">
        <f>IF(ISERROR(AVERAGEIF(Discrete!$L$21:$L$78, "=2006", Discrete!BN$21:BN$78)), NA(), AVERAGEIF(Discrete!$L$21:$L$78, "=2006", Discrete!BN$21:BN$78))</f>
        <v>#N/A</v>
      </c>
      <c r="AY15" s="428" t="e">
        <f>IF(ISERROR(AVERAGEIF(Discrete!$L$21:$L$78, "=2006", Discrete!BO$21:BO$78)), NA(), AVERAGEIF(Discrete!$L$21:$L$78, "=2006", Discrete!BO$21:BO$78))</f>
        <v>#N/A</v>
      </c>
      <c r="AZ15" s="428" t="e">
        <f>IF(ISERROR(AVERAGEIF(Discrete!$L$21:$L$78, "=2006", Discrete!BP$21:BP$78)), NA(), AVERAGEIF(Discrete!$L$21:$L$78, "=2006", Discrete!BP$21:BP$78))</f>
        <v>#N/A</v>
      </c>
      <c r="BA15" s="428" t="e">
        <f>IF(ISERROR(AVERAGEIF(Discrete!$L$21:$L$78, "=2006", Discrete!BQ$21:BQ$78)), NA(), AVERAGEIF(Discrete!$L$21:$L$78, "=2006", Discrete!BQ$21:BQ$78))</f>
        <v>#N/A</v>
      </c>
      <c r="BB15" s="428" t="e">
        <f>IF(ISERROR(AVERAGEIF(Discrete!$L$21:$L$78, "=2006", Discrete!BR$21:BR$78)), NA(), AVERAGEIF(Discrete!$L$21:$L$78, "=2006", Discrete!BR$21:BR$78))</f>
        <v>#N/A</v>
      </c>
    </row>
    <row r="16" spans="1:217">
      <c r="A16" s="774"/>
      <c r="B16" s="434">
        <v>2007</v>
      </c>
      <c r="C16" s="428">
        <f>IF(ISERROR(AVERAGEIF(Discrete!$L$21:$L$78, "=2007", Discrete!S$21:S$78)), , AVERAGEIF(Discrete!$L$21:$L$78, "=2007", Discrete!S$21:S$78))</f>
        <v>10</v>
      </c>
      <c r="D16" s="428" t="e">
        <f>IF(ISERROR(AVERAGEIF(Discrete!$L$21:$L$78, "=2007", Discrete!T$21:T$78)), NA(), AVERAGEIF(Discrete!$L$21:$L$78, "=2007", Discrete!T$21:T$78))</f>
        <v>#N/A</v>
      </c>
      <c r="E16" s="428" t="e">
        <f>IF(ISERROR(AVERAGEIF(Discrete!$L$21:$L$78, "=2007", Discrete!U$21:U$78)), NA(), AVERAGEIF(Discrete!$L$21:$L$78, "=2007", Discrete!U$21:U$78))</f>
        <v>#N/A</v>
      </c>
      <c r="F16" s="428">
        <f>IF(ISERROR(AVERAGEIF(Discrete!$L$21:$L$78, "=2007", Discrete!V$21:V$78)), NA(), AVERAGEIF(Discrete!$L$21:$L$78, "=2007", Discrete!V$21:V$78))</f>
        <v>31</v>
      </c>
      <c r="G16" s="428">
        <f>IF(ISERROR(AVERAGEIF(Discrete!$L$21:$L$78, "=2007", Discrete!W$21:W$78)), NA(), AVERAGEIF(Discrete!$L$21:$L$78, "=2007", Discrete!W$21:W$78))</f>
        <v>29.463999999999995</v>
      </c>
      <c r="H16" s="428">
        <f>IF(ISERROR(AVERAGEIF(Discrete!$L$21:$L$78, "=2007", Discrete!X$21:X$78)), NA(), AVERAGEIF(Discrete!$L$21:$L$78, "=2007", Discrete!X$21:X$78))</f>
        <v>80.518000000000001</v>
      </c>
      <c r="I16" s="428">
        <f>IF(ISERROR(AVERAGEIF(Discrete!$L$21:$L$78, "=2007", Discrete!Y$21:Y$78)), NA(), AVERAGEIF(Discrete!$L$21:$L$78, "=2007", Discrete!Y$21:Y$78))</f>
        <v>10.921999999999999</v>
      </c>
      <c r="J16" s="428">
        <f>IF(ISERROR(AVERAGEIF(Discrete!$L$21:$L$78, "=2007", Discrete!Z$21:Z$78)), NA(), AVERAGEIF(Discrete!$L$21:$L$78, "=2007", Discrete!Z$21:Z$78))</f>
        <v>80.518000000000001</v>
      </c>
      <c r="K16" s="428">
        <f>IF(ISERROR(AVERAGEIF(Discrete!$L$21:$L$78, "=2007", Discrete!AA$21:AA$78)), NA(), AVERAGEIF(Discrete!$L$21:$L$78, "=2007", Discrete!AA$21:AA$78))</f>
        <v>25911.160048543992</v>
      </c>
      <c r="L16" s="428" t="e">
        <f>IF(ISERROR(AVERAGEIF(Discrete!$L$21:$L$78, "=2007", Discrete!AB$21:AB$78)), NA(), AVERAGEIF(Discrete!$L$21:$L$78, "=2007", Discrete!AB$21:AB$78))</f>
        <v>#N/A</v>
      </c>
      <c r="M16" s="428">
        <f>IF(ISERROR(AVERAGEIF(Discrete!$L$21:$L$78, "=2007", Discrete!AC$21:AC$78)), NA(), AVERAGEIF(Discrete!$L$21:$L$78, "=2007", Discrete!AC$21:AC$78))</f>
        <v>1.8</v>
      </c>
      <c r="N16" s="428">
        <f>IF(ISERROR(AVERAGEIF(Discrete!$L$21:$L$78, "=2007", Discrete!AD$21:AD$78)), NA(), AVERAGEIF(Discrete!$L$21:$L$78, "=2007", Discrete!AD$21:AD$78))</f>
        <v>3.6</v>
      </c>
      <c r="O16" s="428">
        <f>IF(ISERROR(AVERAGEIF(Discrete!$L$21:$L$78, "=2007", Discrete!AE$21:AE$78)), NA(), AVERAGEIF(Discrete!$L$21:$L$78, "=2007", Discrete!AE$21:AE$78))</f>
        <v>0.39</v>
      </c>
      <c r="P16" s="428">
        <f>IF(ISERROR(AVERAGEIF(Discrete!$L$21:$L$78, "=2007", Discrete!AF$21:AF$78)), NA(), AVERAGEIF(Discrete!$L$21:$L$78, "=2007", Discrete!AF$21:AF$78))</f>
        <v>1.0530000000000001E-3</v>
      </c>
      <c r="Q16" s="428">
        <f>IF(ISERROR(AVERAGEIF(Discrete!$L$21:$L$78, "=2007", Discrete!AG$21:AG$78)), NA(), AVERAGEIF(Discrete!$L$21:$L$78, "=2007", Discrete!AG$21:AG$78))</f>
        <v>0.10206000000000001</v>
      </c>
      <c r="R16" s="428">
        <f>IF(ISERROR(AVERAGEIF(Discrete!$L$21:$L$78, "=2007", Discrete!AH$21:AH$78)), NA(), AVERAGEIF(Discrete!$L$21:$L$78, "=2007", Discrete!AH$21:AH$78))</f>
        <v>6</v>
      </c>
      <c r="S16" s="428">
        <f>IF(ISERROR(AVERAGEIF(Discrete!$L$21:$L$78, "=2007", Discrete!AI$21:AI$78)), NA(), AVERAGEIF(Discrete!$L$21:$L$78, "=2007", Discrete!AI$21:AI$78))</f>
        <v>58320.000000000007</v>
      </c>
      <c r="T16" s="428" t="e">
        <f>IF(ISERROR(AVERAGEIF(Discrete!$L$21:$L$78, "=2007", Discrete!AJ$21:AJ$78)), NA(), AVERAGEIF(Discrete!$L$21:$L$78, "=2007", Discrete!AJ$21:AJ$78))</f>
        <v>#N/A</v>
      </c>
      <c r="U16" s="428" t="e">
        <f>IF(ISERROR(AVERAGEIF(Discrete!$L$21:$L$78, "=2007", Discrete!AK$21:AK$78)), NA(), AVERAGEIF(Discrete!$L$21:$L$78, "=2007", Discrete!AK$21:AK$78))</f>
        <v>#N/A</v>
      </c>
      <c r="V16" s="428">
        <f>IF(ISERROR(AVERAGEIF(Discrete!$L$21:$L$78, "=2007", Discrete!AL$21:AL$78)), NA(), AVERAGEIF(Discrete!$L$21:$L$78, "=2007", Discrete!AL$21:AL$78))</f>
        <v>0.10311300000000001</v>
      </c>
      <c r="W16" s="428">
        <f>IF(ISERROR(AVERAGEIF(Discrete!$L$21:$L$78, "=2007", Discrete!AM$21:AM$78)), NA(), AVERAGEIF(Discrete!$L$21:$L$78, "=2007", Discrete!AM$21:AM$78))</f>
        <v>1.26E-6</v>
      </c>
      <c r="X16" s="428">
        <f>IF(ISERROR(AVERAGEIF(Discrete!$L$21:$L$78, "=2007", Discrete!AN$21:AN$78)), NA(), AVERAGEIF(Discrete!$L$21:$L$78, "=2007", Discrete!AN$21:AN$78)*1000)</f>
        <v>1.0323774000000001</v>
      </c>
      <c r="Y16" s="428" t="e">
        <f>IF(ISERROR(AVERAGEIF(Discrete!$L$21:$L$78, "=2007", Discrete!AO$21:AO$78)), NA(), AVERAGEIF(Discrete!$L$21:$L$78, "=2007", Discrete!AO$21:AO$78))</f>
        <v>#N/A</v>
      </c>
      <c r="Z16" s="428" t="e">
        <f>IF(ISERROR(AVERAGEIF(Discrete!$L$21:$L$78, "=2007", Discrete!AP$21:AP$78)), NA(), AVERAGEIF(Discrete!$L$21:$L$78, "=2007", Discrete!AP$21:AP$78))</f>
        <v>#N/A</v>
      </c>
      <c r="AA16" s="428" t="e">
        <f>IF(ISERROR(AVERAGEIF(Discrete!$L$21:$L$78, "=2007", Discrete!AQ$21:AQ$78)), NA(), AVERAGEIF(Discrete!$L$21:$L$78, "=2007", Discrete!AQ$21:AQ$78))</f>
        <v>#N/A</v>
      </c>
      <c r="AB16" s="428">
        <f>IF(ISERROR(AVERAGEIF(Discrete!$L$21:$L$78, "=2007", Discrete!AR$21:AR$78)), NA(), AVERAGEIF(Discrete!$L$21:$L$78, "=2007", Discrete!AR$21:AR$78))</f>
        <v>15691.935914133728</v>
      </c>
      <c r="AC16" s="428">
        <f>IF(ISERROR(AVERAGEIF(Discrete!$L$21:$L$78, "=2007", Discrete!AS$21:AS$78)), NA(), AVERAGEIF(Discrete!$L$21:$L$78, "=2007", Discrete!AS$21:AS$78))</f>
        <v>726.47851454322802</v>
      </c>
      <c r="AD16" s="428" t="e">
        <f>IF(ISERROR(AVERAGEIF(Discrete!$L$21:$L$78, "=2007", Discrete!AT$21:AT$78)), NA(), AVERAGEIF(Discrete!$L$21:$L$78, "=2007", Discrete!AT$21:AT$78))</f>
        <v>#N/A</v>
      </c>
      <c r="AE16" s="428" t="e">
        <f>IF(ISERROR(AVERAGEIF(Discrete!$L$21:$L$78, "=2007", Discrete!AU$21:AU$78)), NA(), AVERAGEIF(Discrete!$L$21:$L$78, "=2007", Discrete!AU$21:AU$78))</f>
        <v>#N/A</v>
      </c>
      <c r="AF16" s="428" t="e">
        <f>IF(ISERROR(AVERAGEIF(Discrete!$L$21:$L$78, "=2007", Discrete!AV$21:AV$78)), NA(), AVERAGEIF(Discrete!$L$21:$L$78, "=2007", Discrete!AV$21:AV$78))</f>
        <v>#N/A</v>
      </c>
      <c r="AG16" s="428" t="e">
        <f>IF(ISERROR(AVERAGEIF(Discrete!$L$21:$L$78, "=2007", Discrete!AW$21:AW$78)), NA(), AVERAGEIF(Discrete!$L$21:$L$78, "=2007", Discrete!AW$21:AW$78))</f>
        <v>#N/A</v>
      </c>
      <c r="AH16" s="428" t="e">
        <f>IF(ISERROR(AVERAGEIF(Discrete!$L$21:$L$78, "=2007", Discrete!AX$21:AX$78)), NA(), AVERAGEIF(Discrete!$L$21:$L$78, "=2007", Discrete!AX$21:AX$78))</f>
        <v>#N/A</v>
      </c>
      <c r="AI16" s="428" t="e">
        <f>IF(ISERROR(AVERAGEIF(Discrete!$L$21:$L$78, "=2007", Discrete!AY$21:AY$78)), NA(), AVERAGEIF(Discrete!$L$21:$L$78, "=2007", Discrete!AY$21:AY$78))</f>
        <v>#N/A</v>
      </c>
      <c r="AJ16" s="428">
        <f>IF(ISERROR(AVERAGEIF(Discrete!$L$21:$L$78, "=2007", Discrete!AZ$21:AZ$78)), NA(), AVERAGEIF(Discrete!$L$21:$L$78, "=2007", Discrete!AZ$21:AZ$78))</f>
        <v>16</v>
      </c>
      <c r="AK16" s="428" t="e">
        <f>IF(ISERROR(AVERAGEIF(Discrete!$L$21:$L$78, "=2007", Discrete!BA$21:BA$78)), NA(), AVERAGEIF(Discrete!$L$21:$L$78, "=2007", Discrete!BA$21:BA$78))</f>
        <v>#N/A</v>
      </c>
      <c r="AL16" s="428" t="e">
        <f>IF(ISERROR(AVERAGEIF(Discrete!$L$21:$L$78, "=2007", Discrete!BB$21:BB$78)), NA(), AVERAGEIF(Discrete!$L$21:$L$78, "=2007", Discrete!BB$21:BB$78))</f>
        <v>#N/A</v>
      </c>
      <c r="AM16" s="428" t="e">
        <f>IF(ISERROR(AVERAGEIF(Discrete!$L$21:$L$78, "=2007", Discrete!BC$21:BC$78)), NA(), AVERAGEIF(Discrete!$L$21:$L$78, "=2007", Discrete!BC$21:BC$78))</f>
        <v>#N/A</v>
      </c>
      <c r="AN16" s="428" t="e">
        <f>IF(ISERROR(AVERAGEIF(Discrete!$L$21:$L$78, "=2007", Discrete!BD$21:BD$78)), NA(), AVERAGEIF(Discrete!$L$21:$L$78, "=2007", Discrete!BD$21:BD$78))</f>
        <v>#N/A</v>
      </c>
      <c r="AO16" s="428" t="e">
        <f>IF(ISERROR(AVERAGEIF(Discrete!$L$21:$L$78, "=2007", Discrete!BE$21:BE$78)), NA(), AVERAGEIF(Discrete!$L$21:$L$78, "=2007", Discrete!BE$21:BE$78))</f>
        <v>#N/A</v>
      </c>
      <c r="AP16" s="428" t="e">
        <f>IF(ISERROR(AVERAGEIF(Discrete!$L$21:$L$78, "=2007", Discrete!BF$21:BF$78)), NA(), AVERAGEIF(Discrete!$L$21:$L$78, "=2007", Discrete!BF$21:BF$78))</f>
        <v>#N/A</v>
      </c>
      <c r="AQ16" s="428" t="e">
        <f>IF(ISERROR(AVERAGEIF(Discrete!$L$21:$L$78, "=2007", Discrete!BG$21:BG$78)), NA(), AVERAGEIF(Discrete!$L$21:$L$78, "=2007", Discrete!BG$21:BG$78))</f>
        <v>#N/A</v>
      </c>
      <c r="AR16" s="428" t="e">
        <f>IF(ISERROR(AVERAGEIF(Discrete!$L$21:$L$78, "=2007", Discrete!BH$21:BH$78)), NA(), AVERAGEIF(Discrete!$L$21:$L$78, "=2007", Discrete!BH$21:BH$78))</f>
        <v>#N/A</v>
      </c>
      <c r="AS16" s="428" t="e">
        <f>IF(ISERROR(AVERAGEIF(Discrete!$L$21:$L$78, "=2007", Discrete!BI$21:BI$78)), NA(), AVERAGEIF(Discrete!$L$21:$L$78, "=2007", Discrete!BI$21:BI$78))</f>
        <v>#N/A</v>
      </c>
      <c r="AT16" s="428">
        <f>IF(ISERROR(AVERAGEIF(Discrete!$L$21:$L$78, "=2007", Discrete!BJ$21:BJ$78)), NA(), AVERAGEIF(Discrete!$L$21:$L$78, "=2007", Discrete!BJ$21:BJ$78))</f>
        <v>2400</v>
      </c>
      <c r="AU16" s="428" t="e">
        <f>IF(ISERROR(AVERAGEIF(Discrete!$L$21:$L$78, "=2007", Discrete!BK$21:BK$78)), NA(), AVERAGEIF(Discrete!$L$21:$L$78, "=2007", Discrete!BK$21:BK$78))</f>
        <v>#N/A</v>
      </c>
      <c r="AV16" s="428">
        <f>IF(ISERROR(AVERAGEIF(Discrete!$L$21:$L$78, "=2007", Discrete!BL$21:BL$78)), NA(), AVERAGEIF(Discrete!$L$21:$L$78, "=2007", Discrete!BL$21:BL$78))</f>
        <v>-101</v>
      </c>
      <c r="AW16" s="428">
        <f>IF(ISERROR(AVERAGEIF(Discrete!$L$21:$L$78, "=2007", Discrete!BM$21:BM$78)), NA(), AVERAGEIF(Discrete!$L$21:$L$78, "=2007", Discrete!BM$21:BM$78))</f>
        <v>0</v>
      </c>
      <c r="AX16" s="428" t="e">
        <f>IF(ISERROR(AVERAGEIF(Discrete!$L$21:$L$78, "=2007", Discrete!BN$21:BN$78)), NA(), AVERAGEIF(Discrete!$L$21:$L$78, "=2007", Discrete!BN$21:BN$78))</f>
        <v>#N/A</v>
      </c>
      <c r="AY16" s="428" t="e">
        <f>IF(ISERROR(AVERAGEIF(Discrete!$L$21:$L$78, "=2007", Discrete!BO$21:BO$78)), NA(), AVERAGEIF(Discrete!$L$21:$L$78, "=2007", Discrete!BO$21:BO$78))</f>
        <v>#N/A</v>
      </c>
      <c r="AZ16" s="428" t="e">
        <f>IF(ISERROR(AVERAGEIF(Discrete!$L$21:$L$78, "=2007", Discrete!BP$21:BP$78)), NA(), AVERAGEIF(Discrete!$L$21:$L$78, "=2007", Discrete!BP$21:BP$78))</f>
        <v>#N/A</v>
      </c>
      <c r="BA16" s="428" t="e">
        <f>IF(ISERROR(AVERAGEIF(Discrete!$L$21:$L$78, "=2007", Discrete!BQ$21:BQ$78)), NA(), AVERAGEIF(Discrete!$L$21:$L$78, "=2007", Discrete!BQ$21:BQ$78))</f>
        <v>#N/A</v>
      </c>
      <c r="BB16" s="428" t="e">
        <f>IF(ISERROR(AVERAGEIF(Discrete!$L$21:$L$78, "=2007", Discrete!BR$21:BR$78)), NA(), AVERAGEIF(Discrete!$L$21:$L$78, "=2007", Discrete!BR$21:BR$78))</f>
        <v>#N/A</v>
      </c>
    </row>
    <row r="17" spans="1:78">
      <c r="A17" s="774"/>
      <c r="B17" s="434">
        <v>2008</v>
      </c>
      <c r="C17" s="428" t="e">
        <f>IF(ISERROR(AVERAGEIF(Discrete!$L$21:$L$78, "=2008", Discrete!S$21:S$78)), NA(), AVERAGEIF(Discrete!$L$21:$L$78, "=2008", Discrete!S$21:S$78))</f>
        <v>#N/A</v>
      </c>
      <c r="D17" s="428" t="e">
        <f>IF(ISERROR(AVERAGEIF(Discrete!$L$21:$L$78, "=2008", Discrete!T$21:T$78)), NA(), AVERAGEIF(Discrete!$L$21:$L$78, "=2008", Discrete!T$21:T$78))</f>
        <v>#N/A</v>
      </c>
      <c r="E17" s="428" t="e">
        <f>IF(ISERROR(AVERAGEIF(Discrete!$L$21:$L$78, "=2008", Discrete!U$21:U$78)), NA(), AVERAGEIF(Discrete!$L$21:$L$78, "=2008", Discrete!U$21:U$78))</f>
        <v>#N/A</v>
      </c>
      <c r="F17" s="428">
        <f>IF(ISERROR(AVERAGEIF(Discrete!$L$21:$L$78, "=2008", Discrete!V$21:V$78)), NA(), AVERAGEIF(Discrete!$L$21:$L$78, "=2008", Discrete!V$21:V$78))</f>
        <v>31</v>
      </c>
      <c r="G17" s="428">
        <f>IF(ISERROR(AVERAGEIF(Discrete!$L$21:$L$78, "=2008", Discrete!W$21:W$78)), NA(), AVERAGEIF(Discrete!$L$21:$L$78, "=2008", Discrete!W$21:W$78))</f>
        <v>29.463999999999995</v>
      </c>
      <c r="H17" s="428">
        <f>IF(ISERROR(AVERAGEIF(Discrete!$L$21:$L$78, "=2008", Discrete!X$21:X$78)), NA(), AVERAGEIF(Discrete!$L$21:$L$78, "=2008", Discrete!X$21:X$78))</f>
        <v>80.518000000000001</v>
      </c>
      <c r="I17" s="428">
        <f>IF(ISERROR(AVERAGEIF(Discrete!$L$21:$L$78, "=2008", Discrete!Y$21:Y$78)), NA(), AVERAGEIF(Discrete!$L$21:$L$78, "=2008", Discrete!Y$21:Y$78))</f>
        <v>10.921999999999999</v>
      </c>
      <c r="J17" s="428">
        <f>IF(ISERROR(AVERAGEIF(Discrete!$L$21:$L$78, "=2008", Discrete!Z$21:Z$78)), NA(), AVERAGEIF(Discrete!$L$21:$L$78, "=2008", Discrete!Z$21:Z$78))</f>
        <v>80.518000000000001</v>
      </c>
      <c r="K17" s="428">
        <f>IF(ISERROR(AVERAGEIF(Discrete!$L$21:$L$78, "=2008", Discrete!AA$21:AA$78)), NA(), AVERAGEIF(Discrete!$L$21:$L$78, "=2008", Discrete!AA$21:AA$78))</f>
        <v>25911.160048543992</v>
      </c>
      <c r="L17" s="428" t="e">
        <f>IF(ISERROR(AVERAGEIF(Discrete!$L$21:$L$78, "=2008", Discrete!AB$21:AB$78)), NA(), AVERAGEIF(Discrete!$L$21:$L$78, "=2008", Discrete!AB$21:AB$78))</f>
        <v>#N/A</v>
      </c>
      <c r="M17" s="428">
        <f>IF(ISERROR(AVERAGEIF(Discrete!$L$21:$L$78, "=2008", Discrete!AC$21:AC$78)), NA(), AVERAGEIF(Discrete!$L$21:$L$78, "=2008", Discrete!AC$21:AC$78))</f>
        <v>3</v>
      </c>
      <c r="N17" s="428">
        <f>IF(ISERROR(AVERAGEIF(Discrete!$L$21:$L$78, "=2008", Discrete!AD$21:AD$78)), NA(), AVERAGEIF(Discrete!$L$21:$L$78, "=2008", Discrete!AD$21:AD$78))</f>
        <v>3</v>
      </c>
      <c r="O17" s="428" t="e">
        <f>IF(ISERROR(AVERAGEIF(Discrete!$L$21:$L$78, "=2008", Discrete!AE$21:AE$78)), NA(), AVERAGEIF(Discrete!$L$21:$L$78, "=2008", Discrete!AE$21:AE$78))</f>
        <v>#N/A</v>
      </c>
      <c r="P17" s="428" t="e">
        <f>IF(ISERROR(AVERAGEIF(Discrete!$L$21:$L$78, "=2008", Discrete!AF$21:AF$78)), NA(), AVERAGEIF(Discrete!$L$21:$L$78, "=2008", Discrete!AF$21:AF$78))</f>
        <v>#N/A</v>
      </c>
      <c r="Q17" s="428" t="e">
        <f>IF(ISERROR(AVERAGEIF(Discrete!$L$21:$L$78, "=2008", Discrete!AG$21:AG$78)), NA(), AVERAGEIF(Discrete!$L$21:$L$78, "=2008", Discrete!AG$21:AG$78))</f>
        <v>#N/A</v>
      </c>
      <c r="R17" s="428">
        <f>IF(ISERROR(AVERAGEIF(Discrete!$L$21:$L$78, "=2008", Discrete!AH$21:AH$78)), NA(), AVERAGEIF(Discrete!$L$21:$L$78, "=2008", Discrete!AH$21:AH$78))</f>
        <v>6</v>
      </c>
      <c r="S17" s="428">
        <f>IF(ISERROR(AVERAGEIF(Discrete!$L$21:$L$78, "=2008", Discrete!AI$21:AI$78)), NA(), AVERAGEIF(Discrete!$L$21:$L$78, "=2008", Discrete!AI$21:AI$78))</f>
        <v>64800</v>
      </c>
      <c r="T17" s="428" t="e">
        <f>IF(ISERROR(AVERAGEIF(Discrete!$L$21:$L$78, "=2008", Discrete!AJ$21:AJ$78)), NA(), AVERAGEIF(Discrete!$L$21:$L$78, "=2008", Discrete!AJ$21:AJ$78))</f>
        <v>#N/A</v>
      </c>
      <c r="U17" s="428" t="e">
        <f>IF(ISERROR(AVERAGEIF(Discrete!$L$21:$L$78, "=2008", Discrete!AK$21:AK$78)), NA(), AVERAGEIF(Discrete!$L$21:$L$78, "=2008", Discrete!AK$21:AK$78))</f>
        <v>#N/A</v>
      </c>
      <c r="V17" s="428" t="e">
        <f>IF(ISERROR(AVERAGEIF(Discrete!$L$21:$L$78, "=2008", Discrete!AL$21:AL$78)), NA(), AVERAGEIF(Discrete!$L$21:$L$78, "=2008", Discrete!AL$21:AL$78))</f>
        <v>#N/A</v>
      </c>
      <c r="W17" s="428">
        <f>IF(ISERROR(AVERAGEIF(Discrete!$L$21:$L$78, "=2008", Discrete!AM$21:AM$78)), NA(), AVERAGEIF(Discrete!$L$21:$L$78, "=2008", Discrete!AM$21:AM$78))</f>
        <v>2.0999999999999998E-6</v>
      </c>
      <c r="X17" s="428" t="e">
        <f>IF(ISERROR(AVERAGEIF(Discrete!$L$21:$L$78, "=2008", Discrete!AN$21:AN$78)), NA(), AVERAGEIF(Discrete!$L$21:$L$78, "=2008", Discrete!AN$21:AN$78)*1000)</f>
        <v>#N/A</v>
      </c>
      <c r="Y17" s="428" t="e">
        <f>IF(ISERROR(AVERAGEIF(Discrete!$L$21:$L$78, "=2008", Discrete!AO$21:AO$78)), NA(), AVERAGEIF(Discrete!$L$21:$L$78, "=2008", Discrete!AO$21:AO$78))</f>
        <v>#N/A</v>
      </c>
      <c r="Z17" s="428" t="e">
        <f>IF(ISERROR(AVERAGEIF(Discrete!$L$21:$L$78, "=2008", Discrete!AP$21:AP$78)), NA(), AVERAGEIF(Discrete!$L$21:$L$78, "=2008", Discrete!AP$21:AP$78))</f>
        <v>#N/A</v>
      </c>
      <c r="AA17" s="428" t="e">
        <f>IF(ISERROR(AVERAGEIF(Discrete!$L$21:$L$78, "=2008", Discrete!AQ$21:AQ$78)), NA(), AVERAGEIF(Discrete!$L$21:$L$78, "=2008", Discrete!AQ$21:AQ$78))</f>
        <v>#N/A</v>
      </c>
      <c r="AB17" s="428" t="e">
        <f>IF(ISERROR(AVERAGEIF(Discrete!$L$21:$L$78, "=2008", Discrete!AR$21:AR$78)), NA(), AVERAGEIF(Discrete!$L$21:$L$78, "=2008", Discrete!AR$21:AR$78))</f>
        <v>#N/A</v>
      </c>
      <c r="AC17" s="428" t="e">
        <f>IF(ISERROR(AVERAGEIF(Discrete!$L$21:$L$78, "=2008", Discrete!AS$21:AS$78)), NA(), AVERAGEIF(Discrete!$L$21:$L$78, "=2008", Discrete!AS$21:AS$78))</f>
        <v>#N/A</v>
      </c>
      <c r="AD17" s="428" t="e">
        <f>IF(ISERROR(AVERAGEIF(Discrete!$L$21:$L$78, "=2008", Discrete!AT$21:AT$78)), NA(), AVERAGEIF(Discrete!$L$21:$L$78, "=2008", Discrete!AT$21:AT$78))</f>
        <v>#N/A</v>
      </c>
      <c r="AE17" s="428" t="e">
        <f>IF(ISERROR(AVERAGEIF(Discrete!$L$21:$L$78, "=2008", Discrete!AU$21:AU$78)), NA(), AVERAGEIF(Discrete!$L$21:$L$78, "=2008", Discrete!AU$21:AU$78))</f>
        <v>#N/A</v>
      </c>
      <c r="AF17" s="428" t="e">
        <f>IF(ISERROR(AVERAGEIF(Discrete!$L$21:$L$78, "=2008", Discrete!AV$21:AV$78)), NA(), AVERAGEIF(Discrete!$L$21:$L$78, "=2008", Discrete!AV$21:AV$78))</f>
        <v>#N/A</v>
      </c>
      <c r="AG17" s="428" t="e">
        <f>IF(ISERROR(AVERAGEIF(Discrete!$L$21:$L$78, "=2008", Discrete!AW$21:AW$78)), NA(), AVERAGEIF(Discrete!$L$21:$L$78, "=2008", Discrete!AW$21:AW$78))</f>
        <v>#N/A</v>
      </c>
      <c r="AH17" s="428" t="e">
        <f>IF(ISERROR(AVERAGEIF(Discrete!$L$21:$L$78, "=2008", Discrete!AX$21:AX$78)), NA(), AVERAGEIF(Discrete!$L$21:$L$78, "=2008", Discrete!AX$21:AX$78))</f>
        <v>#N/A</v>
      </c>
      <c r="AI17" s="428" t="e">
        <f>IF(ISERROR(AVERAGEIF(Discrete!$L$21:$L$78, "=2008", Discrete!AY$21:AY$78)), NA(), AVERAGEIF(Discrete!$L$21:$L$78, "=2008", Discrete!AY$21:AY$78))</f>
        <v>#N/A</v>
      </c>
      <c r="AJ17" s="428" t="e">
        <f>IF(ISERROR(AVERAGEIF(Discrete!$L$21:$L$78, "=2008", Discrete!AZ$21:AZ$78)), NA(), AVERAGEIF(Discrete!$L$21:$L$78, "=2008", Discrete!AZ$21:AZ$78))</f>
        <v>#N/A</v>
      </c>
      <c r="AK17" s="428" t="e">
        <f>IF(ISERROR(AVERAGEIF(Discrete!$L$21:$L$78, "=2008", Discrete!BA$21:BA$78)), NA(), AVERAGEIF(Discrete!$L$21:$L$78, "=2008", Discrete!BA$21:BA$78))</f>
        <v>#N/A</v>
      </c>
      <c r="AL17" s="428" t="e">
        <f>IF(ISERROR(AVERAGEIF(Discrete!$L$21:$L$78, "=2008", Discrete!BB$21:BB$78)), NA(), AVERAGEIF(Discrete!$L$21:$L$78, "=2008", Discrete!BB$21:BB$78))</f>
        <v>#N/A</v>
      </c>
      <c r="AM17" s="428" t="e">
        <f>IF(ISERROR(AVERAGEIF(Discrete!$L$21:$L$78, "=2008", Discrete!BC$21:BC$78)), NA(), AVERAGEIF(Discrete!$L$21:$L$78, "=2008", Discrete!BC$21:BC$78))</f>
        <v>#N/A</v>
      </c>
      <c r="AN17" s="428" t="e">
        <f>IF(ISERROR(AVERAGEIF(Discrete!$L$21:$L$78, "=2008", Discrete!BD$21:BD$78)), NA(), AVERAGEIF(Discrete!$L$21:$L$78, "=2008", Discrete!BD$21:BD$78))</f>
        <v>#N/A</v>
      </c>
      <c r="AO17" s="428" t="e">
        <f>IF(ISERROR(AVERAGEIF(Discrete!$L$21:$L$78, "=2008", Discrete!BE$21:BE$78)), NA(), AVERAGEIF(Discrete!$L$21:$L$78, "=2008", Discrete!BE$21:BE$78))</f>
        <v>#N/A</v>
      </c>
      <c r="AP17" s="428" t="e">
        <f>IF(ISERROR(AVERAGEIF(Discrete!$L$21:$L$78, "=2008", Discrete!BF$21:BF$78)), NA(), AVERAGEIF(Discrete!$L$21:$L$78, "=2008", Discrete!BF$21:BF$78))</f>
        <v>#N/A</v>
      </c>
      <c r="AQ17" s="428" t="e">
        <f>IF(ISERROR(AVERAGEIF(Discrete!$L$21:$L$78, "=2008", Discrete!BG$21:BG$78)), NA(), AVERAGEIF(Discrete!$L$21:$L$78, "=2008", Discrete!BG$21:BG$78))</f>
        <v>#N/A</v>
      </c>
      <c r="AR17" s="428" t="e">
        <f>IF(ISERROR(AVERAGEIF(Discrete!$L$21:$L$78, "=2008", Discrete!BH$21:BH$78)), NA(), AVERAGEIF(Discrete!$L$21:$L$78, "=2008", Discrete!BH$21:BH$78))</f>
        <v>#N/A</v>
      </c>
      <c r="AS17" s="428" t="e">
        <f>IF(ISERROR(AVERAGEIF(Discrete!$L$21:$L$78, "=2008", Discrete!BI$21:BI$78)), NA(), AVERAGEIF(Discrete!$L$21:$L$78, "=2008", Discrete!BI$21:BI$78))</f>
        <v>#N/A</v>
      </c>
      <c r="AT17" s="428">
        <f>IF(ISERROR(AVERAGEIF(Discrete!$L$21:$L$78, "=2008", Discrete!BJ$21:BJ$78)), NA(), AVERAGEIF(Discrete!$L$21:$L$78, "=2008", Discrete!BJ$21:BJ$78))</f>
        <v>2400</v>
      </c>
      <c r="AU17" s="428" t="e">
        <f>IF(ISERROR(AVERAGEIF(Discrete!$L$21:$L$78, "=2008", Discrete!BK$21:BK$78)), NA(), AVERAGEIF(Discrete!$L$21:$L$78, "=2008", Discrete!BK$21:BK$78))</f>
        <v>#N/A</v>
      </c>
      <c r="AV17" s="428" t="e">
        <f>IF(ISERROR(AVERAGEIF(Discrete!$L$21:$L$78, "=2008", Discrete!BL$21:BL$78)), NA(), AVERAGEIF(Discrete!$L$21:$L$78, "=2008", Discrete!BL$21:BL$78))</f>
        <v>#N/A</v>
      </c>
      <c r="AW17" s="428" t="e">
        <f>IF(ISERROR(AVERAGEIF(Discrete!$L$21:$L$78, "=2008", Discrete!BM$21:BM$78)), NA(), AVERAGEIF(Discrete!$L$21:$L$78, "=2008", Discrete!BM$21:BM$78))</f>
        <v>#N/A</v>
      </c>
      <c r="AX17" s="428" t="e">
        <f>IF(ISERROR(AVERAGEIF(Discrete!$L$21:$L$78, "=2008", Discrete!BN$21:BN$78)), NA(), AVERAGEIF(Discrete!$L$21:$L$78, "=2008", Discrete!BN$21:BN$78))</f>
        <v>#N/A</v>
      </c>
      <c r="AY17" s="428" t="e">
        <f>IF(ISERROR(AVERAGEIF(Discrete!$L$21:$L$78, "=2008", Discrete!BO$21:BO$78)), NA(), AVERAGEIF(Discrete!$L$21:$L$78, "=2008", Discrete!BO$21:BO$78))</f>
        <v>#N/A</v>
      </c>
      <c r="AZ17" s="428" t="e">
        <f>IF(ISERROR(AVERAGEIF(Discrete!$L$21:$L$78, "=2008", Discrete!BP$21:BP$78)), NA(), AVERAGEIF(Discrete!$L$21:$L$78, "=2008", Discrete!BP$21:BP$78))</f>
        <v>#N/A</v>
      </c>
      <c r="BA17" s="428" t="e">
        <f>IF(ISERROR(AVERAGEIF(Discrete!$L$21:$L$78, "=2008", Discrete!BQ$21:BQ$78)), NA(), AVERAGEIF(Discrete!$L$21:$L$78, "=2008", Discrete!BQ$21:BQ$78))</f>
        <v>#N/A</v>
      </c>
      <c r="BB17" s="428" t="e">
        <f>IF(ISERROR(AVERAGEIF(Discrete!$L$21:$L$78, "=2008", Discrete!BR$21:BR$78)), NA(), AVERAGEIF(Discrete!$L$21:$L$78, "=2008", Discrete!BR$21:BR$78))</f>
        <v>#N/A</v>
      </c>
    </row>
    <row r="18" spans="1:78">
      <c r="A18" s="774"/>
      <c r="B18" s="434">
        <v>2009</v>
      </c>
      <c r="C18" s="428" t="e">
        <f>IF(ISERROR(AVERAGEIF(Discrete!$L$21:$L$78, "=2009", Discrete!S$21:S$78)), NA(), AVERAGEIF(Discrete!$L$21:$L$78, "=2009", Discrete!S$21:S$78))</f>
        <v>#N/A</v>
      </c>
      <c r="D18" s="428" t="e">
        <f>IF(ISERROR(AVERAGEIF(Discrete!$L$21:$L$78, "=2009", Discrete!T$21:T$78)), NA(), AVERAGEIF(Discrete!$L$21:$L$78, "=2009", Discrete!T$21:T$78))</f>
        <v>#N/A</v>
      </c>
      <c r="E18" s="428" t="e">
        <f>IF(ISERROR(AVERAGEIF(Discrete!$L$21:$L$78, "=2009", Discrete!U$21:U$78)), NA(), AVERAGEIF(Discrete!$L$21:$L$78, "=2009", Discrete!U$21:U$78))</f>
        <v>#N/A</v>
      </c>
      <c r="F18" s="428">
        <f>IF(ISERROR(AVERAGEIF(Discrete!$L$21:$L$78, "=2009", Discrete!V$21:V$78)), NA(), AVERAGEIF(Discrete!$L$21:$L$78, "=2009", Discrete!V$21:V$78))</f>
        <v>580</v>
      </c>
      <c r="G18" s="428">
        <f>IF(ISERROR(AVERAGEIF(Discrete!$L$21:$L$78, "=2009", Discrete!W$21:W$78)), NA(), AVERAGEIF(Discrete!$L$21:$L$78, "=2009", Discrete!W$21:W$78))</f>
        <v>76</v>
      </c>
      <c r="H18" s="428">
        <f>IF(ISERROR(AVERAGEIF(Discrete!$L$21:$L$78, "=2009", Discrete!X$21:X$78)), NA(), AVERAGEIF(Discrete!$L$21:$L$78, "=2009", Discrete!X$21:X$78))</f>
        <v>76</v>
      </c>
      <c r="I18" s="428">
        <f>IF(ISERROR(AVERAGEIF(Discrete!$L$21:$L$78, "=2009", Discrete!Y$21:Y$78)), NA(), AVERAGEIF(Discrete!$L$21:$L$78, "=2009", Discrete!Y$21:Y$78))</f>
        <v>95</v>
      </c>
      <c r="J18" s="428">
        <f>IF(ISERROR(AVERAGEIF(Discrete!$L$21:$L$78, "=2009", Discrete!Z$21:Z$78)), NA(), AVERAGEIF(Discrete!$L$21:$L$78, "=2009", Discrete!Z$21:Z$78))</f>
        <v>76</v>
      </c>
      <c r="K18" s="428">
        <f>IF(ISERROR(AVERAGEIF(Discrete!$L$21:$L$78, "=2009", Discrete!AA$21:AA$78)), NA(), AVERAGEIF(Discrete!$L$21:$L$78, "=2009", Discrete!AA$21:AA$78))</f>
        <v>548720</v>
      </c>
      <c r="L18" s="428" t="e">
        <f>IF(ISERROR(AVERAGEIF(Discrete!$L$21:$L$78, "=2009", Discrete!AB$21:AB$78)), NA(), AVERAGEIF(Discrete!$L$21:$L$78, "=2009", Discrete!AB$21:AB$78))</f>
        <v>#N/A</v>
      </c>
      <c r="M18" s="428">
        <f>IF(ISERROR(AVERAGEIF(Discrete!$L$21:$L$78, "=2009", Discrete!AC$21:AC$78)), NA(), AVERAGEIF(Discrete!$L$21:$L$78, "=2009", Discrete!AC$21:AC$78))</f>
        <v>9</v>
      </c>
      <c r="N18" s="428">
        <f>IF(ISERROR(AVERAGEIF(Discrete!$L$21:$L$78, "=2009", Discrete!AD$21:AD$78)), NA(), AVERAGEIF(Discrete!$L$21:$L$78, "=2009", Discrete!AD$21:AD$78))</f>
        <v>42</v>
      </c>
      <c r="O18" s="428" t="e">
        <f>IF(ISERROR(AVERAGEIF(Discrete!$L$21:$L$78, "=2009", Discrete!AE$21:AE$78)), NA(), AVERAGEIF(Discrete!$L$21:$L$78, "=2009", Discrete!AE$21:AE$78))</f>
        <v>#N/A</v>
      </c>
      <c r="P18" s="428" t="e">
        <f>IF(ISERROR(AVERAGEIF(Discrete!$L$21:$L$78, "=2009", Discrete!AF$21:AF$78)), NA(), AVERAGEIF(Discrete!$L$21:$L$78, "=2009", Discrete!AF$21:AF$78))</f>
        <v>#N/A</v>
      </c>
      <c r="Q18" s="428" t="e">
        <f>IF(ISERROR(AVERAGEIF(Discrete!$L$21:$L$78, "=2009", Discrete!AG$21:AG$78)), NA(), AVERAGEIF(Discrete!$L$21:$L$78, "=2009", Discrete!AG$21:AG$78))</f>
        <v>#N/A</v>
      </c>
      <c r="R18" s="428" t="e">
        <f>IF(ISERROR(AVERAGEIF(Discrete!$L$21:$L$78, "=2009", Discrete!AH$21:AH$78)), NA(), AVERAGEIF(Discrete!$L$21:$L$78, "=2009", Discrete!AH$21:AH$78))</f>
        <v>#N/A</v>
      </c>
      <c r="S18" s="428" t="e">
        <f>IF(ISERROR(AVERAGEIF(Discrete!$L$21:$L$78, "=2009", Discrete!AI$21:AI$78)), NA(), AVERAGEIF(Discrete!$L$21:$L$78, "=2009", Discrete!AI$21:AI$78))</f>
        <v>#N/A</v>
      </c>
      <c r="T18" s="428" t="e">
        <f>IF(ISERROR(AVERAGEIF(Discrete!$L$21:$L$78, "=2009", Discrete!AJ$21:AJ$78)), NA(), AVERAGEIF(Discrete!$L$21:$L$78, "=2009", Discrete!AJ$21:AJ$78))</f>
        <v>#N/A</v>
      </c>
      <c r="U18" s="428" t="e">
        <f>IF(ISERROR(AVERAGEIF(Discrete!$L$21:$L$78, "=2009", Discrete!AK$21:AK$78)), NA(), AVERAGEIF(Discrete!$L$21:$L$78, "=2009", Discrete!AK$21:AK$78))</f>
        <v>#N/A</v>
      </c>
      <c r="V18" s="428">
        <f>IF(ISERROR(AVERAGEIF(Discrete!$L$21:$L$78, "=2009", Discrete!AL$21:AL$78)), NA(), AVERAGEIF(Discrete!$L$21:$L$78, "=2009", Discrete!AL$21:AL$78))</f>
        <v>4</v>
      </c>
      <c r="W18" s="428" t="e">
        <f>IF(ISERROR(AVERAGEIF(Discrete!$L$21:$L$78, "=2009", Discrete!AM$21:AM$78)), NA(), AVERAGEIF(Discrete!$L$21:$L$78, "=2009", Discrete!AM$21:AM$78))</f>
        <v>#N/A</v>
      </c>
      <c r="X18" s="428">
        <f>IF(ISERROR(AVERAGEIF(Discrete!$L$21:$L$78, "=2009", Discrete!AN$21:AN$78)), NA(), AVERAGEIF(Discrete!$L$21:$L$78, "=2009", Discrete!AN$21:AN$78)*1000)</f>
        <v>40</v>
      </c>
      <c r="Y18" s="428" t="e">
        <f>IF(ISERROR(AVERAGEIF(Discrete!$L$21:$L$78, "=2009", Discrete!AO$21:AO$78)), NA(), AVERAGEIF(Discrete!$L$21:$L$78, "=2009", Discrete!AO$21:AO$78))</f>
        <v>#N/A</v>
      </c>
      <c r="Z18" s="428" t="e">
        <f>IF(ISERROR(AVERAGEIF(Discrete!$L$21:$L$78, "=2009", Discrete!AP$21:AP$78)), NA(), AVERAGEIF(Discrete!$L$21:$L$78, "=2009", Discrete!AP$21:AP$78))</f>
        <v>#N/A</v>
      </c>
      <c r="AA18" s="428" t="e">
        <f>IF(ISERROR(AVERAGEIF(Discrete!$L$21:$L$78, "=2009", Discrete!AQ$21:AQ$78)), NA(), AVERAGEIF(Discrete!$L$21:$L$78, "=2009", Discrete!AQ$21:AQ$78))</f>
        <v>#N/A</v>
      </c>
      <c r="AB18" s="428" t="e">
        <f>IF(ISERROR(AVERAGEIF(Discrete!$L$21:$L$78, "=2009", Discrete!AR$21:AR$78)), NA(), AVERAGEIF(Discrete!$L$21:$L$78, "=2009", Discrete!AR$21:AR$78))</f>
        <v>#N/A</v>
      </c>
      <c r="AC18" s="428">
        <f>IF(ISERROR(AVERAGEIF(Discrete!$L$21:$L$78, "=2009", Discrete!AS$21:AS$78)), NA(), AVERAGEIF(Discrete!$L$21:$L$78, "=2009", Discrete!AS$21:AS$78))</f>
        <v>18.75</v>
      </c>
      <c r="AD18" s="428" t="e">
        <f>IF(ISERROR(AVERAGEIF(Discrete!$L$21:$L$78, "=2009", Discrete!AT$21:AT$78)), NA(), AVERAGEIF(Discrete!$L$21:$L$78, "=2009", Discrete!AT$21:AT$78))</f>
        <v>#N/A</v>
      </c>
      <c r="AE18" s="428" t="e">
        <f>IF(ISERROR(AVERAGEIF(Discrete!$L$21:$L$78, "=2009", Discrete!AU$21:AU$78)), NA(), AVERAGEIF(Discrete!$L$21:$L$78, "=2009", Discrete!AU$21:AU$78))</f>
        <v>#N/A</v>
      </c>
      <c r="AF18" s="428" t="e">
        <f>IF(ISERROR(AVERAGEIF(Discrete!$L$21:$L$78, "=2009", Discrete!AV$21:AV$78)), NA(), AVERAGEIF(Discrete!$L$21:$L$78, "=2009", Discrete!AV$21:AV$78))</f>
        <v>#N/A</v>
      </c>
      <c r="AG18" s="428" t="e">
        <f>IF(ISERROR(AVERAGEIF(Discrete!$L$21:$L$78, "=2009", Discrete!AW$21:AW$78)), NA(), AVERAGEIF(Discrete!$L$21:$L$78, "=2009", Discrete!AW$21:AW$78))</f>
        <v>#N/A</v>
      </c>
      <c r="AH18" s="428" t="e">
        <f>IF(ISERROR(AVERAGEIF(Discrete!$L$21:$L$78, "=2009", Discrete!AX$21:AX$78)), NA(), AVERAGEIF(Discrete!$L$21:$L$78, "=2009", Discrete!AX$21:AX$78))</f>
        <v>#N/A</v>
      </c>
      <c r="AI18" s="428" t="e">
        <f>IF(ISERROR(AVERAGEIF(Discrete!$L$21:$L$78, "=2009", Discrete!AY$21:AY$78)), NA(), AVERAGEIF(Discrete!$L$21:$L$78, "=2009", Discrete!AY$21:AY$78))</f>
        <v>#N/A</v>
      </c>
      <c r="AJ18" s="428" t="e">
        <f>IF(ISERROR(AVERAGEIF(Discrete!$L$21:$L$78, "=2009", Discrete!AZ$21:AZ$78)), NA(), AVERAGEIF(Discrete!$L$21:$L$78, "=2009", Discrete!AZ$21:AZ$78))</f>
        <v>#N/A</v>
      </c>
      <c r="AK18" s="428" t="e">
        <f>IF(ISERROR(AVERAGEIF(Discrete!$L$21:$L$78, "=2009", Discrete!BA$21:BA$78)), NA(), AVERAGEIF(Discrete!$L$21:$L$78, "=2009", Discrete!BA$21:BA$78))</f>
        <v>#N/A</v>
      </c>
      <c r="AL18" s="428" t="e">
        <f>IF(ISERROR(AVERAGEIF(Discrete!$L$21:$L$78, "=2009", Discrete!BB$21:BB$78)), NA(), AVERAGEIF(Discrete!$L$21:$L$78, "=2009", Discrete!BB$21:BB$78))</f>
        <v>#N/A</v>
      </c>
      <c r="AM18" s="428">
        <f>IF(ISERROR(AVERAGEIF(Discrete!$L$21:$L$78, "=2009", Discrete!BC$21:BC$78)), NA(), AVERAGEIF(Discrete!$L$21:$L$78, "=2009", Discrete!BC$21:BC$78))</f>
        <v>100</v>
      </c>
      <c r="AN18" s="428" t="e">
        <f>IF(ISERROR(AVERAGEIF(Discrete!$L$21:$L$78, "=2009", Discrete!BD$21:BD$78)), NA(), AVERAGEIF(Discrete!$L$21:$L$78, "=2009", Discrete!BD$21:BD$78))</f>
        <v>#N/A</v>
      </c>
      <c r="AO18" s="428" t="e">
        <f>IF(ISERROR(AVERAGEIF(Discrete!$L$21:$L$78, "=2009", Discrete!BE$21:BE$78)), NA(), AVERAGEIF(Discrete!$L$21:$L$78, "=2009", Discrete!BE$21:BE$78))</f>
        <v>#N/A</v>
      </c>
      <c r="AP18" s="428" t="e">
        <f>IF(ISERROR(AVERAGEIF(Discrete!$L$21:$L$78, "=2009", Discrete!BF$21:BF$78)), NA(), AVERAGEIF(Discrete!$L$21:$L$78, "=2009", Discrete!BF$21:BF$78))</f>
        <v>#N/A</v>
      </c>
      <c r="AQ18" s="428" t="e">
        <f>IF(ISERROR(AVERAGEIF(Discrete!$L$21:$L$78, "=2009", Discrete!BG$21:BG$78)), NA(), AVERAGEIF(Discrete!$L$21:$L$78, "=2009", Discrete!BG$21:BG$78))</f>
        <v>#N/A</v>
      </c>
      <c r="AR18" s="428" t="e">
        <f>IF(ISERROR(AVERAGEIF(Discrete!$L$21:$L$78, "=2009", Discrete!BH$21:BH$78)), NA(), AVERAGEIF(Discrete!$L$21:$L$78, "=2009", Discrete!BH$21:BH$78))</f>
        <v>#N/A</v>
      </c>
      <c r="AS18" s="428" t="e">
        <f>IF(ISERROR(AVERAGEIF(Discrete!$L$21:$L$78, "=2009", Discrete!BI$21:BI$78)), NA(), AVERAGEIF(Discrete!$L$21:$L$78, "=2009", Discrete!BI$21:BI$78))</f>
        <v>#N/A</v>
      </c>
      <c r="AT18" s="428" t="e">
        <f>IF(ISERROR(AVERAGEIF(Discrete!$L$21:$L$78, "=2009", Discrete!BJ$21:BJ$78)), NA(), AVERAGEIF(Discrete!$L$21:$L$78, "=2009", Discrete!BJ$21:BJ$78))</f>
        <v>#N/A</v>
      </c>
      <c r="AU18" s="428" t="e">
        <f>IF(ISERROR(AVERAGEIF(Discrete!$L$21:$L$78, "=2009", Discrete!BK$21:BK$78)), NA(), AVERAGEIF(Discrete!$L$21:$L$78, "=2009", Discrete!BK$21:BK$78))</f>
        <v>#N/A</v>
      </c>
      <c r="AV18" s="428" t="e">
        <f>IF(ISERROR(AVERAGEIF(Discrete!$L$21:$L$78, "=2009", Discrete!BL$21:BL$78)), NA(), AVERAGEIF(Discrete!$L$21:$L$78, "=2009", Discrete!BL$21:BL$78))</f>
        <v>#N/A</v>
      </c>
      <c r="AW18" s="428" t="e">
        <f>IF(ISERROR(AVERAGEIF(Discrete!$L$21:$L$78, "=2009", Discrete!BM$21:BM$78)), NA(), AVERAGEIF(Discrete!$L$21:$L$78, "=2009", Discrete!BM$21:BM$78))</f>
        <v>#N/A</v>
      </c>
      <c r="AX18" s="428" t="e">
        <f>IF(ISERROR(AVERAGEIF(Discrete!$L$21:$L$78, "=2009", Discrete!BN$21:BN$78)), NA(), AVERAGEIF(Discrete!$L$21:$L$78, "=2009", Discrete!BN$21:BN$78))</f>
        <v>#N/A</v>
      </c>
      <c r="AY18" s="428" t="e">
        <f>IF(ISERROR(AVERAGEIF(Discrete!$L$21:$L$78, "=2009", Discrete!BO$21:BO$78)), NA(), AVERAGEIF(Discrete!$L$21:$L$78, "=2009", Discrete!BO$21:BO$78))</f>
        <v>#N/A</v>
      </c>
      <c r="AZ18" s="428" t="e">
        <f>IF(ISERROR(AVERAGEIF(Discrete!$L$21:$L$78, "=2009", Discrete!BP$21:BP$78)), NA(), AVERAGEIF(Discrete!$L$21:$L$78, "=2009", Discrete!BP$21:BP$78))</f>
        <v>#N/A</v>
      </c>
      <c r="BA18" s="428" t="e">
        <f>IF(ISERROR(AVERAGEIF(Discrete!$L$21:$L$78, "=2009", Discrete!BQ$21:BQ$78)), NA(), AVERAGEIF(Discrete!$L$21:$L$78, "=2009", Discrete!BQ$21:BQ$78))</f>
        <v>#N/A</v>
      </c>
      <c r="BB18" s="428" t="e">
        <f>IF(ISERROR(AVERAGEIF(Discrete!$L$21:$L$78, "=2009", Discrete!BR$21:BR$78)), NA(), AVERAGEIF(Discrete!$L$21:$L$78, "=2009", Discrete!BR$21:BR$78))</f>
        <v>#N/A</v>
      </c>
    </row>
    <row r="19" spans="1:78">
      <c r="A19" s="774"/>
      <c r="B19" s="434">
        <v>2010</v>
      </c>
      <c r="C19" s="428">
        <f>IF(ISERROR(AVERAGEIF(Discrete!$L$21:$L$78, "=2010", Discrete!S$21:S$78)), NA(), AVERAGEIF(Discrete!$L$21:$L$78, "=2010", Discrete!S$21:S$78))</f>
        <v>12</v>
      </c>
      <c r="D19" s="428">
        <f>IF(ISERROR(AVERAGEIF(Discrete!$L$21:$L$78, "=2010", Discrete!T$21:T$78)), NA(), AVERAGEIF(Discrete!$L$21:$L$78, "=2010", Discrete!T$21:T$78))</f>
        <v>2</v>
      </c>
      <c r="E19" s="428">
        <f>IF(ISERROR(AVERAGEIF(Discrete!$L$21:$L$78, "=2010", Discrete!U$21:U$78)), NA(), AVERAGEIF(Discrete!$L$21:$L$78, "=2010", Discrete!U$21:U$78))</f>
        <v>12</v>
      </c>
      <c r="F19" s="428" t="e">
        <f>IF(ISERROR(AVERAGEIF(Discrete!$L$21:$L$78, "=2010", Discrete!V$21:V$78)), NA(), AVERAGEIF(Discrete!$L$21:$L$78, "=2010", Discrete!V$21:V$78))</f>
        <v>#N/A</v>
      </c>
      <c r="G19" s="428">
        <f>IF(ISERROR(AVERAGEIF(Discrete!$L$21:$L$78, "=2010", Discrete!W$21:W$78)), NA(), AVERAGEIF(Discrete!$L$21:$L$78, "=2010", Discrete!W$21:W$78))</f>
        <v>56.8</v>
      </c>
      <c r="H19" s="428">
        <f>IF(ISERROR(AVERAGEIF(Discrete!$L$21:$L$78, "=2010", Discrete!X$21:X$78)), NA(), AVERAGEIF(Discrete!$L$21:$L$78, "=2010", Discrete!X$21:X$78))</f>
        <v>34.5</v>
      </c>
      <c r="I19" s="428" t="e">
        <f>IF(ISERROR(AVERAGEIF(Discrete!$L$21:$L$78, "=2010", Discrete!Y$21:Y$78)), NA(), AVERAGEIF(Discrete!$L$21:$L$78, "=2010", Discrete!Y$21:Y$78))</f>
        <v>#N/A</v>
      </c>
      <c r="J19" s="428">
        <f>IF(ISERROR(AVERAGEIF(Discrete!$L$21:$L$78, "=2010", Discrete!Z$21:Z$78)), NA(), AVERAGEIF(Discrete!$L$21:$L$78, "=2010", Discrete!Z$21:Z$78))</f>
        <v>56.8</v>
      </c>
      <c r="K19" s="428" t="e">
        <f>IF(ISERROR(AVERAGEIF(Discrete!$L$21:$L$78, "=2010", Discrete!AA$21:AA$78)), NA(), AVERAGEIF(Discrete!$L$21:$L$78, "=2010", Discrete!AA$21:AA$78))</f>
        <v>#N/A</v>
      </c>
      <c r="L19" s="428" t="e">
        <f>IF(ISERROR(AVERAGEIF(Discrete!$L$21:$L$78, "=2010", Discrete!AB$21:AB$78)), NA(), AVERAGEIF(Discrete!$L$21:$L$78, "=2010", Discrete!AB$21:AB$78))</f>
        <v>#N/A</v>
      </c>
      <c r="M19" s="428">
        <f>IF(ISERROR(AVERAGEIF(Discrete!$L$21:$L$78, "=2010", Discrete!AC$21:AC$78)), NA(), AVERAGEIF(Discrete!$L$21:$L$78, "=2010", Discrete!AC$21:AC$78))</f>
        <v>2.7</v>
      </c>
      <c r="N19" s="428">
        <f>IF(ISERROR(AVERAGEIF(Discrete!$L$21:$L$78, "=2010", Discrete!AD$21:AD$78)), NA(), AVERAGEIF(Discrete!$L$21:$L$78, "=2010", Discrete!AD$21:AD$78))</f>
        <v>3.45</v>
      </c>
      <c r="O19" s="428">
        <f>IF(ISERROR(AVERAGEIF(Discrete!$L$21:$L$78, "=2010", Discrete!AE$21:AE$78)), NA(), AVERAGEIF(Discrete!$L$21:$L$78, "=2010", Discrete!AE$21:AE$78))</f>
        <v>5.9569999999999999</v>
      </c>
      <c r="P19" s="428">
        <f>IF(ISERROR(AVERAGEIF(Discrete!$L$21:$L$78, "=2010", Discrete!AF$21:AF$78)), NA(), AVERAGEIF(Discrete!$L$21:$L$78, "=2010", Discrete!AF$21:AF$78))</f>
        <v>1.6977450000000002E-2</v>
      </c>
      <c r="Q19" s="428">
        <f>IF(ISERROR(AVERAGEIF(Discrete!$L$21:$L$78, "=2010", Discrete!AG$21:AG$78)), NA(), AVERAGEIF(Discrete!$L$21:$L$78, "=2010", Discrete!AG$21:AG$78))</f>
        <v>0.10573499999999998</v>
      </c>
      <c r="R19" s="428">
        <f>IF(ISERROR(AVERAGEIF(Discrete!$L$21:$L$78, "=2010", Discrete!AH$21:AH$78)), NA(), AVERAGEIF(Discrete!$L$21:$L$78, "=2010", Discrete!AH$21:AH$78))</f>
        <v>4.2</v>
      </c>
      <c r="S19" s="428">
        <f>IF(ISERROR(AVERAGEIF(Discrete!$L$21:$L$78, "=2010", Discrete!AI$21:AI$78)), NA(), AVERAGEIF(Discrete!$L$21:$L$78, "=2010", Discrete!AI$21:AI$78))</f>
        <v>43092</v>
      </c>
      <c r="T19" s="428" t="e">
        <f>IF(ISERROR(AVERAGEIF(Discrete!$L$21:$L$78, "=2010", Discrete!AJ$21:AJ$78)), NA(), AVERAGEIF(Discrete!$L$21:$L$78, "=2010", Discrete!AJ$21:AJ$78))</f>
        <v>#N/A</v>
      </c>
      <c r="U19" s="428" t="e">
        <f>IF(ISERROR(AVERAGEIF(Discrete!$L$21:$L$78, "=2010", Discrete!AK$21:AK$78)), NA(), AVERAGEIF(Discrete!$L$21:$L$78, "=2010", Discrete!AK$21:AK$78))</f>
        <v>#N/A</v>
      </c>
      <c r="V19" s="428">
        <f>IF(ISERROR(AVERAGEIF(Discrete!$L$21:$L$78, "=2010", Discrete!AL$21:AL$78)), NA(), AVERAGEIF(Discrete!$L$21:$L$78, "=2010", Discrete!AL$21:AL$78))</f>
        <v>0.12271244999999999</v>
      </c>
      <c r="W19" s="428">
        <f>IF(ISERROR(AVERAGEIF(Discrete!$L$21:$L$78, "=2010", Discrete!AM$21:AM$78)), NA(), AVERAGEIF(Discrete!$L$21:$L$78, "=2010", Discrete!AM$21:AM$78))</f>
        <v>5.8425000000000004E-5</v>
      </c>
      <c r="X19" s="428">
        <f>IF(ISERROR(AVERAGEIF(Discrete!$L$21:$L$78, "=2010", Discrete!AN$21:AN$78)), NA(), AVERAGEIF(Discrete!$L$21:$L$78, "=2010", Discrete!AN$21:AN$78)*1000)</f>
        <v>1.2849652499999999</v>
      </c>
      <c r="Y19" s="428" t="e">
        <f>IF(ISERROR(AVERAGEIF(Discrete!$L$21:$L$78, "=2010", Discrete!AO$21:AO$78)), NA(), AVERAGEIF(Discrete!$L$21:$L$78, "=2010", Discrete!AO$21:AO$78))</f>
        <v>#N/A</v>
      </c>
      <c r="Z19" s="428" t="e">
        <f>IF(ISERROR(AVERAGEIF(Discrete!$L$21:$L$78, "=2010", Discrete!AP$21:AP$78)), NA(), AVERAGEIF(Discrete!$L$21:$L$78, "=2010", Discrete!AP$21:AP$78))</f>
        <v>#N/A</v>
      </c>
      <c r="AA19" s="428" t="e">
        <f>IF(ISERROR(AVERAGEIF(Discrete!$L$21:$L$78, "=2010", Discrete!AQ$21:AQ$78)), NA(), AVERAGEIF(Discrete!$L$21:$L$78, "=2010", Discrete!AQ$21:AQ$78))</f>
        <v>#N/A</v>
      </c>
      <c r="AB19" s="428">
        <f>IF(ISERROR(AVERAGEIF(Discrete!$L$21:$L$78, "=2010", Discrete!AR$21:AR$78)), NA(), AVERAGEIF(Discrete!$L$21:$L$78, "=2010", Discrete!AR$21:AR$78))</f>
        <v>9315.4270125203766</v>
      </c>
      <c r="AC19" s="428">
        <f>IF(ISERROR(AVERAGEIF(Discrete!$L$21:$L$78, "=2010", Discrete!AS$21:AS$78)), NA(), AVERAGEIF(Discrete!$L$21:$L$78, "=2010", Discrete!AS$21:AS$78))</f>
        <v>583.67337171180316</v>
      </c>
      <c r="AD19" s="428" t="e">
        <f>IF(ISERROR(AVERAGEIF(Discrete!$L$21:$L$78, "=2010", Discrete!AT$21:AT$78)), NA(), AVERAGEIF(Discrete!$L$21:$L$78, "=2010", Discrete!AT$21:AT$78))</f>
        <v>#N/A</v>
      </c>
      <c r="AE19" s="428">
        <f>IF(ISERROR(AVERAGEIF(Discrete!$L$21:$L$78, "=2010", Discrete!AU$21:AU$78)), NA(), AVERAGEIF(Discrete!$L$21:$L$78, "=2010", Discrete!AU$21:AU$78))</f>
        <v>16</v>
      </c>
      <c r="AF19" s="428" t="e">
        <f>IF(ISERROR(AVERAGEIF(Discrete!$L$21:$L$78, "=2010", Discrete!AV$21:AV$78)), NA(), AVERAGEIF(Discrete!$L$21:$L$78, "=2010", Discrete!AV$21:AV$78))</f>
        <v>#N/A</v>
      </c>
      <c r="AG19" s="428">
        <f>IF(ISERROR(AVERAGEIF(Discrete!$L$21:$L$78, "=2010", Discrete!AW$21:AW$78)), NA(), AVERAGEIF(Discrete!$L$21:$L$78, "=2010", Discrete!AW$21:AW$78))</f>
        <v>8</v>
      </c>
      <c r="AH19" s="428">
        <f>IF(ISERROR(AVERAGEIF(Discrete!$L$21:$L$78, "=2010", Discrete!AX$21:AX$78)), NA(), AVERAGEIF(Discrete!$L$21:$L$78, "=2010", Discrete!AX$21:AX$78))</f>
        <v>92</v>
      </c>
      <c r="AI19" s="428" t="e">
        <f>IF(ISERROR(AVERAGEIF(Discrete!$L$21:$L$78, "=2010", Discrete!AY$21:AY$78)), NA(), AVERAGEIF(Discrete!$L$21:$L$78, "=2010", Discrete!AY$21:AY$78))</f>
        <v>#N/A</v>
      </c>
      <c r="AJ19" s="428">
        <f>IF(ISERROR(AVERAGEIF(Discrete!$L$21:$L$78, "=2010", Discrete!AZ$21:AZ$78)), NA(), AVERAGEIF(Discrete!$L$21:$L$78, "=2010", Discrete!AZ$21:AZ$78))</f>
        <v>16</v>
      </c>
      <c r="AK19" s="428" t="e">
        <f>IF(ISERROR(AVERAGEIF(Discrete!$L$21:$L$78, "=2010", Discrete!BA$21:BA$78)), NA(), AVERAGEIF(Discrete!$L$21:$L$78, "=2010", Discrete!BA$21:BA$78))</f>
        <v>#N/A</v>
      </c>
      <c r="AL19" s="428">
        <f>IF(ISERROR(AVERAGEIF(Discrete!$L$21:$L$78, "=2010", Discrete!BB$21:BB$78)), NA(), AVERAGEIF(Discrete!$L$21:$L$78, "=2010", Discrete!BB$21:BB$78))</f>
        <v>14</v>
      </c>
      <c r="AM19" s="428">
        <f>IF(ISERROR(AVERAGEIF(Discrete!$L$21:$L$78, "=2010", Discrete!BC$21:BC$78)), NA(), AVERAGEIF(Discrete!$L$21:$L$78, "=2010", Discrete!BC$21:BC$78))</f>
        <v>32768</v>
      </c>
      <c r="AN19" s="428" t="e">
        <f>IF(ISERROR(AVERAGEIF(Discrete!$L$21:$L$78, "=2010", Discrete!BD$21:BD$78)), NA(), AVERAGEIF(Discrete!$L$21:$L$78, "=2010", Discrete!BD$21:BD$78))</f>
        <v>#N/A</v>
      </c>
      <c r="AO19" s="428" t="e">
        <f>IF(ISERROR(AVERAGEIF(Discrete!$L$21:$L$78, "=2010", Discrete!BE$21:BE$78)), NA(), AVERAGEIF(Discrete!$L$21:$L$78, "=2010", Discrete!BE$21:BE$78))</f>
        <v>#N/A</v>
      </c>
      <c r="AP19" s="428" t="e">
        <f>IF(ISERROR(AVERAGEIF(Discrete!$L$21:$L$78, "=2010", Discrete!BF$21:BF$78)), NA(), AVERAGEIF(Discrete!$L$21:$L$78, "=2010", Discrete!BF$21:BF$78))</f>
        <v>#N/A</v>
      </c>
      <c r="AQ19" s="428" t="e">
        <f>IF(ISERROR(AVERAGEIF(Discrete!$L$21:$L$78, "=2010", Discrete!BG$21:BG$78)), NA(), AVERAGEIF(Discrete!$L$21:$L$78, "=2010", Discrete!BG$21:BG$78))</f>
        <v>#N/A</v>
      </c>
      <c r="AR19" s="428" t="e">
        <f>IF(ISERROR(AVERAGEIF(Discrete!$L$21:$L$78, "=2010", Discrete!BH$21:BH$78)), NA(), AVERAGEIF(Discrete!$L$21:$L$78, "=2010", Discrete!BH$21:BH$78))</f>
        <v>#N/A</v>
      </c>
      <c r="AS19" s="428" t="e">
        <f>IF(ISERROR(AVERAGEIF(Discrete!$L$21:$L$78, "=2010", Discrete!BI$21:BI$78)), NA(), AVERAGEIF(Discrete!$L$21:$L$78, "=2010", Discrete!BI$21:BI$78))</f>
        <v>#N/A</v>
      </c>
      <c r="AT19" s="428">
        <f>IF(ISERROR(AVERAGEIF(Discrete!$L$21:$L$78, "=2010", Discrete!BJ$21:BJ$78)), NA(), AVERAGEIF(Discrete!$L$21:$L$78, "=2010", Discrete!BJ$21:BJ$78))</f>
        <v>2400</v>
      </c>
      <c r="AU19" s="428" t="e">
        <f>IF(ISERROR(AVERAGEIF(Discrete!$L$21:$L$78, "=2010", Discrete!BK$21:BK$78)), NA(), AVERAGEIF(Discrete!$L$21:$L$78, "=2010", Discrete!BK$21:BK$78))</f>
        <v>#N/A</v>
      </c>
      <c r="AV19" s="428" t="e">
        <f>IF(ISERROR(AVERAGEIF(Discrete!$L$21:$L$78, "=2010", Discrete!BL$21:BL$78)), NA(), AVERAGEIF(Discrete!$L$21:$L$78, "=2010", Discrete!BL$21:BL$78))</f>
        <v>#N/A</v>
      </c>
      <c r="AW19" s="428">
        <f>IF(ISERROR(AVERAGEIF(Discrete!$L$21:$L$78, "=2010", Discrete!BM$21:BM$78)), NA(), AVERAGEIF(Discrete!$L$21:$L$78, "=2010", Discrete!BM$21:BM$78))</f>
        <v>0</v>
      </c>
      <c r="AX19" s="428" t="e">
        <f>IF(ISERROR(AVERAGEIF(Discrete!$L$21:$L$78, "=2010", Discrete!BN$21:BN$78)), NA(), AVERAGEIF(Discrete!$L$21:$L$78, "=2010", Discrete!BN$21:BN$78))</f>
        <v>#N/A</v>
      </c>
      <c r="AY19" s="428" t="e">
        <f>IF(ISERROR(AVERAGEIF(Discrete!$L$21:$L$78, "=2010", Discrete!BO$21:BO$78)), NA(), AVERAGEIF(Discrete!$L$21:$L$78, "=2010", Discrete!BO$21:BO$78))</f>
        <v>#N/A</v>
      </c>
      <c r="AZ19" s="428" t="e">
        <f>IF(ISERROR(AVERAGEIF(Discrete!$L$21:$L$78, "=2010", Discrete!BP$21:BP$78)), NA(), AVERAGEIF(Discrete!$L$21:$L$78, "=2010", Discrete!BP$21:BP$78))</f>
        <v>#N/A</v>
      </c>
      <c r="BA19" s="428" t="e">
        <f>IF(ISERROR(AVERAGEIF(Discrete!$L$21:$L$78, "=2010", Discrete!BQ$21:BQ$78)), NA(), AVERAGEIF(Discrete!$L$21:$L$78, "=2010", Discrete!BQ$21:BQ$78))</f>
        <v>#N/A</v>
      </c>
      <c r="BB19" s="428" t="e">
        <f>IF(ISERROR(AVERAGEIF(Discrete!$L$21:$L$78, "=2010", Discrete!BR$21:BR$78)), NA(), AVERAGEIF(Discrete!$L$21:$L$78, "=2010", Discrete!BR$21:BR$78))</f>
        <v>#N/A</v>
      </c>
    </row>
    <row r="20" spans="1:78">
      <c r="A20" s="774"/>
      <c r="B20" s="434">
        <v>2011</v>
      </c>
      <c r="C20" s="428" t="e">
        <f>IF(ISERROR(AVERAGEIF(Discrete!$L$21:$L$78, "=2011", Discrete!S$21:S$78)), NA(), AVERAGEIF(Discrete!$L$21:$L$78, "=2011", Discrete!S$21:S$78))</f>
        <v>#N/A</v>
      </c>
      <c r="D20" s="428" t="e">
        <f>IF(ISERROR(AVERAGEIF(Discrete!$L$21:$L$78, "=2011", Discrete!T$21:T$78)), NA(), AVERAGEIF(Discrete!$L$21:$L$78, "=2011", Discrete!T$21:T$78))</f>
        <v>#N/A</v>
      </c>
      <c r="E20" s="428" t="e">
        <f>IF(ISERROR(AVERAGEIF(Discrete!$L$21:$L$78, "=2011", Discrete!U$21:U$78)), NA(), AVERAGEIF(Discrete!$L$21:$L$78, "=2011", Discrete!U$21:U$78))</f>
        <v>#N/A</v>
      </c>
      <c r="F20" s="428" t="e">
        <f>IF(ISERROR(AVERAGEIF(Discrete!$L$21:$L$78, "=2011", Discrete!V$21:V$78)), NA(), AVERAGEIF(Discrete!$L$21:$L$78, "=2011", Discrete!V$21:V$78))</f>
        <v>#N/A</v>
      </c>
      <c r="G20" s="428" t="e">
        <f>IF(ISERROR(AVERAGEIF(Discrete!$L$21:$L$78, "=2011", Discrete!W$21:W$78)), NA(), AVERAGEIF(Discrete!$L$21:$L$78, "=2011", Discrete!W$21:W$78))</f>
        <v>#N/A</v>
      </c>
      <c r="H20" s="428" t="e">
        <f>IF(ISERROR(AVERAGEIF(Discrete!$L$21:$L$78, "=2011", Discrete!X$21:X$78)), NA(), AVERAGEIF(Discrete!$L$21:$L$78, "=2011", Discrete!X$21:X$78))</f>
        <v>#N/A</v>
      </c>
      <c r="I20" s="428" t="e">
        <f>IF(ISERROR(AVERAGEIF(Discrete!$L$21:$L$78, "=2011", Discrete!Y$21:Y$78)), NA(), AVERAGEIF(Discrete!$L$21:$L$78, "=2011", Discrete!Y$21:Y$78))</f>
        <v>#N/A</v>
      </c>
      <c r="J20" s="428" t="e">
        <f>IF(ISERROR(AVERAGEIF(Discrete!$L$21:$L$78, "=2011", Discrete!Z$21:Z$78)), NA(), AVERAGEIF(Discrete!$L$21:$L$78, "=2011", Discrete!Z$21:Z$78))</f>
        <v>#N/A</v>
      </c>
      <c r="K20" s="428" t="e">
        <f>IF(ISERROR(AVERAGEIF(Discrete!$L$21:$L$78, "=2011", Discrete!AA$21:AA$78)), NA(), AVERAGEIF(Discrete!$L$21:$L$78, "=2011", Discrete!AA$21:AA$78))</f>
        <v>#N/A</v>
      </c>
      <c r="L20" s="428" t="e">
        <f>IF(ISERROR(AVERAGEIF(Discrete!$L$21:$L$78, "=2011", Discrete!AB$21:AB$78)), NA(), AVERAGEIF(Discrete!$L$21:$L$78, "=2011", Discrete!AB$21:AB$78))</f>
        <v>#N/A</v>
      </c>
      <c r="M20" s="428" t="e">
        <f>IF(ISERROR(AVERAGEIF(Discrete!$L$21:$L$78, "=2011", Discrete!AC$21:AC$78)), NA(), AVERAGEIF(Discrete!$L$21:$L$78, "=2011", Discrete!AC$21:AC$78))</f>
        <v>#N/A</v>
      </c>
      <c r="N20" s="428" t="e">
        <f>IF(ISERROR(AVERAGEIF(Discrete!$L$21:$L$78, "=2011", Discrete!AD$21:AD$78)), NA(), AVERAGEIF(Discrete!$L$21:$L$78, "=2011", Discrete!AD$21:AD$78))</f>
        <v>#N/A</v>
      </c>
      <c r="O20" s="428" t="e">
        <f>IF(ISERROR(AVERAGEIF(Discrete!$L$21:$L$78, "=2011", Discrete!AE$21:AE$78)), NA(), AVERAGEIF(Discrete!$L$21:$L$78, "=2011", Discrete!AE$21:AE$78))</f>
        <v>#N/A</v>
      </c>
      <c r="P20" s="428" t="e">
        <f>IF(ISERROR(AVERAGEIF(Discrete!$L$21:$L$78, "=2011", Discrete!AF$21:AF$78)), NA(), AVERAGEIF(Discrete!$L$21:$L$78, "=2011", Discrete!AF$21:AF$78))</f>
        <v>#N/A</v>
      </c>
      <c r="Q20" s="428" t="e">
        <f>IF(ISERROR(AVERAGEIF(Discrete!$L$21:$L$78, "=2011", Discrete!AG$21:AG$78)), NA(), AVERAGEIF(Discrete!$L$21:$L$78, "=2011", Discrete!AG$21:AG$78))</f>
        <v>#N/A</v>
      </c>
      <c r="R20" s="428" t="e">
        <f>IF(ISERROR(AVERAGEIF(Discrete!$L$21:$L$78, "=2011", Discrete!AH$21:AH$78)), NA(), AVERAGEIF(Discrete!$L$21:$L$78, "=2011", Discrete!AH$21:AH$78))</f>
        <v>#N/A</v>
      </c>
      <c r="S20" s="428" t="e">
        <f>IF(ISERROR(AVERAGEIF(Discrete!$L$21:$L$78, "=2011", Discrete!AI$21:AI$78)), NA(), AVERAGEIF(Discrete!$L$21:$L$78, "=2011", Discrete!AI$21:AI$78))</f>
        <v>#N/A</v>
      </c>
      <c r="T20" s="428" t="e">
        <f>IF(ISERROR(AVERAGEIF(Discrete!$L$21:$L$78, "=2011", Discrete!AJ$21:AJ$78)), NA(), AVERAGEIF(Discrete!$L$21:$L$78, "=2011", Discrete!AJ$21:AJ$78))</f>
        <v>#N/A</v>
      </c>
      <c r="U20" s="428" t="e">
        <f>IF(ISERROR(AVERAGEIF(Discrete!$L$21:$L$78, "=2011", Discrete!AK$21:AK$78)), NA(), AVERAGEIF(Discrete!$L$21:$L$78, "=2011", Discrete!AK$21:AK$78))</f>
        <v>#N/A</v>
      </c>
      <c r="V20" s="428" t="e">
        <f>IF(ISERROR(AVERAGEIF(Discrete!$L$21:$L$78, "=2011", Discrete!AL$21:AL$78)), NA(), AVERAGEIF(Discrete!$L$21:$L$78, "=2011", Discrete!AL$21:AL$78))</f>
        <v>#N/A</v>
      </c>
      <c r="W20" s="428" t="e">
        <f>IF(ISERROR(AVERAGEIF(Discrete!$L$21:$L$78, "=2011", Discrete!AM$21:AM$78)), NA(), AVERAGEIF(Discrete!$L$21:$L$78, "=2011", Discrete!AM$21:AM$78))</f>
        <v>#N/A</v>
      </c>
      <c r="X20" s="428" t="e">
        <f>IF(ISERROR(AVERAGEIF(Discrete!$L$21:$L$78, "=2011", Discrete!AN$21:AN$78)), NA(), AVERAGEIF(Discrete!$L$21:$L$78, "=2011", Discrete!AN$21:AN$78)*1000)</f>
        <v>#N/A</v>
      </c>
      <c r="Y20" s="428" t="e">
        <f>IF(ISERROR(AVERAGEIF(Discrete!$L$21:$L$78, "=2011", Discrete!AO$21:AO$78)), NA(), AVERAGEIF(Discrete!$L$21:$L$78, "=2011", Discrete!AO$21:AO$78))</f>
        <v>#N/A</v>
      </c>
      <c r="Z20" s="428" t="e">
        <f>IF(ISERROR(AVERAGEIF(Discrete!$L$21:$L$78, "=2011", Discrete!AP$21:AP$78)), NA(), AVERAGEIF(Discrete!$L$21:$L$78, "=2011", Discrete!AP$21:AP$78))</f>
        <v>#N/A</v>
      </c>
      <c r="AA20" s="428" t="e">
        <f>IF(ISERROR(AVERAGEIF(Discrete!$L$21:$L$78, "=2011", Discrete!AQ$21:AQ$78)), NA(), AVERAGEIF(Discrete!$L$21:$L$78, "=2011", Discrete!AQ$21:AQ$78))</f>
        <v>#N/A</v>
      </c>
      <c r="AB20" s="428" t="e">
        <f>IF(ISERROR(AVERAGEIF(Discrete!$L$21:$L$78, "=2011", Discrete!AR$21:AR$78)), NA(), AVERAGEIF(Discrete!$L$21:$L$78, "=2011", Discrete!AR$21:AR$78))</f>
        <v>#N/A</v>
      </c>
      <c r="AC20" s="428" t="e">
        <f>IF(ISERROR(AVERAGEIF(Discrete!$L$21:$L$78, "=2011", Discrete!AS$21:AS$78)), NA(), AVERAGEIF(Discrete!$L$21:$L$78, "=2011", Discrete!AS$21:AS$78))</f>
        <v>#N/A</v>
      </c>
      <c r="AD20" s="428" t="e">
        <f>IF(ISERROR(AVERAGEIF(Discrete!$L$21:$L$78, "=2011", Discrete!AT$21:AT$78)), NA(), AVERAGEIF(Discrete!$L$21:$L$78, "=2011", Discrete!AT$21:AT$78))</f>
        <v>#N/A</v>
      </c>
      <c r="AE20" s="428" t="e">
        <f>IF(ISERROR(AVERAGEIF(Discrete!$L$21:$L$78, "=2011", Discrete!AU$21:AU$78)), NA(), AVERAGEIF(Discrete!$L$21:$L$78, "=2011", Discrete!AU$21:AU$78))</f>
        <v>#N/A</v>
      </c>
      <c r="AF20" s="428" t="e">
        <f>IF(ISERROR(AVERAGEIF(Discrete!$L$21:$L$78, "=2011", Discrete!AV$21:AV$78)), NA(), AVERAGEIF(Discrete!$L$21:$L$78, "=2011", Discrete!AV$21:AV$78))</f>
        <v>#N/A</v>
      </c>
      <c r="AG20" s="428" t="e">
        <f>IF(ISERROR(AVERAGEIF(Discrete!$L$21:$L$78, "=2011", Discrete!AW$21:AW$78)), NA(), AVERAGEIF(Discrete!$L$21:$L$78, "=2011", Discrete!AW$21:AW$78))</f>
        <v>#N/A</v>
      </c>
      <c r="AH20" s="428" t="e">
        <f>IF(ISERROR(AVERAGEIF(Discrete!$L$21:$L$78, "=2011", Discrete!AX$21:AX$78)), NA(), AVERAGEIF(Discrete!$L$21:$L$78, "=2011", Discrete!AX$21:AX$78))</f>
        <v>#N/A</v>
      </c>
      <c r="AI20" s="428" t="e">
        <f>IF(ISERROR(AVERAGEIF(Discrete!$L$21:$L$78, "=2011", Discrete!AY$21:AY$78)), NA(), AVERAGEIF(Discrete!$L$21:$L$78, "=2011", Discrete!AY$21:AY$78))</f>
        <v>#N/A</v>
      </c>
      <c r="AJ20" s="428" t="e">
        <f>IF(ISERROR(AVERAGEIF(Discrete!$L$21:$L$78, "=2011", Discrete!AZ$21:AZ$78)), NA(), AVERAGEIF(Discrete!$L$21:$L$78, "=2011", Discrete!AZ$21:AZ$78))</f>
        <v>#N/A</v>
      </c>
      <c r="AK20" s="428" t="e">
        <f>IF(ISERROR(AVERAGEIF(Discrete!$L$21:$L$78, "=2011", Discrete!BA$21:BA$78)), NA(), AVERAGEIF(Discrete!$L$21:$L$78, "=2011", Discrete!BA$21:BA$78))</f>
        <v>#N/A</v>
      </c>
      <c r="AL20" s="428" t="e">
        <f>IF(ISERROR(AVERAGEIF(Discrete!$L$21:$L$78, "=2011", Discrete!BB$21:BB$78)), NA(), AVERAGEIF(Discrete!$L$21:$L$78, "=2011", Discrete!BB$21:BB$78))</f>
        <v>#N/A</v>
      </c>
      <c r="AM20" s="428" t="e">
        <f>IF(ISERROR(AVERAGEIF(Discrete!$L$21:$L$78, "=2011", Discrete!BC$21:BC$78)), NA(), AVERAGEIF(Discrete!$L$21:$L$78, "=2011", Discrete!BC$21:BC$78))</f>
        <v>#N/A</v>
      </c>
      <c r="AN20" s="428" t="e">
        <f>IF(ISERROR(AVERAGEIF(Discrete!$L$21:$L$78, "=2011", Discrete!BD$21:BD$78)), NA(), AVERAGEIF(Discrete!$L$21:$L$78, "=2011", Discrete!BD$21:BD$78))</f>
        <v>#N/A</v>
      </c>
      <c r="AO20" s="428" t="e">
        <f>IF(ISERROR(AVERAGEIF(Discrete!$L$21:$L$78, "=2011", Discrete!BE$21:BE$78)), NA(), AVERAGEIF(Discrete!$L$21:$L$78, "=2011", Discrete!BE$21:BE$78))</f>
        <v>#N/A</v>
      </c>
      <c r="AP20" s="428" t="e">
        <f>IF(ISERROR(AVERAGEIF(Discrete!$L$21:$L$78, "=2011", Discrete!BF$21:BF$78)), NA(), AVERAGEIF(Discrete!$L$21:$L$78, "=2011", Discrete!BF$21:BF$78))</f>
        <v>#N/A</v>
      </c>
      <c r="AQ20" s="428" t="e">
        <f>IF(ISERROR(AVERAGEIF(Discrete!$L$21:$L$78, "=2011", Discrete!BG$21:BG$78)), NA(), AVERAGEIF(Discrete!$L$21:$L$78, "=2011", Discrete!BG$21:BG$78))</f>
        <v>#N/A</v>
      </c>
      <c r="AR20" s="428" t="e">
        <f>IF(ISERROR(AVERAGEIF(Discrete!$L$21:$L$78, "=2011", Discrete!BH$21:BH$78)), NA(), AVERAGEIF(Discrete!$L$21:$L$78, "=2011", Discrete!BH$21:BH$78))</f>
        <v>#N/A</v>
      </c>
      <c r="AS20" s="428" t="e">
        <f>IF(ISERROR(AVERAGEIF(Discrete!$L$21:$L$78, "=2011", Discrete!BI$21:BI$78)), NA(), AVERAGEIF(Discrete!$L$21:$L$78, "=2011", Discrete!BI$21:BI$78))</f>
        <v>#N/A</v>
      </c>
      <c r="AT20" s="428" t="e">
        <f>IF(ISERROR(AVERAGEIF(Discrete!$L$21:$L$78, "=2011", Discrete!BJ$21:BJ$78)), NA(), AVERAGEIF(Discrete!$L$21:$L$78, "=2011", Discrete!BJ$21:BJ$78))</f>
        <v>#N/A</v>
      </c>
      <c r="AU20" s="428" t="e">
        <f>IF(ISERROR(AVERAGEIF(Discrete!$L$21:$L$78, "=2011", Discrete!BK$21:BK$78)), NA(), AVERAGEIF(Discrete!$L$21:$L$78, "=2011", Discrete!BK$21:BK$78))</f>
        <v>#N/A</v>
      </c>
      <c r="AV20" s="428" t="e">
        <f>IF(ISERROR(AVERAGEIF(Discrete!$L$21:$L$78, "=2011", Discrete!BL$21:BL$78)), NA(), AVERAGEIF(Discrete!$L$21:$L$78, "=2011", Discrete!BL$21:BL$78))</f>
        <v>#N/A</v>
      </c>
      <c r="AW20" s="428" t="e">
        <f>IF(ISERROR(AVERAGEIF(Discrete!$L$21:$L$78, "=2011", Discrete!BM$21:BM$78)), NA(), AVERAGEIF(Discrete!$L$21:$L$78, "=2011", Discrete!BM$21:BM$78))</f>
        <v>#N/A</v>
      </c>
      <c r="AX20" s="428" t="e">
        <f>IF(ISERROR(AVERAGEIF(Discrete!$L$21:$L$78, "=2011", Discrete!BN$21:BN$78)), NA(), AVERAGEIF(Discrete!$L$21:$L$78, "=2011", Discrete!BN$21:BN$78))</f>
        <v>#N/A</v>
      </c>
      <c r="AY20" s="428" t="e">
        <f>IF(ISERROR(AVERAGEIF(Discrete!$L$21:$L$78, "=2011", Discrete!BO$21:BO$78)), NA(), AVERAGEIF(Discrete!$L$21:$L$78, "=2011", Discrete!BO$21:BO$78))</f>
        <v>#N/A</v>
      </c>
      <c r="AZ20" s="428" t="e">
        <f>IF(ISERROR(AVERAGEIF(Discrete!$L$21:$L$78, "=2011", Discrete!BP$21:BP$78)), NA(), AVERAGEIF(Discrete!$L$21:$L$78, "=2011", Discrete!BP$21:BP$78))</f>
        <v>#N/A</v>
      </c>
      <c r="BA20" s="428" t="e">
        <f>IF(ISERROR(AVERAGEIF(Discrete!$L$21:$L$78, "=2011", Discrete!BQ$21:BQ$78)), NA(), AVERAGEIF(Discrete!$L$21:$L$78, "=2011", Discrete!BQ$21:BQ$78))</f>
        <v>#N/A</v>
      </c>
      <c r="BB20" s="428" t="e">
        <f>IF(ISERROR(AVERAGEIF(Discrete!$L$21:$L$78, "=2011", Discrete!BR$21:BR$78)), NA(), AVERAGEIF(Discrete!$L$21:$L$78, "=2011", Discrete!BR$21:BR$78))</f>
        <v>#N/A</v>
      </c>
    </row>
    <row r="21" spans="1:78">
      <c r="A21" s="774"/>
      <c r="B21" s="434">
        <v>2012</v>
      </c>
      <c r="C21" s="428" t="e">
        <f>IF(ISERROR(AVERAGEIF(Discrete!$L$21:$L$78, "=2012", Discrete!S$21:S$78)), NA(), AVERAGEIF(Discrete!$L$21:$L$78, "=2012", Discrete!S$21:S$78))</f>
        <v>#N/A</v>
      </c>
      <c r="D21" s="428" t="e">
        <f>IF(ISERROR(AVERAGEIF(Discrete!$L$21:$L$78, "=2012", Discrete!T$21:T$78)), NA(), AVERAGEIF(Discrete!$L$21:$L$78, "=2012", Discrete!T$21:T$78))</f>
        <v>#N/A</v>
      </c>
      <c r="E21" s="428" t="e">
        <f>IF(ISERROR(AVERAGEIF(Discrete!$L$21:$L$78, "=2012", Discrete!U$21:U$78)), NA(), AVERAGEIF(Discrete!$L$21:$L$78, "=2012", Discrete!U$21:U$78))</f>
        <v>#N/A</v>
      </c>
      <c r="F21" s="428" t="e">
        <f>IF(ISERROR(AVERAGEIF(Discrete!$L$21:$L$78, "=2012", Discrete!V$21:V$78)), NA(), AVERAGEIF(Discrete!$L$21:$L$78, "=2012", Discrete!V$21:V$78))</f>
        <v>#N/A</v>
      </c>
      <c r="G21" s="428" t="e">
        <f>IF(ISERROR(AVERAGEIF(Discrete!$L$21:$L$78, "=2012", Discrete!W$21:W$78)), NA(), AVERAGEIF(Discrete!$L$21:$L$78, "=2012", Discrete!W$21:W$78))</f>
        <v>#N/A</v>
      </c>
      <c r="H21" s="428" t="e">
        <f>IF(ISERROR(AVERAGEIF(Discrete!$L$21:$L$78, "=2012", Discrete!X$21:X$78)), NA(), AVERAGEIF(Discrete!$L$21:$L$78, "=2012", Discrete!X$21:X$78))</f>
        <v>#N/A</v>
      </c>
      <c r="I21" s="428" t="e">
        <f>IF(ISERROR(AVERAGEIF(Discrete!$L$21:$L$78, "=2012", Discrete!Y$21:Y$78)), NA(), AVERAGEIF(Discrete!$L$21:$L$78, "=2012", Discrete!Y$21:Y$78))</f>
        <v>#N/A</v>
      </c>
      <c r="J21" s="428" t="e">
        <f>IF(ISERROR(AVERAGEIF(Discrete!$L$21:$L$78, "=2012", Discrete!Z$21:Z$78)), NA(), AVERAGEIF(Discrete!$L$21:$L$78, "=2012", Discrete!Z$21:Z$78))</f>
        <v>#N/A</v>
      </c>
      <c r="K21" s="428" t="e">
        <f>IF(ISERROR(AVERAGEIF(Discrete!$L$21:$L$78, "=2012", Discrete!AA$21:AA$78)), NA(), AVERAGEIF(Discrete!$L$21:$L$78, "=2012", Discrete!AA$21:AA$78))</f>
        <v>#N/A</v>
      </c>
      <c r="L21" s="428" t="e">
        <f>IF(ISERROR(AVERAGEIF(Discrete!$L$21:$L$78, "=2012", Discrete!AB$21:AB$78)), NA(), AVERAGEIF(Discrete!$L$21:$L$78, "=2012", Discrete!AB$21:AB$78))</f>
        <v>#N/A</v>
      </c>
      <c r="M21" s="428" t="e">
        <f>IF(ISERROR(AVERAGEIF(Discrete!$L$21:$L$78, "=2012", Discrete!AC$21:AC$78)), NA(), AVERAGEIF(Discrete!$L$21:$L$78, "=2012", Discrete!AC$21:AC$78))</f>
        <v>#N/A</v>
      </c>
      <c r="N21" s="428" t="e">
        <f>IF(ISERROR(AVERAGEIF(Discrete!$L$21:$L$78, "=2012", Discrete!AD$21:AD$78)), NA(), AVERAGEIF(Discrete!$L$21:$L$78, "=2012", Discrete!AD$21:AD$78))</f>
        <v>#N/A</v>
      </c>
      <c r="O21" s="428" t="e">
        <f>IF(ISERROR(AVERAGEIF(Discrete!$L$21:$L$78, "=2012", Discrete!AE$21:AE$78)), NA(), AVERAGEIF(Discrete!$L$21:$L$78, "=2012", Discrete!AE$21:AE$78))</f>
        <v>#N/A</v>
      </c>
      <c r="P21" s="428" t="e">
        <f>IF(ISERROR(AVERAGEIF(Discrete!$L$21:$L$78, "=2012", Discrete!AF$21:AF$78)), NA(), AVERAGEIF(Discrete!$L$21:$L$78, "=2012", Discrete!AF$21:AF$78))</f>
        <v>#N/A</v>
      </c>
      <c r="Q21" s="428" t="e">
        <f>IF(ISERROR(AVERAGEIF(Discrete!$L$21:$L$78, "=2012", Discrete!AG$21:AG$78)), NA(), AVERAGEIF(Discrete!$L$21:$L$78, "=2012", Discrete!AG$21:AG$78))</f>
        <v>#N/A</v>
      </c>
      <c r="R21" s="428" t="e">
        <f>IF(ISERROR(AVERAGEIF(Discrete!$L$21:$L$78, "=2012", Discrete!AH$21:AH$78)), NA(), AVERAGEIF(Discrete!$L$21:$L$78, "=2012", Discrete!AH$21:AH$78))</f>
        <v>#N/A</v>
      </c>
      <c r="S21" s="428" t="e">
        <f>IF(ISERROR(AVERAGEIF(Discrete!$L$21:$L$78, "=2012", Discrete!AI$21:AI$78)), NA(), AVERAGEIF(Discrete!$L$21:$L$78, "=2012", Discrete!AI$21:AI$78))</f>
        <v>#N/A</v>
      </c>
      <c r="T21" s="428" t="e">
        <f>IF(ISERROR(AVERAGEIF(Discrete!$L$21:$L$78, "=2012", Discrete!AJ$21:AJ$78)), NA(), AVERAGEIF(Discrete!$L$21:$L$78, "=2012", Discrete!AJ$21:AJ$78))</f>
        <v>#N/A</v>
      </c>
      <c r="U21" s="428" t="e">
        <f>IF(ISERROR(AVERAGEIF(Discrete!$L$21:$L$78, "=2012", Discrete!AK$21:AK$78)), NA(), AVERAGEIF(Discrete!$L$21:$L$78, "=2012", Discrete!AK$21:AK$78))</f>
        <v>#N/A</v>
      </c>
      <c r="V21" s="428" t="e">
        <f>IF(ISERROR(AVERAGEIF(Discrete!$L$21:$L$78, "=2012", Discrete!AL$21:AL$78)), NA(), AVERAGEIF(Discrete!$L$21:$L$78, "=2012", Discrete!AL$21:AL$78))</f>
        <v>#N/A</v>
      </c>
      <c r="W21" s="428" t="e">
        <f>IF(ISERROR(AVERAGEIF(Discrete!$L$21:$L$78, "=2012", Discrete!AM$21:AM$78)), NA(), AVERAGEIF(Discrete!$L$21:$L$78, "=2012", Discrete!AM$21:AM$78))</f>
        <v>#N/A</v>
      </c>
      <c r="X21" s="428" t="e">
        <f>IF(ISERROR(AVERAGEIF(Discrete!$L$21:$L$78, "=2012", Discrete!AN$21:AN$78)), NA(), AVERAGEIF(Discrete!$L$21:$L$78, "=2012", Discrete!AN$21:AN$78)*1000)</f>
        <v>#N/A</v>
      </c>
      <c r="Y21" s="428" t="e">
        <f>IF(ISERROR(AVERAGEIF(Discrete!$L$21:$L$78, "=2012", Discrete!AO$21:AO$78)), NA(), AVERAGEIF(Discrete!$L$21:$L$78, "=2012", Discrete!AO$21:AO$78))</f>
        <v>#N/A</v>
      </c>
      <c r="Z21" s="428" t="e">
        <f>IF(ISERROR(AVERAGEIF(Discrete!$L$21:$L$78, "=2012", Discrete!AP$21:AP$78)), NA(), AVERAGEIF(Discrete!$L$21:$L$78, "=2012", Discrete!AP$21:AP$78))</f>
        <v>#N/A</v>
      </c>
      <c r="AA21" s="428" t="e">
        <f>IF(ISERROR(AVERAGEIF(Discrete!$L$21:$L$78, "=2012", Discrete!AQ$21:AQ$78)), NA(), AVERAGEIF(Discrete!$L$21:$L$78, "=2012", Discrete!AQ$21:AQ$78))</f>
        <v>#N/A</v>
      </c>
      <c r="AB21" s="428" t="e">
        <f>IF(ISERROR(AVERAGEIF(Discrete!$L$21:$L$78, "=2012", Discrete!AR$21:AR$78)), NA(), AVERAGEIF(Discrete!$L$21:$L$78, "=2012", Discrete!AR$21:AR$78))</f>
        <v>#N/A</v>
      </c>
      <c r="AC21" s="428" t="e">
        <f>IF(ISERROR(AVERAGEIF(Discrete!$L$21:$L$78, "=2012", Discrete!AS$21:AS$78)), NA(), AVERAGEIF(Discrete!$L$21:$L$78, "=2012", Discrete!AS$21:AS$78))</f>
        <v>#N/A</v>
      </c>
      <c r="AD21" s="428" t="e">
        <f>IF(ISERROR(AVERAGEIF(Discrete!$L$21:$L$78, "=2012", Discrete!AT$21:AT$78)), NA(), AVERAGEIF(Discrete!$L$21:$L$78, "=2012", Discrete!AT$21:AT$78))</f>
        <v>#N/A</v>
      </c>
      <c r="AE21" s="428" t="e">
        <f>IF(ISERROR(AVERAGEIF(Discrete!$L$21:$L$78, "=2012", Discrete!AU$21:AU$78)), NA(), AVERAGEIF(Discrete!$L$21:$L$78, "=2012", Discrete!AU$21:AU$78))</f>
        <v>#N/A</v>
      </c>
      <c r="AF21" s="428" t="e">
        <f>IF(ISERROR(AVERAGEIF(Discrete!$L$21:$L$78, "=2012", Discrete!AV$21:AV$78)), NA(), AVERAGEIF(Discrete!$L$21:$L$78, "=2012", Discrete!AV$21:AV$78))</f>
        <v>#N/A</v>
      </c>
      <c r="AG21" s="428" t="e">
        <f>IF(ISERROR(AVERAGEIF(Discrete!$L$21:$L$78, "=2012", Discrete!AW$21:AW$78)), NA(), AVERAGEIF(Discrete!$L$21:$L$78, "=2012", Discrete!AW$21:AW$78))</f>
        <v>#N/A</v>
      </c>
      <c r="AH21" s="428" t="e">
        <f>IF(ISERROR(AVERAGEIF(Discrete!$L$21:$L$78, "=2012", Discrete!AX$21:AX$78)), NA(), AVERAGEIF(Discrete!$L$21:$L$78, "=2012", Discrete!AX$21:AX$78))</f>
        <v>#N/A</v>
      </c>
      <c r="AI21" s="428" t="e">
        <f>IF(ISERROR(AVERAGEIF(Discrete!$L$21:$L$78, "=2012", Discrete!AY$21:AY$78)), NA(), AVERAGEIF(Discrete!$L$21:$L$78, "=2012", Discrete!AY$21:AY$78))</f>
        <v>#N/A</v>
      </c>
      <c r="AJ21" s="428" t="e">
        <f>IF(ISERROR(AVERAGEIF(Discrete!$L$21:$L$78, "=2012", Discrete!AZ$21:AZ$78)), NA(), AVERAGEIF(Discrete!$L$21:$L$78, "=2012", Discrete!AZ$21:AZ$78))</f>
        <v>#N/A</v>
      </c>
      <c r="AK21" s="428" t="e">
        <f>IF(ISERROR(AVERAGEIF(Discrete!$L$21:$L$78, "=2012", Discrete!BA$21:BA$78)), NA(), AVERAGEIF(Discrete!$L$21:$L$78, "=2012", Discrete!BA$21:BA$78))</f>
        <v>#N/A</v>
      </c>
      <c r="AL21" s="428" t="e">
        <f>IF(ISERROR(AVERAGEIF(Discrete!$L$21:$L$78, "=2012", Discrete!BB$21:BB$78)), NA(), AVERAGEIF(Discrete!$L$21:$L$78, "=2012", Discrete!BB$21:BB$78))</f>
        <v>#N/A</v>
      </c>
      <c r="AM21" s="428" t="e">
        <f>IF(ISERROR(AVERAGEIF(Discrete!$L$21:$L$78, "=2012", Discrete!BC$21:BC$78)), NA(), AVERAGEIF(Discrete!$L$21:$L$78, "=2012", Discrete!BC$21:BC$78))</f>
        <v>#N/A</v>
      </c>
      <c r="AN21" s="428" t="e">
        <f>IF(ISERROR(AVERAGEIF(Discrete!$L$21:$L$78, "=2012", Discrete!BD$21:BD$78)), NA(), AVERAGEIF(Discrete!$L$21:$L$78, "=2012", Discrete!BD$21:BD$78))</f>
        <v>#N/A</v>
      </c>
      <c r="AO21" s="428" t="e">
        <f>IF(ISERROR(AVERAGEIF(Discrete!$L$21:$L$78, "=2012", Discrete!BE$21:BE$78)), NA(), AVERAGEIF(Discrete!$L$21:$L$78, "=2012", Discrete!BE$21:BE$78))</f>
        <v>#N/A</v>
      </c>
      <c r="AP21" s="428" t="e">
        <f>IF(ISERROR(AVERAGEIF(Discrete!$L$21:$L$78, "=2012", Discrete!BF$21:BF$78)), NA(), AVERAGEIF(Discrete!$L$21:$L$78, "=2012", Discrete!BF$21:BF$78))</f>
        <v>#N/A</v>
      </c>
      <c r="AQ21" s="428" t="e">
        <f>IF(ISERROR(AVERAGEIF(Discrete!$L$21:$L$78, "=2012", Discrete!BG$21:BG$78)), NA(), AVERAGEIF(Discrete!$L$21:$L$78, "=2012", Discrete!BG$21:BG$78))</f>
        <v>#N/A</v>
      </c>
      <c r="AR21" s="428" t="e">
        <f>IF(ISERROR(AVERAGEIF(Discrete!$L$21:$L$78, "=2012", Discrete!BH$21:BH$78)), NA(), AVERAGEIF(Discrete!$L$21:$L$78, "=2012", Discrete!BH$21:BH$78))</f>
        <v>#N/A</v>
      </c>
      <c r="AS21" s="428" t="e">
        <f>IF(ISERROR(AVERAGEIF(Discrete!$L$21:$L$78, "=2012", Discrete!BI$21:BI$78)), NA(), AVERAGEIF(Discrete!$L$21:$L$78, "=2012", Discrete!BI$21:BI$78))</f>
        <v>#N/A</v>
      </c>
      <c r="AT21" s="428" t="e">
        <f>IF(ISERROR(AVERAGEIF(Discrete!$L$21:$L$78, "=2012", Discrete!BJ$21:BJ$78)), NA(), AVERAGEIF(Discrete!$L$21:$L$78, "=2012", Discrete!BJ$21:BJ$78))</f>
        <v>#N/A</v>
      </c>
      <c r="AU21" s="428" t="e">
        <f>IF(ISERROR(AVERAGEIF(Discrete!$L$21:$L$78, "=2012", Discrete!BK$21:BK$78)), NA(), AVERAGEIF(Discrete!$L$21:$L$78, "=2012", Discrete!BK$21:BK$78))</f>
        <v>#N/A</v>
      </c>
      <c r="AV21" s="428" t="e">
        <f>IF(ISERROR(AVERAGEIF(Discrete!$L$21:$L$78, "=2012", Discrete!BL$21:BL$78)), NA(), AVERAGEIF(Discrete!$L$21:$L$78, "=2012", Discrete!BL$21:BL$78))</f>
        <v>#N/A</v>
      </c>
      <c r="AW21" s="428" t="e">
        <f>IF(ISERROR(AVERAGEIF(Discrete!$L$21:$L$78, "=2012", Discrete!BM$21:BM$78)), NA(), AVERAGEIF(Discrete!$L$21:$L$78, "=2012", Discrete!BM$21:BM$78))</f>
        <v>#N/A</v>
      </c>
      <c r="AX21" s="428" t="e">
        <f>IF(ISERROR(AVERAGEIF(Discrete!$L$21:$L$78, "=2012", Discrete!BN$21:BN$78)), NA(), AVERAGEIF(Discrete!$L$21:$L$78, "=2012", Discrete!BN$21:BN$78))</f>
        <v>#N/A</v>
      </c>
      <c r="AY21" s="428" t="e">
        <f>IF(ISERROR(AVERAGEIF(Discrete!$L$21:$L$78, "=2012", Discrete!BO$21:BO$78)), NA(), AVERAGEIF(Discrete!$L$21:$L$78, "=2012", Discrete!BO$21:BO$78))</f>
        <v>#N/A</v>
      </c>
      <c r="AZ21" s="428" t="e">
        <f>IF(ISERROR(AVERAGEIF(Discrete!$L$21:$L$78, "=2012", Discrete!BP$21:BP$78)), NA(), AVERAGEIF(Discrete!$L$21:$L$78, "=2012", Discrete!BP$21:BP$78))</f>
        <v>#N/A</v>
      </c>
      <c r="BA21" s="428" t="e">
        <f>IF(ISERROR(AVERAGEIF(Discrete!$L$21:$L$78, "=2012", Discrete!BQ$21:BQ$78)), NA(), AVERAGEIF(Discrete!$L$21:$L$78, "=2012", Discrete!BQ$21:BQ$78))</f>
        <v>#N/A</v>
      </c>
      <c r="BB21" s="428" t="e">
        <f>IF(ISERROR(AVERAGEIF(Discrete!$L$21:$L$78, "=2012", Discrete!BR$21:BR$78)), NA(), AVERAGEIF(Discrete!$L$21:$L$78, "=2012", Discrete!BR$21:BR$78))</f>
        <v>#N/A</v>
      </c>
    </row>
    <row r="22" spans="1:78">
      <c r="A22" s="774"/>
      <c r="B22" s="434">
        <v>2013</v>
      </c>
      <c r="C22" s="428" t="e">
        <f>IF(ISERROR(AVERAGEIF(Discrete!$L$21:$L$78, "=2013", Discrete!S$21:S$78)), NA(), AVERAGEIF(Discrete!$L$21:$L$78, "=2013", Discrete!S$21:S$78))</f>
        <v>#N/A</v>
      </c>
      <c r="D22" s="428" t="e">
        <f>IF(ISERROR(AVERAGEIF(Discrete!$L$21:$L$78, "=2013", Discrete!T$21:T$78)), NA(), AVERAGEIF(Discrete!$L$21:$L$78, "=2013", Discrete!T$21:T$78))</f>
        <v>#N/A</v>
      </c>
      <c r="E22" s="428" t="e">
        <f>IF(ISERROR(AVERAGEIF(Discrete!$L$21:$L$78, "=2013", Discrete!U$21:U$78)), NA(), AVERAGEIF(Discrete!$L$21:$L$78, "=2013", Discrete!U$21:U$78))</f>
        <v>#N/A</v>
      </c>
      <c r="F22" s="428" t="e">
        <f>IF(ISERROR(AVERAGEIF(Discrete!$L$21:$L$78, "=2013", Discrete!V$21:V$78)), NA(), AVERAGEIF(Discrete!$L$21:$L$78, "=2013", Discrete!V$21:V$78))</f>
        <v>#N/A</v>
      </c>
      <c r="G22" s="428" t="e">
        <f>IF(ISERROR(AVERAGEIF(Discrete!$L$21:$L$78, "=2013", Discrete!W$21:W$78)), NA(), AVERAGEIF(Discrete!$L$21:$L$78, "=2013", Discrete!W$21:W$78))</f>
        <v>#N/A</v>
      </c>
      <c r="H22" s="428" t="e">
        <f>IF(ISERROR(AVERAGEIF(Discrete!$L$21:$L$78, "=2013", Discrete!X$21:X$78)), NA(), AVERAGEIF(Discrete!$L$21:$L$78, "=2013", Discrete!X$21:X$78))</f>
        <v>#N/A</v>
      </c>
      <c r="I22" s="428" t="e">
        <f>IF(ISERROR(AVERAGEIF(Discrete!$L$21:$L$78, "=2013", Discrete!Y$21:Y$78)), NA(), AVERAGEIF(Discrete!$L$21:$L$78, "=2013", Discrete!Y$21:Y$78))</f>
        <v>#N/A</v>
      </c>
      <c r="J22" s="428" t="e">
        <f>IF(ISERROR(AVERAGEIF(Discrete!$L$21:$L$78, "=2013", Discrete!Z$21:Z$78)), NA(), AVERAGEIF(Discrete!$L$21:$L$78, "=2013", Discrete!Z$21:Z$78))</f>
        <v>#N/A</v>
      </c>
      <c r="K22" s="428" t="e">
        <f>IF(ISERROR(AVERAGEIF(Discrete!$L$21:$L$78, "=2013", Discrete!AA$21:AA$78)), NA(), AVERAGEIF(Discrete!$L$21:$L$78, "=2013", Discrete!AA$21:AA$78))</f>
        <v>#N/A</v>
      </c>
      <c r="L22" s="428" t="e">
        <f>IF(ISERROR(AVERAGEIF(Discrete!$L$21:$L$78, "=2013", Discrete!AB$21:AB$78)), NA(), AVERAGEIF(Discrete!$L$21:$L$78, "=2013", Discrete!AB$21:AB$78))</f>
        <v>#N/A</v>
      </c>
      <c r="M22" s="428" t="e">
        <f>IF(ISERROR(AVERAGEIF(Discrete!$L$21:$L$78, "=2013", Discrete!AC$21:AC$78)), NA(), AVERAGEIF(Discrete!$L$21:$L$78, "=2013", Discrete!AC$21:AC$78))</f>
        <v>#N/A</v>
      </c>
      <c r="N22" s="428" t="e">
        <f>IF(ISERROR(AVERAGEIF(Discrete!$L$21:$L$78, "=2013", Discrete!AD$21:AD$78)), NA(), AVERAGEIF(Discrete!$L$21:$L$78, "=2013", Discrete!AD$21:AD$78))</f>
        <v>#N/A</v>
      </c>
      <c r="O22" s="428" t="e">
        <f>IF(ISERROR(AVERAGEIF(Discrete!$L$21:$L$78, "=2013", Discrete!AE$21:AE$78)), NA(), AVERAGEIF(Discrete!$L$21:$L$78, "=2013", Discrete!AE$21:AE$78))</f>
        <v>#N/A</v>
      </c>
      <c r="P22" s="428" t="e">
        <f>IF(ISERROR(AVERAGEIF(Discrete!$L$21:$L$78, "=2013", Discrete!AF$21:AF$78)), NA(), AVERAGEIF(Discrete!$L$21:$L$78, "=2013", Discrete!AF$21:AF$78))</f>
        <v>#N/A</v>
      </c>
      <c r="Q22" s="428" t="e">
        <f>IF(ISERROR(AVERAGEIF(Discrete!$L$21:$L$78, "=2013", Discrete!AG$21:AG$78)), NA(), AVERAGEIF(Discrete!$L$21:$L$78, "=2013", Discrete!AG$21:AG$78))</f>
        <v>#N/A</v>
      </c>
      <c r="R22" s="428" t="e">
        <f>IF(ISERROR(AVERAGEIF(Discrete!$L$21:$L$78, "=2013", Discrete!AH$21:AH$78)), NA(), AVERAGEIF(Discrete!$L$21:$L$78, "=2013", Discrete!AH$21:AH$78))</f>
        <v>#N/A</v>
      </c>
      <c r="S22" s="428" t="e">
        <f>IF(ISERROR(AVERAGEIF(Discrete!$L$21:$L$78, "=2013", Discrete!AI$21:AI$78)), NA(), AVERAGEIF(Discrete!$L$21:$L$78, "=2013", Discrete!AI$21:AI$78))</f>
        <v>#N/A</v>
      </c>
      <c r="T22" s="428" t="e">
        <f>IF(ISERROR(AVERAGEIF(Discrete!$L$21:$L$78, "=2013", Discrete!AJ$21:AJ$78)), NA(), AVERAGEIF(Discrete!$L$21:$L$78, "=2013", Discrete!AJ$21:AJ$78))</f>
        <v>#N/A</v>
      </c>
      <c r="U22" s="428" t="e">
        <f>IF(ISERROR(AVERAGEIF(Discrete!$L$21:$L$78, "=2013", Discrete!AK$21:AK$78)), NA(), AVERAGEIF(Discrete!$L$21:$L$78, "=2013", Discrete!AK$21:AK$78))</f>
        <v>#N/A</v>
      </c>
      <c r="V22" s="428" t="e">
        <f>IF(ISERROR(AVERAGEIF(Discrete!$L$21:$L$78, "=2013", Discrete!AL$21:AL$78)), NA(), AVERAGEIF(Discrete!$L$21:$L$78, "=2013", Discrete!AL$21:AL$78))</f>
        <v>#N/A</v>
      </c>
      <c r="W22" s="428" t="e">
        <f>IF(ISERROR(AVERAGEIF(Discrete!$L$21:$L$78, "=2013", Discrete!AM$21:AM$78)), NA(), AVERAGEIF(Discrete!$L$21:$L$78, "=2013", Discrete!AM$21:AM$78))</f>
        <v>#N/A</v>
      </c>
      <c r="X22" s="428" t="e">
        <f>IF(ISERROR(AVERAGEIF(Discrete!$L$21:$L$78, "=2013", Discrete!AN$21:AN$78)), NA(), AVERAGEIF(Discrete!$L$21:$L$78, "=2013", Discrete!AN$21:AN$78)*1000)</f>
        <v>#N/A</v>
      </c>
      <c r="Y22" s="428" t="e">
        <f>IF(ISERROR(AVERAGEIF(Discrete!$L$21:$L$78, "=2013", Discrete!AO$21:AO$78)), NA(), AVERAGEIF(Discrete!$L$21:$L$78, "=2013", Discrete!AO$21:AO$78))</f>
        <v>#N/A</v>
      </c>
      <c r="Z22" s="428" t="e">
        <f>IF(ISERROR(AVERAGEIF(Discrete!$L$21:$L$78, "=2013", Discrete!AP$21:AP$78)), NA(), AVERAGEIF(Discrete!$L$21:$L$78, "=2013", Discrete!AP$21:AP$78))</f>
        <v>#N/A</v>
      </c>
      <c r="AA22" s="428" t="e">
        <f>IF(ISERROR(AVERAGEIF(Discrete!$L$21:$L$78, "=2013", Discrete!AQ$21:AQ$78)), NA(), AVERAGEIF(Discrete!$L$21:$L$78, "=2013", Discrete!AQ$21:AQ$78))</f>
        <v>#N/A</v>
      </c>
      <c r="AB22" s="428" t="e">
        <f>IF(ISERROR(AVERAGEIF(Discrete!$L$21:$L$78, "=2013", Discrete!AR$21:AR$78)), NA(), AVERAGEIF(Discrete!$L$21:$L$78, "=2013", Discrete!AR$21:AR$78))</f>
        <v>#N/A</v>
      </c>
      <c r="AC22" s="428" t="e">
        <f>IF(ISERROR(AVERAGEIF(Discrete!$L$21:$L$78, "=2013", Discrete!AS$21:AS$78)), NA(), AVERAGEIF(Discrete!$L$21:$L$78, "=2013", Discrete!AS$21:AS$78))</f>
        <v>#N/A</v>
      </c>
      <c r="AD22" s="428" t="e">
        <f>IF(ISERROR(AVERAGEIF(Discrete!$L$21:$L$78, "=2013", Discrete!AT$21:AT$78)), NA(), AVERAGEIF(Discrete!$L$21:$L$78, "=2013", Discrete!AT$21:AT$78))</f>
        <v>#N/A</v>
      </c>
      <c r="AE22" s="428" t="e">
        <f>IF(ISERROR(AVERAGEIF(Discrete!$L$21:$L$78, "=2013", Discrete!AU$21:AU$78)), NA(), AVERAGEIF(Discrete!$L$21:$L$78, "=2013", Discrete!AU$21:AU$78))</f>
        <v>#N/A</v>
      </c>
      <c r="AF22" s="428" t="e">
        <f>IF(ISERROR(AVERAGEIF(Discrete!$L$21:$L$78, "=2013", Discrete!AV$21:AV$78)), NA(), AVERAGEIF(Discrete!$L$21:$L$78, "=2013", Discrete!AV$21:AV$78))</f>
        <v>#N/A</v>
      </c>
      <c r="AG22" s="428" t="e">
        <f>IF(ISERROR(AVERAGEIF(Discrete!$L$21:$L$78, "=2013", Discrete!AW$21:AW$78)), NA(), AVERAGEIF(Discrete!$L$21:$L$78, "=2013", Discrete!AW$21:AW$78))</f>
        <v>#N/A</v>
      </c>
      <c r="AH22" s="428" t="e">
        <f>IF(ISERROR(AVERAGEIF(Discrete!$L$21:$L$78, "=2013", Discrete!AX$21:AX$78)), NA(), AVERAGEIF(Discrete!$L$21:$L$78, "=2013", Discrete!AX$21:AX$78))</f>
        <v>#N/A</v>
      </c>
      <c r="AI22" s="428" t="e">
        <f>IF(ISERROR(AVERAGEIF(Discrete!$L$21:$L$78, "=2013", Discrete!AY$21:AY$78)), NA(), AVERAGEIF(Discrete!$L$21:$L$78, "=2013", Discrete!AY$21:AY$78))</f>
        <v>#N/A</v>
      </c>
      <c r="AJ22" s="428" t="e">
        <f>IF(ISERROR(AVERAGEIF(Discrete!$L$21:$L$78, "=2013", Discrete!AZ$21:AZ$78)), NA(), AVERAGEIF(Discrete!$L$21:$L$78, "=2013", Discrete!AZ$21:AZ$78))</f>
        <v>#N/A</v>
      </c>
      <c r="AK22" s="428" t="e">
        <f>IF(ISERROR(AVERAGEIF(Discrete!$L$21:$L$78, "=2013", Discrete!BA$21:BA$78)), NA(), AVERAGEIF(Discrete!$L$21:$L$78, "=2013", Discrete!BA$21:BA$78))</f>
        <v>#N/A</v>
      </c>
      <c r="AL22" s="428" t="e">
        <f>IF(ISERROR(AVERAGEIF(Discrete!$L$21:$L$78, "=2013", Discrete!BB$21:BB$78)), NA(), AVERAGEIF(Discrete!$L$21:$L$78, "=2013", Discrete!BB$21:BB$78))</f>
        <v>#N/A</v>
      </c>
      <c r="AM22" s="428" t="e">
        <f>IF(ISERROR(AVERAGEIF(Discrete!$L$21:$L$78, "=2013", Discrete!BC$21:BC$78)), NA(), AVERAGEIF(Discrete!$L$21:$L$78, "=2013", Discrete!BC$21:BC$78))</f>
        <v>#N/A</v>
      </c>
      <c r="AN22" s="428" t="e">
        <f>IF(ISERROR(AVERAGEIF(Discrete!$L$21:$L$78, "=2013", Discrete!BD$21:BD$78)), NA(), AVERAGEIF(Discrete!$L$21:$L$78, "=2013", Discrete!BD$21:BD$78))</f>
        <v>#N/A</v>
      </c>
      <c r="AO22" s="428" t="e">
        <f>IF(ISERROR(AVERAGEIF(Discrete!$L$21:$L$78, "=2013", Discrete!BE$21:BE$78)), NA(), AVERAGEIF(Discrete!$L$21:$L$78, "=2013", Discrete!BE$21:BE$78))</f>
        <v>#N/A</v>
      </c>
      <c r="AP22" s="428" t="e">
        <f>IF(ISERROR(AVERAGEIF(Discrete!$L$21:$L$78, "=2013", Discrete!BF$21:BF$78)), NA(), AVERAGEIF(Discrete!$L$21:$L$78, "=2013", Discrete!BF$21:BF$78))</f>
        <v>#N/A</v>
      </c>
      <c r="AQ22" s="428" t="e">
        <f>IF(ISERROR(AVERAGEIF(Discrete!$L$21:$L$78, "=2013", Discrete!BG$21:BG$78)), NA(), AVERAGEIF(Discrete!$L$21:$L$78, "=2013", Discrete!BG$21:BG$78))</f>
        <v>#N/A</v>
      </c>
      <c r="AR22" s="428" t="e">
        <f>IF(ISERROR(AVERAGEIF(Discrete!$L$21:$L$78, "=2013", Discrete!BH$21:BH$78)), NA(), AVERAGEIF(Discrete!$L$21:$L$78, "=2013", Discrete!BH$21:BH$78))</f>
        <v>#N/A</v>
      </c>
      <c r="AS22" s="428" t="e">
        <f>IF(ISERROR(AVERAGEIF(Discrete!$L$21:$L$78, "=2013", Discrete!BI$21:BI$78)), NA(), AVERAGEIF(Discrete!$L$21:$L$78, "=2013", Discrete!BI$21:BI$78))</f>
        <v>#N/A</v>
      </c>
      <c r="AT22" s="428" t="e">
        <f>IF(ISERROR(AVERAGEIF(Discrete!$L$21:$L$78, "=2013", Discrete!BJ$21:BJ$78)), NA(), AVERAGEIF(Discrete!$L$21:$L$78, "=2013", Discrete!BJ$21:BJ$78))</f>
        <v>#N/A</v>
      </c>
      <c r="AU22" s="428" t="e">
        <f>IF(ISERROR(AVERAGEIF(Discrete!$L$21:$L$78, "=2013", Discrete!BK$21:BK$78)), NA(), AVERAGEIF(Discrete!$L$21:$L$78, "=2013", Discrete!BK$21:BK$78))</f>
        <v>#N/A</v>
      </c>
      <c r="AV22" s="428" t="e">
        <f>IF(ISERROR(AVERAGEIF(Discrete!$L$21:$L$78, "=2013", Discrete!BL$21:BL$78)), NA(), AVERAGEIF(Discrete!$L$21:$L$78, "=2013", Discrete!BL$21:BL$78))</f>
        <v>#N/A</v>
      </c>
      <c r="AW22" s="428" t="e">
        <f>IF(ISERROR(AVERAGEIF(Discrete!$L$21:$L$78, "=2013", Discrete!BM$21:BM$78)), NA(), AVERAGEIF(Discrete!$L$21:$L$78, "=2013", Discrete!BM$21:BM$78))</f>
        <v>#N/A</v>
      </c>
      <c r="AX22" s="428" t="e">
        <f>IF(ISERROR(AVERAGEIF(Discrete!$L$21:$L$78, "=2013", Discrete!BN$21:BN$78)), NA(), AVERAGEIF(Discrete!$L$21:$L$78, "=2013", Discrete!BN$21:BN$78))</f>
        <v>#N/A</v>
      </c>
      <c r="AY22" s="428" t="e">
        <f>IF(ISERROR(AVERAGEIF(Discrete!$L$21:$L$78, "=2013", Discrete!BO$21:BO$78)), NA(), AVERAGEIF(Discrete!$L$21:$L$78, "=2013", Discrete!BO$21:BO$78))</f>
        <v>#N/A</v>
      </c>
      <c r="AZ22" s="428" t="e">
        <f>IF(ISERROR(AVERAGEIF(Discrete!$L$21:$L$78, "=2013", Discrete!BP$21:BP$78)), NA(), AVERAGEIF(Discrete!$L$21:$L$78, "=2013", Discrete!BP$21:BP$78))</f>
        <v>#N/A</v>
      </c>
      <c r="BA22" s="428" t="e">
        <f>IF(ISERROR(AVERAGEIF(Discrete!$L$21:$L$78, "=2013", Discrete!BQ$21:BQ$78)), NA(), AVERAGEIF(Discrete!$L$21:$L$78, "=2013", Discrete!BQ$21:BQ$78))</f>
        <v>#N/A</v>
      </c>
      <c r="BB22" s="428" t="e">
        <f>IF(ISERROR(AVERAGEIF(Discrete!$L$21:$L$78, "=2013", Discrete!BR$21:BR$78)), NA(), AVERAGEIF(Discrete!$L$21:$L$78, "=2013", Discrete!BR$21:BR$78))</f>
        <v>#N/A</v>
      </c>
    </row>
    <row r="23" spans="1:78">
      <c r="A23" s="774"/>
      <c r="B23" s="434">
        <v>2014</v>
      </c>
      <c r="C23" s="428" t="e">
        <f>IF(ISERROR(AVERAGEIF(Discrete!$L$21:$L$78, "=2014", Discrete!S$21:S$78)), NA(), AVERAGEIF(Discrete!$L$21:$L$78, "=2014", Discrete!S$21:S$78))</f>
        <v>#N/A</v>
      </c>
      <c r="D23" s="428" t="e">
        <f>IF(ISERROR(AVERAGEIF(Discrete!$L$21:$L$78, "=2014", Discrete!T$21:T$78)), NA(), AVERAGEIF(Discrete!$L$21:$L$78, "=2014", Discrete!T$21:T$78))</f>
        <v>#N/A</v>
      </c>
      <c r="E23" s="428" t="e">
        <f>IF(ISERROR(AVERAGEIF(Discrete!$L$21:$L$78, "=2014", Discrete!U$21:U$78)), NA(), AVERAGEIF(Discrete!$L$21:$L$78, "=2014", Discrete!U$21:U$78))</f>
        <v>#N/A</v>
      </c>
      <c r="F23" s="428" t="e">
        <f>IF(ISERROR(AVERAGEIF(Discrete!$L$21:$L$78, "=2014", Discrete!V$21:V$78)), NA(), AVERAGEIF(Discrete!$L$21:$L$78, "=2014", Discrete!V$21:V$78))</f>
        <v>#N/A</v>
      </c>
      <c r="G23" s="428" t="e">
        <f>IF(ISERROR(AVERAGEIF(Discrete!$L$21:$L$78, "=2014", Discrete!W$21:W$78)), NA(), AVERAGEIF(Discrete!$L$21:$L$78, "=2014", Discrete!W$21:W$78))</f>
        <v>#N/A</v>
      </c>
      <c r="H23" s="428" t="e">
        <f>IF(ISERROR(AVERAGEIF(Discrete!$L$21:$L$78, "=2014", Discrete!X$21:X$78)), NA(), AVERAGEIF(Discrete!$L$21:$L$78, "=2014", Discrete!X$21:X$78))</f>
        <v>#N/A</v>
      </c>
      <c r="I23" s="428" t="e">
        <f>IF(ISERROR(AVERAGEIF(Discrete!$L$21:$L$78, "=2014", Discrete!Y$21:Y$78)), NA(), AVERAGEIF(Discrete!$L$21:$L$78, "=2014", Discrete!Y$21:Y$78))</f>
        <v>#N/A</v>
      </c>
      <c r="J23" s="428" t="e">
        <f>IF(ISERROR(AVERAGEIF(Discrete!$L$21:$L$78, "=2014", Discrete!Z$21:Z$78)), NA(), AVERAGEIF(Discrete!$L$21:$L$78, "=2014", Discrete!Z$21:Z$78))</f>
        <v>#N/A</v>
      </c>
      <c r="K23" s="428" t="e">
        <f>IF(ISERROR(AVERAGEIF(Discrete!$L$21:$L$78, "=2014", Discrete!AA$21:AA$78)), NA(), AVERAGEIF(Discrete!$L$21:$L$78, "=2014", Discrete!AA$21:AA$78))</f>
        <v>#N/A</v>
      </c>
      <c r="L23" s="428" t="e">
        <f>IF(ISERROR(AVERAGEIF(Discrete!$L$21:$L$78, "=2014", Discrete!AB$21:AB$78)), NA(), AVERAGEIF(Discrete!$L$21:$L$78, "=2014", Discrete!AB$21:AB$78))</f>
        <v>#N/A</v>
      </c>
      <c r="M23" s="428">
        <f>IF(ISERROR(AVERAGEIF(Discrete!$L$21:$L$78, "=2014", Discrete!AC$21:AC$78)), NA(), AVERAGEIF(Discrete!$L$21:$L$78, "=2014", Discrete!AC$21:AC$78))</f>
        <v>3.3</v>
      </c>
      <c r="N23" s="428">
        <f>IF(ISERROR(AVERAGEIF(Discrete!$L$21:$L$78, "=2014", Discrete!AD$21:AD$78)), NA(), AVERAGEIF(Discrete!$L$21:$L$78, "=2014", Discrete!AD$21:AD$78))</f>
        <v>3.3</v>
      </c>
      <c r="O23" s="428" t="e">
        <f>IF(ISERROR(AVERAGEIF(Discrete!$L$21:$L$78, "=2014", Discrete!AE$21:AE$78)), NA(), AVERAGEIF(Discrete!$L$21:$L$78, "=2014", Discrete!AE$21:AE$78))</f>
        <v>#N/A</v>
      </c>
      <c r="P23" s="428" t="e">
        <f>IF(ISERROR(AVERAGEIF(Discrete!$L$21:$L$78, "=2014", Discrete!AF$21:AF$78)), NA(), AVERAGEIF(Discrete!$L$21:$L$78, "=2014", Discrete!AF$21:AF$78))</f>
        <v>#N/A</v>
      </c>
      <c r="Q23" s="428" t="e">
        <f>IF(ISERROR(AVERAGEIF(Discrete!$L$21:$L$78, "=2014", Discrete!AG$21:AG$78)), NA(), AVERAGEIF(Discrete!$L$21:$L$78, "=2014", Discrete!AG$21:AG$78))</f>
        <v>#N/A</v>
      </c>
      <c r="R23" s="428">
        <f>IF(ISERROR(AVERAGEIF(Discrete!$L$21:$L$78, "=2014", Discrete!AH$21:AH$78)), NA(), AVERAGEIF(Discrete!$L$21:$L$78, "=2014", Discrete!AH$21:AH$78))</f>
        <v>0.8</v>
      </c>
      <c r="S23" s="428">
        <f>IF(ISERROR(AVERAGEIF(Discrete!$L$21:$L$78, "=2014", Discrete!AI$21:AI$78)), NA(), AVERAGEIF(Discrete!$L$21:$L$78, "=2014", Discrete!AI$21:AI$78))</f>
        <v>9504</v>
      </c>
      <c r="T23" s="428" t="e">
        <f>IF(ISERROR(AVERAGEIF(Discrete!$L$21:$L$78, "=2014", Discrete!AJ$21:AJ$78)), NA(), AVERAGEIF(Discrete!$L$21:$L$78, "=2014", Discrete!AJ$21:AJ$78))</f>
        <v>#N/A</v>
      </c>
      <c r="U23" s="428" t="e">
        <f>IF(ISERROR(AVERAGEIF(Discrete!$L$21:$L$78, "=2014", Discrete!AK$21:AK$78)), NA(), AVERAGEIF(Discrete!$L$21:$L$78, "=2014", Discrete!AK$21:AK$78))</f>
        <v>#N/A</v>
      </c>
      <c r="V23" s="428" t="e">
        <f>IF(ISERROR(AVERAGEIF(Discrete!$L$21:$L$78, "=2014", Discrete!AL$21:AL$78)), NA(), AVERAGEIF(Discrete!$L$21:$L$78, "=2014", Discrete!AL$21:AL$78))</f>
        <v>#N/A</v>
      </c>
      <c r="W23" s="428" t="e">
        <f>IF(ISERROR(AVERAGEIF(Discrete!$L$21:$L$78, "=2014", Discrete!AM$21:AM$78)), NA(), AVERAGEIF(Discrete!$L$21:$L$78, "=2014", Discrete!AM$21:AM$78))</f>
        <v>#N/A</v>
      </c>
      <c r="X23" s="428" t="e">
        <f>IF(ISERROR(AVERAGEIF(Discrete!$L$21:$L$78, "=2014", Discrete!AN$21:AN$78)), NA(), AVERAGEIF(Discrete!$L$21:$L$78, "=2014", Discrete!AN$21:AN$78)*1000)</f>
        <v>#N/A</v>
      </c>
      <c r="Y23" s="428" t="e">
        <f>IF(ISERROR(AVERAGEIF(Discrete!$L$21:$L$78, "=2014", Discrete!AO$21:AO$78)), NA(), AVERAGEIF(Discrete!$L$21:$L$78, "=2014", Discrete!AO$21:AO$78))</f>
        <v>#N/A</v>
      </c>
      <c r="Z23" s="428" t="e">
        <f>IF(ISERROR(AVERAGEIF(Discrete!$L$21:$L$78, "=2014", Discrete!AP$21:AP$78)), NA(), AVERAGEIF(Discrete!$L$21:$L$78, "=2014", Discrete!AP$21:AP$78))</f>
        <v>#N/A</v>
      </c>
      <c r="AA23" s="428" t="e">
        <f>IF(ISERROR(AVERAGEIF(Discrete!$L$21:$L$78, "=2014", Discrete!AQ$21:AQ$78)), NA(), AVERAGEIF(Discrete!$L$21:$L$78, "=2014", Discrete!AQ$21:AQ$78))</f>
        <v>#N/A</v>
      </c>
      <c r="AB23" s="428" t="e">
        <f>IF(ISERROR(AVERAGEIF(Discrete!$L$21:$L$78, "=2014", Discrete!AR$21:AR$78)), NA(), AVERAGEIF(Discrete!$L$21:$L$78, "=2014", Discrete!AR$21:AR$78))</f>
        <v>#N/A</v>
      </c>
      <c r="AC23" s="428" t="e">
        <f>IF(ISERROR(AVERAGEIF(Discrete!$L$21:$L$78, "=2014", Discrete!AS$21:AS$78)), NA(), AVERAGEIF(Discrete!$L$21:$L$78, "=2014", Discrete!AS$21:AS$78))</f>
        <v>#N/A</v>
      </c>
      <c r="AD23" s="428" t="e">
        <f>IF(ISERROR(AVERAGEIF(Discrete!$L$21:$L$78, "=2014", Discrete!AT$21:AT$78)), NA(), AVERAGEIF(Discrete!$L$21:$L$78, "=2014", Discrete!AT$21:AT$78))</f>
        <v>#N/A</v>
      </c>
      <c r="AE23" s="428" t="e">
        <f>IF(ISERROR(AVERAGEIF(Discrete!$L$21:$L$78, "=2014", Discrete!AU$21:AU$78)), NA(), AVERAGEIF(Discrete!$L$21:$L$78, "=2014", Discrete!AU$21:AU$78))</f>
        <v>#N/A</v>
      </c>
      <c r="AF23" s="428" t="e">
        <f>IF(ISERROR(AVERAGEIF(Discrete!$L$21:$L$78, "=2014", Discrete!AV$21:AV$78)), NA(), AVERAGEIF(Discrete!$L$21:$L$78, "=2014", Discrete!AV$21:AV$78))</f>
        <v>#N/A</v>
      </c>
      <c r="AG23" s="428">
        <f>IF(ISERROR(AVERAGEIF(Discrete!$L$21:$L$78, "=2014", Discrete!AW$21:AW$78)), NA(), AVERAGEIF(Discrete!$L$21:$L$78, "=2014", Discrete!AW$21:AW$78))</f>
        <v>2</v>
      </c>
      <c r="AH23" s="428">
        <f>IF(ISERROR(AVERAGEIF(Discrete!$L$21:$L$78, "=2014", Discrete!AX$21:AX$78)), NA(), AVERAGEIF(Discrete!$L$21:$L$78, "=2014", Discrete!AX$21:AX$78))</f>
        <v>2016</v>
      </c>
      <c r="AI23" s="428" t="e">
        <f>IF(ISERROR(AVERAGEIF(Discrete!$L$21:$L$78, "=2014", Discrete!AY$21:AY$78)), NA(), AVERAGEIF(Discrete!$L$21:$L$78, "=2014", Discrete!AY$21:AY$78))</f>
        <v>#N/A</v>
      </c>
      <c r="AJ23" s="428" t="e">
        <f>IF(ISERROR(AVERAGEIF(Discrete!$L$21:$L$78, "=2014", Discrete!AZ$21:AZ$78)), NA(), AVERAGEIF(Discrete!$L$21:$L$78, "=2014", Discrete!AZ$21:AZ$78))</f>
        <v>#N/A</v>
      </c>
      <c r="AK23" s="428" t="e">
        <f>IF(ISERROR(AVERAGEIF(Discrete!$L$21:$L$78, "=2014", Discrete!BA$21:BA$78)), NA(), AVERAGEIF(Discrete!$L$21:$L$78, "=2014", Discrete!BA$21:BA$78))</f>
        <v>#N/A</v>
      </c>
      <c r="AL23" s="428">
        <f>IF(ISERROR(AVERAGEIF(Discrete!$L$21:$L$78, "=2014", Discrete!BB$21:BB$78)), NA(), AVERAGEIF(Discrete!$L$21:$L$78, "=2014", Discrete!BB$21:BB$78))</f>
        <v>48</v>
      </c>
      <c r="AM23" s="428" t="e">
        <f>IF(ISERROR(AVERAGEIF(Discrete!$L$21:$L$78, "=2014", Discrete!BC$21:BC$78)), NA(), AVERAGEIF(Discrete!$L$21:$L$78, "=2014", Discrete!BC$21:BC$78))</f>
        <v>#N/A</v>
      </c>
      <c r="AN23" s="428" t="e">
        <f>IF(ISERROR(AVERAGEIF(Discrete!$L$21:$L$78, "=2014", Discrete!BD$21:BD$78)), NA(), AVERAGEIF(Discrete!$L$21:$L$78, "=2014", Discrete!BD$21:BD$78))</f>
        <v>#N/A</v>
      </c>
      <c r="AO23" s="428" t="e">
        <f>IF(ISERROR(AVERAGEIF(Discrete!$L$21:$L$78, "=2014", Discrete!BE$21:BE$78)), NA(), AVERAGEIF(Discrete!$L$21:$L$78, "=2014", Discrete!BE$21:BE$78))</f>
        <v>#N/A</v>
      </c>
      <c r="AP23" s="428" t="e">
        <f>IF(ISERROR(AVERAGEIF(Discrete!$L$21:$L$78, "=2014", Discrete!BF$21:BF$78)), NA(), AVERAGEIF(Discrete!$L$21:$L$78, "=2014", Discrete!BF$21:BF$78))</f>
        <v>#N/A</v>
      </c>
      <c r="AQ23" s="428" t="e">
        <f>IF(ISERROR(AVERAGEIF(Discrete!$L$21:$L$78, "=2014", Discrete!BG$21:BG$78)), NA(), AVERAGEIF(Discrete!$L$21:$L$78, "=2014", Discrete!BG$21:BG$78))</f>
        <v>#N/A</v>
      </c>
      <c r="AR23" s="428" t="e">
        <f>IF(ISERROR(AVERAGEIF(Discrete!$L$21:$L$78, "=2014", Discrete!BH$21:BH$78)), NA(), AVERAGEIF(Discrete!$L$21:$L$78, "=2014", Discrete!BH$21:BH$78))</f>
        <v>#N/A</v>
      </c>
      <c r="AS23" s="428" t="e">
        <f>IF(ISERROR(AVERAGEIF(Discrete!$L$21:$L$78, "=2014", Discrete!BI$21:BI$78)), NA(), AVERAGEIF(Discrete!$L$21:$L$78, "=2014", Discrete!BI$21:BI$78))</f>
        <v>#N/A</v>
      </c>
      <c r="AT23" s="428" t="e">
        <f>IF(ISERROR(AVERAGEIF(Discrete!$L$21:$L$78, "=2014", Discrete!BJ$21:BJ$78)), NA(), AVERAGEIF(Discrete!$L$21:$L$78, "=2014", Discrete!BJ$21:BJ$78))</f>
        <v>#N/A</v>
      </c>
      <c r="AU23" s="428" t="e">
        <f>IF(ISERROR(AVERAGEIF(Discrete!$L$21:$L$78, "=2014", Discrete!BK$21:BK$78)), NA(), AVERAGEIF(Discrete!$L$21:$L$78, "=2014", Discrete!BK$21:BK$78))</f>
        <v>#N/A</v>
      </c>
      <c r="AV23" s="428" t="e">
        <f>IF(ISERROR(AVERAGEIF(Discrete!$L$21:$L$78, "=2014", Discrete!BL$21:BL$78)), NA(), AVERAGEIF(Discrete!$L$21:$L$78, "=2014", Discrete!BL$21:BL$78))</f>
        <v>#N/A</v>
      </c>
      <c r="AW23" s="428" t="e">
        <f>IF(ISERROR(AVERAGEIF(Discrete!$L$21:$L$78, "=2014", Discrete!BM$21:BM$78)), NA(), AVERAGEIF(Discrete!$L$21:$L$78, "=2014", Discrete!BM$21:BM$78))</f>
        <v>#N/A</v>
      </c>
      <c r="AX23" s="428" t="e">
        <f>IF(ISERROR(AVERAGEIF(Discrete!$L$21:$L$78, "=2014", Discrete!BN$21:BN$78)), NA(), AVERAGEIF(Discrete!$L$21:$L$78, "=2014", Discrete!BN$21:BN$78))</f>
        <v>#N/A</v>
      </c>
      <c r="AY23" s="428" t="e">
        <f>IF(ISERROR(AVERAGEIF(Discrete!$L$21:$L$78, "=2014", Discrete!BO$21:BO$78)), NA(), AVERAGEIF(Discrete!$L$21:$L$78, "=2014", Discrete!BO$21:BO$78))</f>
        <v>#N/A</v>
      </c>
      <c r="AZ23" s="428" t="e">
        <f>IF(ISERROR(AVERAGEIF(Discrete!$L$21:$L$78, "=2014", Discrete!BP$21:BP$78)), NA(), AVERAGEIF(Discrete!$L$21:$L$78, "=2014", Discrete!BP$21:BP$78))</f>
        <v>#N/A</v>
      </c>
      <c r="BA23" s="428" t="e">
        <f>IF(ISERROR(AVERAGEIF(Discrete!$L$21:$L$78, "=2014", Discrete!BQ$21:BQ$78)), NA(), AVERAGEIF(Discrete!$L$21:$L$78, "=2014", Discrete!BQ$21:BQ$78))</f>
        <v>#N/A</v>
      </c>
      <c r="BB23" s="428" t="e">
        <f>IF(ISERROR(AVERAGEIF(Discrete!$L$21:$L$78, "=2014", Discrete!BR$21:BR$78)), NA(), AVERAGEIF(Discrete!$L$21:$L$78, "=2014", Discrete!BR$21:BR$78))</f>
        <v>#N/A</v>
      </c>
    </row>
    <row r="24" spans="1:78">
      <c r="A24" s="774"/>
      <c r="B24" s="434">
        <v>2015</v>
      </c>
      <c r="C24" s="428" t="e">
        <f>IF(ISERROR(AVERAGEIF(Discrete!$L$21:$L$78, "=2015", Discrete!S$21:S$78)), NA(), AVERAGEIF(Discrete!$L$21:$L$78, "=2015", Discrete!S$21:S$78))</f>
        <v>#N/A</v>
      </c>
      <c r="D24" s="428" t="e">
        <f>IF(ISERROR(AVERAGEIF(Discrete!$L$21:$L$78, "=2015", Discrete!T$21:T$78)), NA(), AVERAGEIF(Discrete!$L$21:$L$78, "=2015", Discrete!T$21:T$78))</f>
        <v>#N/A</v>
      </c>
      <c r="E24" s="428" t="e">
        <f>IF(ISERROR(AVERAGEIF(Discrete!$L$21:$L$78, "=2015", Discrete!U$21:U$78)), NA(), AVERAGEIF(Discrete!$L$21:$L$78, "=2015", Discrete!U$21:U$78))</f>
        <v>#N/A</v>
      </c>
      <c r="F24" s="428" t="e">
        <f>IF(ISERROR(AVERAGEIF(Discrete!$L$21:$L$78, "=2015", Discrete!V$21:V$78)), NA(), AVERAGEIF(Discrete!$L$21:$L$78, "=2015", Discrete!V$21:V$78))</f>
        <v>#N/A</v>
      </c>
      <c r="G24" s="428" t="e">
        <f>IF(ISERROR(AVERAGEIF(Discrete!$L$21:$L$78, "=2015", Discrete!W$21:W$78)), NA(), AVERAGEIF(Discrete!$L$21:$L$78, "=2015", Discrete!W$21:W$78))</f>
        <v>#N/A</v>
      </c>
      <c r="H24" s="428" t="e">
        <f>IF(ISERROR(AVERAGEIF(Discrete!$L$21:$L$78, "=2015", Discrete!X$21:X$78)), NA(), AVERAGEIF(Discrete!$L$21:$L$78, "=2015", Discrete!X$21:X$78))</f>
        <v>#N/A</v>
      </c>
      <c r="I24" s="428" t="e">
        <f>IF(ISERROR(AVERAGEIF(Discrete!$L$21:$L$78, "=2015", Discrete!Y$21:Y$78)), NA(), AVERAGEIF(Discrete!$L$21:$L$78, "=2015", Discrete!Y$21:Y$78))</f>
        <v>#N/A</v>
      </c>
      <c r="J24" s="428" t="e">
        <f>IF(ISERROR(AVERAGEIF(Discrete!$L$21:$L$78, "=2015", Discrete!Z$21:Z$78)), NA(), AVERAGEIF(Discrete!$L$21:$L$78, "=2015", Discrete!Z$21:Z$78))</f>
        <v>#N/A</v>
      </c>
      <c r="K24" s="428" t="e">
        <f>IF(ISERROR(AVERAGEIF(Discrete!$L$21:$L$78, "=2015", Discrete!AA$21:AA$78)), NA(), AVERAGEIF(Discrete!$L$21:$L$78, "=2015", Discrete!AA$21:AA$78))</f>
        <v>#N/A</v>
      </c>
      <c r="L24" s="428" t="e">
        <f>IF(ISERROR(AVERAGEIF(Discrete!$L$21:$L$78, "=2015", Discrete!AB$21:AB$78)), NA(), AVERAGEIF(Discrete!$L$21:$L$78, "=2015", Discrete!AB$21:AB$78))</f>
        <v>#N/A</v>
      </c>
      <c r="M24" s="428" t="e">
        <f>IF(ISERROR(AVERAGEIF(Discrete!$L$21:$L$78, "=2015", Discrete!AC$21:AC$78)), NA(), AVERAGEIF(Discrete!$L$21:$L$78, "=2015", Discrete!AC$21:AC$78))</f>
        <v>#N/A</v>
      </c>
      <c r="N24" s="428" t="e">
        <f>IF(ISERROR(AVERAGEIF(Discrete!$L$21:$L$78, "=2015", Discrete!AD$21:AD$78)), NA(), AVERAGEIF(Discrete!$L$21:$L$78, "=2015", Discrete!AD$21:AD$78))</f>
        <v>#N/A</v>
      </c>
      <c r="O24" s="428" t="e">
        <f>IF(ISERROR(AVERAGEIF(Discrete!$L$21:$L$78, "=2015", Discrete!AE$21:AE$78)), NA(), AVERAGEIF(Discrete!$L$21:$L$78, "=2015", Discrete!AE$21:AE$78))</f>
        <v>#N/A</v>
      </c>
      <c r="P24" s="428" t="e">
        <f>IF(ISERROR(AVERAGEIF(Discrete!$L$21:$L$78, "=2015", Discrete!AF$21:AF$78)), NA(), AVERAGEIF(Discrete!$L$21:$L$78, "=2015", Discrete!AF$21:AF$78))</f>
        <v>#N/A</v>
      </c>
      <c r="Q24" s="428" t="e">
        <f>IF(ISERROR(AVERAGEIF(Discrete!$L$21:$L$78, "=2015", Discrete!AG$21:AG$78)), NA(), AVERAGEIF(Discrete!$L$21:$L$78, "=2015", Discrete!AG$21:AG$78))</f>
        <v>#N/A</v>
      </c>
      <c r="R24" s="428" t="e">
        <f>IF(ISERROR(AVERAGEIF(Discrete!$L$21:$L$78, "=2015", Discrete!AH$21:AH$78)), NA(), AVERAGEIF(Discrete!$L$21:$L$78, "=2015", Discrete!AH$21:AH$78))</f>
        <v>#N/A</v>
      </c>
      <c r="S24" s="428" t="e">
        <f>IF(ISERROR(AVERAGEIF(Discrete!$L$21:$L$78, "=2015", Discrete!AI$21:AI$78)), NA(), AVERAGEIF(Discrete!$L$21:$L$78, "=2015", Discrete!AI$21:AI$78))</f>
        <v>#N/A</v>
      </c>
      <c r="T24" s="428" t="e">
        <f>IF(ISERROR(AVERAGEIF(Discrete!$L$21:$L$78, "=2015", Discrete!AJ$21:AJ$78)), NA(), AVERAGEIF(Discrete!$L$21:$L$78, "=2015", Discrete!AJ$21:AJ$78))</f>
        <v>#N/A</v>
      </c>
      <c r="U24" s="428" t="e">
        <f>IF(ISERROR(AVERAGEIF(Discrete!$L$21:$L$78, "=2015", Discrete!AK$21:AK$78)), NA(), AVERAGEIF(Discrete!$L$21:$L$78, "=2015", Discrete!AK$21:AK$78))</f>
        <v>#N/A</v>
      </c>
      <c r="V24" s="428" t="e">
        <f>IF(ISERROR(AVERAGEIF(Discrete!$L$21:$L$78, "=2015", Discrete!AL$21:AL$78)), NA(), AVERAGEIF(Discrete!$L$21:$L$78, "=2015", Discrete!AL$21:AL$78))</f>
        <v>#N/A</v>
      </c>
      <c r="W24" s="428" t="e">
        <f>IF(ISERROR(AVERAGEIF(Discrete!$L$21:$L$78, "=2015", Discrete!AM$21:AM$78)), NA(), AVERAGEIF(Discrete!$L$21:$L$78, "=2015", Discrete!AM$21:AM$78))</f>
        <v>#N/A</v>
      </c>
      <c r="X24" s="428" t="e">
        <f>IF(ISERROR(AVERAGEIF(Discrete!$L$21:$L$78, "=2015", Discrete!AN$21:AN$78)), NA(), AVERAGEIF(Discrete!$L$21:$L$78, "=2015", Discrete!AN$21:AN$78)*1000)</f>
        <v>#N/A</v>
      </c>
      <c r="Y24" s="428" t="e">
        <f>IF(ISERROR(AVERAGEIF(Discrete!$L$21:$L$78, "=2015", Discrete!AO$21:AO$78)), NA(), AVERAGEIF(Discrete!$L$21:$L$78, "=2015", Discrete!AO$21:AO$78))</f>
        <v>#N/A</v>
      </c>
      <c r="Z24" s="428" t="e">
        <f>IF(ISERROR(AVERAGEIF(Discrete!$L$21:$L$78, "=2015", Discrete!AP$21:AP$78)), NA(), AVERAGEIF(Discrete!$L$21:$L$78, "=2015", Discrete!AP$21:AP$78))</f>
        <v>#N/A</v>
      </c>
      <c r="AA24" s="428" t="e">
        <f>IF(ISERROR(AVERAGEIF(Discrete!$L$21:$L$78, "=2015", Discrete!AQ$21:AQ$78)), NA(), AVERAGEIF(Discrete!$L$21:$L$78, "=2015", Discrete!AQ$21:AQ$78))</f>
        <v>#N/A</v>
      </c>
      <c r="AB24" s="428" t="e">
        <f>IF(ISERROR(AVERAGEIF(Discrete!$L$21:$L$78, "=2015", Discrete!AR$21:AR$78)), NA(), AVERAGEIF(Discrete!$L$21:$L$78, "=2015", Discrete!AR$21:AR$78))</f>
        <v>#N/A</v>
      </c>
      <c r="AC24" s="428" t="e">
        <f>IF(ISERROR(AVERAGEIF(Discrete!$L$21:$L$78, "=2015", Discrete!AS$21:AS$78)), NA(), AVERAGEIF(Discrete!$L$21:$L$78, "=2015", Discrete!AS$21:AS$78))</f>
        <v>#N/A</v>
      </c>
      <c r="AD24" s="428" t="e">
        <f>IF(ISERROR(AVERAGEIF(Discrete!$L$21:$L$78, "=2015", Discrete!AT$21:AT$78)), NA(), AVERAGEIF(Discrete!$L$21:$L$78, "=2015", Discrete!AT$21:AT$78))</f>
        <v>#N/A</v>
      </c>
      <c r="AE24" s="428" t="e">
        <f>IF(ISERROR(AVERAGEIF(Discrete!$L$21:$L$78, "=2015", Discrete!AU$21:AU$78)), NA(), AVERAGEIF(Discrete!$L$21:$L$78, "=2015", Discrete!AU$21:AU$78))</f>
        <v>#N/A</v>
      </c>
      <c r="AF24" s="428" t="e">
        <f>IF(ISERROR(AVERAGEIF(Discrete!$L$21:$L$78, "=2015", Discrete!AV$21:AV$78)), NA(), AVERAGEIF(Discrete!$L$21:$L$78, "=2015", Discrete!AV$21:AV$78))</f>
        <v>#N/A</v>
      </c>
      <c r="AG24" s="428" t="e">
        <f>IF(ISERROR(AVERAGEIF(Discrete!$L$21:$L$78, "=2015", Discrete!AW$21:AW$78)), NA(), AVERAGEIF(Discrete!$L$21:$L$78, "=2015", Discrete!AW$21:AW$78))</f>
        <v>#N/A</v>
      </c>
      <c r="AH24" s="428" t="e">
        <f>IF(ISERROR(AVERAGEIF(Discrete!$L$21:$L$78, "=2015", Discrete!AX$21:AX$78)), NA(), AVERAGEIF(Discrete!$L$21:$L$78, "=2015", Discrete!AX$21:AX$78))</f>
        <v>#N/A</v>
      </c>
      <c r="AI24" s="428" t="e">
        <f>IF(ISERROR(AVERAGEIF(Discrete!$L$21:$L$78, "=2015", Discrete!AY$21:AY$78)), NA(), AVERAGEIF(Discrete!$L$21:$L$78, "=2015", Discrete!AY$21:AY$78))</f>
        <v>#N/A</v>
      </c>
      <c r="AJ24" s="428" t="e">
        <f>IF(ISERROR(AVERAGEIF(Discrete!$L$21:$L$78, "=2015", Discrete!AZ$21:AZ$78)), NA(), AVERAGEIF(Discrete!$L$21:$L$78, "=2015", Discrete!AZ$21:AZ$78))</f>
        <v>#N/A</v>
      </c>
      <c r="AK24" s="428" t="e">
        <f>IF(ISERROR(AVERAGEIF(Discrete!$L$21:$L$78, "=2015", Discrete!BA$21:BA$78)), NA(), AVERAGEIF(Discrete!$L$21:$L$78, "=2015", Discrete!BA$21:BA$78))</f>
        <v>#N/A</v>
      </c>
      <c r="AL24" s="428" t="e">
        <f>IF(ISERROR(AVERAGEIF(Discrete!$L$21:$L$78, "=2015", Discrete!BB$21:BB$78)), NA(), AVERAGEIF(Discrete!$L$21:$L$78, "=2015", Discrete!BB$21:BB$78))</f>
        <v>#N/A</v>
      </c>
      <c r="AM24" s="428" t="e">
        <f>IF(ISERROR(AVERAGEIF(Discrete!$L$21:$L$78, "=2015", Discrete!BC$21:BC$78)), NA(), AVERAGEIF(Discrete!$L$21:$L$78, "=2015", Discrete!BC$21:BC$78))</f>
        <v>#N/A</v>
      </c>
      <c r="AN24" s="428" t="e">
        <f>IF(ISERROR(AVERAGEIF(Discrete!$L$21:$L$78, "=2015", Discrete!BD$21:BD$78)), NA(), AVERAGEIF(Discrete!$L$21:$L$78, "=2015", Discrete!BD$21:BD$78))</f>
        <v>#N/A</v>
      </c>
      <c r="AO24" s="428" t="e">
        <f>IF(ISERROR(AVERAGEIF(Discrete!$L$21:$L$78, "=2015", Discrete!BE$21:BE$78)), NA(), AVERAGEIF(Discrete!$L$21:$L$78, "=2015", Discrete!BE$21:BE$78))</f>
        <v>#N/A</v>
      </c>
      <c r="AP24" s="428" t="e">
        <f>IF(ISERROR(AVERAGEIF(Discrete!$L$21:$L$78, "=2015", Discrete!BF$21:BF$78)), NA(), AVERAGEIF(Discrete!$L$21:$L$78, "=2015", Discrete!BF$21:BF$78))</f>
        <v>#N/A</v>
      </c>
      <c r="AQ24" s="428" t="e">
        <f>IF(ISERROR(AVERAGEIF(Discrete!$L$21:$L$78, "=2015", Discrete!BG$21:BG$78)), NA(), AVERAGEIF(Discrete!$L$21:$L$78, "=2015", Discrete!BG$21:BG$78))</f>
        <v>#N/A</v>
      </c>
      <c r="AR24" s="428" t="e">
        <f>IF(ISERROR(AVERAGEIF(Discrete!$L$21:$L$78, "=2015", Discrete!BH$21:BH$78)), NA(), AVERAGEIF(Discrete!$L$21:$L$78, "=2015", Discrete!BH$21:BH$78))</f>
        <v>#N/A</v>
      </c>
      <c r="AS24" s="428" t="e">
        <f>IF(ISERROR(AVERAGEIF(Discrete!$L$21:$L$78, "=2015", Discrete!BI$21:BI$78)), NA(), AVERAGEIF(Discrete!$L$21:$L$78, "=2015", Discrete!BI$21:BI$78))</f>
        <v>#N/A</v>
      </c>
      <c r="AT24" s="428" t="e">
        <f>IF(ISERROR(AVERAGEIF(Discrete!$L$21:$L$78, "=2015", Discrete!BJ$21:BJ$78)), NA(), AVERAGEIF(Discrete!$L$21:$L$78, "=2015", Discrete!BJ$21:BJ$78))</f>
        <v>#N/A</v>
      </c>
      <c r="AU24" s="428" t="e">
        <f>IF(ISERROR(AVERAGEIF(Discrete!$L$21:$L$78, "=2015", Discrete!BK$21:BK$78)), NA(), AVERAGEIF(Discrete!$L$21:$L$78, "=2015", Discrete!BK$21:BK$78))</f>
        <v>#N/A</v>
      </c>
      <c r="AV24" s="428" t="e">
        <f>IF(ISERROR(AVERAGEIF(Discrete!$L$21:$L$78, "=2015", Discrete!BL$21:BL$78)), NA(), AVERAGEIF(Discrete!$L$21:$L$78, "=2015", Discrete!BL$21:BL$78))</f>
        <v>#N/A</v>
      </c>
      <c r="AW24" s="428" t="e">
        <f>IF(ISERROR(AVERAGEIF(Discrete!$L$21:$L$78, "=2015", Discrete!BM$21:BM$78)), NA(), AVERAGEIF(Discrete!$L$21:$L$78, "=2015", Discrete!BM$21:BM$78))</f>
        <v>#N/A</v>
      </c>
      <c r="AX24" s="428" t="e">
        <f>IF(ISERROR(AVERAGEIF(Discrete!$L$21:$L$78, "=2015", Discrete!BN$21:BN$78)), NA(), AVERAGEIF(Discrete!$L$21:$L$78, "=2015", Discrete!BN$21:BN$78))</f>
        <v>#N/A</v>
      </c>
      <c r="AY24" s="428" t="e">
        <f>IF(ISERROR(AVERAGEIF(Discrete!$L$21:$L$78, "=2015", Discrete!BO$21:BO$78)), NA(), AVERAGEIF(Discrete!$L$21:$L$78, "=2015", Discrete!BO$21:BO$78))</f>
        <v>#N/A</v>
      </c>
      <c r="AZ24" s="428" t="e">
        <f>IF(ISERROR(AVERAGEIF(Discrete!$L$21:$L$78, "=2015", Discrete!BP$21:BP$78)), NA(), AVERAGEIF(Discrete!$L$21:$L$78, "=2015", Discrete!BP$21:BP$78))</f>
        <v>#N/A</v>
      </c>
      <c r="BA24" s="428" t="e">
        <f>IF(ISERROR(AVERAGEIF(Discrete!$L$21:$L$78, "=2015", Discrete!BQ$21:BQ$78)), NA(), AVERAGEIF(Discrete!$L$21:$L$78, "=2015", Discrete!BQ$21:BQ$78))</f>
        <v>#N/A</v>
      </c>
      <c r="BB24" s="428" t="e">
        <f>IF(ISERROR(AVERAGEIF(Discrete!$L$21:$L$78, "=2015", Discrete!BR$21:BR$78)), NA(), AVERAGEIF(Discrete!$L$21:$L$78, "=2015", Discrete!BR$21:BR$78))</f>
        <v>#N/A</v>
      </c>
    </row>
    <row r="25" spans="1:78">
      <c r="A25" s="774"/>
      <c r="B25" s="434">
        <v>2016</v>
      </c>
      <c r="C25" s="428" t="e">
        <f>IF(ISERROR(AVERAGEIF(Discrete!$L$21:$L$78, "=2016", Discrete!S$21:S$78)), NA(), AVERAGEIF(Discrete!$L$21:$L$78, "=2016", Discrete!S$21:S$78))</f>
        <v>#N/A</v>
      </c>
      <c r="D25" s="428" t="e">
        <f>IF(ISERROR(AVERAGEIF(Discrete!$L$21:$L$78, "=2016", Discrete!T$21:T$78)), NA(), AVERAGEIF(Discrete!$L$21:$L$78, "=2016", Discrete!T$21:T$78))</f>
        <v>#N/A</v>
      </c>
      <c r="E25" s="428" t="e">
        <f>IF(ISERROR(AVERAGEIF(Discrete!$L$21:$L$78, "=2016", Discrete!U$21:U$78)), NA(), AVERAGEIF(Discrete!$L$21:$L$78, "=2016", Discrete!U$21:U$78))</f>
        <v>#N/A</v>
      </c>
      <c r="F25" s="428" t="e">
        <f>IF(ISERROR(AVERAGEIF(Discrete!$L$21:$L$78, "=2016", Discrete!V$21:V$78)), NA(), AVERAGEIF(Discrete!$L$21:$L$78, "=2016", Discrete!V$21:V$78))</f>
        <v>#N/A</v>
      </c>
      <c r="G25" s="428" t="e">
        <f>IF(ISERROR(AVERAGEIF(Discrete!$L$21:$L$78, "=2016", Discrete!W$21:W$78)), NA(), AVERAGEIF(Discrete!$L$21:$L$78, "=2016", Discrete!W$21:W$78))</f>
        <v>#N/A</v>
      </c>
      <c r="H25" s="428" t="e">
        <f>IF(ISERROR(AVERAGEIF(Discrete!$L$21:$L$78, "=2016", Discrete!X$21:X$78)), NA(), AVERAGEIF(Discrete!$L$21:$L$78, "=2016", Discrete!X$21:X$78))</f>
        <v>#N/A</v>
      </c>
      <c r="I25" s="428" t="e">
        <f>IF(ISERROR(AVERAGEIF(Discrete!$L$21:$L$78, "=2016", Discrete!Y$21:Y$78)), NA(), AVERAGEIF(Discrete!$L$21:$L$78, "=2016", Discrete!Y$21:Y$78))</f>
        <v>#N/A</v>
      </c>
      <c r="J25" s="428" t="e">
        <f>IF(ISERROR(AVERAGEIF(Discrete!$L$21:$L$78, "=2016", Discrete!Z$21:Z$78)), NA(), AVERAGEIF(Discrete!$L$21:$L$78, "=2016", Discrete!Z$21:Z$78))</f>
        <v>#N/A</v>
      </c>
      <c r="K25" s="428" t="e">
        <f>IF(ISERROR(AVERAGEIF(Discrete!$L$21:$L$78, "=2016", Discrete!AA$21:AA$78)), NA(), AVERAGEIF(Discrete!$L$21:$L$78, "=2016", Discrete!AA$21:AA$78))</f>
        <v>#N/A</v>
      </c>
      <c r="L25" s="428" t="e">
        <f>IF(ISERROR(AVERAGEIF(Discrete!$L$21:$L$78, "=2016", Discrete!AB$21:AB$78)), NA(), AVERAGEIF(Discrete!$L$21:$L$78, "=2016", Discrete!AB$21:AB$78))</f>
        <v>#N/A</v>
      </c>
      <c r="M25" s="428" t="e">
        <f>IF(ISERROR(AVERAGEIF(Discrete!$L$21:$L$78, "=2016", Discrete!AC$21:AC$78)), NA(), AVERAGEIF(Discrete!$L$21:$L$78, "=2016", Discrete!AC$21:AC$78))</f>
        <v>#N/A</v>
      </c>
      <c r="N25" s="428" t="e">
        <f>IF(ISERROR(AVERAGEIF(Discrete!$L$21:$L$78, "=2016", Discrete!AD$21:AD$78)), NA(), AVERAGEIF(Discrete!$L$21:$L$78, "=2016", Discrete!AD$21:AD$78))</f>
        <v>#N/A</v>
      </c>
      <c r="O25" s="428" t="e">
        <f>IF(ISERROR(AVERAGEIF(Discrete!$L$21:$L$78, "=2016", Discrete!AE$21:AE$78)), NA(), AVERAGEIF(Discrete!$L$21:$L$78, "=2016", Discrete!AE$21:AE$78))</f>
        <v>#N/A</v>
      </c>
      <c r="P25" s="428" t="e">
        <f>IF(ISERROR(AVERAGEIF(Discrete!$L$21:$L$78, "=2016", Discrete!AF$21:AF$78)), NA(), AVERAGEIF(Discrete!$L$21:$L$78, "=2016", Discrete!AF$21:AF$78))</f>
        <v>#N/A</v>
      </c>
      <c r="Q25" s="428" t="e">
        <f>IF(ISERROR(AVERAGEIF(Discrete!$L$21:$L$78, "=2016", Discrete!AG$21:AG$78)), NA(), AVERAGEIF(Discrete!$L$21:$L$78, "=2016", Discrete!AG$21:AG$78))</f>
        <v>#N/A</v>
      </c>
      <c r="R25" s="428" t="e">
        <f>IF(ISERROR(AVERAGEIF(Discrete!$L$21:$L$78, "=2016", Discrete!AH$21:AH$78)), NA(), AVERAGEIF(Discrete!$L$21:$L$78, "=2016", Discrete!AH$21:AH$78))</f>
        <v>#N/A</v>
      </c>
      <c r="S25" s="428" t="e">
        <f>IF(ISERROR(AVERAGEIF(Discrete!$L$21:$L$78, "=2016", Discrete!AI$21:AI$78)), NA(), AVERAGEIF(Discrete!$L$21:$L$78, "=2016", Discrete!AI$21:AI$78))</f>
        <v>#N/A</v>
      </c>
      <c r="T25" s="428" t="e">
        <f>IF(ISERROR(AVERAGEIF(Discrete!$L$21:$L$78, "=2016", Discrete!AJ$21:AJ$78)), NA(), AVERAGEIF(Discrete!$L$21:$L$78, "=2016", Discrete!AJ$21:AJ$78))</f>
        <v>#N/A</v>
      </c>
      <c r="U25" s="428" t="e">
        <f>IF(ISERROR(AVERAGEIF(Discrete!$L$21:$L$78, "=2016", Discrete!AK$21:AK$78)), NA(), AVERAGEIF(Discrete!$L$21:$L$78, "=2016", Discrete!AK$21:AK$78))</f>
        <v>#N/A</v>
      </c>
      <c r="V25" s="428" t="e">
        <f>IF(ISERROR(AVERAGEIF(Discrete!$L$21:$L$78, "=2016", Discrete!AL$21:AL$78)), NA(), AVERAGEIF(Discrete!$L$21:$L$78, "=2016", Discrete!AL$21:AL$78))</f>
        <v>#N/A</v>
      </c>
      <c r="W25" s="428" t="e">
        <f>IF(ISERROR(AVERAGEIF(Discrete!$L$21:$L$78, "=2016", Discrete!AM$21:AM$78)), NA(), AVERAGEIF(Discrete!$L$21:$L$78, "=2016", Discrete!AM$21:AM$78))</f>
        <v>#N/A</v>
      </c>
      <c r="X25" s="428" t="e">
        <f>IF(ISERROR(AVERAGEIF(Discrete!$L$21:$L$78, "=2016", Discrete!AN$21:AN$78)), NA(), AVERAGEIF(Discrete!$L$21:$L$78, "=2016", Discrete!AN$21:AN$78)*1000)</f>
        <v>#N/A</v>
      </c>
      <c r="Y25" s="428" t="e">
        <f>IF(ISERROR(AVERAGEIF(Discrete!$L$21:$L$78, "=2016", Discrete!AO$21:AO$78)), NA(), AVERAGEIF(Discrete!$L$21:$L$78, "=2016", Discrete!AO$21:AO$78))</f>
        <v>#N/A</v>
      </c>
      <c r="Z25" s="428" t="e">
        <f>IF(ISERROR(AVERAGEIF(Discrete!$L$21:$L$78, "=2016", Discrete!AP$21:AP$78)), NA(), AVERAGEIF(Discrete!$L$21:$L$78, "=2016", Discrete!AP$21:AP$78))</f>
        <v>#N/A</v>
      </c>
      <c r="AA25" s="428" t="e">
        <f>IF(ISERROR(AVERAGEIF(Discrete!$L$21:$L$78, "=2016", Discrete!AQ$21:AQ$78)), NA(), AVERAGEIF(Discrete!$L$21:$L$78, "=2016", Discrete!AQ$21:AQ$78))</f>
        <v>#N/A</v>
      </c>
      <c r="AB25" s="428" t="e">
        <f>IF(ISERROR(AVERAGEIF(Discrete!$L$21:$L$78, "=2016", Discrete!AR$21:AR$78)), NA(), AVERAGEIF(Discrete!$L$21:$L$78, "=2016", Discrete!AR$21:AR$78))</f>
        <v>#N/A</v>
      </c>
      <c r="AC25" s="428" t="e">
        <f>IF(ISERROR(AVERAGEIF(Discrete!$L$21:$L$78, "=2016", Discrete!AS$21:AS$78)), NA(), AVERAGEIF(Discrete!$L$21:$L$78, "=2016", Discrete!AS$21:AS$78))</f>
        <v>#N/A</v>
      </c>
      <c r="AD25" s="428" t="e">
        <f>IF(ISERROR(AVERAGEIF(Discrete!$L$21:$L$78, "=2016", Discrete!AT$21:AT$78)), NA(), AVERAGEIF(Discrete!$L$21:$L$78, "=2016", Discrete!AT$21:AT$78))</f>
        <v>#N/A</v>
      </c>
      <c r="AE25" s="428" t="e">
        <f>IF(ISERROR(AVERAGEIF(Discrete!$L$21:$L$78, "=2016", Discrete!AU$21:AU$78)), NA(), AVERAGEIF(Discrete!$L$21:$L$78, "=2016", Discrete!AU$21:AU$78))</f>
        <v>#N/A</v>
      </c>
      <c r="AF25" s="428" t="e">
        <f>IF(ISERROR(AVERAGEIF(Discrete!$L$21:$L$78, "=2016", Discrete!AV$21:AV$78)), NA(), AVERAGEIF(Discrete!$L$21:$L$78, "=2016", Discrete!AV$21:AV$78))</f>
        <v>#N/A</v>
      </c>
      <c r="AG25" s="428" t="e">
        <f>IF(ISERROR(AVERAGEIF(Discrete!$L$21:$L$78, "=2016", Discrete!AW$21:AW$78)), NA(), AVERAGEIF(Discrete!$L$21:$L$78, "=2016", Discrete!AW$21:AW$78))</f>
        <v>#N/A</v>
      </c>
      <c r="AH25" s="428" t="e">
        <f>IF(ISERROR(AVERAGEIF(Discrete!$L$21:$L$78, "=2016", Discrete!AX$21:AX$78)), NA(), AVERAGEIF(Discrete!$L$21:$L$78, "=2016", Discrete!AX$21:AX$78))</f>
        <v>#N/A</v>
      </c>
      <c r="AI25" s="428" t="e">
        <f>IF(ISERROR(AVERAGEIF(Discrete!$L$21:$L$78, "=2016", Discrete!AY$21:AY$78)), NA(), AVERAGEIF(Discrete!$L$21:$L$78, "=2016", Discrete!AY$21:AY$78))</f>
        <v>#N/A</v>
      </c>
      <c r="AJ25" s="428" t="e">
        <f>IF(ISERROR(AVERAGEIF(Discrete!$L$21:$L$78, "=2016", Discrete!AZ$21:AZ$78)), NA(), AVERAGEIF(Discrete!$L$21:$L$78, "=2016", Discrete!AZ$21:AZ$78))</f>
        <v>#N/A</v>
      </c>
      <c r="AK25" s="428" t="e">
        <f>IF(ISERROR(AVERAGEIF(Discrete!$L$21:$L$78, "=2016", Discrete!BA$21:BA$78)), NA(), AVERAGEIF(Discrete!$L$21:$L$78, "=2016", Discrete!BA$21:BA$78))</f>
        <v>#N/A</v>
      </c>
      <c r="AL25" s="428" t="e">
        <f>IF(ISERROR(AVERAGEIF(Discrete!$L$21:$L$78, "=2016", Discrete!BB$21:BB$78)), NA(), AVERAGEIF(Discrete!$L$21:$L$78, "=2016", Discrete!BB$21:BB$78))</f>
        <v>#N/A</v>
      </c>
      <c r="AM25" s="428" t="e">
        <f>IF(ISERROR(AVERAGEIF(Discrete!$L$21:$L$78, "=2016", Discrete!BC$21:BC$78)), NA(), AVERAGEIF(Discrete!$L$21:$L$78, "=2016", Discrete!BC$21:BC$78))</f>
        <v>#N/A</v>
      </c>
      <c r="AN25" s="428" t="e">
        <f>IF(ISERROR(AVERAGEIF(Discrete!$L$21:$L$78, "=2016", Discrete!BD$21:BD$78)), NA(), AVERAGEIF(Discrete!$L$21:$L$78, "=2016", Discrete!BD$21:BD$78))</f>
        <v>#N/A</v>
      </c>
      <c r="AO25" s="428" t="e">
        <f>IF(ISERROR(AVERAGEIF(Discrete!$L$21:$L$78, "=2016", Discrete!BE$21:BE$78)), NA(), AVERAGEIF(Discrete!$L$21:$L$78, "=2016", Discrete!BE$21:BE$78))</f>
        <v>#N/A</v>
      </c>
      <c r="AP25" s="428" t="e">
        <f>IF(ISERROR(AVERAGEIF(Discrete!$L$21:$L$78, "=2016", Discrete!BF$21:BF$78)), NA(), AVERAGEIF(Discrete!$L$21:$L$78, "=2016", Discrete!BF$21:BF$78))</f>
        <v>#N/A</v>
      </c>
      <c r="AQ25" s="428" t="e">
        <f>IF(ISERROR(AVERAGEIF(Discrete!$L$21:$L$78, "=2016", Discrete!BG$21:BG$78)), NA(), AVERAGEIF(Discrete!$L$21:$L$78, "=2016", Discrete!BG$21:BG$78))</f>
        <v>#N/A</v>
      </c>
      <c r="AR25" s="428" t="e">
        <f>IF(ISERROR(AVERAGEIF(Discrete!$L$21:$L$78, "=2016", Discrete!BH$21:BH$78)), NA(), AVERAGEIF(Discrete!$L$21:$L$78, "=2016", Discrete!BH$21:BH$78))</f>
        <v>#N/A</v>
      </c>
      <c r="AS25" s="428" t="e">
        <f>IF(ISERROR(AVERAGEIF(Discrete!$L$21:$L$78, "=2016", Discrete!BI$21:BI$78)), NA(), AVERAGEIF(Discrete!$L$21:$L$78, "=2016", Discrete!BI$21:BI$78))</f>
        <v>#N/A</v>
      </c>
      <c r="AT25" s="428" t="e">
        <f>IF(ISERROR(AVERAGEIF(Discrete!$L$21:$L$78, "=2016", Discrete!BJ$21:BJ$78)), NA(), AVERAGEIF(Discrete!$L$21:$L$78, "=2016", Discrete!BJ$21:BJ$78))</f>
        <v>#N/A</v>
      </c>
      <c r="AU25" s="428" t="e">
        <f>IF(ISERROR(AVERAGEIF(Discrete!$L$21:$L$78, "=2016", Discrete!BK$21:BK$78)), NA(), AVERAGEIF(Discrete!$L$21:$L$78, "=2016", Discrete!BK$21:BK$78))</f>
        <v>#N/A</v>
      </c>
      <c r="AV25" s="428" t="e">
        <f>IF(ISERROR(AVERAGEIF(Discrete!$L$21:$L$78, "=2016", Discrete!BL$21:BL$78)), NA(), AVERAGEIF(Discrete!$L$21:$L$78, "=2016", Discrete!BL$21:BL$78))</f>
        <v>#N/A</v>
      </c>
      <c r="AW25" s="428" t="e">
        <f>IF(ISERROR(AVERAGEIF(Discrete!$L$21:$L$78, "=2016", Discrete!BM$21:BM$78)), NA(), AVERAGEIF(Discrete!$L$21:$L$78, "=2016", Discrete!BM$21:BM$78))</f>
        <v>#N/A</v>
      </c>
      <c r="AX25" s="428" t="e">
        <f>IF(ISERROR(AVERAGEIF(Discrete!$L$21:$L$78, "=2016", Discrete!BN$21:BN$78)), NA(), AVERAGEIF(Discrete!$L$21:$L$78, "=2016", Discrete!BN$21:BN$78))</f>
        <v>#N/A</v>
      </c>
      <c r="AY25" s="428" t="e">
        <f>IF(ISERROR(AVERAGEIF(Discrete!$L$21:$L$78, "=2016", Discrete!BO$21:BO$78)), NA(), AVERAGEIF(Discrete!$L$21:$L$78, "=2016", Discrete!BO$21:BO$78))</f>
        <v>#N/A</v>
      </c>
      <c r="AZ25" s="428" t="e">
        <f>IF(ISERROR(AVERAGEIF(Discrete!$L$21:$L$78, "=2016", Discrete!BP$21:BP$78)), NA(), AVERAGEIF(Discrete!$L$21:$L$78, "=2016", Discrete!BP$21:BP$78))</f>
        <v>#N/A</v>
      </c>
      <c r="BA25" s="428" t="e">
        <f>IF(ISERROR(AVERAGEIF(Discrete!$L$21:$L$78, "=2016", Discrete!BQ$21:BQ$78)), NA(), AVERAGEIF(Discrete!$L$21:$L$78, "=2016", Discrete!BQ$21:BQ$78))</f>
        <v>#N/A</v>
      </c>
      <c r="BB25" s="428" t="e">
        <f>IF(ISERROR(AVERAGEIF(Discrete!$L$21:$L$78, "=2016", Discrete!BR$21:BR$78)), NA(), AVERAGEIF(Discrete!$L$21:$L$78, "=2016", Discrete!BR$21:BR$78))</f>
        <v>#N/A</v>
      </c>
    </row>
    <row r="26" spans="1:78">
      <c r="A26" s="774"/>
      <c r="B26" s="434">
        <v>2017</v>
      </c>
      <c r="C26" s="428" t="e">
        <f>IF(ISERROR(AVERAGEIF(Discrete!$L$21:$L$78, "=2017", Discrete!S$21:S$78)), NA(), AVERAGEIF(Discrete!$L$21:$L$78, "=2017", Discrete!S$21:S$78))</f>
        <v>#N/A</v>
      </c>
      <c r="D26" s="428" t="e">
        <f>IF(ISERROR(AVERAGEIF(Discrete!$L$21:$L$78, "=2017", Discrete!T$21:T$78)), NA(), AVERAGEIF(Discrete!$L$21:$L$78, "=2017", Discrete!T$21:T$78))</f>
        <v>#N/A</v>
      </c>
      <c r="E26" s="428" t="e">
        <f>IF(ISERROR(AVERAGEIF(Discrete!$L$21:$L$78, "=2017", Discrete!U$21:U$78)), NA(), AVERAGEIF(Discrete!$L$21:$L$78, "=2017", Discrete!U$21:U$78))</f>
        <v>#N/A</v>
      </c>
      <c r="F26" s="428" t="e">
        <f>IF(ISERROR(AVERAGEIF(Discrete!$L$21:$L$78, "=2017", Discrete!V$21:V$78)), NA(), AVERAGEIF(Discrete!$L$21:$L$78, "=2017", Discrete!V$21:V$78))</f>
        <v>#N/A</v>
      </c>
      <c r="G26" s="428" t="e">
        <f>IF(ISERROR(AVERAGEIF(Discrete!$L$21:$L$78, "=2017", Discrete!W$21:W$78)), NA(), AVERAGEIF(Discrete!$L$21:$L$78, "=2017", Discrete!W$21:W$78))</f>
        <v>#N/A</v>
      </c>
      <c r="H26" s="428" t="e">
        <f>IF(ISERROR(AVERAGEIF(Discrete!$L$21:$L$78, "=2017", Discrete!X$21:X$78)), NA(), AVERAGEIF(Discrete!$L$21:$L$78, "=2017", Discrete!X$21:X$78))</f>
        <v>#N/A</v>
      </c>
      <c r="I26" s="428" t="e">
        <f>IF(ISERROR(AVERAGEIF(Discrete!$L$21:$L$78, "=2017", Discrete!Y$21:Y$78)), NA(), AVERAGEIF(Discrete!$L$21:$L$78, "=2017", Discrete!Y$21:Y$78))</f>
        <v>#N/A</v>
      </c>
      <c r="J26" s="428" t="e">
        <f>IF(ISERROR(AVERAGEIF(Discrete!$L$21:$L$78, "=2017", Discrete!Z$21:Z$78)), NA(), AVERAGEIF(Discrete!$L$21:$L$78, "=2017", Discrete!Z$21:Z$78))</f>
        <v>#N/A</v>
      </c>
      <c r="K26" s="428" t="e">
        <f>IF(ISERROR(AVERAGEIF(Discrete!$L$21:$L$78, "=2017", Discrete!AA$21:AA$78)), NA(), AVERAGEIF(Discrete!$L$21:$L$78, "=2017", Discrete!AA$21:AA$78))</f>
        <v>#N/A</v>
      </c>
      <c r="L26" s="428" t="e">
        <f>IF(ISERROR(AVERAGEIF(Discrete!$L$21:$L$78, "=2017", Discrete!AB$21:AB$78)), NA(), AVERAGEIF(Discrete!$L$21:$L$78, "=2017", Discrete!AB$21:AB$78))</f>
        <v>#N/A</v>
      </c>
      <c r="M26" s="428" t="e">
        <f>IF(ISERROR(AVERAGEIF(Discrete!$L$21:$L$78, "=2017", Discrete!AC$21:AC$78)), NA(), AVERAGEIF(Discrete!$L$21:$L$78, "=2017", Discrete!AC$21:AC$78))</f>
        <v>#N/A</v>
      </c>
      <c r="N26" s="428" t="e">
        <f>IF(ISERROR(AVERAGEIF(Discrete!$L$21:$L$78, "=2017", Discrete!AD$21:AD$78)), NA(), AVERAGEIF(Discrete!$L$21:$L$78, "=2017", Discrete!AD$21:AD$78))</f>
        <v>#N/A</v>
      </c>
      <c r="O26" s="428" t="e">
        <f>IF(ISERROR(AVERAGEIF(Discrete!$L$21:$L$78, "=2017", Discrete!AE$21:AE$78)), NA(), AVERAGEIF(Discrete!$L$21:$L$78, "=2017", Discrete!AE$21:AE$78))</f>
        <v>#N/A</v>
      </c>
      <c r="P26" s="428" t="e">
        <f>IF(ISERROR(AVERAGEIF(Discrete!$L$21:$L$78, "=2017", Discrete!AF$21:AF$78)), NA(), AVERAGEIF(Discrete!$L$21:$L$78, "=2017", Discrete!AF$21:AF$78))</f>
        <v>#N/A</v>
      </c>
      <c r="Q26" s="428" t="e">
        <f>IF(ISERROR(AVERAGEIF(Discrete!$L$21:$L$78, "=2017", Discrete!AG$21:AG$78)), NA(), AVERAGEIF(Discrete!$L$21:$L$78, "=2017", Discrete!AG$21:AG$78))</f>
        <v>#N/A</v>
      </c>
      <c r="R26" s="428" t="e">
        <f>IF(ISERROR(AVERAGEIF(Discrete!$L$21:$L$78, "=2017", Discrete!AH$21:AH$78)), NA(), AVERAGEIF(Discrete!$L$21:$L$78, "=2017", Discrete!AH$21:AH$78))</f>
        <v>#N/A</v>
      </c>
      <c r="S26" s="428" t="e">
        <f>IF(ISERROR(AVERAGEIF(Discrete!$L$21:$L$78, "=2017", Discrete!AI$21:AI$78)), NA(), AVERAGEIF(Discrete!$L$21:$L$78, "=2017", Discrete!AI$21:AI$78))</f>
        <v>#N/A</v>
      </c>
      <c r="T26" s="428" t="e">
        <f>IF(ISERROR(AVERAGEIF(Discrete!$L$21:$L$78, "=2017", Discrete!AJ$21:AJ$78)), NA(), AVERAGEIF(Discrete!$L$21:$L$78, "=2017", Discrete!AJ$21:AJ$78))</f>
        <v>#N/A</v>
      </c>
      <c r="U26" s="428" t="e">
        <f>IF(ISERROR(AVERAGEIF(Discrete!$L$21:$L$78, "=2017", Discrete!AK$21:AK$78)), NA(), AVERAGEIF(Discrete!$L$21:$L$78, "=2017", Discrete!AK$21:AK$78))</f>
        <v>#N/A</v>
      </c>
      <c r="V26" s="428" t="e">
        <f>IF(ISERROR(AVERAGEIF(Discrete!$L$21:$L$78, "=2017", Discrete!AL$21:AL$78)), NA(), AVERAGEIF(Discrete!$L$21:$L$78, "=2017", Discrete!AL$21:AL$78))</f>
        <v>#N/A</v>
      </c>
      <c r="W26" s="428" t="e">
        <f>IF(ISERROR(AVERAGEIF(Discrete!$L$21:$L$78, "=2017", Discrete!AM$21:AM$78)), NA(), AVERAGEIF(Discrete!$L$21:$L$78, "=2017", Discrete!AM$21:AM$78))</f>
        <v>#N/A</v>
      </c>
      <c r="X26" s="428" t="e">
        <f>IF(ISERROR(AVERAGEIF(Discrete!$L$21:$L$78, "=2017", Discrete!AN$21:AN$78)), NA(), AVERAGEIF(Discrete!$L$21:$L$78, "=2017", Discrete!AN$21:AN$78)*1000)</f>
        <v>#N/A</v>
      </c>
      <c r="Y26" s="428" t="e">
        <f>IF(ISERROR(AVERAGEIF(Discrete!$L$21:$L$78, "=2017", Discrete!AO$21:AO$78)), NA(), AVERAGEIF(Discrete!$L$21:$L$78, "=2017", Discrete!AO$21:AO$78))</f>
        <v>#N/A</v>
      </c>
      <c r="Z26" s="428" t="e">
        <f>IF(ISERROR(AVERAGEIF(Discrete!$L$21:$L$78, "=2017", Discrete!AP$21:AP$78)), NA(), AVERAGEIF(Discrete!$L$21:$L$78, "=2017", Discrete!AP$21:AP$78))</f>
        <v>#N/A</v>
      </c>
      <c r="AA26" s="428" t="e">
        <f>IF(ISERROR(AVERAGEIF(Discrete!$L$21:$L$78, "=2017", Discrete!AQ$21:AQ$78)), NA(), AVERAGEIF(Discrete!$L$21:$L$78, "=2017", Discrete!AQ$21:AQ$78))</f>
        <v>#N/A</v>
      </c>
      <c r="AB26" s="428" t="e">
        <f>IF(ISERROR(AVERAGEIF(Discrete!$L$21:$L$78, "=2017", Discrete!AR$21:AR$78)), NA(), AVERAGEIF(Discrete!$L$21:$L$78, "=2017", Discrete!AR$21:AR$78))</f>
        <v>#N/A</v>
      </c>
      <c r="AC26" s="428" t="e">
        <f>IF(ISERROR(AVERAGEIF(Discrete!$L$21:$L$78, "=2017", Discrete!AS$21:AS$78)), NA(), AVERAGEIF(Discrete!$L$21:$L$78, "=2017", Discrete!AS$21:AS$78))</f>
        <v>#N/A</v>
      </c>
      <c r="AD26" s="428" t="e">
        <f>IF(ISERROR(AVERAGEIF(Discrete!$L$21:$L$78, "=2017", Discrete!AT$21:AT$78)), NA(), AVERAGEIF(Discrete!$L$21:$L$78, "=2017", Discrete!AT$21:AT$78))</f>
        <v>#N/A</v>
      </c>
      <c r="AE26" s="428" t="e">
        <f>IF(ISERROR(AVERAGEIF(Discrete!$L$21:$L$78, "=2017", Discrete!AU$21:AU$78)), NA(), AVERAGEIF(Discrete!$L$21:$L$78, "=2017", Discrete!AU$21:AU$78))</f>
        <v>#N/A</v>
      </c>
      <c r="AF26" s="428" t="e">
        <f>IF(ISERROR(AVERAGEIF(Discrete!$L$21:$L$78, "=2017", Discrete!AV$21:AV$78)), NA(), AVERAGEIF(Discrete!$L$21:$L$78, "=2017", Discrete!AV$21:AV$78))</f>
        <v>#N/A</v>
      </c>
      <c r="AG26" s="428" t="e">
        <f>IF(ISERROR(AVERAGEIF(Discrete!$L$21:$L$78, "=2017", Discrete!AW$21:AW$78)), NA(), AVERAGEIF(Discrete!$L$21:$L$78, "=2017", Discrete!AW$21:AW$78))</f>
        <v>#N/A</v>
      </c>
      <c r="AH26" s="428" t="e">
        <f>IF(ISERROR(AVERAGEIF(Discrete!$L$21:$L$78, "=2017", Discrete!AX$21:AX$78)), NA(), AVERAGEIF(Discrete!$L$21:$L$78, "=2017", Discrete!AX$21:AX$78))</f>
        <v>#N/A</v>
      </c>
      <c r="AI26" s="428" t="e">
        <f>IF(ISERROR(AVERAGEIF(Discrete!$L$21:$L$78, "=2017", Discrete!AY$21:AY$78)), NA(), AVERAGEIF(Discrete!$L$21:$L$78, "=2017", Discrete!AY$21:AY$78))</f>
        <v>#N/A</v>
      </c>
      <c r="AJ26" s="428" t="e">
        <f>IF(ISERROR(AVERAGEIF(Discrete!$L$21:$L$78, "=2017", Discrete!AZ$21:AZ$78)), NA(), AVERAGEIF(Discrete!$L$21:$L$78, "=2017", Discrete!AZ$21:AZ$78))</f>
        <v>#N/A</v>
      </c>
      <c r="AK26" s="428" t="e">
        <f>IF(ISERROR(AVERAGEIF(Discrete!$L$21:$L$78, "=2017", Discrete!BA$21:BA$78)), NA(), AVERAGEIF(Discrete!$L$21:$L$78, "=2017", Discrete!BA$21:BA$78))</f>
        <v>#N/A</v>
      </c>
      <c r="AL26" s="428" t="e">
        <f>IF(ISERROR(AVERAGEIF(Discrete!$L$21:$L$78, "=2017", Discrete!BB$21:BB$78)), NA(), AVERAGEIF(Discrete!$L$21:$L$78, "=2017", Discrete!BB$21:BB$78))</f>
        <v>#N/A</v>
      </c>
      <c r="AM26" s="428" t="e">
        <f>IF(ISERROR(AVERAGEIF(Discrete!$L$21:$L$78, "=2017", Discrete!BC$21:BC$78)), NA(), AVERAGEIF(Discrete!$L$21:$L$78, "=2017", Discrete!BC$21:BC$78))</f>
        <v>#N/A</v>
      </c>
      <c r="AN26" s="428" t="e">
        <f>IF(ISERROR(AVERAGEIF(Discrete!$L$21:$L$78, "=2017", Discrete!BD$21:BD$78)), NA(), AVERAGEIF(Discrete!$L$21:$L$78, "=2017", Discrete!BD$21:BD$78))</f>
        <v>#N/A</v>
      </c>
      <c r="AO26" s="428" t="e">
        <f>IF(ISERROR(AVERAGEIF(Discrete!$L$21:$L$78, "=2017", Discrete!BE$21:BE$78)), NA(), AVERAGEIF(Discrete!$L$21:$L$78, "=2017", Discrete!BE$21:BE$78))</f>
        <v>#N/A</v>
      </c>
      <c r="AP26" s="428" t="e">
        <f>IF(ISERROR(AVERAGEIF(Discrete!$L$21:$L$78, "=2017", Discrete!BF$21:BF$78)), NA(), AVERAGEIF(Discrete!$L$21:$L$78, "=2017", Discrete!BF$21:BF$78))</f>
        <v>#N/A</v>
      </c>
      <c r="AQ26" s="428" t="e">
        <f>IF(ISERROR(AVERAGEIF(Discrete!$L$21:$L$78, "=2017", Discrete!BG$21:BG$78)), NA(), AVERAGEIF(Discrete!$L$21:$L$78, "=2017", Discrete!BG$21:BG$78))</f>
        <v>#N/A</v>
      </c>
      <c r="AR26" s="428" t="e">
        <f>IF(ISERROR(AVERAGEIF(Discrete!$L$21:$L$78, "=2017", Discrete!BH$21:BH$78)), NA(), AVERAGEIF(Discrete!$L$21:$L$78, "=2017", Discrete!BH$21:BH$78))</f>
        <v>#N/A</v>
      </c>
      <c r="AS26" s="428" t="e">
        <f>IF(ISERROR(AVERAGEIF(Discrete!$L$21:$L$78, "=2017", Discrete!BI$21:BI$78)), NA(), AVERAGEIF(Discrete!$L$21:$L$78, "=2017", Discrete!BI$21:BI$78))</f>
        <v>#N/A</v>
      </c>
      <c r="AT26" s="428" t="e">
        <f>IF(ISERROR(AVERAGEIF(Discrete!$L$21:$L$78, "=2017", Discrete!BJ$21:BJ$78)), NA(), AVERAGEIF(Discrete!$L$21:$L$78, "=2017", Discrete!BJ$21:BJ$78))</f>
        <v>#N/A</v>
      </c>
      <c r="AU26" s="428" t="e">
        <f>IF(ISERROR(AVERAGEIF(Discrete!$L$21:$L$78, "=2017", Discrete!BK$21:BK$78)), NA(), AVERAGEIF(Discrete!$L$21:$L$78, "=2017", Discrete!BK$21:BK$78))</f>
        <v>#N/A</v>
      </c>
      <c r="AV26" s="428" t="e">
        <f>IF(ISERROR(AVERAGEIF(Discrete!$L$21:$L$78, "=2017", Discrete!BL$21:BL$78)), NA(), AVERAGEIF(Discrete!$L$21:$L$78, "=2017", Discrete!BL$21:BL$78))</f>
        <v>#N/A</v>
      </c>
      <c r="AW26" s="428" t="e">
        <f>IF(ISERROR(AVERAGEIF(Discrete!$L$21:$L$78, "=2017", Discrete!BM$21:BM$78)), NA(), AVERAGEIF(Discrete!$L$21:$L$78, "=2017", Discrete!BM$21:BM$78))</f>
        <v>#N/A</v>
      </c>
      <c r="AX26" s="428" t="e">
        <f>IF(ISERROR(AVERAGEIF(Discrete!$L$21:$L$78, "=2017", Discrete!BN$21:BN$78)), NA(), AVERAGEIF(Discrete!$L$21:$L$78, "=2017", Discrete!BN$21:BN$78))</f>
        <v>#N/A</v>
      </c>
      <c r="AY26" s="428" t="e">
        <f>IF(ISERROR(AVERAGEIF(Discrete!$L$21:$L$78, "=2017", Discrete!BO$21:BO$78)), NA(), AVERAGEIF(Discrete!$L$21:$L$78, "=2017", Discrete!BO$21:BO$78))</f>
        <v>#N/A</v>
      </c>
      <c r="AZ26" s="428" t="e">
        <f>IF(ISERROR(AVERAGEIF(Discrete!$L$21:$L$78, "=2017", Discrete!BP$21:BP$78)), NA(), AVERAGEIF(Discrete!$L$21:$L$78, "=2017", Discrete!BP$21:BP$78))</f>
        <v>#N/A</v>
      </c>
      <c r="BA26" s="428" t="e">
        <f>IF(ISERROR(AVERAGEIF(Discrete!$L$21:$L$78, "=2017", Discrete!BQ$21:BQ$78)), NA(), AVERAGEIF(Discrete!$L$21:$L$78, "=2017", Discrete!BQ$21:BQ$78))</f>
        <v>#N/A</v>
      </c>
      <c r="BB26" s="428" t="e">
        <f>IF(ISERROR(AVERAGEIF(Discrete!$L$21:$L$78, "=2017", Discrete!BR$21:BR$78)), NA(), AVERAGEIF(Discrete!$L$21:$L$78, "=2017", Discrete!BR$21:BR$78))</f>
        <v>#N/A</v>
      </c>
    </row>
    <row r="30" spans="1:78" ht="15">
      <c r="C30" s="762" t="s">
        <v>67</v>
      </c>
      <c r="D30" s="763"/>
      <c r="E30" s="763"/>
      <c r="F30" s="763"/>
      <c r="G30" s="763"/>
      <c r="H30" s="763"/>
      <c r="I30" s="763"/>
      <c r="J30" s="763"/>
      <c r="K30" s="763"/>
      <c r="L30" s="763"/>
      <c r="M30" s="763"/>
      <c r="N30" s="763"/>
      <c r="O30" s="763"/>
      <c r="P30" s="763"/>
      <c r="Q30" s="763"/>
      <c r="R30" s="763"/>
      <c r="S30" s="763"/>
      <c r="T30" s="763"/>
      <c r="U30" s="763"/>
      <c r="V30" s="763"/>
      <c r="W30" s="763"/>
      <c r="X30" s="763"/>
      <c r="Y30" s="763"/>
      <c r="Z30" s="763"/>
      <c r="AA30" s="764"/>
      <c r="AB30" s="430"/>
      <c r="AC30" s="756" t="s">
        <v>66</v>
      </c>
      <c r="AD30" s="756"/>
      <c r="AE30" s="756"/>
      <c r="AF30" s="756"/>
      <c r="AG30" s="756"/>
      <c r="AH30" s="757"/>
      <c r="AI30" s="335" t="s">
        <v>774</v>
      </c>
      <c r="AJ30" s="429"/>
      <c r="AK30" s="429"/>
      <c r="AL30" s="429"/>
      <c r="AM30" s="429"/>
      <c r="AN30" s="429"/>
      <c r="AO30" s="429"/>
      <c r="AP30" s="429"/>
      <c r="AQ30" s="429"/>
      <c r="AR30" s="429"/>
      <c r="AS30" s="429"/>
      <c r="AT30" s="429"/>
      <c r="AU30" s="429"/>
      <c r="AV30" s="429"/>
      <c r="AW30" s="429"/>
      <c r="AX30" s="429"/>
      <c r="AY30" s="429"/>
      <c r="AZ30" s="429"/>
      <c r="BA30" s="244" t="s">
        <v>516</v>
      </c>
      <c r="BB30" s="241">
        <v>0.01</v>
      </c>
      <c r="BC30" s="125"/>
      <c r="BD30" s="282"/>
      <c r="BE30" s="711" t="s">
        <v>736</v>
      </c>
      <c r="BF30" s="712"/>
      <c r="BG30" s="712"/>
      <c r="BH30" s="712"/>
      <c r="BI30" s="712"/>
      <c r="BJ30" s="712"/>
      <c r="BK30" s="712"/>
      <c r="BL30" s="712"/>
      <c r="BM30" s="712"/>
      <c r="BN30" s="712"/>
      <c r="BO30" s="713"/>
      <c r="BP30" s="748" t="s">
        <v>72</v>
      </c>
      <c r="BQ30" s="749"/>
      <c r="BR30" s="711" t="s">
        <v>275</v>
      </c>
      <c r="BS30" s="712"/>
      <c r="BT30" s="712"/>
      <c r="BU30" s="712"/>
      <c r="BV30" s="712"/>
      <c r="BW30" s="712"/>
      <c r="BX30" s="750" t="s">
        <v>255</v>
      </c>
      <c r="BY30" s="751"/>
      <c r="BZ30" s="752"/>
    </row>
    <row r="31" spans="1:78" ht="66.599999999999994" thickBot="1">
      <c r="C31" s="107" t="s">
        <v>335</v>
      </c>
      <c r="D31" s="107" t="s">
        <v>284</v>
      </c>
      <c r="E31" s="107" t="s">
        <v>340</v>
      </c>
      <c r="F31" s="110" t="s">
        <v>45</v>
      </c>
      <c r="G31" s="107" t="s">
        <v>547</v>
      </c>
      <c r="H31" s="107" t="s">
        <v>336</v>
      </c>
      <c r="I31" s="110" t="s">
        <v>43</v>
      </c>
      <c r="J31" s="107" t="s">
        <v>42</v>
      </c>
      <c r="K31" s="110" t="s">
        <v>367</v>
      </c>
      <c r="L31" s="110" t="s">
        <v>118</v>
      </c>
      <c r="M31" s="110" t="s">
        <v>364</v>
      </c>
      <c r="N31" s="110" t="s">
        <v>365</v>
      </c>
      <c r="O31" s="110" t="s">
        <v>366</v>
      </c>
      <c r="P31" s="110" t="s">
        <v>370</v>
      </c>
      <c r="Q31" s="110" t="s">
        <v>371</v>
      </c>
      <c r="R31" s="110" t="s">
        <v>372</v>
      </c>
      <c r="S31" s="110" t="s">
        <v>373</v>
      </c>
      <c r="T31" s="112" t="s">
        <v>258</v>
      </c>
      <c r="U31" s="112" t="s">
        <v>259</v>
      </c>
      <c r="V31" s="112" t="s">
        <v>261</v>
      </c>
      <c r="W31" s="112" t="s">
        <v>262</v>
      </c>
      <c r="X31" s="113" t="s">
        <v>126</v>
      </c>
      <c r="Y31" s="113" t="s">
        <v>302</v>
      </c>
      <c r="Z31" s="110" t="s">
        <v>117</v>
      </c>
      <c r="AA31" s="111" t="s">
        <v>119</v>
      </c>
      <c r="AB31" s="399" t="s">
        <v>28</v>
      </c>
      <c r="AC31" s="419" t="s">
        <v>26</v>
      </c>
      <c r="AD31" s="109" t="s">
        <v>27</v>
      </c>
      <c r="AE31" s="366" t="s">
        <v>74</v>
      </c>
      <c r="AF31" s="114" t="s">
        <v>75</v>
      </c>
      <c r="AG31" s="315" t="s">
        <v>750</v>
      </c>
      <c r="AH31" s="115" t="s">
        <v>12</v>
      </c>
      <c r="AI31" s="305" t="s">
        <v>518</v>
      </c>
      <c r="AJ31" s="306" t="s">
        <v>519</v>
      </c>
      <c r="AK31" s="107" t="s">
        <v>404</v>
      </c>
      <c r="AL31" s="107" t="s">
        <v>403</v>
      </c>
      <c r="AM31" s="107" t="s">
        <v>254</v>
      </c>
      <c r="AN31" s="107" t="s">
        <v>253</v>
      </c>
      <c r="AO31" s="107" t="s">
        <v>252</v>
      </c>
      <c r="AP31" s="126" t="s">
        <v>156</v>
      </c>
      <c r="AQ31" s="107" t="s">
        <v>268</v>
      </c>
      <c r="AR31" s="107" t="s">
        <v>267</v>
      </c>
      <c r="AS31" s="107" t="s">
        <v>337</v>
      </c>
      <c r="AT31" s="110" t="s">
        <v>338</v>
      </c>
      <c r="AU31" s="110" t="s">
        <v>299</v>
      </c>
      <c r="AV31" s="110" t="s">
        <v>298</v>
      </c>
      <c r="AW31" s="110" t="s">
        <v>29</v>
      </c>
      <c r="AX31" s="110" t="s">
        <v>30</v>
      </c>
      <c r="AY31" s="110" t="s">
        <v>31</v>
      </c>
      <c r="AZ31" s="110" t="s">
        <v>83</v>
      </c>
      <c r="BA31" s="110" t="s">
        <v>266</v>
      </c>
      <c r="BB31" s="242" t="s">
        <v>526</v>
      </c>
      <c r="BC31" s="243" t="s">
        <v>529</v>
      </c>
      <c r="BD31" s="354" t="s">
        <v>525</v>
      </c>
      <c r="BE31" s="116" t="s">
        <v>38</v>
      </c>
      <c r="BF31" s="117" t="s">
        <v>33</v>
      </c>
      <c r="BG31" s="109" t="s">
        <v>247</v>
      </c>
      <c r="BH31" s="109" t="s">
        <v>78</v>
      </c>
      <c r="BI31" s="109" t="s">
        <v>34</v>
      </c>
      <c r="BJ31" s="109" t="s">
        <v>35</v>
      </c>
      <c r="BK31" s="109" t="s">
        <v>36</v>
      </c>
      <c r="BL31" s="109" t="s">
        <v>41</v>
      </c>
      <c r="BM31" s="337" t="s">
        <v>50</v>
      </c>
      <c r="BN31" s="355" t="s">
        <v>569</v>
      </c>
      <c r="BO31" s="356" t="s">
        <v>557</v>
      </c>
      <c r="BP31" s="118" t="s">
        <v>46</v>
      </c>
      <c r="BQ31" s="111" t="s">
        <v>47</v>
      </c>
      <c r="BR31" s="116" t="s">
        <v>58</v>
      </c>
      <c r="BS31" s="109" t="s">
        <v>48</v>
      </c>
      <c r="BT31" s="117" t="s">
        <v>249</v>
      </c>
      <c r="BU31" s="109" t="s">
        <v>51</v>
      </c>
      <c r="BV31" s="109" t="s">
        <v>53</v>
      </c>
      <c r="BW31" s="114" t="s">
        <v>54</v>
      </c>
      <c r="BX31" s="327" t="s">
        <v>257</v>
      </c>
      <c r="BY31" s="328" t="s">
        <v>765</v>
      </c>
      <c r="BZ31" s="329" t="s">
        <v>256</v>
      </c>
    </row>
    <row r="32" spans="1:78">
      <c r="A32" s="775" t="s">
        <v>878</v>
      </c>
      <c r="B32" s="432">
        <v>2006</v>
      </c>
      <c r="C32" s="428" t="e">
        <f>IF(ISERROR(AVERAGEIF(IC!$L$3:$L$39, "=2006", IC!M$3:M$39)), NA(), AVERAGEIF(IC!$L$3:$L$39, "=2006", IC!M$3:M$39))</f>
        <v>#N/A</v>
      </c>
      <c r="D32" s="428" t="e">
        <f>IF(ISERROR(AVERAGEIF(IC!$L$3:$L$39, "=2006", IC!N$3:N$39)), NA(), AVERAGEIF(IC!$L$3:$L$39, "=2006", IC!N$3:N$39))</f>
        <v>#N/A</v>
      </c>
      <c r="E32" s="428" t="e">
        <f>IF(ISERROR(AVERAGEIF(IC!$L$3:$L$39, "=2006", IC!O$3:O$39)), NA(), AVERAGEIF(IC!$L$3:$L$39, "=2006", IC!O$3:O$39))</f>
        <v>#N/A</v>
      </c>
      <c r="F32" s="428" t="e">
        <f>IF(ISERROR(AVERAGEIF(IC!$L$3:$L$39, "=2006", IC!P$3:P$39)), NA(), AVERAGEIF(IC!$L$3:$L$39, "=2006", IC!P$3:P$39))</f>
        <v>#N/A</v>
      </c>
      <c r="G32" s="428" t="e">
        <f>IF(ISERROR(AVERAGEIF(IC!$L$3:$L$39, "=2006", IC!Q$3:Q$39)), NA(), AVERAGEIF(IC!$L$3:$L$39, "=2006", IC!Q$3:Q$39))</f>
        <v>#N/A</v>
      </c>
      <c r="H32" s="428" t="e">
        <f>IF(ISERROR(AVERAGEIF(IC!$L$3:$L$39, "=2006", IC!R$3:R$39)), NA(), AVERAGEIF(IC!$L$3:$L$39, "=2006", IC!R$3:R$39))</f>
        <v>#N/A</v>
      </c>
      <c r="I32" s="428" t="e">
        <f>IF(ISERROR(AVERAGEIF(IC!$L$3:$L$39, "=2006", IC!S$3:S$39)), NA(), AVERAGEIF(IC!$L$3:$L$39, "=2006", IC!S$3:S$39))</f>
        <v>#N/A</v>
      </c>
      <c r="J32" s="428" t="e">
        <f>IF(ISERROR(AVERAGEIF(IC!$L$3:$L$39, "=2006", IC!T$3:T$39)), NA(), AVERAGEIF(IC!$L$3:$L$39, "=2006", IC!T$3:T$39))</f>
        <v>#N/A</v>
      </c>
      <c r="K32" s="428" t="e">
        <f>IF(ISERROR(AVERAGEIF(IC!$L$3:$L$39, "=2006", IC!U$3:U$39)), NA(), AVERAGEIF(IC!$L$3:$L$39, "=2006", IC!U$3:U$39))</f>
        <v>#N/A</v>
      </c>
      <c r="L32" s="428" t="e">
        <f>IF(ISERROR(AVERAGEIF(IC!$L$3:$L$39, "=2006", IC!V$3:V$39)), NA(), AVERAGEIF(IC!$L$3:$L$39, "=2006", IC!V$3:V$39))</f>
        <v>#N/A</v>
      </c>
      <c r="M32" s="428" t="e">
        <f>IF(ISERROR(AVERAGEIF(IC!$L$3:$L$39, "=2006", IC!W$3:W$39)), NA(), AVERAGEIF(IC!$L$3:$L$39, "=2006", IC!W$3:W$39))</f>
        <v>#N/A</v>
      </c>
      <c r="N32" s="428" t="e">
        <f>IF(ISERROR(AVERAGEIF(IC!$L$3:$L$39, "=2006", IC!X$3:X$39)), NA(), AVERAGEIF(IC!$L$3:$L$39, "=2006", IC!X$3:X$39))</f>
        <v>#N/A</v>
      </c>
      <c r="O32" s="428" t="e">
        <f>IF(ISERROR(AVERAGEIF(IC!$L$3:$L$39, "=2006", IC!Y$3:Y$39)), NA(), AVERAGEIF(IC!$L$3:$L$39, "=2006", IC!Y$3:Y$39))</f>
        <v>#N/A</v>
      </c>
      <c r="P32" s="428" t="e">
        <f>IF(ISERROR(AVERAGEIF(IC!$L$3:$L$39, "=2006", IC!Z$3:Z$39)), NA(), AVERAGEIF(IC!$L$3:$L$39, "=2006", IC!Z$3:Z$39))</f>
        <v>#N/A</v>
      </c>
      <c r="Q32" s="428" t="e">
        <f>IF(ISERROR(AVERAGEIF(IC!$L$3:$L$39, "=2006", IC!AA$3:AA$39)), NA(), AVERAGEIF(IC!$L$3:$L$39, "=2006", IC!AA$3:AA$39))</f>
        <v>#N/A</v>
      </c>
      <c r="R32" s="428" t="e">
        <f>IF(ISERROR(AVERAGEIF(IC!$L$3:$L$39, "=2006", IC!AB$3:AB$39)), NA(), AVERAGEIF(IC!$L$3:$L$39, "=2006", IC!AB$3:AB$39))</f>
        <v>#N/A</v>
      </c>
      <c r="S32" s="428" t="e">
        <f>IF(ISERROR(AVERAGEIF(IC!$L$3:$L$39, "=2006", IC!AC$3:AC$39)), NA(), AVERAGEIF(IC!$L$3:$L$39, "=2006", IC!AC$3:AC$39))</f>
        <v>#N/A</v>
      </c>
      <c r="T32" s="428" t="e">
        <f>IF(ISERROR(AVERAGEIF(IC!$L$3:$L$39, "=2006", IC!AD$3:AD$39)), NA(), AVERAGEIF(IC!$L$3:$L$39, "=2006", IC!AD$3:AD$39))</f>
        <v>#N/A</v>
      </c>
      <c r="U32" s="428" t="e">
        <f>IF(ISERROR(AVERAGEIF(IC!$L$3:$L$39, "=2006", IC!AE$3:AE$39)), NA(), AVERAGEIF(IC!$L$3:$L$39, "=2006", IC!AE$3:AE$39))</f>
        <v>#N/A</v>
      </c>
      <c r="V32" s="428" t="e">
        <f>IF(ISERROR(AVERAGEIF(IC!$L$3:$L$39, "=2006", IC!AF$3:AF$39)), NA(), AVERAGEIF(IC!$L$3:$L$39, "=2006", IC!AF$3:AF$39))</f>
        <v>#N/A</v>
      </c>
      <c r="W32" s="428" t="e">
        <f>IF(ISERROR(AVERAGEIF(IC!$L$3:$L$39, "=2006", IC!AG$3:AG$39)), NA(), AVERAGEIF(IC!$L$3:$L$39, "=2006", IC!AG$3:AG$39))</f>
        <v>#N/A</v>
      </c>
      <c r="X32" s="428" t="e">
        <f>IF(ISERROR(AVERAGEIF(IC!$L$3:$L$39, "=2006", IC!AH$3:AH$39)), NA(), AVERAGEIF(IC!$L$3:$L$39, "=2006", IC!AH$3:AH$39))</f>
        <v>#N/A</v>
      </c>
      <c r="Y32" s="428" t="e">
        <f>IF(ISERROR(AVERAGEIF(IC!$L$3:$L$39, "=2006", IC!AI$3:AI$39)), NA(), AVERAGEIF(IC!$L$3:$L$39, "=2006", IC!AI$3:AI$39))</f>
        <v>#N/A</v>
      </c>
      <c r="Z32" s="428" t="e">
        <f>IF(ISERROR(AVERAGEIF(IC!$L$3:$L$39, "=2006", IC!AJ$3:AJ$39)), NA(), AVERAGEIF(IC!$L$3:$L$39, "=2006", IC!AJ$3:AJ$39))</f>
        <v>#N/A</v>
      </c>
      <c r="AA32" s="428" t="e">
        <f>IF(ISERROR(AVERAGEIF(IC!$L$3:$L$39, "=2006", IC!AK$3:AK$39)), NA(), AVERAGEIF(IC!$L$3:$L$39, "=2006", IC!AK$3:AK$39))</f>
        <v>#N/A</v>
      </c>
      <c r="AB32" s="428" t="e">
        <f>IF(ISERROR(AVERAGEIF(IC!$L$3:$L$39, "=2006", IC!AL$3:AL$39)), NA(), AVERAGEIF(IC!$L$3:$L$39, "=2006", IC!AL$3:AL$39))</f>
        <v>#N/A</v>
      </c>
      <c r="AC32" s="428" t="e">
        <f>IF(ISERROR(AVERAGEIF(IC!$L$3:$L$39, "=2006", IC!AM$3:AM$39)), NA(), AVERAGEIF(IC!$L$3:$L$39, "=2006", IC!AM$3:AM$39))</f>
        <v>#N/A</v>
      </c>
      <c r="AD32" s="428" t="e">
        <f>IF(ISERROR(AVERAGEIF(IC!$L$3:$L$39, "=2006", IC!AN$3:AN$39)), NA(), AVERAGEIF(IC!$L$3:$L$39, "=2006", IC!AN$3:AN$39))</f>
        <v>#N/A</v>
      </c>
      <c r="AE32" s="428" t="e">
        <f>IF(ISERROR(AVERAGEIF(IC!$L$3:$L$39, "=2006", IC!AO$3:AO$39)), NA(), AVERAGEIF(IC!$L$3:$L$39, "=2006", IC!AO$3:AO$39))</f>
        <v>#N/A</v>
      </c>
      <c r="AF32" s="428" t="e">
        <f>IF(ISERROR(AVERAGEIF(IC!$L$3:$L$39, "=2006", IC!AP$3:AP$39)), NA(), AVERAGEIF(IC!$L$3:$L$39, "=2006", IC!AP$3:AP$39))</f>
        <v>#N/A</v>
      </c>
      <c r="AG32" s="428">
        <f>IF(ISERROR(AVERAGEIF(IC!$L$3:$L$39, "=2006", IC!AQ$3:AQ$39)), NA(), AVERAGEIF(IC!$L$3:$L$39, "=2006", IC!AQ$3:AQ$39))</f>
        <v>0.03</v>
      </c>
      <c r="AH32" s="428" t="e">
        <f>IF(ISERROR(AVERAGEIF(IC!$L$3:$L$39, "=2006", IC!AR$3:AR$39)), NA(), AVERAGEIF(IC!$L$3:$L$39, "=2006", IC!AR$3:AR$39))</f>
        <v>#N/A</v>
      </c>
      <c r="AI32" s="428" t="e">
        <f>IF(ISERROR(AVERAGEIF(IC!$L$3:$L$39, "=2006", IC!AS$3:AS$39)), NA(), AVERAGEIF(IC!$L$3:$L$39, "=2006", IC!AS$3:AS$39))</f>
        <v>#N/A</v>
      </c>
      <c r="AJ32" s="428" t="e">
        <f>IF(ISERROR(AVERAGEIF(IC!$L$3:$L$39, "=2006", IC!AT$3:AT$39)), NA(), AVERAGEIF(IC!$L$3:$L$39, "=2006", IC!AT$3:AT$39))</f>
        <v>#N/A</v>
      </c>
      <c r="AK32" s="428" t="e">
        <f>IF(ISERROR(AVERAGEIF(IC!$L$3:$L$39, "=2006", IC!AU$3:AU$39)), NA(), AVERAGEIF(IC!$L$3:$L$39, "=2006", IC!AU$3:AU$39))</f>
        <v>#N/A</v>
      </c>
      <c r="AL32" s="428" t="e">
        <f>IF(ISERROR(AVERAGEIF(IC!$L$3:$L$39, "=2006", IC!AV$3:AV$39)), NA(), AVERAGEIF(IC!$L$3:$L$39, "=2006", IC!AV$3:AV$39))</f>
        <v>#N/A</v>
      </c>
      <c r="AM32" s="428" t="e">
        <f>IF(ISERROR(AVERAGEIF(IC!$L$3:$L$39, "=2006", IC!AW$3:AW$39)), NA(), AVERAGEIF(IC!$L$3:$L$39, "=2006", IC!AW$3:AW$39))</f>
        <v>#N/A</v>
      </c>
      <c r="AN32" s="428" t="e">
        <f>IF(ISERROR(AVERAGEIF(IC!$L$3:$L$39, "=2006", IC!AX$3:AX$39)), NA(), AVERAGEIF(IC!$L$3:$L$39, "=2006", IC!AX$3:AX$39))</f>
        <v>#N/A</v>
      </c>
      <c r="AO32" s="428" t="e">
        <f>IF(ISERROR(AVERAGEIF(IC!$L$3:$L$39, "=2006", IC!AY$3:AY$39)), NA(), AVERAGEIF(IC!$L$3:$L$39, "=2006", IC!AY$3:AY$39))</f>
        <v>#N/A</v>
      </c>
      <c r="AP32" s="428" t="e">
        <f>IF(ISERROR(AVERAGEIF(IC!$L$3:$L$39, "=2006", IC!AZ$3:AZ$39)), NA(), AVERAGEIF(IC!$L$3:$L$39, "=2006", IC!AZ$3:AZ$39))</f>
        <v>#N/A</v>
      </c>
      <c r="AQ32" s="428" t="e">
        <f>IF(ISERROR(AVERAGEIF(IC!$L$3:$L$39, "=2006", IC!BA$3:BA$39)), NA(), AVERAGEIF(IC!$L$3:$L$39, "=2006", IC!BA$3:BA$39))</f>
        <v>#N/A</v>
      </c>
      <c r="AR32" s="428" t="e">
        <f>IF(ISERROR(AVERAGEIF(IC!$L$3:$L$39, "=2006", IC!BB$3:BB$39)), NA(), AVERAGEIF(IC!$L$3:$L$39, "=2006", IC!BB$3:BB$39))</f>
        <v>#N/A</v>
      </c>
      <c r="AS32" s="428" t="e">
        <f>IF(ISERROR(AVERAGEIF(IC!$L$3:$L$39, "=2006", IC!BC$3:BC$39)), NA(), AVERAGEIF(IC!$L$3:$L$39, "=2006", IC!BC$3:BC$39))</f>
        <v>#N/A</v>
      </c>
      <c r="AT32" s="428" t="e">
        <f>IF(ISERROR(AVERAGEIF(IC!$L$3:$L$39, "=2006", IC!BD$3:BD$39)), NA(), AVERAGEIF(IC!$L$3:$L$39, "=2006", IC!BD$3:BD$39))</f>
        <v>#N/A</v>
      </c>
      <c r="AU32" s="428" t="e">
        <f>IF(ISERROR(AVERAGEIF(IC!$L$3:$L$39, "=2006", IC!BE$3:BE$39)), NA(), AVERAGEIF(IC!$L$3:$L$39, "=2006", IC!BE$3:BE$39))</f>
        <v>#N/A</v>
      </c>
      <c r="AV32" s="428" t="e">
        <f>IF(ISERROR(AVERAGEIF(IC!$L$3:$L$39, "=2006", IC!BF$3:BF$39)), NA(), AVERAGEIF(IC!$L$3:$L$39, "=2006", IC!BF$3:BF$39))</f>
        <v>#N/A</v>
      </c>
      <c r="AW32" s="428" t="e">
        <f>IF(ISERROR(AVERAGEIF(IC!$L$3:$L$39, "=2006", IC!BG$3:BG$39)), NA(), AVERAGEIF(IC!$L$3:$L$39, "=2006", IC!BG$3:BG$39))</f>
        <v>#N/A</v>
      </c>
      <c r="AX32" s="428" t="e">
        <f>IF(ISERROR(AVERAGEIF(IC!$L$3:$L$39, "=2006", IC!BH$3:BH$39)), NA(), AVERAGEIF(IC!$L$3:$L$39, "=2006", IC!BH$3:BH$39))</f>
        <v>#N/A</v>
      </c>
      <c r="AY32" s="428" t="e">
        <f>IF(ISERROR(AVERAGEIF(IC!$L$3:$L$39, "=2006", IC!BI$3:BI$39)), NA(), AVERAGEIF(IC!$L$3:$L$39, "=2006", IC!BI$3:BI$39))</f>
        <v>#N/A</v>
      </c>
      <c r="AZ32" s="428" t="e">
        <f>IF(ISERROR(AVERAGEIF(IC!$L$3:$L$39, "=2006", IC!BJ$3:BJ$39)), NA(), AVERAGEIF(IC!$L$3:$L$39, "=2006", IC!BJ$3:BJ$39))</f>
        <v>#N/A</v>
      </c>
      <c r="BA32" s="428" t="e">
        <f>IF(ISERROR(AVERAGEIF(IC!$L$3:$L$39, "=2006", IC!BK$3:BK$39)), NA(), AVERAGEIF(IC!$L$3:$L$39, "=2006", IC!BK$3:BK$39))</f>
        <v>#N/A</v>
      </c>
      <c r="BB32" s="428" t="e">
        <f>IF(ISERROR(AVERAGEIF(IC!$L$3:$L$39, "=2006", IC!BL$3:BL$39)), NA(), AVERAGEIF(IC!$L$3:$L$39, "=2006", IC!BL$3:BL$39))</f>
        <v>#N/A</v>
      </c>
      <c r="BC32" s="428" t="e">
        <f>IF(ISERROR(AVERAGEIF(IC!$L$3:$L$39, "=2006", IC!BM$3:BM$39)), NA(), AVERAGEIF(IC!$L$3:$L$39, "=2006", IC!BM$3:BM$39))</f>
        <v>#N/A</v>
      </c>
      <c r="BD32" s="428" t="e">
        <f>IF(ISERROR(AVERAGEIF(IC!$L$3:$L$39, "=2006", IC!BO$3:BO$39)), NA(), AVERAGEIF(IC!$L$3:$L$39, "=2006", IC!BO$3:BO$39))</f>
        <v>#N/A</v>
      </c>
      <c r="BE32" s="428" t="e">
        <f>IF(ISERROR(AVERAGEIF(IC!$L$3:$L$39, "=2006", IC!BP$3:BP$39)), NA(), AVERAGEIF(IC!$L$3:$L$39, "=2006", IC!BP$3:BP$39))</f>
        <v>#N/A</v>
      </c>
      <c r="BF32" s="428">
        <f>IF(ISERROR(AVERAGEIF(IC!$L$3:$L$39, "=2006", IC!BQ$3:BQ$39)), NA(), AVERAGEIF(IC!$L$3:$L$39, "=2006", IC!BQ$3:BQ$39))</f>
        <v>32</v>
      </c>
      <c r="BG32" s="428" t="e">
        <f>IF(ISERROR(AVERAGEIF(IC!$L$3:$L$39, "=2006", IC!BR$3:BR$39)), NA(), AVERAGEIF(IC!$L$3:$L$39, "=2006", IC!BR$3:BR$39))</f>
        <v>#N/A</v>
      </c>
      <c r="BH32" s="428" t="e">
        <f>IF(ISERROR(AVERAGEIF(IC!$L$3:$L$39, "=2006", IC!BS$3:BS$39)), NA(), AVERAGEIF(IC!$L$3:$L$39, "=2006", IC!BS$3:BS$39))</f>
        <v>#N/A</v>
      </c>
      <c r="BI32" s="428" t="e">
        <f>IF(ISERROR(AVERAGEIF(IC!$L$3:$L$39, "=2006", IC!BT$3:BT$39)), NA(), AVERAGEIF(IC!$L$3:$L$39, "=2006", IC!BT$3:BT$39))</f>
        <v>#N/A</v>
      </c>
      <c r="BJ32" s="428" t="e">
        <f>IF(ISERROR(AVERAGEIF(IC!$L$3:$L$39, "=2006", IC!BU$3:BU$39)), NA(), AVERAGEIF(IC!$L$3:$L$39, "=2006", IC!BU$3:BU$39))</f>
        <v>#N/A</v>
      </c>
      <c r="BK32" s="428" t="e">
        <f>IF(ISERROR(AVERAGEIF(IC!$L$3:$L$39, "=2006", IC!BV$3:BV$39)), NA(), AVERAGEIF(IC!$L$3:$L$39, "=2006", IC!BV$3:BV$39))</f>
        <v>#N/A</v>
      </c>
      <c r="BL32" s="428" t="e">
        <f>IF(ISERROR(AVERAGEIF(IC!$L$3:$L$39, "=2006", IC!BW$3:BW$39)), NA(), AVERAGEIF(IC!$L$3:$L$39, "=2006", IC!BW$3:BW$39))</f>
        <v>#N/A</v>
      </c>
      <c r="BM32" s="428" t="e">
        <f>IF(ISERROR(AVERAGEIF(IC!$L$3:$L$39, "=2006", IC!BX$3:BX$39)), NA(), AVERAGEIF(IC!$L$3:$L$39, "=2006", IC!BX$3:BX$39))</f>
        <v>#N/A</v>
      </c>
      <c r="BN32" s="428" t="e">
        <f>IF(ISERROR(AVERAGEIF(IC!$L$3:$L$39, "=2006", IC!BY$3:BY$39)), NA(), AVERAGEIF(IC!$L$3:$L$39, "=2006", IC!BY$3:BY$39))</f>
        <v>#N/A</v>
      </c>
      <c r="BO32" s="428" t="e">
        <f>IF(ISERROR(AVERAGEIF(IC!$L$3:$L$39, "=2006", IC!BZ$3:BZ$39)), NA(), AVERAGEIF(IC!$L$3:$L$39, "=2006", IC!BZ$3:BZ$39))</f>
        <v>#N/A</v>
      </c>
      <c r="BP32" s="428" t="e">
        <f>IF(ISERROR(AVERAGEIF(IC!$L$3:$L$39, "=2006", IC!CA$3:CA$39)), NA(), AVERAGEIF(IC!$L$3:$L$39, "=2006", IC!CA$3:CA$39))</f>
        <v>#N/A</v>
      </c>
      <c r="BQ32" s="428" t="e">
        <f>IF(ISERROR(AVERAGEIF(IC!$L$3:$L$39, "=2006", IC!CB$3:CB$39)), NA(), AVERAGEIF(IC!$L$3:$L$39, "=2006", IC!CB$3:CB$39))</f>
        <v>#N/A</v>
      </c>
      <c r="BR32" s="428" t="e">
        <f>IF(ISERROR(AVERAGEIF(IC!$L$3:$L$39, "=2006", IC!CC$3:CC$39)), NA(), AVERAGEIF(IC!$L$3:$L$39, "=2006", IC!CC$3:CC$39))</f>
        <v>#N/A</v>
      </c>
      <c r="BS32" s="428" t="e">
        <f>IF(ISERROR(AVERAGEIF(IC!$L$3:$L$39, "=2006", IC!CD$3:CD$39)), NA(), AVERAGEIF(IC!$L$3:$L$39, "=2006", IC!CD$3:CD$39))</f>
        <v>#N/A</v>
      </c>
      <c r="BT32" s="428" t="e">
        <f>IF(ISERROR(AVERAGEIF(IC!$L$3:$L$39, "=2006", IC!CE$3:CE$39)), NA(), AVERAGEIF(IC!$L$3:$L$39, "=2006", IC!CE$3:CE$39))</f>
        <v>#N/A</v>
      </c>
      <c r="BU32" s="428" t="e">
        <f>IF(ISERROR(AVERAGEIF(IC!$L$3:$L$39, "=2006", IC!CF$3:CF$39)), NA(), AVERAGEIF(IC!$L$3:$L$39, "=2006", IC!CF$3:CF$39))</f>
        <v>#N/A</v>
      </c>
      <c r="BV32" s="428" t="e">
        <f>IF(ISERROR(AVERAGEIF(IC!$L$3:$L$39, "=2006", IC!CG$3:CG$39)), NA(), AVERAGEIF(IC!$L$3:$L$39, "=2006", IC!CG$3:CG$39))</f>
        <v>#N/A</v>
      </c>
      <c r="BW32" s="428" t="e">
        <f>IF(ISERROR(AVERAGEIF(IC!$L$3:$L$39, "=2006", IC!CH$3:CH$39)), NA(), AVERAGEIF(IC!$L$3:$L$39, "=2006", IC!CH$3:CH$39))</f>
        <v>#N/A</v>
      </c>
      <c r="BX32" s="428" t="e">
        <f>IF(ISERROR(AVERAGEIF(IC!$L$3:$L$39, "=2006", IC!CI$3:CI$39)), NA(), AVERAGEIF(IC!$L$3:$L$39, "=2006", IC!CI$3:CI$39))</f>
        <v>#N/A</v>
      </c>
      <c r="BY32" s="428" t="e">
        <f>IF(ISERROR(AVERAGEIF(IC!$L$3:$L$39, "=2006", IC!CJ$3:CJ$39)), NA(), AVERAGEIF(IC!$L$3:$L$39, "=2006", IC!CJ$3:CJ$39))</f>
        <v>#N/A</v>
      </c>
      <c r="BZ32" s="428" t="e">
        <f>IF(ISERROR(AVERAGEIF(IC!$L$3:$L$39, "=2006", IC!CK$3:CK$39)), NA(), AVERAGEIF(IC!$L$3:$L$39, "=2006", IC!CK$3:CK$39))</f>
        <v>#N/A</v>
      </c>
    </row>
    <row r="33" spans="1:78">
      <c r="A33" s="775"/>
      <c r="B33" s="432">
        <v>2007</v>
      </c>
      <c r="C33" s="428" t="e">
        <f>IF(ISERROR(AVERAGEIF(IC!$L$3:$L$39, "=2007", IC!M$3:M$39)), NA(), AVERAGEIF(IC!$L$3:$L$39, "=2007", IC!M$3:M$39))</f>
        <v>#N/A</v>
      </c>
      <c r="D33" s="428" t="e">
        <f>IF(ISERROR(AVERAGEIF(IC!$L$3:$L$39, "=2007", IC!N$3:N$39)), NA(), AVERAGEIF(IC!$L$3:$L$39, "=2007", IC!N$3:N$39))</f>
        <v>#N/A</v>
      </c>
      <c r="E33" s="428" t="e">
        <f>IF(ISERROR(AVERAGEIF(IC!$L$3:$L$39, "=2007", IC!O$3:O$39)), NA(), AVERAGEIF(IC!$L$3:$L$39, "=2007", IC!O$3:O$39))</f>
        <v>#N/A</v>
      </c>
      <c r="F33" s="428" t="e">
        <f>IF(ISERROR(AVERAGEIF(IC!$L$3:$L$39, "=2007", IC!P$3:P$39)), NA(), AVERAGEIF(IC!$L$3:$L$39, "=2007", IC!P$3:P$39))</f>
        <v>#N/A</v>
      </c>
      <c r="G33" s="428" t="e">
        <f>IF(ISERROR(AVERAGEIF(IC!$L$3:$L$39, "=2007", IC!Q$3:Q$39)), NA(), AVERAGEIF(IC!$L$3:$L$39, "=2007", IC!Q$3:Q$39))</f>
        <v>#N/A</v>
      </c>
      <c r="H33" s="428" t="e">
        <f>IF(ISERROR(AVERAGEIF(IC!$L$3:$L$39, "=2007", IC!R$3:R$39)), NA(), AVERAGEIF(IC!$L$3:$L$39, "=2007", IC!R$3:R$39))</f>
        <v>#N/A</v>
      </c>
      <c r="I33" s="428" t="e">
        <f>IF(ISERROR(AVERAGEIF(IC!$L$3:$L$39, "=2007", IC!S$3:S$39)), NA(), AVERAGEIF(IC!$L$3:$L$39, "=2007", IC!S$3:S$39))</f>
        <v>#N/A</v>
      </c>
      <c r="J33" s="428" t="e">
        <f>IF(ISERROR(AVERAGEIF(IC!$L$3:$L$39, "=2007", IC!T$3:T$39)), NA(), AVERAGEIF(IC!$L$3:$L$39, "=2007", IC!T$3:T$39))</f>
        <v>#N/A</v>
      </c>
      <c r="K33" s="428" t="e">
        <f>IF(ISERROR(AVERAGEIF(IC!$L$3:$L$39, "=2007", IC!U$3:U$39)), NA(), AVERAGEIF(IC!$L$3:$L$39, "=2007", IC!U$3:U$39))</f>
        <v>#N/A</v>
      </c>
      <c r="L33" s="428" t="e">
        <f>IF(ISERROR(AVERAGEIF(IC!$L$3:$L$39, "=2007", IC!V$3:V$39)), NA(), AVERAGEIF(IC!$L$3:$L$39, "=2007", IC!V$3:V$39))</f>
        <v>#N/A</v>
      </c>
      <c r="M33" s="428" t="e">
        <f>IF(ISERROR(AVERAGEIF(IC!$L$3:$L$39, "=2007", IC!W$3:W$39)), NA(), AVERAGEIF(IC!$L$3:$L$39, "=2007", IC!W$3:W$39))</f>
        <v>#N/A</v>
      </c>
      <c r="N33" s="428" t="e">
        <f>IF(ISERROR(AVERAGEIF(IC!$L$3:$L$39, "=2007", IC!X$3:X$39)), NA(), AVERAGEIF(IC!$L$3:$L$39, "=2007", IC!X$3:X$39))</f>
        <v>#N/A</v>
      </c>
      <c r="O33" s="428" t="e">
        <f>IF(ISERROR(AVERAGEIF(IC!$L$3:$L$39, "=2007", IC!Y$3:Y$39)), NA(), AVERAGEIF(IC!$L$3:$L$39, "=2007", IC!Y$3:Y$39))</f>
        <v>#N/A</v>
      </c>
      <c r="P33" s="428" t="e">
        <f>IF(ISERROR(AVERAGEIF(IC!$L$3:$L$39, "=2007", IC!Z$3:Z$39)), NA(), AVERAGEIF(IC!$L$3:$L$39, "=2007", IC!Z$3:Z$39))</f>
        <v>#N/A</v>
      </c>
      <c r="Q33" s="428" t="e">
        <f>IF(ISERROR(AVERAGEIF(IC!$L$3:$L$39, "=2007", IC!AA$3:AA$39)), NA(), AVERAGEIF(IC!$L$3:$L$39, "=2007", IC!AA$3:AA$39))</f>
        <v>#N/A</v>
      </c>
      <c r="R33" s="428" t="e">
        <f>IF(ISERROR(AVERAGEIF(IC!$L$3:$L$39, "=2007", IC!AB$3:AB$39)), NA(), AVERAGEIF(IC!$L$3:$L$39, "=2007", IC!AB$3:AB$39))</f>
        <v>#N/A</v>
      </c>
      <c r="S33" s="428" t="e">
        <f>IF(ISERROR(AVERAGEIF(IC!$L$3:$L$39, "=2007", IC!AC$3:AC$39)), NA(), AVERAGEIF(IC!$L$3:$L$39, "=2007", IC!AC$3:AC$39))</f>
        <v>#N/A</v>
      </c>
      <c r="T33" s="428" t="e">
        <f>IF(ISERROR(AVERAGEIF(IC!$L$3:$L$39, "=2007", IC!AD$3:AD$39)), NA(), AVERAGEIF(IC!$L$3:$L$39, "=2007", IC!AD$3:AD$39))</f>
        <v>#N/A</v>
      </c>
      <c r="U33" s="428" t="e">
        <f>IF(ISERROR(AVERAGEIF(IC!$L$3:$L$39, "=2007", IC!AE$3:AE$39)), NA(), AVERAGEIF(IC!$L$3:$L$39, "=2007", IC!AE$3:AE$39))</f>
        <v>#N/A</v>
      </c>
      <c r="V33" s="428" t="e">
        <f>IF(ISERROR(AVERAGEIF(IC!$L$3:$L$39, "=2007", IC!AF$3:AF$39)), NA(), AVERAGEIF(IC!$L$3:$L$39, "=2007", IC!AF$3:AF$39))</f>
        <v>#N/A</v>
      </c>
      <c r="W33" s="428" t="e">
        <f>IF(ISERROR(AVERAGEIF(IC!$L$3:$L$39, "=2007", IC!AG$3:AG$39)), NA(), AVERAGEIF(IC!$L$3:$L$39, "=2007", IC!AG$3:AG$39))</f>
        <v>#N/A</v>
      </c>
      <c r="X33" s="428" t="e">
        <f>IF(ISERROR(AVERAGEIF(IC!$L$3:$L$39, "=2007", IC!AH$3:AH$39)), NA(), AVERAGEIF(IC!$L$3:$L$39, "=2007", IC!AH$3:AH$39))</f>
        <v>#N/A</v>
      </c>
      <c r="Y33" s="428" t="e">
        <f>IF(ISERROR(AVERAGEIF(IC!$L$3:$L$39, "=2007", IC!AI$3:AI$39)), NA(), AVERAGEIF(IC!$L$3:$L$39, "=2007", IC!AI$3:AI$39))</f>
        <v>#N/A</v>
      </c>
      <c r="Z33" s="428" t="e">
        <f>IF(ISERROR(AVERAGEIF(IC!$L$3:$L$39, "=2007", IC!AJ$3:AJ$39)), NA(), AVERAGEIF(IC!$L$3:$L$39, "=2007", IC!AJ$3:AJ$39))</f>
        <v>#N/A</v>
      </c>
      <c r="AA33" s="428" t="e">
        <f>IF(ISERROR(AVERAGEIF(IC!$L$3:$L$39, "=2007", IC!AK$3:AK$39)), NA(), AVERAGEIF(IC!$L$3:$L$39, "=2007", IC!AK$3:AK$39))</f>
        <v>#N/A</v>
      </c>
      <c r="AB33" s="428" t="e">
        <f>IF(ISERROR(AVERAGEIF(IC!$L$3:$L$39, "=2007", IC!AL$3:AL$39)), NA(), AVERAGEIF(IC!$L$3:$L$39, "=2007", IC!AL$3:AL$39))</f>
        <v>#N/A</v>
      </c>
      <c r="AC33" s="428" t="e">
        <f>IF(ISERROR(AVERAGEIF(IC!$L$3:$L$39, "=2007", IC!AM$3:AM$39)), NA(), AVERAGEIF(IC!$L$3:$L$39, "=2007", IC!AM$3:AM$39))</f>
        <v>#N/A</v>
      </c>
      <c r="AD33" s="428" t="e">
        <f>IF(ISERROR(AVERAGEIF(IC!$L$3:$L$39, "=2007", IC!AN$3:AN$39)), NA(), AVERAGEIF(IC!$L$3:$L$39, "=2007", IC!AN$3:AN$39))</f>
        <v>#N/A</v>
      </c>
      <c r="AE33" s="428" t="e">
        <f>IF(ISERROR(AVERAGEIF(IC!$L$3:$L$39, "=2007", IC!AO$3:AO$39)), NA(), AVERAGEIF(IC!$L$3:$L$39, "=2007", IC!AO$3:AO$39))</f>
        <v>#N/A</v>
      </c>
      <c r="AF33" s="428" t="e">
        <f>IF(ISERROR(AVERAGEIF(IC!$L$3:$L$39, "=2007", IC!AP$3:AP$39)), NA(), AVERAGEIF(IC!$L$3:$L$39, "=2007", IC!AP$3:AP$39))</f>
        <v>#N/A</v>
      </c>
      <c r="AG33" s="428" t="e">
        <f>IF(ISERROR(AVERAGEIF(IC!$L$3:$L$39, "=2007", IC!AQ$3:AQ$39)), NA(), AVERAGEIF(IC!$L$3:$L$39, "=2007", IC!AQ$3:AQ$39))</f>
        <v>#N/A</v>
      </c>
      <c r="AH33" s="428" t="e">
        <f>IF(ISERROR(AVERAGEIF(IC!$L$3:$L$39, "=2007", IC!AR$3:AR$39)), NA(), AVERAGEIF(IC!$L$3:$L$39, "=2007", IC!AR$3:AR$39))</f>
        <v>#N/A</v>
      </c>
      <c r="AI33" s="428" t="e">
        <f>IF(ISERROR(AVERAGEIF(IC!$L$3:$L$39, "=2007", IC!AS$3:AS$39)), NA(), AVERAGEIF(IC!$L$3:$L$39, "=2007", IC!AS$3:AS$39))</f>
        <v>#N/A</v>
      </c>
      <c r="AJ33" s="428" t="e">
        <f>IF(ISERROR(AVERAGEIF(IC!$L$3:$L$39, "=2007", IC!AT$3:AT$39)), NA(), AVERAGEIF(IC!$L$3:$L$39, "=2007", IC!AT$3:AT$39))</f>
        <v>#N/A</v>
      </c>
      <c r="AK33" s="428" t="e">
        <f>IF(ISERROR(AVERAGEIF(IC!$L$3:$L$39, "=2007", IC!AU$3:AU$39)), NA(), AVERAGEIF(IC!$L$3:$L$39, "=2007", IC!AU$3:AU$39))</f>
        <v>#N/A</v>
      </c>
      <c r="AL33" s="428" t="e">
        <f>IF(ISERROR(AVERAGEIF(IC!$L$3:$L$39, "=2007", IC!AV$3:AV$39)), NA(), AVERAGEIF(IC!$L$3:$L$39, "=2007", IC!AV$3:AV$39))</f>
        <v>#N/A</v>
      </c>
      <c r="AM33" s="428" t="e">
        <f>IF(ISERROR(AVERAGEIF(IC!$L$3:$L$39, "=2007", IC!AW$3:AW$39)), NA(), AVERAGEIF(IC!$L$3:$L$39, "=2007", IC!AW$3:AW$39))</f>
        <v>#N/A</v>
      </c>
      <c r="AN33" s="428" t="e">
        <f>IF(ISERROR(AVERAGEIF(IC!$L$3:$L$39, "=2007", IC!AX$3:AX$39)), NA(), AVERAGEIF(IC!$L$3:$L$39, "=2007", IC!AX$3:AX$39))</f>
        <v>#N/A</v>
      </c>
      <c r="AO33" s="428" t="e">
        <f>IF(ISERROR(AVERAGEIF(IC!$L$3:$L$39, "=2007", IC!AY$3:AY$39)), NA(), AVERAGEIF(IC!$L$3:$L$39, "=2007", IC!AY$3:AY$39))</f>
        <v>#N/A</v>
      </c>
      <c r="AP33" s="428" t="e">
        <f>IF(ISERROR(AVERAGEIF(IC!$L$3:$L$39, "=2007", IC!AZ$3:AZ$39)), NA(), AVERAGEIF(IC!$L$3:$L$39, "=2007", IC!AZ$3:AZ$39))</f>
        <v>#N/A</v>
      </c>
      <c r="AQ33" s="428" t="e">
        <f>IF(ISERROR(AVERAGEIF(IC!$L$3:$L$39, "=2007", IC!BA$3:BA$39)), NA(), AVERAGEIF(IC!$L$3:$L$39, "=2007", IC!BA$3:BA$39))</f>
        <v>#N/A</v>
      </c>
      <c r="AR33" s="428" t="e">
        <f>IF(ISERROR(AVERAGEIF(IC!$L$3:$L$39, "=2007", IC!BB$3:BB$39)), NA(), AVERAGEIF(IC!$L$3:$L$39, "=2007", IC!BB$3:BB$39))</f>
        <v>#N/A</v>
      </c>
      <c r="AS33" s="428" t="e">
        <f>IF(ISERROR(AVERAGEIF(IC!$L$3:$L$39, "=2007", IC!BC$3:BC$39)), NA(), AVERAGEIF(IC!$L$3:$L$39, "=2007", IC!BC$3:BC$39))</f>
        <v>#N/A</v>
      </c>
      <c r="AT33" s="428" t="e">
        <f>IF(ISERROR(AVERAGEIF(IC!$L$3:$L$39, "=2007", IC!BD$3:BD$39)), NA(), AVERAGEIF(IC!$L$3:$L$39, "=2007", IC!BD$3:BD$39))</f>
        <v>#N/A</v>
      </c>
      <c r="AU33" s="428" t="e">
        <f>IF(ISERROR(AVERAGEIF(IC!$L$3:$L$39, "=2007", IC!BE$3:BE$39)), NA(), AVERAGEIF(IC!$L$3:$L$39, "=2007", IC!BE$3:BE$39))</f>
        <v>#N/A</v>
      </c>
      <c r="AV33" s="428" t="e">
        <f>IF(ISERROR(AVERAGEIF(IC!$L$3:$L$39, "=2007", IC!BF$3:BF$39)), NA(), AVERAGEIF(IC!$L$3:$L$39, "=2007", IC!BF$3:BF$39))</f>
        <v>#N/A</v>
      </c>
      <c r="AW33" s="428" t="e">
        <f>IF(ISERROR(AVERAGEIF(IC!$L$3:$L$39, "=2007", IC!BG$3:BG$39)), NA(), AVERAGEIF(IC!$L$3:$L$39, "=2007", IC!BG$3:BG$39))</f>
        <v>#N/A</v>
      </c>
      <c r="AX33" s="428" t="e">
        <f>IF(ISERROR(AVERAGEIF(IC!$L$3:$L$39, "=2007", IC!BH$3:BH$39)), NA(), AVERAGEIF(IC!$L$3:$L$39, "=2007", IC!BH$3:BH$39))</f>
        <v>#N/A</v>
      </c>
      <c r="AY33" s="428" t="e">
        <f>IF(ISERROR(AVERAGEIF(IC!$L$3:$L$39, "=2007", IC!BI$3:BI$39)), NA(), AVERAGEIF(IC!$L$3:$L$39, "=2007", IC!BI$3:BI$39))</f>
        <v>#N/A</v>
      </c>
      <c r="AZ33" s="428" t="e">
        <f>IF(ISERROR(AVERAGEIF(IC!$L$3:$L$39, "=2007", IC!BJ$3:BJ$39)), NA(), AVERAGEIF(IC!$L$3:$L$39, "=2007", IC!BJ$3:BJ$39))</f>
        <v>#N/A</v>
      </c>
      <c r="BA33" s="428" t="e">
        <f>IF(ISERROR(AVERAGEIF(IC!$L$3:$L$39, "=2007", IC!BK$3:BK$39)), NA(), AVERAGEIF(IC!$L$3:$L$39, "=2007", IC!BK$3:BK$39))</f>
        <v>#N/A</v>
      </c>
      <c r="BB33" s="428" t="e">
        <f>IF(ISERROR(AVERAGEIF(IC!$L$3:$L$39, "=2007", IC!BL$3:BL$39)), NA(), AVERAGEIF(IC!$L$3:$L$39, "=2007", IC!BL$3:BL$39))</f>
        <v>#N/A</v>
      </c>
      <c r="BC33" s="428" t="e">
        <f>IF(ISERROR(AVERAGEIF(IC!$L$3:$L$39, "=2007", IC!BM$3:BM$39)), NA(), AVERAGEIF(IC!$L$3:$L$39, "=2007", IC!BM$3:BM$39))</f>
        <v>#N/A</v>
      </c>
      <c r="BD33" s="428" t="e">
        <f>IF(ISERROR(AVERAGEIF(IC!$L$3:$L$39, "=2007", IC!BO$3:BO$39)), NA(), AVERAGEIF(IC!$L$3:$L$39, "=2007", IC!BO$3:BO$39))</f>
        <v>#N/A</v>
      </c>
      <c r="BE33" s="428" t="e">
        <f>IF(ISERROR(AVERAGEIF(IC!$L$3:$L$39, "=2007", IC!BP$3:BP$39)), NA(), AVERAGEIF(IC!$L$3:$L$39, "=2007", IC!BP$3:BP$39))</f>
        <v>#N/A</v>
      </c>
      <c r="BF33" s="428" t="e">
        <f>IF(ISERROR(AVERAGEIF(IC!$L$3:$L$39, "=2007", IC!BQ$3:BQ$39)), NA(), AVERAGEIF(IC!$L$3:$L$39, "=2007", IC!BQ$3:BQ$39))</f>
        <v>#N/A</v>
      </c>
      <c r="BG33" s="428" t="e">
        <f>IF(ISERROR(AVERAGEIF(IC!$L$3:$L$39, "=2007", IC!BR$3:BR$39)), NA(), AVERAGEIF(IC!$L$3:$L$39, "=2007", IC!BR$3:BR$39))</f>
        <v>#N/A</v>
      </c>
      <c r="BH33" s="428" t="e">
        <f>IF(ISERROR(AVERAGEIF(IC!$L$3:$L$39, "=2007", IC!BS$3:BS$39)), NA(), AVERAGEIF(IC!$L$3:$L$39, "=2007", IC!BS$3:BS$39))</f>
        <v>#N/A</v>
      </c>
      <c r="BI33" s="428" t="e">
        <f>IF(ISERROR(AVERAGEIF(IC!$L$3:$L$39, "=2007", IC!BT$3:BT$39)), NA(), AVERAGEIF(IC!$L$3:$L$39, "=2007", IC!BT$3:BT$39))</f>
        <v>#N/A</v>
      </c>
      <c r="BJ33" s="428" t="e">
        <f>IF(ISERROR(AVERAGEIF(IC!$L$3:$L$39, "=2007", IC!BU$3:BU$39)), NA(), AVERAGEIF(IC!$L$3:$L$39, "=2007", IC!BU$3:BU$39))</f>
        <v>#N/A</v>
      </c>
      <c r="BK33" s="428" t="e">
        <f>IF(ISERROR(AVERAGEIF(IC!$L$3:$L$39, "=2007", IC!BV$3:BV$39)), NA(), AVERAGEIF(IC!$L$3:$L$39, "=2007", IC!BV$3:BV$39))</f>
        <v>#N/A</v>
      </c>
      <c r="BL33" s="428" t="e">
        <f>IF(ISERROR(AVERAGEIF(IC!$L$3:$L$39, "=2007", IC!BW$3:BW$39)), NA(), AVERAGEIF(IC!$L$3:$L$39, "=2007", IC!BW$3:BW$39))</f>
        <v>#N/A</v>
      </c>
      <c r="BM33" s="428" t="e">
        <f>IF(ISERROR(AVERAGEIF(IC!$L$3:$L$39, "=2007", IC!BX$3:BX$39)), NA(), AVERAGEIF(IC!$L$3:$L$39, "=2007", IC!BX$3:BX$39))</f>
        <v>#N/A</v>
      </c>
      <c r="BN33" s="428" t="e">
        <f>IF(ISERROR(AVERAGEIF(IC!$L$3:$L$39, "=2007", IC!BY$3:BY$39)), NA(), AVERAGEIF(IC!$L$3:$L$39, "=2007", IC!BY$3:BY$39))</f>
        <v>#N/A</v>
      </c>
      <c r="BO33" s="428" t="e">
        <f>IF(ISERROR(AVERAGEIF(IC!$L$3:$L$39, "=2007", IC!BZ$3:BZ$39)), NA(), AVERAGEIF(IC!$L$3:$L$39, "=2007", IC!BZ$3:BZ$39))</f>
        <v>#N/A</v>
      </c>
      <c r="BP33" s="428" t="e">
        <f>IF(ISERROR(AVERAGEIF(IC!$L$3:$L$39, "=2007", IC!CA$3:CA$39)), NA(), AVERAGEIF(IC!$L$3:$L$39, "=2007", IC!CA$3:CA$39))</f>
        <v>#N/A</v>
      </c>
      <c r="BQ33" s="428" t="e">
        <f>IF(ISERROR(AVERAGEIF(IC!$L$3:$L$39, "=2007", IC!CB$3:CB$39)), NA(), AVERAGEIF(IC!$L$3:$L$39, "=2007", IC!CB$3:CB$39))</f>
        <v>#N/A</v>
      </c>
      <c r="BR33" s="428" t="e">
        <f>IF(ISERROR(AVERAGEIF(IC!$L$3:$L$39, "=2007", IC!CC$3:CC$39)), NA(), AVERAGEIF(IC!$L$3:$L$39, "=2007", IC!CC$3:CC$39))</f>
        <v>#N/A</v>
      </c>
      <c r="BS33" s="428" t="e">
        <f>IF(ISERROR(AVERAGEIF(IC!$L$3:$L$39, "=2007", IC!CD$3:CD$39)), NA(), AVERAGEIF(IC!$L$3:$L$39, "=2007", IC!CD$3:CD$39))</f>
        <v>#N/A</v>
      </c>
      <c r="BT33" s="428" t="e">
        <f>IF(ISERROR(AVERAGEIF(IC!$L$3:$L$39, "=2007", IC!CE$3:CE$39)), NA(), AVERAGEIF(IC!$L$3:$L$39, "=2007", IC!CE$3:CE$39))</f>
        <v>#N/A</v>
      </c>
      <c r="BU33" s="428" t="e">
        <f>IF(ISERROR(AVERAGEIF(IC!$L$3:$L$39, "=2007", IC!CF$3:CF$39)), NA(), AVERAGEIF(IC!$L$3:$L$39, "=2007", IC!CF$3:CF$39))</f>
        <v>#N/A</v>
      </c>
      <c r="BV33" s="428" t="e">
        <f>IF(ISERROR(AVERAGEIF(IC!$L$3:$L$39, "=2007", IC!CG$3:CG$39)), NA(), AVERAGEIF(IC!$L$3:$L$39, "=2007", IC!CG$3:CG$39))</f>
        <v>#N/A</v>
      </c>
      <c r="BW33" s="428" t="e">
        <f>IF(ISERROR(AVERAGEIF(IC!$L$3:$L$39, "=2007", IC!CH$3:CH$39)), NA(), AVERAGEIF(IC!$L$3:$L$39, "=2007", IC!CH$3:CH$39))</f>
        <v>#N/A</v>
      </c>
      <c r="BX33" s="428" t="e">
        <f>IF(ISERROR(AVERAGEIF(IC!$L$3:$L$39, "=2007", IC!CI$3:CI$39)), NA(), AVERAGEIF(IC!$L$3:$L$39, "=2007", IC!CI$3:CI$39))</f>
        <v>#N/A</v>
      </c>
      <c r="BY33" s="428" t="e">
        <f>IF(ISERROR(AVERAGEIF(IC!$L$3:$L$39, "=2007", IC!CJ$3:CJ$39)), NA(), AVERAGEIF(IC!$L$3:$L$39, "=2007", IC!CJ$3:CJ$39))</f>
        <v>#N/A</v>
      </c>
      <c r="BZ33" s="428" t="e">
        <f>IF(ISERROR(AVERAGEIF(IC!$L$3:$L$39, "=2007", IC!CK$3:CK$39)), NA(), AVERAGEIF(IC!$L$3:$L$39, "=2007", IC!CK$3:CK$39))</f>
        <v>#N/A</v>
      </c>
    </row>
    <row r="34" spans="1:78">
      <c r="A34" s="775"/>
      <c r="B34" s="432">
        <v>2008</v>
      </c>
      <c r="C34" s="428" t="e">
        <f>IF(ISERROR(AVERAGEIF(IC!$L$3:$L$39, "=2008", IC!M$3:M$39)), NA(), AVERAGEIF(IC!$L$3:$L$39, "=2008", IC!M$3:M$39))</f>
        <v>#N/A</v>
      </c>
      <c r="D34" s="428" t="e">
        <f>IF(ISERROR(AVERAGEIF(IC!$L$3:$L$39, "=2008", IC!N$3:N$39)), NA(), AVERAGEIF(IC!$L$3:$L$39, "=2008", IC!N$3:N$39))</f>
        <v>#N/A</v>
      </c>
      <c r="E34" s="428" t="e">
        <f>IF(ISERROR(AVERAGEIF(IC!$L$3:$L$39, "=2008", IC!O$3:O$39)), NA(), AVERAGEIF(IC!$L$3:$L$39, "=2008", IC!O$3:O$39))</f>
        <v>#N/A</v>
      </c>
      <c r="F34" s="428" t="e">
        <f>IF(ISERROR(AVERAGEIF(IC!$L$3:$L$39, "=2008", IC!P$3:P$39)), NA(), AVERAGEIF(IC!$L$3:$L$39, "=2008", IC!P$3:P$39))</f>
        <v>#N/A</v>
      </c>
      <c r="G34" s="428" t="e">
        <f>IF(ISERROR(AVERAGEIF(IC!$L$3:$L$39, "=2008", IC!Q$3:Q$39)), NA(), AVERAGEIF(IC!$L$3:$L$39, "=2008", IC!Q$3:Q$39))</f>
        <v>#N/A</v>
      </c>
      <c r="H34" s="428" t="e">
        <f>IF(ISERROR(AVERAGEIF(IC!$L$3:$L$39, "=2008", IC!R$3:R$39)), NA(), AVERAGEIF(IC!$L$3:$L$39, "=2008", IC!R$3:R$39))</f>
        <v>#N/A</v>
      </c>
      <c r="I34" s="428" t="e">
        <f>IF(ISERROR(AVERAGEIF(IC!$L$3:$L$39, "=2008", IC!S$3:S$39)), NA(), AVERAGEIF(IC!$L$3:$L$39, "=2008", IC!S$3:S$39))</f>
        <v>#N/A</v>
      </c>
      <c r="J34" s="428" t="e">
        <f>IF(ISERROR(AVERAGEIF(IC!$L$3:$L$39, "=2008", IC!T$3:T$39)), NA(), AVERAGEIF(IC!$L$3:$L$39, "=2008", IC!T$3:T$39))</f>
        <v>#N/A</v>
      </c>
      <c r="K34" s="428" t="e">
        <f>IF(ISERROR(AVERAGEIF(IC!$L$3:$L$39, "=2008", IC!U$3:U$39)), NA(), AVERAGEIF(IC!$L$3:$L$39, "=2008", IC!U$3:U$39))</f>
        <v>#N/A</v>
      </c>
      <c r="L34" s="428" t="e">
        <f>IF(ISERROR(AVERAGEIF(IC!$L$3:$L$39, "=2008", IC!V$3:V$39)), NA(), AVERAGEIF(IC!$L$3:$L$39, "=2008", IC!V$3:V$39))</f>
        <v>#N/A</v>
      </c>
      <c r="M34" s="428" t="e">
        <f>IF(ISERROR(AVERAGEIF(IC!$L$3:$L$39, "=2008", IC!W$3:W$39)), NA(), AVERAGEIF(IC!$L$3:$L$39, "=2008", IC!W$3:W$39))</f>
        <v>#N/A</v>
      </c>
      <c r="N34" s="428" t="e">
        <f>IF(ISERROR(AVERAGEIF(IC!$L$3:$L$39, "=2008", IC!X$3:X$39)), NA(), AVERAGEIF(IC!$L$3:$L$39, "=2008", IC!X$3:X$39))</f>
        <v>#N/A</v>
      </c>
      <c r="O34" s="428" t="e">
        <f>IF(ISERROR(AVERAGEIF(IC!$L$3:$L$39, "=2008", IC!Y$3:Y$39)), NA(), AVERAGEIF(IC!$L$3:$L$39, "=2008", IC!Y$3:Y$39))</f>
        <v>#N/A</v>
      </c>
      <c r="P34" s="428" t="e">
        <f>IF(ISERROR(AVERAGEIF(IC!$L$3:$L$39, "=2008", IC!Z$3:Z$39)), NA(), AVERAGEIF(IC!$L$3:$L$39, "=2008", IC!Z$3:Z$39))</f>
        <v>#N/A</v>
      </c>
      <c r="Q34" s="428" t="e">
        <f>IF(ISERROR(AVERAGEIF(IC!$L$3:$L$39, "=2008", IC!AA$3:AA$39)), NA(), AVERAGEIF(IC!$L$3:$L$39, "=2008", IC!AA$3:AA$39))</f>
        <v>#N/A</v>
      </c>
      <c r="R34" s="428" t="e">
        <f>IF(ISERROR(AVERAGEIF(IC!$L$3:$L$39, "=2008", IC!AB$3:AB$39)), NA(), AVERAGEIF(IC!$L$3:$L$39, "=2008", IC!AB$3:AB$39))</f>
        <v>#N/A</v>
      </c>
      <c r="S34" s="428" t="e">
        <f>IF(ISERROR(AVERAGEIF(IC!$L$3:$L$39, "=2008", IC!AC$3:AC$39)), NA(), AVERAGEIF(IC!$L$3:$L$39, "=2008", IC!AC$3:AC$39))</f>
        <v>#N/A</v>
      </c>
      <c r="T34" s="428" t="e">
        <f>IF(ISERROR(AVERAGEIF(IC!$L$3:$L$39, "=2008", IC!AD$3:AD$39)), NA(), AVERAGEIF(IC!$L$3:$L$39, "=2008", IC!AD$3:AD$39))</f>
        <v>#N/A</v>
      </c>
      <c r="U34" s="428" t="e">
        <f>IF(ISERROR(AVERAGEIF(IC!$L$3:$L$39, "=2008", IC!AE$3:AE$39)), NA(), AVERAGEIF(IC!$L$3:$L$39, "=2008", IC!AE$3:AE$39))</f>
        <v>#N/A</v>
      </c>
      <c r="V34" s="428" t="e">
        <f>IF(ISERROR(AVERAGEIF(IC!$L$3:$L$39, "=2008", IC!AF$3:AF$39)), NA(), AVERAGEIF(IC!$L$3:$L$39, "=2008", IC!AF$3:AF$39))</f>
        <v>#N/A</v>
      </c>
      <c r="W34" s="428" t="e">
        <f>IF(ISERROR(AVERAGEIF(IC!$L$3:$L$39, "=2008", IC!AG$3:AG$39)), NA(), AVERAGEIF(IC!$L$3:$L$39, "=2008", IC!AG$3:AG$39))</f>
        <v>#N/A</v>
      </c>
      <c r="X34" s="428" t="e">
        <f>IF(ISERROR(AVERAGEIF(IC!$L$3:$L$39, "=2008", IC!AH$3:AH$39)), NA(), AVERAGEIF(IC!$L$3:$L$39, "=2008", IC!AH$3:AH$39))</f>
        <v>#N/A</v>
      </c>
      <c r="Y34" s="428" t="e">
        <f>IF(ISERROR(AVERAGEIF(IC!$L$3:$L$39, "=2008", IC!AI$3:AI$39)), NA(), AVERAGEIF(IC!$L$3:$L$39, "=2008", IC!AI$3:AI$39))</f>
        <v>#N/A</v>
      </c>
      <c r="Z34" s="428" t="e">
        <f>IF(ISERROR(AVERAGEIF(IC!$L$3:$L$39, "=2008", IC!AJ$3:AJ$39)), NA(), AVERAGEIF(IC!$L$3:$L$39, "=2008", IC!AJ$3:AJ$39))</f>
        <v>#N/A</v>
      </c>
      <c r="AA34" s="428" t="e">
        <f>IF(ISERROR(AVERAGEIF(IC!$L$3:$L$39, "=2008", IC!AK$3:AK$39)), NA(), AVERAGEIF(IC!$L$3:$L$39, "=2008", IC!AK$3:AK$39))</f>
        <v>#N/A</v>
      </c>
      <c r="AB34" s="428" t="e">
        <f>IF(ISERROR(AVERAGEIF(IC!$L$3:$L$39, "=2008", IC!AL$3:AL$39)), NA(), AVERAGEIF(IC!$L$3:$L$39, "=2008", IC!AL$3:AL$39))</f>
        <v>#N/A</v>
      </c>
      <c r="AC34" s="428" t="e">
        <f>IF(ISERROR(AVERAGEIF(IC!$L$3:$L$39, "=2008", IC!AM$3:AM$39)), NA(), AVERAGEIF(IC!$L$3:$L$39, "=2008", IC!AM$3:AM$39))</f>
        <v>#N/A</v>
      </c>
      <c r="AD34" s="428" t="e">
        <f>IF(ISERROR(AVERAGEIF(IC!$L$3:$L$39, "=2008", IC!AN$3:AN$39)), NA(), AVERAGEIF(IC!$L$3:$L$39, "=2008", IC!AN$3:AN$39))</f>
        <v>#N/A</v>
      </c>
      <c r="AE34" s="428" t="e">
        <f>IF(ISERROR(AVERAGEIF(IC!$L$3:$L$39, "=2008", IC!AO$3:AO$39)), NA(), AVERAGEIF(IC!$L$3:$L$39, "=2008", IC!AO$3:AO$39))</f>
        <v>#N/A</v>
      </c>
      <c r="AF34" s="428" t="e">
        <f>IF(ISERROR(AVERAGEIF(IC!$L$3:$L$39, "=2008", IC!AP$3:AP$39)), NA(), AVERAGEIF(IC!$L$3:$L$39, "=2008", IC!AP$3:AP$39))</f>
        <v>#N/A</v>
      </c>
      <c r="AG34" s="428" t="e">
        <f>IF(ISERROR(AVERAGEIF(IC!$L$3:$L$39, "=2008", IC!AQ$3:AQ$39)), NA(), AVERAGEIF(IC!$L$3:$L$39, "=2008", IC!AQ$3:AQ$39))</f>
        <v>#N/A</v>
      </c>
      <c r="AH34" s="428" t="e">
        <f>IF(ISERROR(AVERAGEIF(IC!$L$3:$L$39, "=2008", IC!AR$3:AR$39)), NA(), AVERAGEIF(IC!$L$3:$L$39, "=2008", IC!AR$3:AR$39))</f>
        <v>#N/A</v>
      </c>
      <c r="AI34" s="428" t="e">
        <f>IF(ISERROR(AVERAGEIF(IC!$L$3:$L$39, "=2008", IC!AS$3:AS$39)), NA(), AVERAGEIF(IC!$L$3:$L$39, "=2008", IC!AS$3:AS$39))</f>
        <v>#N/A</v>
      </c>
      <c r="AJ34" s="428" t="e">
        <f>IF(ISERROR(AVERAGEIF(IC!$L$3:$L$39, "=2008", IC!AT$3:AT$39)), NA(), AVERAGEIF(IC!$L$3:$L$39, "=2008", IC!AT$3:AT$39))</f>
        <v>#N/A</v>
      </c>
      <c r="AK34" s="428" t="e">
        <f>IF(ISERROR(AVERAGEIF(IC!$L$3:$L$39, "=2008", IC!AU$3:AU$39)), NA(), AVERAGEIF(IC!$L$3:$L$39, "=2008", IC!AU$3:AU$39))</f>
        <v>#N/A</v>
      </c>
      <c r="AL34" s="428" t="e">
        <f>IF(ISERROR(AVERAGEIF(IC!$L$3:$L$39, "=2008", IC!AV$3:AV$39)), NA(), AVERAGEIF(IC!$L$3:$L$39, "=2008", IC!AV$3:AV$39))</f>
        <v>#N/A</v>
      </c>
      <c r="AM34" s="428" t="e">
        <f>IF(ISERROR(AVERAGEIF(IC!$L$3:$L$39, "=2008", IC!AW$3:AW$39)), NA(), AVERAGEIF(IC!$L$3:$L$39, "=2008", IC!AW$3:AW$39))</f>
        <v>#N/A</v>
      </c>
      <c r="AN34" s="428" t="e">
        <f>IF(ISERROR(AVERAGEIF(IC!$L$3:$L$39, "=2008", IC!AX$3:AX$39)), NA(), AVERAGEIF(IC!$L$3:$L$39, "=2008", IC!AX$3:AX$39))</f>
        <v>#N/A</v>
      </c>
      <c r="AO34" s="428" t="e">
        <f>IF(ISERROR(AVERAGEIF(IC!$L$3:$L$39, "=2008", IC!AY$3:AY$39)), NA(), AVERAGEIF(IC!$L$3:$L$39, "=2008", IC!AY$3:AY$39))</f>
        <v>#N/A</v>
      </c>
      <c r="AP34" s="428" t="e">
        <f>IF(ISERROR(AVERAGEIF(IC!$L$3:$L$39, "=2008", IC!AZ$3:AZ$39)), NA(), AVERAGEIF(IC!$L$3:$L$39, "=2008", IC!AZ$3:AZ$39))</f>
        <v>#N/A</v>
      </c>
      <c r="AQ34" s="428" t="e">
        <f>IF(ISERROR(AVERAGEIF(IC!$L$3:$L$39, "=2008", IC!BA$3:BA$39)), NA(), AVERAGEIF(IC!$L$3:$L$39, "=2008", IC!BA$3:BA$39))</f>
        <v>#N/A</v>
      </c>
      <c r="AR34" s="428" t="e">
        <f>IF(ISERROR(AVERAGEIF(IC!$L$3:$L$39, "=2008", IC!BB$3:BB$39)), NA(), AVERAGEIF(IC!$L$3:$L$39, "=2008", IC!BB$3:BB$39))</f>
        <v>#N/A</v>
      </c>
      <c r="AS34" s="428" t="e">
        <f>IF(ISERROR(AVERAGEIF(IC!$L$3:$L$39, "=2008", IC!BC$3:BC$39)), NA(), AVERAGEIF(IC!$L$3:$L$39, "=2008", IC!BC$3:BC$39))</f>
        <v>#N/A</v>
      </c>
      <c r="AT34" s="428" t="e">
        <f>IF(ISERROR(AVERAGEIF(IC!$L$3:$L$39, "=2008", IC!BD$3:BD$39)), NA(), AVERAGEIF(IC!$L$3:$L$39, "=2008", IC!BD$3:BD$39))</f>
        <v>#N/A</v>
      </c>
      <c r="AU34" s="428" t="e">
        <f>IF(ISERROR(AVERAGEIF(IC!$L$3:$L$39, "=2008", IC!BE$3:BE$39)), NA(), AVERAGEIF(IC!$L$3:$L$39, "=2008", IC!BE$3:BE$39))</f>
        <v>#N/A</v>
      </c>
      <c r="AV34" s="428" t="e">
        <f>IF(ISERROR(AVERAGEIF(IC!$L$3:$L$39, "=2008", IC!BF$3:BF$39)), NA(), AVERAGEIF(IC!$L$3:$L$39, "=2008", IC!BF$3:BF$39))</f>
        <v>#N/A</v>
      </c>
      <c r="AW34" s="428" t="e">
        <f>IF(ISERROR(AVERAGEIF(IC!$L$3:$L$39, "=2008", IC!BG$3:BG$39)), NA(), AVERAGEIF(IC!$L$3:$L$39, "=2008", IC!BG$3:BG$39))</f>
        <v>#N/A</v>
      </c>
      <c r="AX34" s="428" t="e">
        <f>IF(ISERROR(AVERAGEIF(IC!$L$3:$L$39, "=2008", IC!BH$3:BH$39)), NA(), AVERAGEIF(IC!$L$3:$L$39, "=2008", IC!BH$3:BH$39))</f>
        <v>#N/A</v>
      </c>
      <c r="AY34" s="428" t="e">
        <f>IF(ISERROR(AVERAGEIF(IC!$L$3:$L$39, "=2008", IC!BI$3:BI$39)), NA(), AVERAGEIF(IC!$L$3:$L$39, "=2008", IC!BI$3:BI$39))</f>
        <v>#N/A</v>
      </c>
      <c r="AZ34" s="428" t="e">
        <f>IF(ISERROR(AVERAGEIF(IC!$L$3:$L$39, "=2008", IC!BJ$3:BJ$39)), NA(), AVERAGEIF(IC!$L$3:$L$39, "=2008", IC!BJ$3:BJ$39))</f>
        <v>#N/A</v>
      </c>
      <c r="BA34" s="428" t="e">
        <f>IF(ISERROR(AVERAGEIF(IC!$L$3:$L$39, "=2008", IC!BK$3:BK$39)), NA(), AVERAGEIF(IC!$L$3:$L$39, "=2008", IC!BK$3:BK$39))</f>
        <v>#N/A</v>
      </c>
      <c r="BB34" s="428" t="e">
        <f>IF(ISERROR(AVERAGEIF(IC!$L$3:$L$39, "=2008", IC!BL$3:BL$39)), NA(), AVERAGEIF(IC!$L$3:$L$39, "=2008", IC!BL$3:BL$39))</f>
        <v>#N/A</v>
      </c>
      <c r="BC34" s="428" t="e">
        <f>IF(ISERROR(AVERAGEIF(IC!$L$3:$L$39, "=2008", IC!BM$3:BM$39)), NA(), AVERAGEIF(IC!$L$3:$L$39, "=2008", IC!BM$3:BM$39))</f>
        <v>#N/A</v>
      </c>
      <c r="BD34" s="428" t="e">
        <f>IF(ISERROR(AVERAGEIF(IC!$L$3:$L$39, "=2008", IC!BO$3:BO$39)), NA(), AVERAGEIF(IC!$L$3:$L$39, "=2008", IC!BO$3:BO$39))</f>
        <v>#N/A</v>
      </c>
      <c r="BE34" s="428" t="e">
        <f>IF(ISERROR(AVERAGEIF(IC!$L$3:$L$39, "=2008", IC!BP$3:BP$39)), NA(), AVERAGEIF(IC!$L$3:$L$39, "=2008", IC!BP$3:BP$39))</f>
        <v>#N/A</v>
      </c>
      <c r="BF34" s="428">
        <f>IF(ISERROR(AVERAGEIF(IC!$L$3:$L$39, "=2008", IC!BQ$3:BQ$39)), NA(), AVERAGEIF(IC!$L$3:$L$39, "=2008", IC!BQ$3:BQ$39))</f>
        <v>32</v>
      </c>
      <c r="BG34" s="428" t="e">
        <f>IF(ISERROR(AVERAGEIF(IC!$L$3:$L$39, "=2008", IC!BR$3:BR$39)), NA(), AVERAGEIF(IC!$L$3:$L$39, "=2008", IC!BR$3:BR$39))</f>
        <v>#N/A</v>
      </c>
      <c r="BH34" s="428" t="e">
        <f>IF(ISERROR(AVERAGEIF(IC!$L$3:$L$39, "=2008", IC!BS$3:BS$39)), NA(), AVERAGEIF(IC!$L$3:$L$39, "=2008", IC!BS$3:BS$39))</f>
        <v>#N/A</v>
      </c>
      <c r="BI34" s="428" t="e">
        <f>IF(ISERROR(AVERAGEIF(IC!$L$3:$L$39, "=2008", IC!BT$3:BT$39)), NA(), AVERAGEIF(IC!$L$3:$L$39, "=2008", IC!BT$3:BT$39))</f>
        <v>#N/A</v>
      </c>
      <c r="BJ34" s="428" t="e">
        <f>IF(ISERROR(AVERAGEIF(IC!$L$3:$L$39, "=2008", IC!BU$3:BU$39)), NA(), AVERAGEIF(IC!$L$3:$L$39, "=2008", IC!BU$3:BU$39))</f>
        <v>#N/A</v>
      </c>
      <c r="BK34" s="428" t="e">
        <f>IF(ISERROR(AVERAGEIF(IC!$L$3:$L$39, "=2008", IC!BV$3:BV$39)), NA(), AVERAGEIF(IC!$L$3:$L$39, "=2008", IC!BV$3:BV$39))</f>
        <v>#N/A</v>
      </c>
      <c r="BL34" s="428" t="e">
        <f>IF(ISERROR(AVERAGEIF(IC!$L$3:$L$39, "=2008", IC!BW$3:BW$39)), NA(), AVERAGEIF(IC!$L$3:$L$39, "=2008", IC!BW$3:BW$39))</f>
        <v>#N/A</v>
      </c>
      <c r="BM34" s="428" t="e">
        <f>IF(ISERROR(AVERAGEIF(IC!$L$3:$L$39, "=2008", IC!BX$3:BX$39)), NA(), AVERAGEIF(IC!$L$3:$L$39, "=2008", IC!BX$3:BX$39))</f>
        <v>#N/A</v>
      </c>
      <c r="BN34" s="428" t="e">
        <f>IF(ISERROR(AVERAGEIF(IC!$L$3:$L$39, "=2008", IC!BY$3:BY$39)), NA(), AVERAGEIF(IC!$L$3:$L$39, "=2008", IC!BY$3:BY$39))</f>
        <v>#N/A</v>
      </c>
      <c r="BO34" s="428" t="e">
        <f>IF(ISERROR(AVERAGEIF(IC!$L$3:$L$39, "=2008", IC!BZ$3:BZ$39)), NA(), AVERAGEIF(IC!$L$3:$L$39, "=2008", IC!BZ$3:BZ$39))</f>
        <v>#N/A</v>
      </c>
      <c r="BP34" s="428" t="e">
        <f>IF(ISERROR(AVERAGEIF(IC!$L$3:$L$39, "=2008", IC!CA$3:CA$39)), NA(), AVERAGEIF(IC!$L$3:$L$39, "=2008", IC!CA$3:CA$39))</f>
        <v>#N/A</v>
      </c>
      <c r="BQ34" s="428" t="e">
        <f>IF(ISERROR(AVERAGEIF(IC!$L$3:$L$39, "=2008", IC!CB$3:CB$39)), NA(), AVERAGEIF(IC!$L$3:$L$39, "=2008", IC!CB$3:CB$39))</f>
        <v>#N/A</v>
      </c>
      <c r="BR34" s="428" t="e">
        <f>IF(ISERROR(AVERAGEIF(IC!$L$3:$L$39, "=2008", IC!CC$3:CC$39)), NA(), AVERAGEIF(IC!$L$3:$L$39, "=2008", IC!CC$3:CC$39))</f>
        <v>#N/A</v>
      </c>
      <c r="BS34" s="428" t="e">
        <f>IF(ISERROR(AVERAGEIF(IC!$L$3:$L$39, "=2008", IC!CD$3:CD$39)), NA(), AVERAGEIF(IC!$L$3:$L$39, "=2008", IC!CD$3:CD$39))</f>
        <v>#N/A</v>
      </c>
      <c r="BT34" s="428" t="e">
        <f>IF(ISERROR(AVERAGEIF(IC!$L$3:$L$39, "=2008", IC!CE$3:CE$39)), NA(), AVERAGEIF(IC!$L$3:$L$39, "=2008", IC!CE$3:CE$39))</f>
        <v>#N/A</v>
      </c>
      <c r="BU34" s="428" t="e">
        <f>IF(ISERROR(AVERAGEIF(IC!$L$3:$L$39, "=2008", IC!CF$3:CF$39)), NA(), AVERAGEIF(IC!$L$3:$L$39, "=2008", IC!CF$3:CF$39))</f>
        <v>#N/A</v>
      </c>
      <c r="BV34" s="428" t="e">
        <f>IF(ISERROR(AVERAGEIF(IC!$L$3:$L$39, "=2008", IC!CG$3:CG$39)), NA(), AVERAGEIF(IC!$L$3:$L$39, "=2008", IC!CG$3:CG$39))</f>
        <v>#N/A</v>
      </c>
      <c r="BW34" s="428" t="e">
        <f>IF(ISERROR(AVERAGEIF(IC!$L$3:$L$39, "=2008", IC!CH$3:CH$39)), NA(), AVERAGEIF(IC!$L$3:$L$39, "=2008", IC!CH$3:CH$39))</f>
        <v>#N/A</v>
      </c>
      <c r="BX34" s="428" t="e">
        <f>IF(ISERROR(AVERAGEIF(IC!$L$3:$L$39, "=2008", IC!CI$3:CI$39)), NA(), AVERAGEIF(IC!$L$3:$L$39, "=2008", IC!CI$3:CI$39))</f>
        <v>#N/A</v>
      </c>
      <c r="BY34" s="428" t="e">
        <f>IF(ISERROR(AVERAGEIF(IC!$L$3:$L$39, "=2008", IC!CJ$3:CJ$39)), NA(), AVERAGEIF(IC!$L$3:$L$39, "=2008", IC!CJ$3:CJ$39))</f>
        <v>#N/A</v>
      </c>
      <c r="BZ34" s="428" t="e">
        <f>IF(ISERROR(AVERAGEIF(IC!$L$3:$L$39, "=2008", IC!CK$3:CK$39)), NA(), AVERAGEIF(IC!$L$3:$L$39, "=2008", IC!CK$3:CK$39))</f>
        <v>#N/A</v>
      </c>
    </row>
    <row r="35" spans="1:78">
      <c r="A35" s="775"/>
      <c r="B35" s="432">
        <v>2009</v>
      </c>
      <c r="C35" s="428" t="e">
        <f>IF(ISERROR(AVERAGEIF(IC!$L$3:$L$39, "=2009", IC!M$3:M$39)), NA(), AVERAGEIF(IC!$L$3:$L$39, "=2009", IC!M$3:M$39))</f>
        <v>#N/A</v>
      </c>
      <c r="D35" s="428" t="e">
        <f>IF(ISERROR(AVERAGEIF(IC!$L$3:$L$39, "=2009", IC!N$3:N$39)), NA(), AVERAGEIF(IC!$L$3:$L$39, "=2009", IC!N$3:N$39))</f>
        <v>#N/A</v>
      </c>
      <c r="E35" s="428" t="e">
        <f>IF(ISERROR(AVERAGEIF(IC!$L$3:$L$39, "=2009", IC!O$3:O$39)), NA(), AVERAGEIF(IC!$L$3:$L$39, "=2009", IC!O$3:O$39))</f>
        <v>#N/A</v>
      </c>
      <c r="F35" s="428" t="e">
        <f>IF(ISERROR(AVERAGEIF(IC!$L$3:$L$39, "=2009", IC!P$3:P$39)), NA(), AVERAGEIF(IC!$L$3:$L$39, "=2009", IC!P$3:P$39))</f>
        <v>#N/A</v>
      </c>
      <c r="G35" s="428" t="e">
        <f>IF(ISERROR(AVERAGEIF(IC!$L$3:$L$39, "=2009", IC!Q$3:Q$39)), NA(), AVERAGEIF(IC!$L$3:$L$39, "=2009", IC!Q$3:Q$39))</f>
        <v>#N/A</v>
      </c>
      <c r="H35" s="428" t="e">
        <f>IF(ISERROR(AVERAGEIF(IC!$L$3:$L$39, "=2009", IC!R$3:R$39)), NA(), AVERAGEIF(IC!$L$3:$L$39, "=2009", IC!R$3:R$39))</f>
        <v>#N/A</v>
      </c>
      <c r="I35" s="428" t="e">
        <f>IF(ISERROR(AVERAGEIF(IC!$L$3:$L$39, "=2009", IC!S$3:S$39)), NA(), AVERAGEIF(IC!$L$3:$L$39, "=2009", IC!S$3:S$39))</f>
        <v>#N/A</v>
      </c>
      <c r="J35" s="428" t="e">
        <f>IF(ISERROR(AVERAGEIF(IC!$L$3:$L$39, "=2009", IC!T$3:T$39)), NA(), AVERAGEIF(IC!$L$3:$L$39, "=2009", IC!T$3:T$39))</f>
        <v>#N/A</v>
      </c>
      <c r="K35" s="428" t="e">
        <f>IF(ISERROR(AVERAGEIF(IC!$L$3:$L$39, "=2009", IC!U$3:U$39)), NA(), AVERAGEIF(IC!$L$3:$L$39, "=2009", IC!U$3:U$39))</f>
        <v>#N/A</v>
      </c>
      <c r="L35" s="428" t="e">
        <f>IF(ISERROR(AVERAGEIF(IC!$L$3:$L$39, "=2009", IC!V$3:V$39)), NA(), AVERAGEIF(IC!$L$3:$L$39, "=2009", IC!V$3:V$39))</f>
        <v>#N/A</v>
      </c>
      <c r="M35" s="428" t="e">
        <f>IF(ISERROR(AVERAGEIF(IC!$L$3:$L$39, "=2009", IC!W$3:W$39)), NA(), AVERAGEIF(IC!$L$3:$L$39, "=2009", IC!W$3:W$39))</f>
        <v>#N/A</v>
      </c>
      <c r="N35" s="428" t="e">
        <f>IF(ISERROR(AVERAGEIF(IC!$L$3:$L$39, "=2009", IC!X$3:X$39)), NA(), AVERAGEIF(IC!$L$3:$L$39, "=2009", IC!X$3:X$39))</f>
        <v>#N/A</v>
      </c>
      <c r="O35" s="428" t="e">
        <f>IF(ISERROR(AVERAGEIF(IC!$L$3:$L$39, "=2009", IC!Y$3:Y$39)), NA(), AVERAGEIF(IC!$L$3:$L$39, "=2009", IC!Y$3:Y$39))</f>
        <v>#N/A</v>
      </c>
      <c r="P35" s="428" t="e">
        <f>IF(ISERROR(AVERAGEIF(IC!$L$3:$L$39, "=2009", IC!Z$3:Z$39)), NA(), AVERAGEIF(IC!$L$3:$L$39, "=2009", IC!Z$3:Z$39))</f>
        <v>#N/A</v>
      </c>
      <c r="Q35" s="428" t="e">
        <f>IF(ISERROR(AVERAGEIF(IC!$L$3:$L$39, "=2009", IC!AA$3:AA$39)), NA(), AVERAGEIF(IC!$L$3:$L$39, "=2009", IC!AA$3:AA$39))</f>
        <v>#N/A</v>
      </c>
      <c r="R35" s="428" t="e">
        <f>IF(ISERROR(AVERAGEIF(IC!$L$3:$L$39, "=2009", IC!AB$3:AB$39)), NA(), AVERAGEIF(IC!$L$3:$L$39, "=2009", IC!AB$3:AB$39))</f>
        <v>#N/A</v>
      </c>
      <c r="S35" s="428" t="e">
        <f>IF(ISERROR(AVERAGEIF(IC!$L$3:$L$39, "=2009", IC!AC$3:AC$39)), NA(), AVERAGEIF(IC!$L$3:$L$39, "=2009", IC!AC$3:AC$39))</f>
        <v>#N/A</v>
      </c>
      <c r="T35" s="428" t="e">
        <f>IF(ISERROR(AVERAGEIF(IC!$L$3:$L$39, "=2009", IC!AD$3:AD$39)), NA(), AVERAGEIF(IC!$L$3:$L$39, "=2009", IC!AD$3:AD$39))</f>
        <v>#N/A</v>
      </c>
      <c r="U35" s="428" t="e">
        <f>IF(ISERROR(AVERAGEIF(IC!$L$3:$L$39, "=2009", IC!AE$3:AE$39)), NA(), AVERAGEIF(IC!$L$3:$L$39, "=2009", IC!AE$3:AE$39))</f>
        <v>#N/A</v>
      </c>
      <c r="V35" s="428" t="e">
        <f>IF(ISERROR(AVERAGEIF(IC!$L$3:$L$39, "=2009", IC!AF$3:AF$39)), NA(), AVERAGEIF(IC!$L$3:$L$39, "=2009", IC!AF$3:AF$39))</f>
        <v>#N/A</v>
      </c>
      <c r="W35" s="428" t="e">
        <f>IF(ISERROR(AVERAGEIF(IC!$L$3:$L$39, "=2009", IC!AG$3:AG$39)), NA(), AVERAGEIF(IC!$L$3:$L$39, "=2009", IC!AG$3:AG$39))</f>
        <v>#N/A</v>
      </c>
      <c r="X35" s="428" t="e">
        <f>IF(ISERROR(AVERAGEIF(IC!$L$3:$L$39, "=2009", IC!AH$3:AH$39)), NA(), AVERAGEIF(IC!$L$3:$L$39, "=2009", IC!AH$3:AH$39))</f>
        <v>#N/A</v>
      </c>
      <c r="Y35" s="428" t="e">
        <f>IF(ISERROR(AVERAGEIF(IC!$L$3:$L$39, "=2009", IC!AI$3:AI$39)), NA(), AVERAGEIF(IC!$L$3:$L$39, "=2009", IC!AI$3:AI$39))</f>
        <v>#N/A</v>
      </c>
      <c r="Z35" s="428" t="e">
        <f>IF(ISERROR(AVERAGEIF(IC!$L$3:$L$39, "=2009", IC!AJ$3:AJ$39)), NA(), AVERAGEIF(IC!$L$3:$L$39, "=2009", IC!AJ$3:AJ$39))</f>
        <v>#N/A</v>
      </c>
      <c r="AA35" s="428" t="e">
        <f>IF(ISERROR(AVERAGEIF(IC!$L$3:$L$39, "=2009", IC!AK$3:AK$39)), NA(), AVERAGEIF(IC!$L$3:$L$39, "=2009", IC!AK$3:AK$39))</f>
        <v>#N/A</v>
      </c>
      <c r="AB35" s="428" t="e">
        <f>IF(ISERROR(AVERAGEIF(IC!$L$3:$L$39, "=2009", IC!AL$3:AL$39)), NA(), AVERAGEIF(IC!$L$3:$L$39, "=2009", IC!AL$3:AL$39))</f>
        <v>#N/A</v>
      </c>
      <c r="AC35" s="428" t="e">
        <f>IF(ISERROR(AVERAGEIF(IC!$L$3:$L$39, "=2009", IC!AM$3:AM$39)), NA(), AVERAGEIF(IC!$L$3:$L$39, "=2009", IC!AM$3:AM$39))</f>
        <v>#N/A</v>
      </c>
      <c r="AD35" s="428" t="e">
        <f>IF(ISERROR(AVERAGEIF(IC!$L$3:$L$39, "=2009", IC!AN$3:AN$39)), NA(), AVERAGEIF(IC!$L$3:$L$39, "=2009", IC!AN$3:AN$39))</f>
        <v>#N/A</v>
      </c>
      <c r="AE35" s="428" t="e">
        <f>IF(ISERROR(AVERAGEIF(IC!$L$3:$L$39, "=2009", IC!AO$3:AO$39)), NA(), AVERAGEIF(IC!$L$3:$L$39, "=2009", IC!AO$3:AO$39))</f>
        <v>#N/A</v>
      </c>
      <c r="AF35" s="428" t="e">
        <f>IF(ISERROR(AVERAGEIF(IC!$L$3:$L$39, "=2009", IC!AP$3:AP$39)), NA(), AVERAGEIF(IC!$L$3:$L$39, "=2009", IC!AP$3:AP$39))</f>
        <v>#N/A</v>
      </c>
      <c r="AG35" s="428">
        <f>IF(ISERROR(AVERAGEIF(IC!$L$3:$L$39, "=2009", IC!AQ$3:AQ$39)), NA(), AVERAGEIF(IC!$L$3:$L$39, "=2009", IC!AQ$3:AQ$39))</f>
        <v>2.5000000000000001E-2</v>
      </c>
      <c r="AH35" s="428" t="e">
        <f>IF(ISERROR(AVERAGEIF(IC!$L$3:$L$39, "=2009", IC!AR$3:AR$39)), NA(), AVERAGEIF(IC!$L$3:$L$39, "=2009", IC!AR$3:AR$39))</f>
        <v>#N/A</v>
      </c>
      <c r="AI35" s="428">
        <f>IF(ISERROR(AVERAGEIF(IC!$L$3:$L$39, "=2009", IC!AS$3:AS$39)), NA(), AVERAGEIF(IC!$L$3:$L$39, "=2009", IC!AS$3:AS$39))</f>
        <v>1.1000000000000001</v>
      </c>
      <c r="AJ35" s="428">
        <f>IF(ISERROR(AVERAGEIF(IC!$L$3:$L$39, "=2009", IC!AT$3:AT$39)), NA(), AVERAGEIF(IC!$L$3:$L$39, "=2009", IC!AT$3:AT$39))</f>
        <v>1.1000000000000001</v>
      </c>
      <c r="AK35" s="428" t="e">
        <f>IF(ISERROR(AVERAGEIF(IC!$L$3:$L$39, "=2009", IC!AU$3:AU$39)), NA(), AVERAGEIF(IC!$L$3:$L$39, "=2009", IC!AU$3:AU$39))</f>
        <v>#N/A</v>
      </c>
      <c r="AL35" s="428" t="e">
        <f>IF(ISERROR(AVERAGEIF(IC!$L$3:$L$39, "=2009", IC!AV$3:AV$39)), NA(), AVERAGEIF(IC!$L$3:$L$39, "=2009", IC!AV$3:AV$39))</f>
        <v>#N/A</v>
      </c>
      <c r="AM35" s="428" t="e">
        <f>IF(ISERROR(AVERAGEIF(IC!$L$3:$L$39, "=2009", IC!AW$3:AW$39)), NA(), AVERAGEIF(IC!$L$3:$L$39, "=2009", IC!AW$3:AW$39))</f>
        <v>#N/A</v>
      </c>
      <c r="AN35" s="428" t="e">
        <f>IF(ISERROR(AVERAGEIF(IC!$L$3:$L$39, "=2009", IC!AX$3:AX$39)), NA(), AVERAGEIF(IC!$L$3:$L$39, "=2009", IC!AX$3:AX$39))</f>
        <v>#N/A</v>
      </c>
      <c r="AO35" s="428" t="e">
        <f>IF(ISERROR(AVERAGEIF(IC!$L$3:$L$39, "=2009", IC!AY$3:AY$39)), NA(), AVERAGEIF(IC!$L$3:$L$39, "=2009", IC!AY$3:AY$39))</f>
        <v>#N/A</v>
      </c>
      <c r="AP35" s="428" t="e">
        <f>IF(ISERROR(AVERAGEIF(IC!$L$3:$L$39, "=2009", IC!AZ$3:AZ$39)), NA(), AVERAGEIF(IC!$L$3:$L$39, "=2009", IC!AZ$3:AZ$39))</f>
        <v>#N/A</v>
      </c>
      <c r="AQ35" s="428" t="e">
        <f>IF(ISERROR(AVERAGEIF(IC!$L$3:$L$39, "=2009", IC!BA$3:BA$39)), NA(), AVERAGEIF(IC!$L$3:$L$39, "=2009", IC!BA$3:BA$39))</f>
        <v>#N/A</v>
      </c>
      <c r="AR35" s="428" t="e">
        <f>IF(ISERROR(AVERAGEIF(IC!$L$3:$L$39, "=2009", IC!BB$3:BB$39)), NA(), AVERAGEIF(IC!$L$3:$L$39, "=2009", IC!BB$3:BB$39))</f>
        <v>#N/A</v>
      </c>
      <c r="AS35" s="428" t="e">
        <f>IF(ISERROR(AVERAGEIF(IC!$L$3:$L$39, "=2009", IC!BC$3:BC$39)), NA(), AVERAGEIF(IC!$L$3:$L$39, "=2009", IC!BC$3:BC$39))</f>
        <v>#N/A</v>
      </c>
      <c r="AT35" s="428" t="e">
        <f>IF(ISERROR(AVERAGEIF(IC!$L$3:$L$39, "=2009", IC!BD$3:BD$39)), NA(), AVERAGEIF(IC!$L$3:$L$39, "=2009", IC!BD$3:BD$39))</f>
        <v>#N/A</v>
      </c>
      <c r="AU35" s="428" t="e">
        <f>IF(ISERROR(AVERAGEIF(IC!$L$3:$L$39, "=2009", IC!BE$3:BE$39)), NA(), AVERAGEIF(IC!$L$3:$L$39, "=2009", IC!BE$3:BE$39))</f>
        <v>#N/A</v>
      </c>
      <c r="AV35" s="428" t="e">
        <f>IF(ISERROR(AVERAGEIF(IC!$L$3:$L$39, "=2009", IC!BF$3:BF$39)), NA(), AVERAGEIF(IC!$L$3:$L$39, "=2009", IC!BF$3:BF$39))</f>
        <v>#N/A</v>
      </c>
      <c r="AW35" s="428" t="e">
        <f>IF(ISERROR(AVERAGEIF(IC!$L$3:$L$39, "=2009", IC!BG$3:BG$39)), NA(), AVERAGEIF(IC!$L$3:$L$39, "=2009", IC!BG$3:BG$39))</f>
        <v>#N/A</v>
      </c>
      <c r="AX35" s="428" t="e">
        <f>IF(ISERROR(AVERAGEIF(IC!$L$3:$L$39, "=2009", IC!BH$3:BH$39)), NA(), AVERAGEIF(IC!$L$3:$L$39, "=2009", IC!BH$3:BH$39))</f>
        <v>#N/A</v>
      </c>
      <c r="AY35" s="428" t="e">
        <f>IF(ISERROR(AVERAGEIF(IC!$L$3:$L$39, "=2009", IC!BI$3:BI$39)), NA(), AVERAGEIF(IC!$L$3:$L$39, "=2009", IC!BI$3:BI$39))</f>
        <v>#N/A</v>
      </c>
      <c r="AZ35" s="428" t="e">
        <f>IF(ISERROR(AVERAGEIF(IC!$L$3:$L$39, "=2009", IC!BJ$3:BJ$39)), NA(), AVERAGEIF(IC!$L$3:$L$39, "=2009", IC!BJ$3:BJ$39))</f>
        <v>#N/A</v>
      </c>
      <c r="BA35" s="428" t="e">
        <f>IF(ISERROR(AVERAGEIF(IC!$L$3:$L$39, "=2009", IC!BK$3:BK$39)), NA(), AVERAGEIF(IC!$L$3:$L$39, "=2009", IC!BK$3:BK$39))</f>
        <v>#N/A</v>
      </c>
      <c r="BB35" s="428" t="e">
        <f>IF(ISERROR(AVERAGEIF(IC!$L$3:$L$39, "=2009", IC!BL$3:BL$39)), NA(), AVERAGEIF(IC!$L$3:$L$39, "=2009", IC!BL$3:BL$39))</f>
        <v>#N/A</v>
      </c>
      <c r="BC35" s="428" t="e">
        <f>IF(ISERROR(AVERAGEIF(IC!$L$3:$L$39, "=2009", IC!BM$3:BM$39)), NA(), AVERAGEIF(IC!$L$3:$L$39, "=2009", IC!BM$3:BM$39))</f>
        <v>#N/A</v>
      </c>
      <c r="BD35" s="428" t="e">
        <f>IF(ISERROR(AVERAGEIF(IC!$L$3:$L$39, "=2009", IC!BO$3:BO$39)), NA(), AVERAGEIF(IC!$L$3:$L$39, "=2009", IC!BO$3:BO$39))</f>
        <v>#N/A</v>
      </c>
      <c r="BE35" s="428" t="e">
        <f>IF(ISERROR(AVERAGEIF(IC!$L$3:$L$39, "=2009", IC!BP$3:BP$39)), NA(), AVERAGEIF(IC!$L$3:$L$39, "=2009", IC!BP$3:BP$39))</f>
        <v>#N/A</v>
      </c>
      <c r="BF35" s="428">
        <f>IF(ISERROR(AVERAGEIF(IC!$L$3:$L$39, "=2009", IC!BQ$3:BQ$39)), NA(), AVERAGEIF(IC!$L$3:$L$39, "=2009", IC!BQ$3:BQ$39))</f>
        <v>20</v>
      </c>
      <c r="BG35" s="428" t="e">
        <f>IF(ISERROR(AVERAGEIF(IC!$L$3:$L$39, "=2009", IC!BR$3:BR$39)), NA(), AVERAGEIF(IC!$L$3:$L$39, "=2009", IC!BR$3:BR$39))</f>
        <v>#N/A</v>
      </c>
      <c r="BH35" s="428" t="e">
        <f>IF(ISERROR(AVERAGEIF(IC!$L$3:$L$39, "=2009", IC!BS$3:BS$39)), NA(), AVERAGEIF(IC!$L$3:$L$39, "=2009", IC!BS$3:BS$39))</f>
        <v>#N/A</v>
      </c>
      <c r="BI35" s="428" t="e">
        <f>IF(ISERROR(AVERAGEIF(IC!$L$3:$L$39, "=2009", IC!BT$3:BT$39)), NA(), AVERAGEIF(IC!$L$3:$L$39, "=2009", IC!BT$3:BT$39))</f>
        <v>#N/A</v>
      </c>
      <c r="BJ35" s="428" t="e">
        <f>IF(ISERROR(AVERAGEIF(IC!$L$3:$L$39, "=2009", IC!BU$3:BU$39)), NA(), AVERAGEIF(IC!$L$3:$L$39, "=2009", IC!BU$3:BU$39))</f>
        <v>#N/A</v>
      </c>
      <c r="BK35" s="428" t="e">
        <f>IF(ISERROR(AVERAGEIF(IC!$L$3:$L$39, "=2009", IC!BV$3:BV$39)), NA(), AVERAGEIF(IC!$L$3:$L$39, "=2009", IC!BV$3:BV$39))</f>
        <v>#N/A</v>
      </c>
      <c r="BL35" s="428" t="e">
        <f>IF(ISERROR(AVERAGEIF(IC!$L$3:$L$39, "=2009", IC!BW$3:BW$39)), NA(), AVERAGEIF(IC!$L$3:$L$39, "=2009", IC!BW$3:BW$39))</f>
        <v>#N/A</v>
      </c>
      <c r="BM35" s="428" t="e">
        <f>IF(ISERROR(AVERAGEIF(IC!$L$3:$L$39, "=2009", IC!BX$3:BX$39)), NA(), AVERAGEIF(IC!$L$3:$L$39, "=2009", IC!BX$3:BX$39))</f>
        <v>#N/A</v>
      </c>
      <c r="BN35" s="428" t="e">
        <f>IF(ISERROR(AVERAGEIF(IC!$L$3:$L$39, "=2009", IC!BY$3:BY$39)), NA(), AVERAGEIF(IC!$L$3:$L$39, "=2009", IC!BY$3:BY$39))</f>
        <v>#N/A</v>
      </c>
      <c r="BO35" s="428" t="e">
        <f>IF(ISERROR(AVERAGEIF(IC!$L$3:$L$39, "=2009", IC!BZ$3:BZ$39)), NA(), AVERAGEIF(IC!$L$3:$L$39, "=2009", IC!BZ$3:BZ$39))</f>
        <v>#N/A</v>
      </c>
      <c r="BP35" s="428" t="e">
        <f>IF(ISERROR(AVERAGEIF(IC!$L$3:$L$39, "=2009", IC!CA$3:CA$39)), NA(), AVERAGEIF(IC!$L$3:$L$39, "=2009", IC!CA$3:CA$39))</f>
        <v>#N/A</v>
      </c>
      <c r="BQ35" s="428" t="e">
        <f>IF(ISERROR(AVERAGEIF(IC!$L$3:$L$39, "=2009", IC!CB$3:CB$39)), NA(), AVERAGEIF(IC!$L$3:$L$39, "=2009", IC!CB$3:CB$39))</f>
        <v>#N/A</v>
      </c>
      <c r="BR35" s="428" t="e">
        <f>IF(ISERROR(AVERAGEIF(IC!$L$3:$L$39, "=2009", IC!CC$3:CC$39)), NA(), AVERAGEIF(IC!$L$3:$L$39, "=2009", IC!CC$3:CC$39))</f>
        <v>#N/A</v>
      </c>
      <c r="BS35" s="428" t="e">
        <f>IF(ISERROR(AVERAGEIF(IC!$L$3:$L$39, "=2009", IC!CD$3:CD$39)), NA(), AVERAGEIF(IC!$L$3:$L$39, "=2009", IC!CD$3:CD$39))</f>
        <v>#N/A</v>
      </c>
      <c r="BT35" s="428" t="e">
        <f>IF(ISERROR(AVERAGEIF(IC!$L$3:$L$39, "=2009", IC!CE$3:CE$39)), NA(), AVERAGEIF(IC!$L$3:$L$39, "=2009", IC!CE$3:CE$39))</f>
        <v>#N/A</v>
      </c>
      <c r="BU35" s="428" t="e">
        <f>IF(ISERROR(AVERAGEIF(IC!$L$3:$L$39, "=2009", IC!CF$3:CF$39)), NA(), AVERAGEIF(IC!$L$3:$L$39, "=2009", IC!CF$3:CF$39))</f>
        <v>#N/A</v>
      </c>
      <c r="BV35" s="428" t="e">
        <f>IF(ISERROR(AVERAGEIF(IC!$L$3:$L$39, "=2009", IC!CG$3:CG$39)), NA(), AVERAGEIF(IC!$L$3:$L$39, "=2009", IC!CG$3:CG$39))</f>
        <v>#N/A</v>
      </c>
      <c r="BW35" s="428" t="e">
        <f>IF(ISERROR(AVERAGEIF(IC!$L$3:$L$39, "=2009", IC!CH$3:CH$39)), NA(), AVERAGEIF(IC!$L$3:$L$39, "=2009", IC!CH$3:CH$39))</f>
        <v>#N/A</v>
      </c>
      <c r="BX35" s="428" t="e">
        <f>IF(ISERROR(AVERAGEIF(IC!$L$3:$L$39, "=2009", IC!CI$3:CI$39)), NA(), AVERAGEIF(IC!$L$3:$L$39, "=2009", IC!CI$3:CI$39))</f>
        <v>#N/A</v>
      </c>
      <c r="BY35" s="428" t="e">
        <f>IF(ISERROR(AVERAGEIF(IC!$L$3:$L$39, "=2009", IC!CJ$3:CJ$39)), NA(), AVERAGEIF(IC!$L$3:$L$39, "=2009", IC!CJ$3:CJ$39))</f>
        <v>#N/A</v>
      </c>
      <c r="BZ35" s="428" t="e">
        <f>IF(ISERROR(AVERAGEIF(IC!$L$3:$L$39, "=2009", IC!CK$3:CK$39)), NA(), AVERAGEIF(IC!$L$3:$L$39, "=2009", IC!CK$3:CK$39))</f>
        <v>#N/A</v>
      </c>
    </row>
    <row r="36" spans="1:78">
      <c r="A36" s="775"/>
      <c r="B36" s="432">
        <v>2010</v>
      </c>
      <c r="C36" s="428" t="e">
        <f>IF(ISERROR(AVERAGEIF(IC!$L$3:$L$39, "=2010", IC!M$3:M$39)), NA(), AVERAGEIF(IC!$L$3:$L$39, "=2010", IC!M$3:M$39))</f>
        <v>#N/A</v>
      </c>
      <c r="D36" s="428" t="e">
        <f>IF(ISERROR(AVERAGEIF(IC!$L$3:$L$39, "=2010", IC!N$3:N$39)), NA(), AVERAGEIF(IC!$L$3:$L$39, "=2010", IC!N$3:N$39))</f>
        <v>#N/A</v>
      </c>
      <c r="E36" s="428" t="e">
        <f>IF(ISERROR(AVERAGEIF(IC!$L$3:$L$39, "=2010", IC!O$3:O$39)), NA(), AVERAGEIF(IC!$L$3:$L$39, "=2010", IC!O$3:O$39))</f>
        <v>#N/A</v>
      </c>
      <c r="F36" s="428" t="e">
        <f>IF(ISERROR(AVERAGEIF(IC!$L$3:$L$39, "=2010", IC!P$3:P$39)), NA(), AVERAGEIF(IC!$L$3:$L$39, "=2010", IC!P$3:P$39))</f>
        <v>#N/A</v>
      </c>
      <c r="G36" s="428" t="e">
        <f>IF(ISERROR(AVERAGEIF(IC!$L$3:$L$39, "=2010", IC!Q$3:Q$39)), NA(), AVERAGEIF(IC!$L$3:$L$39, "=2010", IC!Q$3:Q$39))</f>
        <v>#N/A</v>
      </c>
      <c r="H36" s="428" t="e">
        <f>IF(ISERROR(AVERAGEIF(IC!$L$3:$L$39, "=2010", IC!R$3:R$39)), NA(), AVERAGEIF(IC!$L$3:$L$39, "=2010", IC!R$3:R$39))</f>
        <v>#N/A</v>
      </c>
      <c r="I36" s="428" t="e">
        <f>IF(ISERROR(AVERAGEIF(IC!$L$3:$L$39, "=2010", IC!S$3:S$39)), NA(), AVERAGEIF(IC!$L$3:$L$39, "=2010", IC!S$3:S$39))</f>
        <v>#N/A</v>
      </c>
      <c r="J36" s="428">
        <f>IF(ISERROR(AVERAGEIF(IC!$L$3:$L$39, "=2010", IC!T$3:T$39)), NA(), AVERAGEIF(IC!$L$3:$L$39, "=2010", IC!T$3:T$39))</f>
        <v>1</v>
      </c>
      <c r="K36" s="428" t="e">
        <f>IF(ISERROR(AVERAGEIF(IC!$L$3:$L$39, "=2010", IC!U$3:U$39)), NA(), AVERAGEIF(IC!$L$3:$L$39, "=2010", IC!U$3:U$39))</f>
        <v>#N/A</v>
      </c>
      <c r="L36" s="428">
        <f>IF(ISERROR(AVERAGEIF(IC!$L$3:$L$39, "=2010", IC!V$3:V$39)), NA(), AVERAGEIF(IC!$L$3:$L$39, "=2010", IC!V$3:V$39))</f>
        <v>12</v>
      </c>
      <c r="M36" s="428" t="e">
        <f>IF(ISERROR(AVERAGEIF(IC!$L$3:$L$39, "=2010", IC!W$3:W$39)), NA(), AVERAGEIF(IC!$L$3:$L$39, "=2010", IC!W$3:W$39))</f>
        <v>#N/A</v>
      </c>
      <c r="N36" s="428" t="e">
        <f>IF(ISERROR(AVERAGEIF(IC!$L$3:$L$39, "=2010", IC!X$3:X$39)), NA(), AVERAGEIF(IC!$L$3:$L$39, "=2010", IC!X$3:X$39))</f>
        <v>#N/A</v>
      </c>
      <c r="O36" s="428" t="e">
        <f>IF(ISERROR(AVERAGEIF(IC!$L$3:$L$39, "=2010", IC!Y$3:Y$39)), NA(), AVERAGEIF(IC!$L$3:$L$39, "=2010", IC!Y$3:Y$39))</f>
        <v>#N/A</v>
      </c>
      <c r="P36" s="428" t="e">
        <f>IF(ISERROR(AVERAGEIF(IC!$L$3:$L$39, "=2010", IC!Z$3:Z$39)), NA(), AVERAGEIF(IC!$L$3:$L$39, "=2010", IC!Z$3:Z$39))</f>
        <v>#N/A</v>
      </c>
      <c r="Q36" s="428" t="e">
        <f>IF(ISERROR(AVERAGEIF(IC!$L$3:$L$39, "=2010", IC!AA$3:AA$39)), NA(), AVERAGEIF(IC!$L$3:$L$39, "=2010", IC!AA$3:AA$39))</f>
        <v>#N/A</v>
      </c>
      <c r="R36" s="428" t="e">
        <f>IF(ISERROR(AVERAGEIF(IC!$L$3:$L$39, "=2010", IC!AB$3:AB$39)), NA(), AVERAGEIF(IC!$L$3:$L$39, "=2010", IC!AB$3:AB$39))</f>
        <v>#N/A</v>
      </c>
      <c r="S36" s="428" t="e">
        <f>IF(ISERROR(AVERAGEIF(IC!$L$3:$L$39, "=2010", IC!AC$3:AC$39)), NA(), AVERAGEIF(IC!$L$3:$L$39, "=2010", IC!AC$3:AC$39))</f>
        <v>#N/A</v>
      </c>
      <c r="T36" s="428">
        <f>IF(ISERROR(AVERAGEIF(IC!$L$3:$L$39, "=2010", IC!AD$3:AD$39)), NA(), AVERAGEIF(IC!$L$3:$L$39, "=2010", IC!AD$3:AD$39))</f>
        <v>1.2</v>
      </c>
      <c r="U36" s="428">
        <f>IF(ISERROR(AVERAGEIF(IC!$L$3:$L$39, "=2010", IC!AE$3:AE$39)), NA(), AVERAGEIF(IC!$L$3:$L$39, "=2010", IC!AE$3:AE$39))</f>
        <v>0.7</v>
      </c>
      <c r="V36" s="428">
        <f>IF(ISERROR(AVERAGEIF(IC!$L$3:$L$39, "=2010", IC!AF$3:AF$39)), NA(), AVERAGEIF(IC!$L$3:$L$39, "=2010", IC!AF$3:AF$39))</f>
        <v>9.34</v>
      </c>
      <c r="W36" s="428">
        <f>IF(ISERROR(AVERAGEIF(IC!$L$3:$L$39, "=2010", IC!AG$3:AG$39)), NA(), AVERAGEIF(IC!$L$3:$L$39, "=2010", IC!AG$3:AG$39))</f>
        <v>58</v>
      </c>
      <c r="X36" s="428">
        <f>IF(ISERROR(AVERAGEIF(IC!$L$3:$L$39, "=2010", IC!AH$3:AH$39)), NA(), AVERAGEIF(IC!$L$3:$L$39, "=2010", IC!AH$3:AH$39))</f>
        <v>500</v>
      </c>
      <c r="Y36" s="428">
        <f>IF(ISERROR(AVERAGEIF(IC!$L$3:$L$39, "=2010", IC!AI$3:AI$39)), NA(), AVERAGEIF(IC!$L$3:$L$39, "=2010", IC!AI$3:AI$39))</f>
        <v>2</v>
      </c>
      <c r="Z36" s="428">
        <f>IF(ISERROR(AVERAGEIF(IC!$L$3:$L$39, "=2010", IC!AJ$3:AJ$39)), NA(), AVERAGEIF(IC!$L$3:$L$39, "=2010", IC!AJ$3:AJ$39))</f>
        <v>1</v>
      </c>
      <c r="AA36" s="428">
        <f>IF(ISERROR(AVERAGEIF(IC!$L$3:$L$39, "=2010", IC!AK$3:AK$39)), NA(), AVERAGEIF(IC!$L$3:$L$39, "=2010", IC!AK$3:AK$39))</f>
        <v>12</v>
      </c>
      <c r="AB36" s="428" t="e">
        <f>IF(ISERROR(AVERAGEIF(IC!$L$3:$L$39, "=2010", IC!AL$3:AL$39)), NA(), AVERAGEIF(IC!$L$3:$L$39, "=2010", IC!AL$3:AL$39))</f>
        <v>#N/A</v>
      </c>
      <c r="AC36" s="428">
        <f>IF(ISERROR(AVERAGEIF(IC!$L$3:$L$39, "=2010", IC!AM$3:AM$39)), NA(), AVERAGEIF(IC!$L$3:$L$39, "=2010", IC!AM$3:AM$39))</f>
        <v>4</v>
      </c>
      <c r="AD36" s="428">
        <f>IF(ISERROR(AVERAGEIF(IC!$L$3:$L$39, "=2010", IC!AN$3:AN$39)), NA(), AVERAGEIF(IC!$L$3:$L$39, "=2010", IC!AN$3:AN$39))</f>
        <v>4</v>
      </c>
      <c r="AE36" s="428" t="e">
        <f>IF(ISERROR(AVERAGEIF(IC!$L$3:$L$39, "=2010", IC!AO$3:AO$39)), NA(), AVERAGEIF(IC!$L$3:$L$39, "=2010", IC!AO$3:AO$39))</f>
        <v>#N/A</v>
      </c>
      <c r="AF36" s="428">
        <f>IF(ISERROR(AVERAGEIF(IC!$L$3:$L$39, "=2010", IC!AP$3:AP$39)), NA(), AVERAGEIF(IC!$L$3:$L$39, "=2010", IC!AP$3:AP$39))</f>
        <v>4</v>
      </c>
      <c r="AG36" s="428">
        <f>IF(ISERROR(AVERAGEIF(IC!$L$3:$L$39, "=2010", IC!AQ$3:AQ$39)), NA(), AVERAGEIF(IC!$L$3:$L$39, "=2010", IC!AQ$3:AQ$39))</f>
        <v>16</v>
      </c>
      <c r="AH36" s="428" t="e">
        <f>IF(ISERROR(AVERAGEIF(IC!$L$3:$L$39, "=2010", IC!AR$3:AR$39)), NA(), AVERAGEIF(IC!$L$3:$L$39, "=2010", IC!AR$3:AR$39))</f>
        <v>#N/A</v>
      </c>
      <c r="AI36" s="428">
        <f>IF(ISERROR(AVERAGEIF(IC!$L$3:$L$39, "=2010", IC!AS$3:AS$39)), NA(), AVERAGEIF(IC!$L$3:$L$39, "=2010", IC!AS$3:AS$39))</f>
        <v>1.98</v>
      </c>
      <c r="AJ36" s="428">
        <f>IF(ISERROR(AVERAGEIF(IC!$L$3:$L$39, "=2010", IC!AT$3:AT$39)), NA(), AVERAGEIF(IC!$L$3:$L$39, "=2010", IC!AT$3:AT$39))</f>
        <v>3.8</v>
      </c>
      <c r="AK36" s="428">
        <f>IF(ISERROR(AVERAGEIF(IC!$L$3:$L$39, "=2010", IC!AU$3:AU$39)), NA(), AVERAGEIF(IC!$L$3:$L$39, "=2010", IC!AU$3:AU$39))</f>
        <v>0.77700000000000002</v>
      </c>
      <c r="AL36" s="428" t="e">
        <f>IF(ISERROR(AVERAGEIF(IC!$L$3:$L$39, "=2010", IC!AV$3:AV$39)), NA(), AVERAGEIF(IC!$L$3:$L$39, "=2010", IC!AV$3:AV$39))</f>
        <v>#N/A</v>
      </c>
      <c r="AM36" s="428">
        <f>IF(ISERROR(AVERAGEIF(IC!$L$3:$L$39, "=2010", IC!AW$3:AW$39)), NA(), AVERAGEIF(IC!$L$3:$L$39, "=2010", IC!AW$3:AW$39))</f>
        <v>5.024</v>
      </c>
      <c r="AN36" s="428" t="e">
        <f>IF(ISERROR(AVERAGEIF(IC!$L$3:$L$39, "=2010", IC!AX$3:AX$39)), NA(), AVERAGEIF(IC!$L$3:$L$39, "=2010", IC!AX$3:AX$39))</f>
        <v>#N/A</v>
      </c>
      <c r="AO36" s="428" t="e">
        <f>IF(ISERROR(AVERAGEIF(IC!$L$3:$L$39, "=2010", IC!AY$3:AY$39)), NA(), AVERAGEIF(IC!$L$3:$L$39, "=2010", IC!AY$3:AY$39))</f>
        <v>#N/A</v>
      </c>
      <c r="AP36" s="428">
        <f>IF(ISERROR(AVERAGEIF(IC!$L$3:$L$39, "=2010", IC!AZ$3:AZ$39)), NA(), AVERAGEIF(IC!$L$3:$L$39, "=2010", IC!AZ$3:AZ$39))</f>
        <v>5.8010000000000002</v>
      </c>
      <c r="AQ36" s="428">
        <f>IF(ISERROR(AVERAGEIF(IC!$L$3:$L$39, "=2010", IC!BA$3:BA$39)), NA(), AVERAGEIF(IC!$L$3:$L$39, "=2010", IC!BA$3:BA$39))</f>
        <v>1</v>
      </c>
      <c r="AR36" s="428">
        <f>IF(ISERROR(AVERAGEIF(IC!$L$3:$L$39, "=2010", IC!BB$3:BB$39)), NA(), AVERAGEIF(IC!$L$3:$L$39, "=2010", IC!BB$3:BB$39))</f>
        <v>0.6</v>
      </c>
      <c r="AS36" s="428">
        <f>IF(ISERROR(AVERAGEIF(IC!$L$3:$L$39, "=2010", IC!BC$3:BC$39)), NA(), AVERAGEIF(IC!$L$3:$L$39, "=2010", IC!BC$3:BC$39))</f>
        <v>0.02</v>
      </c>
      <c r="AT36" s="428" t="e">
        <f>IF(ISERROR(AVERAGEIF(IC!$L$3:$L$39, "=2010", IC!BD$3:BD$39)), NA(), AVERAGEIF(IC!$L$3:$L$39, "=2010", IC!BD$3:BD$39))</f>
        <v>#N/A</v>
      </c>
      <c r="AU36" s="428" t="e">
        <f>IF(ISERROR(AVERAGEIF(IC!$L$3:$L$39, "=2010", IC!BE$3:BE$39)), NA(), AVERAGEIF(IC!$L$3:$L$39, "=2010", IC!BE$3:BE$39))</f>
        <v>#N/A</v>
      </c>
      <c r="AV36" s="428" t="e">
        <f>IF(ISERROR(AVERAGEIF(IC!$L$3:$L$39, "=2010", IC!BF$3:BF$39)), NA(), AVERAGEIF(IC!$L$3:$L$39, "=2010", IC!BF$3:BF$39))</f>
        <v>#N/A</v>
      </c>
      <c r="AW36" s="428" t="e">
        <f>IF(ISERROR(AVERAGEIF(IC!$L$3:$L$39, "=2010", IC!BG$3:BG$39)), NA(), AVERAGEIF(IC!$L$3:$L$39, "=2010", IC!BG$3:BG$39))</f>
        <v>#N/A</v>
      </c>
      <c r="AX36" s="428" t="e">
        <f>IF(ISERROR(AVERAGEIF(IC!$L$3:$L$39, "=2010", IC!BH$3:BH$39)), NA(), AVERAGEIF(IC!$L$3:$L$39, "=2010", IC!BH$3:BH$39))</f>
        <v>#N/A</v>
      </c>
      <c r="AY36" s="428" t="e">
        <f>IF(ISERROR(AVERAGEIF(IC!$L$3:$L$39, "=2010", IC!BI$3:BI$39)), NA(), AVERAGEIF(IC!$L$3:$L$39, "=2010", IC!BI$3:BI$39))</f>
        <v>#N/A</v>
      </c>
      <c r="AZ36" s="428" t="e">
        <f>IF(ISERROR(AVERAGEIF(IC!$L$3:$L$39, "=2010", IC!BJ$3:BJ$39)), NA(), AVERAGEIF(IC!$L$3:$L$39, "=2010", IC!BJ$3:BJ$39))</f>
        <v>#N/A</v>
      </c>
      <c r="BA36" s="428" t="e">
        <f>IF(ISERROR(AVERAGEIF(IC!$L$3:$L$39, "=2010", IC!BK$3:BK$39)), NA(), AVERAGEIF(IC!$L$3:$L$39, "=2010", IC!BK$3:BK$39))</f>
        <v>#N/A</v>
      </c>
      <c r="BB36" s="428">
        <f>IF(ISERROR(AVERAGEIF(IC!$L$3:$L$39, "=2010", IC!BL$3:BL$39)), NA(), AVERAGEIF(IC!$L$3:$L$39, "=2010", IC!BL$3:BL$39))</f>
        <v>0.152502</v>
      </c>
      <c r="BC36" s="428" t="e">
        <f>IF(ISERROR(AVERAGEIF(IC!$L$3:$L$39, "=2010", IC!BM$3:BM$39)), NA(), AVERAGEIF(IC!$L$3:$L$39, "=2010", IC!BM$3:BM$39))</f>
        <v>#N/A</v>
      </c>
      <c r="BD36" s="428">
        <f>IF(ISERROR(AVERAGEIF(IC!$L$3:$L$39, "=2010", IC!BO$3:BO$39)), NA(), AVERAGEIF(IC!$L$3:$L$39, "=2010", IC!BO$3:BO$39))</f>
        <v>4917.968288940473</v>
      </c>
      <c r="BE36" s="428" t="e">
        <f>IF(ISERROR(AVERAGEIF(IC!$L$3:$L$39, "=2010", IC!BP$3:BP$39)), NA(), AVERAGEIF(IC!$L$3:$L$39, "=2010", IC!BP$3:BP$39))</f>
        <v>#N/A</v>
      </c>
      <c r="BF36" s="428">
        <f>IF(ISERROR(AVERAGEIF(IC!$L$3:$L$39, "=2010", IC!BQ$3:BQ$39)), NA(), AVERAGEIF(IC!$L$3:$L$39, "=2010", IC!BQ$3:BQ$39))</f>
        <v>32</v>
      </c>
      <c r="BG36" s="428">
        <f>IF(ISERROR(AVERAGEIF(IC!$L$3:$L$39, "=2010", IC!BR$3:BR$39)), NA(), AVERAGEIF(IC!$L$3:$L$39, "=2010", IC!BR$3:BR$39))</f>
        <v>32</v>
      </c>
      <c r="BH36" s="428" t="e">
        <f>IF(ISERROR(AVERAGEIF(IC!$L$3:$L$39, "=2010", IC!BS$3:BS$39)), NA(), AVERAGEIF(IC!$L$3:$L$39, "=2010", IC!BS$3:BS$39))</f>
        <v>#N/A</v>
      </c>
      <c r="BI36" s="428">
        <f>IF(ISERROR(AVERAGEIF(IC!$L$3:$L$39, "=2010", IC!BT$3:BT$39)), NA(), AVERAGEIF(IC!$L$3:$L$39, "=2010", IC!BT$3:BT$39))</f>
        <v>4</v>
      </c>
      <c r="BJ36" s="428">
        <f>IF(ISERROR(AVERAGEIF(IC!$L$3:$L$39, "=2010", IC!BU$3:BU$39)), NA(), AVERAGEIF(IC!$L$3:$L$39, "=2010", IC!BU$3:BU$39))</f>
        <v>32</v>
      </c>
      <c r="BK36" s="428" t="e">
        <f>IF(ISERROR(AVERAGEIF(IC!$L$3:$L$39, "=2010", IC!BV$3:BV$39)), NA(), AVERAGEIF(IC!$L$3:$L$39, "=2010", IC!BV$3:BV$39))</f>
        <v>#N/A</v>
      </c>
      <c r="BL36" s="428" t="e">
        <f>IF(ISERROR(AVERAGEIF(IC!$L$3:$L$39, "=2010", IC!BW$3:BW$39)), NA(), AVERAGEIF(IC!$L$3:$L$39, "=2010", IC!BW$3:BW$39))</f>
        <v>#N/A</v>
      </c>
      <c r="BM36" s="428" t="e">
        <f>IF(ISERROR(AVERAGEIF(IC!$L$3:$L$39, "=2010", IC!BX$3:BX$39)), NA(), AVERAGEIF(IC!$L$3:$L$39, "=2010", IC!BX$3:BX$39))</f>
        <v>#N/A</v>
      </c>
      <c r="BN36" s="428" t="e">
        <f>IF(ISERROR(AVERAGEIF(IC!$L$3:$L$39, "=2010", IC!BY$3:BY$39)), NA(), AVERAGEIF(IC!$L$3:$L$39, "=2010", IC!BY$3:BY$39))</f>
        <v>#N/A</v>
      </c>
      <c r="BO36" s="428" t="e">
        <f>IF(ISERROR(AVERAGEIF(IC!$L$3:$L$39, "=2010", IC!BZ$3:BZ$39)), NA(), AVERAGEIF(IC!$L$3:$L$39, "=2010", IC!BZ$3:BZ$39))</f>
        <v>#N/A</v>
      </c>
      <c r="BP36" s="428" t="e">
        <f>IF(ISERROR(AVERAGEIF(IC!$L$3:$L$39, "=2010", IC!CA$3:CA$39)), NA(), AVERAGEIF(IC!$L$3:$L$39, "=2010", IC!CA$3:CA$39))</f>
        <v>#N/A</v>
      </c>
      <c r="BQ36" s="428" t="e">
        <f>IF(ISERROR(AVERAGEIF(IC!$L$3:$L$39, "=2010", IC!CB$3:CB$39)), NA(), AVERAGEIF(IC!$L$3:$L$39, "=2010", IC!CB$3:CB$39))</f>
        <v>#N/A</v>
      </c>
      <c r="BR36" s="428" t="e">
        <f>IF(ISERROR(AVERAGEIF(IC!$L$3:$L$39, "=2010", IC!CC$3:CC$39)), NA(), AVERAGEIF(IC!$L$3:$L$39, "=2010", IC!CC$3:CC$39))</f>
        <v>#N/A</v>
      </c>
      <c r="BS36" s="428" t="e">
        <f>IF(ISERROR(AVERAGEIF(IC!$L$3:$L$39, "=2010", IC!CD$3:CD$39)), NA(), AVERAGEIF(IC!$L$3:$L$39, "=2010", IC!CD$3:CD$39))</f>
        <v>#N/A</v>
      </c>
      <c r="BT36" s="428" t="e">
        <f>IF(ISERROR(AVERAGEIF(IC!$L$3:$L$39, "=2010", IC!CE$3:CE$39)), NA(), AVERAGEIF(IC!$L$3:$L$39, "=2010", IC!CE$3:CE$39))</f>
        <v>#N/A</v>
      </c>
      <c r="BU36" s="428" t="e">
        <f>IF(ISERROR(AVERAGEIF(IC!$L$3:$L$39, "=2010", IC!CF$3:CF$39)), NA(), AVERAGEIF(IC!$L$3:$L$39, "=2010", IC!CF$3:CF$39))</f>
        <v>#N/A</v>
      </c>
      <c r="BV36" s="428" t="e">
        <f>IF(ISERROR(AVERAGEIF(IC!$L$3:$L$39, "=2010", IC!CG$3:CG$39)), NA(), AVERAGEIF(IC!$L$3:$L$39, "=2010", IC!CG$3:CG$39))</f>
        <v>#N/A</v>
      </c>
      <c r="BW36" s="428" t="e">
        <f>IF(ISERROR(AVERAGEIF(IC!$L$3:$L$39, "=2010", IC!CH$3:CH$39)), NA(), AVERAGEIF(IC!$L$3:$L$39, "=2010", IC!CH$3:CH$39))</f>
        <v>#N/A</v>
      </c>
      <c r="BX36" s="428">
        <f>IF(ISERROR(AVERAGEIF(IC!$L$3:$L$39, "=2010", IC!CI$3:CI$39)), NA(), AVERAGEIF(IC!$L$3:$L$39, "=2010", IC!CI$3:CI$39))</f>
        <v>2</v>
      </c>
      <c r="BY36" s="428" t="e">
        <f>IF(ISERROR(AVERAGEIF(IC!$L$3:$L$39, "=2010", IC!CJ$3:CJ$39)), NA(), AVERAGEIF(IC!$L$3:$L$39, "=2010", IC!CJ$3:CJ$39))</f>
        <v>#N/A</v>
      </c>
      <c r="BZ36" s="428">
        <f>IF(ISERROR(AVERAGEIF(IC!$L$3:$L$39, "=2010", IC!CK$3:CK$39)), NA(), AVERAGEIF(IC!$L$3:$L$39, "=2010", IC!CK$3:CK$39))</f>
        <v>163</v>
      </c>
    </row>
    <row r="37" spans="1:78">
      <c r="A37" s="775"/>
      <c r="B37" s="432">
        <v>2011</v>
      </c>
      <c r="C37" s="428" t="e">
        <f>IF(ISERROR(AVERAGEIF(IC!$L$3:$L$39, "=2011", IC!M$3:M$39)), NA(), AVERAGEIF(IC!$L$3:$L$39, "=2011", IC!M$3:M$39))</f>
        <v>#N/A</v>
      </c>
      <c r="D37" s="428" t="e">
        <f>IF(ISERROR(AVERAGEIF(IC!$L$3:$L$39, "=2011", IC!N$3:N$39)), NA(), AVERAGEIF(IC!$L$3:$L$39, "=2011", IC!N$3:N$39))</f>
        <v>#N/A</v>
      </c>
      <c r="E37" s="428" t="e">
        <f>IF(ISERROR(AVERAGEIF(IC!$L$3:$L$39, "=2011", IC!O$3:O$39)), NA(), AVERAGEIF(IC!$L$3:$L$39, "=2011", IC!O$3:O$39))</f>
        <v>#N/A</v>
      </c>
      <c r="F37" s="428" t="e">
        <f>IF(ISERROR(AVERAGEIF(IC!$L$3:$L$39, "=2011", IC!P$3:P$39)), NA(), AVERAGEIF(IC!$L$3:$L$39, "=2011", IC!P$3:P$39))</f>
        <v>#N/A</v>
      </c>
      <c r="G37" s="428" t="e">
        <f>IF(ISERROR(AVERAGEIF(IC!$L$3:$L$39, "=2011", IC!Q$3:Q$39)), NA(), AVERAGEIF(IC!$L$3:$L$39, "=2011", IC!Q$3:Q$39))</f>
        <v>#N/A</v>
      </c>
      <c r="H37" s="428" t="e">
        <f>IF(ISERROR(AVERAGEIF(IC!$L$3:$L$39, "=2011", IC!R$3:R$39)), NA(), AVERAGEIF(IC!$L$3:$L$39, "=2011", IC!R$3:R$39))</f>
        <v>#N/A</v>
      </c>
      <c r="I37" s="428" t="e">
        <f>IF(ISERROR(AVERAGEIF(IC!$L$3:$L$39, "=2011", IC!S$3:S$39)), NA(), AVERAGEIF(IC!$L$3:$L$39, "=2011", IC!S$3:S$39))</f>
        <v>#N/A</v>
      </c>
      <c r="J37" s="428" t="e">
        <f>IF(ISERROR(AVERAGEIF(IC!$L$3:$L$39, "=2011", IC!T$3:T$39)), NA(), AVERAGEIF(IC!$L$3:$L$39, "=2011", IC!T$3:T$39))</f>
        <v>#N/A</v>
      </c>
      <c r="K37" s="428" t="e">
        <f>IF(ISERROR(AVERAGEIF(IC!$L$3:$L$39, "=2011", IC!U$3:U$39)), NA(), AVERAGEIF(IC!$L$3:$L$39, "=2011", IC!U$3:U$39))</f>
        <v>#N/A</v>
      </c>
      <c r="L37" s="428" t="e">
        <f>IF(ISERROR(AVERAGEIF(IC!$L$3:$L$39, "=2011", IC!V$3:V$39)), NA(), AVERAGEIF(IC!$L$3:$L$39, "=2011", IC!V$3:V$39))</f>
        <v>#N/A</v>
      </c>
      <c r="M37" s="428" t="e">
        <f>IF(ISERROR(AVERAGEIF(IC!$L$3:$L$39, "=2011", IC!W$3:W$39)), NA(), AVERAGEIF(IC!$L$3:$L$39, "=2011", IC!W$3:W$39))</f>
        <v>#N/A</v>
      </c>
      <c r="N37" s="428" t="e">
        <f>IF(ISERROR(AVERAGEIF(IC!$L$3:$L$39, "=2011", IC!X$3:X$39)), NA(), AVERAGEIF(IC!$L$3:$L$39, "=2011", IC!X$3:X$39))</f>
        <v>#N/A</v>
      </c>
      <c r="O37" s="428" t="e">
        <f>IF(ISERROR(AVERAGEIF(IC!$L$3:$L$39, "=2011", IC!Y$3:Y$39)), NA(), AVERAGEIF(IC!$L$3:$L$39, "=2011", IC!Y$3:Y$39))</f>
        <v>#N/A</v>
      </c>
      <c r="P37" s="428" t="e">
        <f>IF(ISERROR(AVERAGEIF(IC!$L$3:$L$39, "=2011", IC!Z$3:Z$39)), NA(), AVERAGEIF(IC!$L$3:$L$39, "=2011", IC!Z$3:Z$39))</f>
        <v>#N/A</v>
      </c>
      <c r="Q37" s="428" t="e">
        <f>IF(ISERROR(AVERAGEIF(IC!$L$3:$L$39, "=2011", IC!AA$3:AA$39)), NA(), AVERAGEIF(IC!$L$3:$L$39, "=2011", IC!AA$3:AA$39))</f>
        <v>#N/A</v>
      </c>
      <c r="R37" s="428" t="e">
        <f>IF(ISERROR(AVERAGEIF(IC!$L$3:$L$39, "=2011", IC!AB$3:AB$39)), NA(), AVERAGEIF(IC!$L$3:$L$39, "=2011", IC!AB$3:AB$39))</f>
        <v>#N/A</v>
      </c>
      <c r="S37" s="428" t="e">
        <f>IF(ISERROR(AVERAGEIF(IC!$L$3:$L$39, "=2011", IC!AC$3:AC$39)), NA(), AVERAGEIF(IC!$L$3:$L$39, "=2011", IC!AC$3:AC$39))</f>
        <v>#N/A</v>
      </c>
      <c r="T37" s="428" t="e">
        <f>IF(ISERROR(AVERAGEIF(IC!$L$3:$L$39, "=2011", IC!AD$3:AD$39)), NA(), AVERAGEIF(IC!$L$3:$L$39, "=2011", IC!AD$3:AD$39))</f>
        <v>#N/A</v>
      </c>
      <c r="U37" s="428" t="e">
        <f>IF(ISERROR(AVERAGEIF(IC!$L$3:$L$39, "=2011", IC!AE$3:AE$39)), NA(), AVERAGEIF(IC!$L$3:$L$39, "=2011", IC!AE$3:AE$39))</f>
        <v>#N/A</v>
      </c>
      <c r="V37" s="428" t="e">
        <f>IF(ISERROR(AVERAGEIF(IC!$L$3:$L$39, "=2011", IC!AF$3:AF$39)), NA(), AVERAGEIF(IC!$L$3:$L$39, "=2011", IC!AF$3:AF$39))</f>
        <v>#N/A</v>
      </c>
      <c r="W37" s="428" t="e">
        <f>IF(ISERROR(AVERAGEIF(IC!$L$3:$L$39, "=2011", IC!AG$3:AG$39)), NA(), AVERAGEIF(IC!$L$3:$L$39, "=2011", IC!AG$3:AG$39))</f>
        <v>#N/A</v>
      </c>
      <c r="X37" s="428" t="e">
        <f>IF(ISERROR(AVERAGEIF(IC!$L$3:$L$39, "=2011", IC!AH$3:AH$39)), NA(), AVERAGEIF(IC!$L$3:$L$39, "=2011", IC!AH$3:AH$39))</f>
        <v>#N/A</v>
      </c>
      <c r="Y37" s="428" t="e">
        <f>IF(ISERROR(AVERAGEIF(IC!$L$3:$L$39, "=2011", IC!AI$3:AI$39)), NA(), AVERAGEIF(IC!$L$3:$L$39, "=2011", IC!AI$3:AI$39))</f>
        <v>#N/A</v>
      </c>
      <c r="Z37" s="428" t="e">
        <f>IF(ISERROR(AVERAGEIF(IC!$L$3:$L$39, "=2011", IC!AJ$3:AJ$39)), NA(), AVERAGEIF(IC!$L$3:$L$39, "=2011", IC!AJ$3:AJ$39))</f>
        <v>#N/A</v>
      </c>
      <c r="AA37" s="428" t="e">
        <f>IF(ISERROR(AVERAGEIF(IC!$L$3:$L$39, "=2011", IC!AK$3:AK$39)), NA(), AVERAGEIF(IC!$L$3:$L$39, "=2011", IC!AK$3:AK$39))</f>
        <v>#N/A</v>
      </c>
      <c r="AB37" s="428" t="e">
        <f>IF(ISERROR(AVERAGEIF(IC!$L$3:$L$39, "=2011", IC!AL$3:AL$39)), NA(), AVERAGEIF(IC!$L$3:$L$39, "=2011", IC!AL$3:AL$39))</f>
        <v>#N/A</v>
      </c>
      <c r="AC37" s="428" t="e">
        <f>IF(ISERROR(AVERAGEIF(IC!$L$3:$L$39, "=2011", IC!AM$3:AM$39)), NA(), AVERAGEIF(IC!$L$3:$L$39, "=2011", IC!AM$3:AM$39))</f>
        <v>#N/A</v>
      </c>
      <c r="AD37" s="428" t="e">
        <f>IF(ISERROR(AVERAGEIF(IC!$L$3:$L$39, "=2011", IC!AN$3:AN$39)), NA(), AVERAGEIF(IC!$L$3:$L$39, "=2011", IC!AN$3:AN$39))</f>
        <v>#N/A</v>
      </c>
      <c r="AE37" s="428" t="e">
        <f>IF(ISERROR(AVERAGEIF(IC!$L$3:$L$39, "=2011", IC!AO$3:AO$39)), NA(), AVERAGEIF(IC!$L$3:$L$39, "=2011", IC!AO$3:AO$39))</f>
        <v>#N/A</v>
      </c>
      <c r="AF37" s="428" t="e">
        <f>IF(ISERROR(AVERAGEIF(IC!$L$3:$L$39, "=2011", IC!AP$3:AP$39)), NA(), AVERAGEIF(IC!$L$3:$L$39, "=2011", IC!AP$3:AP$39))</f>
        <v>#N/A</v>
      </c>
      <c r="AG37" s="428" t="e">
        <f>IF(ISERROR(AVERAGEIF(IC!$L$3:$L$39, "=2011", IC!AQ$3:AQ$39)), NA(), AVERAGEIF(IC!$L$3:$L$39, "=2011", IC!AQ$3:AQ$39))</f>
        <v>#N/A</v>
      </c>
      <c r="AH37" s="428" t="e">
        <f>IF(ISERROR(AVERAGEIF(IC!$L$3:$L$39, "=2011", IC!AR$3:AR$39)), NA(), AVERAGEIF(IC!$L$3:$L$39, "=2011", IC!AR$3:AR$39))</f>
        <v>#N/A</v>
      </c>
      <c r="AI37" s="428" t="e">
        <f>IF(ISERROR(AVERAGEIF(IC!$L$3:$L$39, "=2011", IC!AS$3:AS$39)), NA(), AVERAGEIF(IC!$L$3:$L$39, "=2011", IC!AS$3:AS$39))</f>
        <v>#N/A</v>
      </c>
      <c r="AJ37" s="428" t="e">
        <f>IF(ISERROR(AVERAGEIF(IC!$L$3:$L$39, "=2011", IC!AT$3:AT$39)), NA(), AVERAGEIF(IC!$L$3:$L$39, "=2011", IC!AT$3:AT$39))</f>
        <v>#N/A</v>
      </c>
      <c r="AK37" s="428" t="e">
        <f>IF(ISERROR(AVERAGEIF(IC!$L$3:$L$39, "=2011", IC!AU$3:AU$39)), NA(), AVERAGEIF(IC!$L$3:$L$39, "=2011", IC!AU$3:AU$39))</f>
        <v>#N/A</v>
      </c>
      <c r="AL37" s="428" t="e">
        <f>IF(ISERROR(AVERAGEIF(IC!$L$3:$L$39, "=2011", IC!AV$3:AV$39)), NA(), AVERAGEIF(IC!$L$3:$L$39, "=2011", IC!AV$3:AV$39))</f>
        <v>#N/A</v>
      </c>
      <c r="AM37" s="428" t="e">
        <f>IF(ISERROR(AVERAGEIF(IC!$L$3:$L$39, "=2011", IC!AW$3:AW$39)), NA(), AVERAGEIF(IC!$L$3:$L$39, "=2011", IC!AW$3:AW$39))</f>
        <v>#N/A</v>
      </c>
      <c r="AN37" s="428" t="e">
        <f>IF(ISERROR(AVERAGEIF(IC!$L$3:$L$39, "=2011", IC!AX$3:AX$39)), NA(), AVERAGEIF(IC!$L$3:$L$39, "=2011", IC!AX$3:AX$39))</f>
        <v>#N/A</v>
      </c>
      <c r="AO37" s="428" t="e">
        <f>IF(ISERROR(AVERAGEIF(IC!$L$3:$L$39, "=2011", IC!AY$3:AY$39)), NA(), AVERAGEIF(IC!$L$3:$L$39, "=2011", IC!AY$3:AY$39))</f>
        <v>#N/A</v>
      </c>
      <c r="AP37" s="428" t="e">
        <f>IF(ISERROR(AVERAGEIF(IC!$L$3:$L$39, "=2011", IC!AZ$3:AZ$39)), NA(), AVERAGEIF(IC!$L$3:$L$39, "=2011", IC!AZ$3:AZ$39))</f>
        <v>#N/A</v>
      </c>
      <c r="AQ37" s="428" t="e">
        <f>IF(ISERROR(AVERAGEIF(IC!$L$3:$L$39, "=2011", IC!BA$3:BA$39)), NA(), AVERAGEIF(IC!$L$3:$L$39, "=2011", IC!BA$3:BA$39))</f>
        <v>#N/A</v>
      </c>
      <c r="AR37" s="428" t="e">
        <f>IF(ISERROR(AVERAGEIF(IC!$L$3:$L$39, "=2011", IC!BB$3:BB$39)), NA(), AVERAGEIF(IC!$L$3:$L$39, "=2011", IC!BB$3:BB$39))</f>
        <v>#N/A</v>
      </c>
      <c r="AS37" s="428" t="e">
        <f>IF(ISERROR(AVERAGEIF(IC!$L$3:$L$39, "=2011", IC!BC$3:BC$39)), NA(), AVERAGEIF(IC!$L$3:$L$39, "=2011", IC!BC$3:BC$39))</f>
        <v>#N/A</v>
      </c>
      <c r="AT37" s="428" t="e">
        <f>IF(ISERROR(AVERAGEIF(IC!$L$3:$L$39, "=2011", IC!BD$3:BD$39)), NA(), AVERAGEIF(IC!$L$3:$L$39, "=2011", IC!BD$3:BD$39))</f>
        <v>#N/A</v>
      </c>
      <c r="AU37" s="428" t="e">
        <f>IF(ISERROR(AVERAGEIF(IC!$L$3:$L$39, "=2011", IC!BE$3:BE$39)), NA(), AVERAGEIF(IC!$L$3:$L$39, "=2011", IC!BE$3:BE$39))</f>
        <v>#N/A</v>
      </c>
      <c r="AV37" s="428" t="e">
        <f>IF(ISERROR(AVERAGEIF(IC!$L$3:$L$39, "=2011", IC!BF$3:BF$39)), NA(), AVERAGEIF(IC!$L$3:$L$39, "=2011", IC!BF$3:BF$39))</f>
        <v>#N/A</v>
      </c>
      <c r="AW37" s="428" t="e">
        <f>IF(ISERROR(AVERAGEIF(IC!$L$3:$L$39, "=2011", IC!BG$3:BG$39)), NA(), AVERAGEIF(IC!$L$3:$L$39, "=2011", IC!BG$3:BG$39))</f>
        <v>#N/A</v>
      </c>
      <c r="AX37" s="428" t="e">
        <f>IF(ISERROR(AVERAGEIF(IC!$L$3:$L$39, "=2011", IC!BH$3:BH$39)), NA(), AVERAGEIF(IC!$L$3:$L$39, "=2011", IC!BH$3:BH$39))</f>
        <v>#N/A</v>
      </c>
      <c r="AY37" s="428" t="e">
        <f>IF(ISERROR(AVERAGEIF(IC!$L$3:$L$39, "=2011", IC!BI$3:BI$39)), NA(), AVERAGEIF(IC!$L$3:$L$39, "=2011", IC!BI$3:BI$39))</f>
        <v>#N/A</v>
      </c>
      <c r="AZ37" s="428" t="e">
        <f>IF(ISERROR(AVERAGEIF(IC!$L$3:$L$39, "=2011", IC!BJ$3:BJ$39)), NA(), AVERAGEIF(IC!$L$3:$L$39, "=2011", IC!BJ$3:BJ$39))</f>
        <v>#N/A</v>
      </c>
      <c r="BA37" s="428" t="e">
        <f>IF(ISERROR(AVERAGEIF(IC!$L$3:$L$39, "=2011", IC!BK$3:BK$39)), NA(), AVERAGEIF(IC!$L$3:$L$39, "=2011", IC!BK$3:BK$39))</f>
        <v>#N/A</v>
      </c>
      <c r="BB37" s="428" t="e">
        <f>IF(ISERROR(AVERAGEIF(IC!$L$3:$L$39, "=2011", IC!BL$3:BL$39)), NA(), AVERAGEIF(IC!$L$3:$L$39, "=2011", IC!BL$3:BL$39))</f>
        <v>#N/A</v>
      </c>
      <c r="BC37" s="428" t="e">
        <f>IF(ISERROR(AVERAGEIF(IC!$L$3:$L$39, "=2011", IC!BM$3:BM$39)), NA(), AVERAGEIF(IC!$L$3:$L$39, "=2011", IC!BM$3:BM$39))</f>
        <v>#N/A</v>
      </c>
      <c r="BD37" s="428" t="e">
        <f>IF(ISERROR(AVERAGEIF(IC!$L$3:$L$39, "=2011", IC!BO$3:BO$39)), NA(), AVERAGEIF(IC!$L$3:$L$39, "=2011", IC!BO$3:BO$39))</f>
        <v>#N/A</v>
      </c>
      <c r="BE37" s="428" t="e">
        <f>IF(ISERROR(AVERAGEIF(IC!$L$3:$L$39, "=2011", IC!BP$3:BP$39)), NA(), AVERAGEIF(IC!$L$3:$L$39, "=2011", IC!BP$3:BP$39))</f>
        <v>#N/A</v>
      </c>
      <c r="BF37" s="428" t="e">
        <f>IF(ISERROR(AVERAGEIF(IC!$L$3:$L$39, "=2011", IC!BQ$3:BQ$39)), NA(), AVERAGEIF(IC!$L$3:$L$39, "=2011", IC!BQ$3:BQ$39))</f>
        <v>#N/A</v>
      </c>
      <c r="BG37" s="428" t="e">
        <f>IF(ISERROR(AVERAGEIF(IC!$L$3:$L$39, "=2011", IC!BR$3:BR$39)), NA(), AVERAGEIF(IC!$L$3:$L$39, "=2011", IC!BR$3:BR$39))</f>
        <v>#N/A</v>
      </c>
      <c r="BH37" s="428" t="e">
        <f>IF(ISERROR(AVERAGEIF(IC!$L$3:$L$39, "=2011", IC!BS$3:BS$39)), NA(), AVERAGEIF(IC!$L$3:$L$39, "=2011", IC!BS$3:BS$39))</f>
        <v>#N/A</v>
      </c>
      <c r="BI37" s="428" t="e">
        <f>IF(ISERROR(AVERAGEIF(IC!$L$3:$L$39, "=2011", IC!BT$3:BT$39)), NA(), AVERAGEIF(IC!$L$3:$L$39, "=2011", IC!BT$3:BT$39))</f>
        <v>#N/A</v>
      </c>
      <c r="BJ37" s="428" t="e">
        <f>IF(ISERROR(AVERAGEIF(IC!$L$3:$L$39, "=2011", IC!BU$3:BU$39)), NA(), AVERAGEIF(IC!$L$3:$L$39, "=2011", IC!BU$3:BU$39))</f>
        <v>#N/A</v>
      </c>
      <c r="BK37" s="428" t="e">
        <f>IF(ISERROR(AVERAGEIF(IC!$L$3:$L$39, "=2011", IC!BV$3:BV$39)), NA(), AVERAGEIF(IC!$L$3:$L$39, "=2011", IC!BV$3:BV$39))</f>
        <v>#N/A</v>
      </c>
      <c r="BL37" s="428" t="e">
        <f>IF(ISERROR(AVERAGEIF(IC!$L$3:$L$39, "=2011", IC!BW$3:BW$39)), NA(), AVERAGEIF(IC!$L$3:$L$39, "=2011", IC!BW$3:BW$39))</f>
        <v>#N/A</v>
      </c>
      <c r="BM37" s="428" t="e">
        <f>IF(ISERROR(AVERAGEIF(IC!$L$3:$L$39, "=2011", IC!BX$3:BX$39)), NA(), AVERAGEIF(IC!$L$3:$L$39, "=2011", IC!BX$3:BX$39))</f>
        <v>#N/A</v>
      </c>
      <c r="BN37" s="428" t="e">
        <f>IF(ISERROR(AVERAGEIF(IC!$L$3:$L$39, "=2011", IC!BY$3:BY$39)), NA(), AVERAGEIF(IC!$L$3:$L$39, "=2011", IC!BY$3:BY$39))</f>
        <v>#N/A</v>
      </c>
      <c r="BO37" s="428" t="e">
        <f>IF(ISERROR(AVERAGEIF(IC!$L$3:$L$39, "=2011", IC!BZ$3:BZ$39)), NA(), AVERAGEIF(IC!$L$3:$L$39, "=2011", IC!BZ$3:BZ$39))</f>
        <v>#N/A</v>
      </c>
      <c r="BP37" s="428" t="e">
        <f>IF(ISERROR(AVERAGEIF(IC!$L$3:$L$39, "=2011", IC!CA$3:CA$39)), NA(), AVERAGEIF(IC!$L$3:$L$39, "=2011", IC!CA$3:CA$39))</f>
        <v>#N/A</v>
      </c>
      <c r="BQ37" s="428" t="e">
        <f>IF(ISERROR(AVERAGEIF(IC!$L$3:$L$39, "=2011", IC!CB$3:CB$39)), NA(), AVERAGEIF(IC!$L$3:$L$39, "=2011", IC!CB$3:CB$39))</f>
        <v>#N/A</v>
      </c>
      <c r="BR37" s="428" t="e">
        <f>IF(ISERROR(AVERAGEIF(IC!$L$3:$L$39, "=2011", IC!CC$3:CC$39)), NA(), AVERAGEIF(IC!$L$3:$L$39, "=2011", IC!CC$3:CC$39))</f>
        <v>#N/A</v>
      </c>
      <c r="BS37" s="428" t="e">
        <f>IF(ISERROR(AVERAGEIF(IC!$L$3:$L$39, "=2011", IC!CD$3:CD$39)), NA(), AVERAGEIF(IC!$L$3:$L$39, "=2011", IC!CD$3:CD$39))</f>
        <v>#N/A</v>
      </c>
      <c r="BT37" s="428" t="e">
        <f>IF(ISERROR(AVERAGEIF(IC!$L$3:$L$39, "=2011", IC!CE$3:CE$39)), NA(), AVERAGEIF(IC!$L$3:$L$39, "=2011", IC!CE$3:CE$39))</f>
        <v>#N/A</v>
      </c>
      <c r="BU37" s="428" t="e">
        <f>IF(ISERROR(AVERAGEIF(IC!$L$3:$L$39, "=2011", IC!CF$3:CF$39)), NA(), AVERAGEIF(IC!$L$3:$L$39, "=2011", IC!CF$3:CF$39))</f>
        <v>#N/A</v>
      </c>
      <c r="BV37" s="428" t="e">
        <f>IF(ISERROR(AVERAGEIF(IC!$L$3:$L$39, "=2011", IC!CG$3:CG$39)), NA(), AVERAGEIF(IC!$L$3:$L$39, "=2011", IC!CG$3:CG$39))</f>
        <v>#N/A</v>
      </c>
      <c r="BW37" s="428" t="e">
        <f>IF(ISERROR(AVERAGEIF(IC!$L$3:$L$39, "=2011", IC!CH$3:CH$39)), NA(), AVERAGEIF(IC!$L$3:$L$39, "=2011", IC!CH$3:CH$39))</f>
        <v>#N/A</v>
      </c>
      <c r="BX37" s="428" t="e">
        <f>IF(ISERROR(AVERAGEIF(IC!$L$3:$L$39, "=2011", IC!CI$3:CI$39)), NA(), AVERAGEIF(IC!$L$3:$L$39, "=2011", IC!CI$3:CI$39))</f>
        <v>#N/A</v>
      </c>
      <c r="BY37" s="428" t="e">
        <f>IF(ISERROR(AVERAGEIF(IC!$L$3:$L$39, "=2011", IC!CJ$3:CJ$39)), NA(), AVERAGEIF(IC!$L$3:$L$39, "=2011", IC!CJ$3:CJ$39))</f>
        <v>#N/A</v>
      </c>
      <c r="BZ37" s="428" t="e">
        <f>IF(ISERROR(AVERAGEIF(IC!$L$3:$L$39, "=2011", IC!CK$3:CK$39)), NA(), AVERAGEIF(IC!$L$3:$L$39, "=2011", IC!CK$3:CK$39))</f>
        <v>#N/A</v>
      </c>
    </row>
    <row r="38" spans="1:78">
      <c r="A38" s="775"/>
      <c r="B38" s="432">
        <v>2012</v>
      </c>
      <c r="C38" s="428" t="e">
        <f>IF(ISERROR(AVERAGEIF(IC!$L$3:$L$39, "=2012", IC!M$3:M$39)), NA(), AVERAGEIF(IC!$L$3:$L$39, "=2012", IC!M$3:M$39))</f>
        <v>#N/A</v>
      </c>
      <c r="D38" s="428" t="e">
        <f>IF(ISERROR(AVERAGEIF(IC!$L$3:$L$39, "=2012", IC!N$3:N$39)), NA(), AVERAGEIF(IC!$L$3:$L$39, "=2012", IC!N$3:N$39))</f>
        <v>#N/A</v>
      </c>
      <c r="E38" s="428" t="e">
        <f>IF(ISERROR(AVERAGEIF(IC!$L$3:$L$39, "=2012", IC!O$3:O$39)), NA(), AVERAGEIF(IC!$L$3:$L$39, "=2012", IC!O$3:O$39))</f>
        <v>#N/A</v>
      </c>
      <c r="F38" s="428" t="e">
        <f>IF(ISERROR(AVERAGEIF(IC!$L$3:$L$39, "=2012", IC!P$3:P$39)), NA(), AVERAGEIF(IC!$L$3:$L$39, "=2012", IC!P$3:P$39))</f>
        <v>#N/A</v>
      </c>
      <c r="G38" s="428" t="e">
        <f>IF(ISERROR(AVERAGEIF(IC!$L$3:$L$39, "=2012", IC!Q$3:Q$39)), NA(), AVERAGEIF(IC!$L$3:$L$39, "=2012", IC!Q$3:Q$39))</f>
        <v>#N/A</v>
      </c>
      <c r="H38" s="428" t="e">
        <f>IF(ISERROR(AVERAGEIF(IC!$L$3:$L$39, "=2012", IC!R$3:R$39)), NA(), AVERAGEIF(IC!$L$3:$L$39, "=2012", IC!R$3:R$39))</f>
        <v>#N/A</v>
      </c>
      <c r="I38" s="428" t="e">
        <f>IF(ISERROR(AVERAGEIF(IC!$L$3:$L$39, "=2012", IC!S$3:S$39)), NA(), AVERAGEIF(IC!$L$3:$L$39, "=2012", IC!S$3:S$39))</f>
        <v>#N/A</v>
      </c>
      <c r="J38" s="428">
        <f>IF(ISERROR(AVERAGEIF(IC!$L$3:$L$39, "=2012", IC!T$3:T$39)), NA(), AVERAGEIF(IC!$L$3:$L$39, "=2012", IC!T$3:T$39))</f>
        <v>1</v>
      </c>
      <c r="K38" s="428" t="e">
        <f>IF(ISERROR(AVERAGEIF(IC!$L$3:$L$39, "=2012", IC!U$3:U$39)), NA(), AVERAGEIF(IC!$L$3:$L$39, "=2012", IC!U$3:U$39))</f>
        <v>#N/A</v>
      </c>
      <c r="L38" s="428">
        <f>IF(ISERROR(AVERAGEIF(IC!$L$3:$L$39, "=2012", IC!V$3:V$39)), NA(), AVERAGEIF(IC!$L$3:$L$39, "=2012", IC!V$3:V$39))</f>
        <v>12</v>
      </c>
      <c r="M38" s="428" t="e">
        <f>IF(ISERROR(AVERAGEIF(IC!$L$3:$L$39, "=2012", IC!W$3:W$39)), NA(), AVERAGEIF(IC!$L$3:$L$39, "=2012", IC!W$3:W$39))</f>
        <v>#N/A</v>
      </c>
      <c r="N38" s="428" t="e">
        <f>IF(ISERROR(AVERAGEIF(IC!$L$3:$L$39, "=2012", IC!X$3:X$39)), NA(), AVERAGEIF(IC!$L$3:$L$39, "=2012", IC!X$3:X$39))</f>
        <v>#N/A</v>
      </c>
      <c r="O38" s="428" t="e">
        <f>IF(ISERROR(AVERAGEIF(IC!$L$3:$L$39, "=2012", IC!Y$3:Y$39)), NA(), AVERAGEIF(IC!$L$3:$L$39, "=2012", IC!Y$3:Y$39))</f>
        <v>#N/A</v>
      </c>
      <c r="P38" s="428" t="e">
        <f>IF(ISERROR(AVERAGEIF(IC!$L$3:$L$39, "=2012", IC!Z$3:Z$39)), NA(), AVERAGEIF(IC!$L$3:$L$39, "=2012", IC!Z$3:Z$39))</f>
        <v>#N/A</v>
      </c>
      <c r="Q38" s="428" t="e">
        <f>IF(ISERROR(AVERAGEIF(IC!$L$3:$L$39, "=2012", IC!AA$3:AA$39)), NA(), AVERAGEIF(IC!$L$3:$L$39, "=2012", IC!AA$3:AA$39))</f>
        <v>#N/A</v>
      </c>
      <c r="R38" s="428" t="e">
        <f>IF(ISERROR(AVERAGEIF(IC!$L$3:$L$39, "=2012", IC!AB$3:AB$39)), NA(), AVERAGEIF(IC!$L$3:$L$39, "=2012", IC!AB$3:AB$39))</f>
        <v>#N/A</v>
      </c>
      <c r="S38" s="428" t="e">
        <f>IF(ISERROR(AVERAGEIF(IC!$L$3:$L$39, "=2012", IC!AC$3:AC$39)), NA(), AVERAGEIF(IC!$L$3:$L$39, "=2012", IC!AC$3:AC$39))</f>
        <v>#N/A</v>
      </c>
      <c r="T38" s="428">
        <f>IF(ISERROR(AVERAGEIF(IC!$L$3:$L$39, "=2012", IC!AD$3:AD$39)), NA(), AVERAGEIF(IC!$L$3:$L$39, "=2012", IC!AD$3:AD$39))</f>
        <v>1.6666666666666667</v>
      </c>
      <c r="U38" s="428">
        <f>IF(ISERROR(AVERAGEIF(IC!$L$3:$L$39, "=2012", IC!AE$3:AE$39)), NA(), AVERAGEIF(IC!$L$3:$L$39, "=2012", IC!AE$3:AE$39))</f>
        <v>2.0333333333333337</v>
      </c>
      <c r="V38" s="428">
        <f>IF(ISERROR(AVERAGEIF(IC!$L$3:$L$39, "=2012", IC!AF$3:AF$39)), NA(), AVERAGEIF(IC!$L$3:$L$39, "=2012", IC!AF$3:AF$39))</f>
        <v>9.34</v>
      </c>
      <c r="W38" s="428">
        <f>IF(ISERROR(AVERAGEIF(IC!$L$3:$L$39, "=2012", IC!AG$3:AG$39)), NA(), AVERAGEIF(IC!$L$3:$L$39, "=2012", IC!AG$3:AG$39))</f>
        <v>58</v>
      </c>
      <c r="X38" s="428">
        <f>IF(ISERROR(AVERAGEIF(IC!$L$3:$L$39, "=2012", IC!AH$3:AH$39)), NA(), AVERAGEIF(IC!$L$3:$L$39, "=2012", IC!AH$3:AH$39))</f>
        <v>500</v>
      </c>
      <c r="Y38" s="428">
        <f>IF(ISERROR(AVERAGEIF(IC!$L$3:$L$39, "=2012", IC!AI$3:AI$39)), NA(), AVERAGEIF(IC!$L$3:$L$39, "=2012", IC!AI$3:AI$39))</f>
        <v>4.333333333333333</v>
      </c>
      <c r="Z38" s="428">
        <f>IF(ISERROR(AVERAGEIF(IC!$L$3:$L$39, "=2012", IC!AJ$3:AJ$39)), NA(), AVERAGEIF(IC!$L$3:$L$39, "=2012", IC!AJ$3:AJ$39))</f>
        <v>1</v>
      </c>
      <c r="AA38" s="428">
        <f>IF(ISERROR(AVERAGEIF(IC!$L$3:$L$39, "=2012", IC!AK$3:AK$39)), NA(), AVERAGEIF(IC!$L$3:$L$39, "=2012", IC!AK$3:AK$39))</f>
        <v>10</v>
      </c>
      <c r="AB38" s="428" t="e">
        <f>IF(ISERROR(AVERAGEIF(IC!$L$3:$L$39, "=2012", IC!AL$3:AL$39)), NA(), AVERAGEIF(IC!$L$3:$L$39, "=2012", IC!AL$3:AL$39))</f>
        <v>#N/A</v>
      </c>
      <c r="AC38" s="428">
        <f>IF(ISERROR(AVERAGEIF(IC!$L$3:$L$39, "=2012", IC!AM$3:AM$39)), NA(), AVERAGEIF(IC!$L$3:$L$39, "=2012", IC!AM$3:AM$39))</f>
        <v>5</v>
      </c>
      <c r="AD38" s="428">
        <f>IF(ISERROR(AVERAGEIF(IC!$L$3:$L$39, "=2012", IC!AN$3:AN$39)), NA(), AVERAGEIF(IC!$L$3:$L$39, "=2012", IC!AN$3:AN$39))</f>
        <v>5</v>
      </c>
      <c r="AE38" s="428" t="e">
        <f>IF(ISERROR(AVERAGEIF(IC!$L$3:$L$39, "=2012", IC!AO$3:AO$39)), NA(), AVERAGEIF(IC!$L$3:$L$39, "=2012", IC!AO$3:AO$39))</f>
        <v>#N/A</v>
      </c>
      <c r="AF38" s="428">
        <f>IF(ISERROR(AVERAGEIF(IC!$L$3:$L$39, "=2012", IC!AP$3:AP$39)), NA(), AVERAGEIF(IC!$L$3:$L$39, "=2012", IC!AP$3:AP$39))</f>
        <v>5</v>
      </c>
      <c r="AG38" s="428">
        <f>IF(ISERROR(AVERAGEIF(IC!$L$3:$L$39, "=2012", IC!AQ$3:AQ$39)), NA(), AVERAGEIF(IC!$L$3:$L$39, "=2012", IC!AQ$3:AQ$39))</f>
        <v>20.25225</v>
      </c>
      <c r="AH38" s="428" t="e">
        <f>IF(ISERROR(AVERAGEIF(IC!$L$3:$L$39, "=2012", IC!AR$3:AR$39)), NA(), AVERAGEIF(IC!$L$3:$L$39, "=2012", IC!AR$3:AR$39))</f>
        <v>#N/A</v>
      </c>
      <c r="AI38" s="428">
        <f>IF(ISERROR(AVERAGEIF(IC!$L$3:$L$39, "=2012", IC!AS$3:AS$39)), NA(), AVERAGEIF(IC!$L$3:$L$39, "=2012", IC!AS$3:AS$39))</f>
        <v>1.8</v>
      </c>
      <c r="AJ38" s="428">
        <f>IF(ISERROR(AVERAGEIF(IC!$L$3:$L$39, "=2012", IC!AT$3:AT$39)), NA(), AVERAGEIF(IC!$L$3:$L$39, "=2012", IC!AT$3:AT$39))</f>
        <v>3.6666666666666665</v>
      </c>
      <c r="AK38" s="428">
        <f>IF(ISERROR(AVERAGEIF(IC!$L$3:$L$39, "=2012", IC!AU$3:AU$39)), NA(), AVERAGEIF(IC!$L$3:$L$39, "=2012", IC!AU$3:AU$39))</f>
        <v>0.77700000000000002</v>
      </c>
      <c r="AL38" s="428" t="e">
        <f>IF(ISERROR(AVERAGEIF(IC!$L$3:$L$39, "=2012", IC!AV$3:AV$39)), NA(), AVERAGEIF(IC!$L$3:$L$39, "=2012", IC!AV$3:AV$39))</f>
        <v>#N/A</v>
      </c>
      <c r="AM38" s="428">
        <f>IF(ISERROR(AVERAGEIF(IC!$L$3:$L$39, "=2012", IC!AW$3:AW$39)), NA(), AVERAGEIF(IC!$L$3:$L$39, "=2012", IC!AW$3:AW$39))</f>
        <v>7.9000000000000012</v>
      </c>
      <c r="AN38" s="428" t="e">
        <f>IF(ISERROR(AVERAGEIF(IC!$L$3:$L$39, "=2012", IC!AX$3:AX$39)), NA(), AVERAGEIF(IC!$L$3:$L$39, "=2012", IC!AX$3:AX$39))</f>
        <v>#N/A</v>
      </c>
      <c r="AO38" s="428" t="e">
        <f>IF(ISERROR(AVERAGEIF(IC!$L$3:$L$39, "=2012", IC!AY$3:AY$39)), NA(), AVERAGEIF(IC!$L$3:$L$39, "=2012", IC!AY$3:AY$39))</f>
        <v>#N/A</v>
      </c>
      <c r="AP38" s="428">
        <f>IF(ISERROR(AVERAGEIF(IC!$L$3:$L$39, "=2012", IC!AZ$3:AZ$39)), NA(), AVERAGEIF(IC!$L$3:$L$39, "=2012", IC!AZ$3:AZ$39))</f>
        <v>12.077</v>
      </c>
      <c r="AQ38" s="428">
        <f>IF(ISERROR(AVERAGEIF(IC!$L$3:$L$39, "=2012", IC!BA$3:BA$39)), NA(), AVERAGEIF(IC!$L$3:$L$39, "=2012", IC!BA$3:BA$39))</f>
        <v>208.98333333333335</v>
      </c>
      <c r="AR38" s="428">
        <f>IF(ISERROR(AVERAGEIF(IC!$L$3:$L$39, "=2012", IC!BB$3:BB$39)), NA(), AVERAGEIF(IC!$L$3:$L$39, "=2012", IC!BB$3:BB$39))</f>
        <v>113.55</v>
      </c>
      <c r="AS38" s="428">
        <f>IF(ISERROR(AVERAGEIF(IC!$L$3:$L$39, "=2012", IC!BC$3:BC$39)), NA(), AVERAGEIF(IC!$L$3:$L$39, "=2012", IC!BC$3:BC$39))</f>
        <v>0.3666666666666667</v>
      </c>
      <c r="AT38" s="428" t="e">
        <f>IF(ISERROR(AVERAGEIF(IC!$L$3:$L$39, "=2012", IC!BD$3:BD$39)), NA(), AVERAGEIF(IC!$L$3:$L$39, "=2012", IC!BD$3:BD$39))</f>
        <v>#N/A</v>
      </c>
      <c r="AU38" s="428" t="e">
        <f>IF(ISERROR(AVERAGEIF(IC!$L$3:$L$39, "=2012", IC!BE$3:BE$39)), NA(), AVERAGEIF(IC!$L$3:$L$39, "=2012", IC!BE$3:BE$39))</f>
        <v>#N/A</v>
      </c>
      <c r="AV38" s="428" t="e">
        <f>IF(ISERROR(AVERAGEIF(IC!$L$3:$L$39, "=2012", IC!BF$3:BF$39)), NA(), AVERAGEIF(IC!$L$3:$L$39, "=2012", IC!BF$3:BF$39))</f>
        <v>#N/A</v>
      </c>
      <c r="AW38" s="428" t="e">
        <f>IF(ISERROR(AVERAGEIF(IC!$L$3:$L$39, "=2012", IC!BG$3:BG$39)), NA(), AVERAGEIF(IC!$L$3:$L$39, "=2012", IC!BG$3:BG$39))</f>
        <v>#N/A</v>
      </c>
      <c r="AX38" s="428" t="e">
        <f>IF(ISERROR(AVERAGEIF(IC!$L$3:$L$39, "=2012", IC!BH$3:BH$39)), NA(), AVERAGEIF(IC!$L$3:$L$39, "=2012", IC!BH$3:BH$39))</f>
        <v>#N/A</v>
      </c>
      <c r="AY38" s="428" t="e">
        <f>IF(ISERROR(AVERAGEIF(IC!$L$3:$L$39, "=2012", IC!BI$3:BI$39)), NA(), AVERAGEIF(IC!$L$3:$L$39, "=2012", IC!BI$3:BI$39))</f>
        <v>#N/A</v>
      </c>
      <c r="AZ38" s="428" t="e">
        <f>IF(ISERROR(AVERAGEIF(IC!$L$3:$L$39, "=2012", IC!BJ$3:BJ$39)), NA(), AVERAGEIF(IC!$L$3:$L$39, "=2012", IC!BJ$3:BJ$39))</f>
        <v>#N/A</v>
      </c>
      <c r="BA38" s="428" t="e">
        <f>IF(ISERROR(AVERAGEIF(IC!$L$3:$L$39, "=2012", IC!BK$3:BK$39)), NA(), AVERAGEIF(IC!$L$3:$L$39, "=2012", IC!BK$3:BK$39))</f>
        <v>#N/A</v>
      </c>
      <c r="BB38" s="428">
        <f>IF(ISERROR(AVERAGEIF(IC!$L$3:$L$39, "=2012", IC!BL$3:BL$39)), NA(), AVERAGEIF(IC!$L$3:$L$39, "=2012", IC!BL$3:BL$39))</f>
        <v>0.36424050000000002</v>
      </c>
      <c r="BC38" s="428" t="e">
        <f>IF(ISERROR(AVERAGEIF(IC!$L$3:$L$39, "=2012", IC!BM$3:BM$39)), NA(), AVERAGEIF(IC!$L$3:$L$39, "=2012", IC!BM$3:BM$39))</f>
        <v>#N/A</v>
      </c>
      <c r="BD38" s="428">
        <f>IF(ISERROR(AVERAGEIF(IC!$L$3:$L$39, "=2012", IC!BO$3:BO$39)), NA(), AVERAGEIF(IC!$L$3:$L$39, "=2012", IC!BO$3:BO$39))</f>
        <v>2059.0790974644497</v>
      </c>
      <c r="BE38" s="428" t="e">
        <f>IF(ISERROR(AVERAGEIF(IC!$L$3:$L$39, "=2012", IC!BP$3:BP$39)), NA(), AVERAGEIF(IC!$L$3:$L$39, "=2012", IC!BP$3:BP$39))</f>
        <v>#N/A</v>
      </c>
      <c r="BF38" s="428">
        <f>IF(ISERROR(AVERAGEIF(IC!$L$3:$L$39, "=2012", IC!BQ$3:BQ$39)), NA(), AVERAGEIF(IC!$L$3:$L$39, "=2012", IC!BQ$3:BQ$39))</f>
        <v>26</v>
      </c>
      <c r="BG38" s="428">
        <f>IF(ISERROR(AVERAGEIF(IC!$L$3:$L$39, "=2012", IC!BR$3:BR$39)), NA(), AVERAGEIF(IC!$L$3:$L$39, "=2012", IC!BR$3:BR$39))</f>
        <v>48</v>
      </c>
      <c r="BH38" s="428" t="e">
        <f>IF(ISERROR(AVERAGEIF(IC!$L$3:$L$39, "=2012", IC!BS$3:BS$39)), NA(), AVERAGEIF(IC!$L$3:$L$39, "=2012", IC!BS$3:BS$39))</f>
        <v>#N/A</v>
      </c>
      <c r="BI38" s="428">
        <f>IF(ISERROR(AVERAGEIF(IC!$L$3:$L$39, "=2012", IC!BT$3:BT$39)), NA(), AVERAGEIF(IC!$L$3:$L$39, "=2012", IC!BT$3:BT$39))</f>
        <v>13.333333333333334</v>
      </c>
      <c r="BJ38" s="428">
        <f>IF(ISERROR(AVERAGEIF(IC!$L$3:$L$39, "=2012", IC!BU$3:BU$39)), NA(), AVERAGEIF(IC!$L$3:$L$39, "=2012", IC!BU$3:BU$39))</f>
        <v>106.66666666666667</v>
      </c>
      <c r="BK38" s="428" t="e">
        <f>IF(ISERROR(AVERAGEIF(IC!$L$3:$L$39, "=2012", IC!BV$3:BV$39)), NA(), AVERAGEIF(IC!$L$3:$L$39, "=2012", IC!BV$3:BV$39))</f>
        <v>#N/A</v>
      </c>
      <c r="BL38" s="428">
        <f>IF(ISERROR(AVERAGEIF(IC!$L$3:$L$39, "=2012", IC!BW$3:BW$39)), NA(), AVERAGEIF(IC!$L$3:$L$39, "=2012", IC!BW$3:BW$39))</f>
        <v>16</v>
      </c>
      <c r="BM38" s="428" t="e">
        <f>IF(ISERROR(AVERAGEIF(IC!$L$3:$L$39, "=2012", IC!BX$3:BX$39)), NA(), AVERAGEIF(IC!$L$3:$L$39, "=2012", IC!BX$3:BX$39))</f>
        <v>#N/A</v>
      </c>
      <c r="BN38" s="428" t="e">
        <f>IF(ISERROR(AVERAGEIF(IC!$L$3:$L$39, "=2012", IC!BY$3:BY$39)), NA(), AVERAGEIF(IC!$L$3:$L$39, "=2012", IC!BY$3:BY$39))</f>
        <v>#N/A</v>
      </c>
      <c r="BO38" s="428" t="e">
        <f>IF(ISERROR(AVERAGEIF(IC!$L$3:$L$39, "=2012", IC!BZ$3:BZ$39)), NA(), AVERAGEIF(IC!$L$3:$L$39, "=2012", IC!BZ$3:BZ$39))</f>
        <v>#N/A</v>
      </c>
      <c r="BP38" s="428" t="e">
        <f>IF(ISERROR(AVERAGEIF(IC!$L$3:$L$39, "=2012", IC!CA$3:CA$39)), NA(), AVERAGEIF(IC!$L$3:$L$39, "=2012", IC!CA$3:CA$39))</f>
        <v>#N/A</v>
      </c>
      <c r="BQ38" s="428" t="e">
        <f>IF(ISERROR(AVERAGEIF(IC!$L$3:$L$39, "=2012", IC!CB$3:CB$39)), NA(), AVERAGEIF(IC!$L$3:$L$39, "=2012", IC!CB$3:CB$39))</f>
        <v>#N/A</v>
      </c>
      <c r="BR38" s="428" t="e">
        <f>IF(ISERROR(AVERAGEIF(IC!$L$3:$L$39, "=2012", IC!CC$3:CC$39)), NA(), AVERAGEIF(IC!$L$3:$L$39, "=2012", IC!CC$3:CC$39))</f>
        <v>#N/A</v>
      </c>
      <c r="BS38" s="428" t="e">
        <f>IF(ISERROR(AVERAGEIF(IC!$L$3:$L$39, "=2012", IC!CD$3:CD$39)), NA(), AVERAGEIF(IC!$L$3:$L$39, "=2012", IC!CD$3:CD$39))</f>
        <v>#N/A</v>
      </c>
      <c r="BT38" s="428" t="e">
        <f>IF(ISERROR(AVERAGEIF(IC!$L$3:$L$39, "=2012", IC!CE$3:CE$39)), NA(), AVERAGEIF(IC!$L$3:$L$39, "=2012", IC!CE$3:CE$39))</f>
        <v>#N/A</v>
      </c>
      <c r="BU38" s="428" t="e">
        <f>IF(ISERROR(AVERAGEIF(IC!$L$3:$L$39, "=2012", IC!CF$3:CF$39)), NA(), AVERAGEIF(IC!$L$3:$L$39, "=2012", IC!CF$3:CF$39))</f>
        <v>#N/A</v>
      </c>
      <c r="BV38" s="428" t="e">
        <f>IF(ISERROR(AVERAGEIF(IC!$L$3:$L$39, "=2012", IC!CG$3:CG$39)), NA(), AVERAGEIF(IC!$L$3:$L$39, "=2012", IC!CG$3:CG$39))</f>
        <v>#N/A</v>
      </c>
      <c r="BW38" s="428" t="e">
        <f>IF(ISERROR(AVERAGEIF(IC!$L$3:$L$39, "=2012", IC!CH$3:CH$39)), NA(), AVERAGEIF(IC!$L$3:$L$39, "=2012", IC!CH$3:CH$39))</f>
        <v>#N/A</v>
      </c>
      <c r="BX38" s="428">
        <f>IF(ISERROR(AVERAGEIF(IC!$L$3:$L$39, "=2012", IC!CI$3:CI$39)), NA(), AVERAGEIF(IC!$L$3:$L$39, "=2012", IC!CI$3:CI$39))</f>
        <v>3.3333333333333335</v>
      </c>
      <c r="BY38" s="428">
        <f>IF(ISERROR(AVERAGEIF(IC!$L$3:$L$39, "=2012", IC!CJ$3:CJ$39)), NA(), AVERAGEIF(IC!$L$3:$L$39, "=2012", IC!CJ$3:CJ$39))</f>
        <v>42</v>
      </c>
      <c r="BZ38" s="428">
        <f>IF(ISERROR(AVERAGEIF(IC!$L$3:$L$39, "=2012", IC!CK$3:CK$39)), NA(), AVERAGEIF(IC!$L$3:$L$39, "=2012", IC!CK$3:CK$39))</f>
        <v>116.33333333333333</v>
      </c>
    </row>
    <row r="39" spans="1:78">
      <c r="A39" s="775"/>
      <c r="B39" s="432">
        <v>2013</v>
      </c>
      <c r="C39" s="428" t="e">
        <f>IF(ISERROR(AVERAGEIF(IC!$L$3:$L$39, "=2013", IC!M$3:M$39)), NA(), AVERAGEIF(IC!$L$3:$L$39, "=2013", IC!M$3:M$39))</f>
        <v>#N/A</v>
      </c>
      <c r="D39" s="428" t="e">
        <f>IF(ISERROR(AVERAGEIF(IC!$L$3:$L$39, "=2013", IC!N$3:N$39)), NA(), AVERAGEIF(IC!$L$3:$L$39, "=2013", IC!N$3:N$39))</f>
        <v>#N/A</v>
      </c>
      <c r="E39" s="428" t="e">
        <f>IF(ISERROR(AVERAGEIF(IC!$L$3:$L$39, "=2013", IC!O$3:O$39)), NA(), AVERAGEIF(IC!$L$3:$L$39, "=2013", IC!O$3:O$39))</f>
        <v>#N/A</v>
      </c>
      <c r="F39" s="428" t="e">
        <f>IF(ISERROR(AVERAGEIF(IC!$L$3:$L$39, "=2013", IC!P$3:P$39)), NA(), AVERAGEIF(IC!$L$3:$L$39, "=2013", IC!P$3:P$39))</f>
        <v>#N/A</v>
      </c>
      <c r="G39" s="428" t="e">
        <f>IF(ISERROR(AVERAGEIF(IC!$L$3:$L$39, "=2013", IC!Q$3:Q$39)), NA(), AVERAGEIF(IC!$L$3:$L$39, "=2013", IC!Q$3:Q$39))</f>
        <v>#N/A</v>
      </c>
      <c r="H39" s="428" t="e">
        <f>IF(ISERROR(AVERAGEIF(IC!$L$3:$L$39, "=2013", IC!R$3:R$39)), NA(), AVERAGEIF(IC!$L$3:$L$39, "=2013", IC!R$3:R$39))</f>
        <v>#N/A</v>
      </c>
      <c r="I39" s="428" t="e">
        <f>IF(ISERROR(AVERAGEIF(IC!$L$3:$L$39, "=2013", IC!S$3:S$39)), NA(), AVERAGEIF(IC!$L$3:$L$39, "=2013", IC!S$3:S$39))</f>
        <v>#N/A</v>
      </c>
      <c r="J39" s="428">
        <f>IF(ISERROR(AVERAGEIF(IC!$L$3:$L$39, "=2013", IC!T$3:T$39)), NA(), AVERAGEIF(IC!$L$3:$L$39, "=2013", IC!T$3:T$39))</f>
        <v>1</v>
      </c>
      <c r="K39" s="428" t="e">
        <f>IF(ISERROR(AVERAGEIF(IC!$L$3:$L$39, "=2013", IC!U$3:U$39)), NA(), AVERAGEIF(IC!$L$3:$L$39, "=2013", IC!U$3:U$39))</f>
        <v>#N/A</v>
      </c>
      <c r="L39" s="428">
        <f>IF(ISERROR(AVERAGEIF(IC!$L$3:$L$39, "=2013", IC!V$3:V$39)), NA(), AVERAGEIF(IC!$L$3:$L$39, "=2013", IC!V$3:V$39))</f>
        <v>12</v>
      </c>
      <c r="M39" s="428" t="e">
        <f>IF(ISERROR(AVERAGEIF(IC!$L$3:$L$39, "=2013", IC!W$3:W$39)), NA(), AVERAGEIF(IC!$L$3:$L$39, "=2013", IC!W$3:W$39))</f>
        <v>#N/A</v>
      </c>
      <c r="N39" s="428" t="e">
        <f>IF(ISERROR(AVERAGEIF(IC!$L$3:$L$39, "=2013", IC!X$3:X$39)), NA(), AVERAGEIF(IC!$L$3:$L$39, "=2013", IC!X$3:X$39))</f>
        <v>#N/A</v>
      </c>
      <c r="O39" s="428" t="e">
        <f>IF(ISERROR(AVERAGEIF(IC!$L$3:$L$39, "=2013", IC!Y$3:Y$39)), NA(), AVERAGEIF(IC!$L$3:$L$39, "=2013", IC!Y$3:Y$39))</f>
        <v>#N/A</v>
      </c>
      <c r="P39" s="428" t="e">
        <f>IF(ISERROR(AVERAGEIF(IC!$L$3:$L$39, "=2013", IC!Z$3:Z$39)), NA(), AVERAGEIF(IC!$L$3:$L$39, "=2013", IC!Z$3:Z$39))</f>
        <v>#N/A</v>
      </c>
      <c r="Q39" s="428" t="e">
        <f>IF(ISERROR(AVERAGEIF(IC!$L$3:$L$39, "=2013", IC!AA$3:AA$39)), NA(), AVERAGEIF(IC!$L$3:$L$39, "=2013", IC!AA$3:AA$39))</f>
        <v>#N/A</v>
      </c>
      <c r="R39" s="428" t="e">
        <f>IF(ISERROR(AVERAGEIF(IC!$L$3:$L$39, "=2013", IC!AB$3:AB$39)), NA(), AVERAGEIF(IC!$L$3:$L$39, "=2013", IC!AB$3:AB$39))</f>
        <v>#N/A</v>
      </c>
      <c r="S39" s="428" t="e">
        <f>IF(ISERROR(AVERAGEIF(IC!$L$3:$L$39, "=2013", IC!AC$3:AC$39)), NA(), AVERAGEIF(IC!$L$3:$L$39, "=2013", IC!AC$3:AC$39))</f>
        <v>#N/A</v>
      </c>
      <c r="T39" s="428">
        <f>IF(ISERROR(AVERAGEIF(IC!$L$3:$L$39, "=2013", IC!AD$3:AD$39)), NA(), AVERAGEIF(IC!$L$3:$L$39, "=2013", IC!AD$3:AD$39))</f>
        <v>1.9</v>
      </c>
      <c r="U39" s="428">
        <f>IF(ISERROR(AVERAGEIF(IC!$L$3:$L$39, "=2013", IC!AE$3:AE$39)), NA(), AVERAGEIF(IC!$L$3:$L$39, "=2013", IC!AE$3:AE$39))</f>
        <v>2.7</v>
      </c>
      <c r="V39" s="428" t="e">
        <f>IF(ISERROR(AVERAGEIF(IC!$L$3:$L$39, "=2013", IC!AF$3:AF$39)), NA(), AVERAGEIF(IC!$L$3:$L$39, "=2013", IC!AF$3:AF$39))</f>
        <v>#N/A</v>
      </c>
      <c r="W39" s="428" t="e">
        <f>IF(ISERROR(AVERAGEIF(IC!$L$3:$L$39, "=2013", IC!AG$3:AG$39)), NA(), AVERAGEIF(IC!$L$3:$L$39, "=2013", IC!AG$3:AG$39))</f>
        <v>#N/A</v>
      </c>
      <c r="X39" s="428" t="e">
        <f>IF(ISERROR(AVERAGEIF(IC!$L$3:$L$39, "=2013", IC!AH$3:AH$39)), NA(), AVERAGEIF(IC!$L$3:$L$39, "=2013", IC!AH$3:AH$39))</f>
        <v>#N/A</v>
      </c>
      <c r="Y39" s="428">
        <f>IF(ISERROR(AVERAGEIF(IC!$L$3:$L$39, "=2013", IC!AI$3:AI$39)), NA(), AVERAGEIF(IC!$L$3:$L$39, "=2013", IC!AI$3:AI$39))</f>
        <v>5</v>
      </c>
      <c r="Z39" s="428">
        <f>IF(ISERROR(AVERAGEIF(IC!$L$3:$L$39, "=2013", IC!AJ$3:AJ$39)), NA(), AVERAGEIF(IC!$L$3:$L$39, "=2013", IC!AJ$3:AJ$39))</f>
        <v>1</v>
      </c>
      <c r="AA39" s="428">
        <f>IF(ISERROR(AVERAGEIF(IC!$L$3:$L$39, "=2013", IC!AK$3:AK$39)), NA(), AVERAGEIF(IC!$L$3:$L$39, "=2013", IC!AK$3:AK$39))</f>
        <v>6</v>
      </c>
      <c r="AB39" s="428" t="e">
        <f>IF(ISERROR(AVERAGEIF(IC!$L$3:$L$39, "=2013", IC!AL$3:AL$39)), NA(), AVERAGEIF(IC!$L$3:$L$39, "=2013", IC!AL$3:AL$39))</f>
        <v>#N/A</v>
      </c>
      <c r="AC39" s="428">
        <f>IF(ISERROR(AVERAGEIF(IC!$L$3:$L$39, "=2013", IC!AM$3:AM$39)), NA(), AVERAGEIF(IC!$L$3:$L$39, "=2013", IC!AM$3:AM$39))</f>
        <v>1.99</v>
      </c>
      <c r="AD39" s="428">
        <f>IF(ISERROR(AVERAGEIF(IC!$L$3:$L$39, "=2013", IC!AN$3:AN$39)), NA(), AVERAGEIF(IC!$L$3:$L$39, "=2013", IC!AN$3:AN$39))</f>
        <v>1.94</v>
      </c>
      <c r="AE39" s="428" t="e">
        <f>IF(ISERROR(AVERAGEIF(IC!$L$3:$L$39, "=2013", IC!AO$3:AO$39)), NA(), AVERAGEIF(IC!$L$3:$L$39, "=2013", IC!AO$3:AO$39))</f>
        <v>#N/A</v>
      </c>
      <c r="AF39" s="428">
        <f>IF(ISERROR(AVERAGEIF(IC!$L$3:$L$39, "=2013", IC!AP$3:AP$39)), NA(), AVERAGEIF(IC!$L$3:$L$39, "=2013", IC!AP$3:AP$39))</f>
        <v>1.99</v>
      </c>
      <c r="AG39" s="428">
        <f>IF(ISERROR(AVERAGEIF(IC!$L$3:$L$39, "=2013", IC!AQ$3:AQ$39)), NA(), AVERAGEIF(IC!$L$3:$L$39, "=2013", IC!AQ$3:AQ$39))</f>
        <v>3.8605999999999998</v>
      </c>
      <c r="AH39" s="428" t="e">
        <f>IF(ISERROR(AVERAGEIF(IC!$L$3:$L$39, "=2013", IC!AR$3:AR$39)), NA(), AVERAGEIF(IC!$L$3:$L$39, "=2013", IC!AR$3:AR$39))</f>
        <v>#N/A</v>
      </c>
      <c r="AI39" s="428">
        <f>IF(ISERROR(AVERAGEIF(IC!$L$3:$L$39, "=2013", IC!AS$3:AS$39)), NA(), AVERAGEIF(IC!$L$3:$L$39, "=2013", IC!AS$3:AS$39))</f>
        <v>1.71</v>
      </c>
      <c r="AJ39" s="428">
        <f>IF(ISERROR(AVERAGEIF(IC!$L$3:$L$39, "=2013", IC!AT$3:AT$39)), NA(), AVERAGEIF(IC!$L$3:$L$39, "=2013", IC!AT$3:AT$39))</f>
        <v>3.6</v>
      </c>
      <c r="AK39" s="428">
        <f>IF(ISERROR(AVERAGEIF(IC!$L$3:$L$39, "=2013", IC!AU$3:AU$39)), NA(), AVERAGEIF(IC!$L$3:$L$39, "=2013", IC!AU$3:AU$39))</f>
        <v>1.7</v>
      </c>
      <c r="AL39" s="428" t="e">
        <f>IF(ISERROR(AVERAGEIF(IC!$L$3:$L$39, "=2013", IC!AV$3:AV$39)), NA(), AVERAGEIF(IC!$L$3:$L$39, "=2013", IC!AV$3:AV$39))</f>
        <v>#N/A</v>
      </c>
      <c r="AM39" s="428">
        <f>IF(ISERROR(AVERAGEIF(IC!$L$3:$L$39, "=2013", IC!AW$3:AW$39)), NA(), AVERAGEIF(IC!$L$3:$L$39, "=2013", IC!AW$3:AW$39))</f>
        <v>6</v>
      </c>
      <c r="AN39" s="428" t="e">
        <f>IF(ISERROR(AVERAGEIF(IC!$L$3:$L$39, "=2013", IC!AX$3:AX$39)), NA(), AVERAGEIF(IC!$L$3:$L$39, "=2013", IC!AX$3:AX$39))</f>
        <v>#N/A</v>
      </c>
      <c r="AO39" s="428" t="e">
        <f>IF(ISERROR(AVERAGEIF(IC!$L$3:$L$39, "=2013", IC!AY$3:AY$39)), NA(), AVERAGEIF(IC!$L$3:$L$39, "=2013", IC!AY$3:AY$39))</f>
        <v>#N/A</v>
      </c>
      <c r="AP39" s="428">
        <f>IF(ISERROR(AVERAGEIF(IC!$L$3:$L$39, "=2013", IC!AZ$3:AZ$39)), NA(), AVERAGEIF(IC!$L$3:$L$39, "=2013", IC!AZ$3:AZ$39))</f>
        <v>7.7</v>
      </c>
      <c r="AQ39" s="428" t="e">
        <f>IF(ISERROR(AVERAGEIF(IC!$L$3:$L$39, "=2013", IC!BA$3:BA$39)), NA(), AVERAGEIF(IC!$L$3:$L$39, "=2013", IC!BA$3:BA$39))</f>
        <v>#N/A</v>
      </c>
      <c r="AR39" s="428" t="e">
        <f>IF(ISERROR(AVERAGEIF(IC!$L$3:$L$39, "=2013", IC!BB$3:BB$39)), NA(), AVERAGEIF(IC!$L$3:$L$39, "=2013", IC!BB$3:BB$39))</f>
        <v>#N/A</v>
      </c>
      <c r="AS39" s="428" t="e">
        <f>IF(ISERROR(AVERAGEIF(IC!$L$3:$L$39, "=2013", IC!BC$3:BC$39)), NA(), AVERAGEIF(IC!$L$3:$L$39, "=2013", IC!BC$3:BC$39))</f>
        <v>#N/A</v>
      </c>
      <c r="AT39" s="428" t="e">
        <f>IF(ISERROR(AVERAGEIF(IC!$L$3:$L$39, "=2013", IC!BD$3:BD$39)), NA(), AVERAGEIF(IC!$L$3:$L$39, "=2013", IC!BD$3:BD$39))</f>
        <v>#N/A</v>
      </c>
      <c r="AU39" s="428" t="e">
        <f>IF(ISERROR(AVERAGEIF(IC!$L$3:$L$39, "=2013", IC!BE$3:BE$39)), NA(), AVERAGEIF(IC!$L$3:$L$39, "=2013", IC!BE$3:BE$39))</f>
        <v>#N/A</v>
      </c>
      <c r="AV39" s="428" t="e">
        <f>IF(ISERROR(AVERAGEIF(IC!$L$3:$L$39, "=2013", IC!BF$3:BF$39)), NA(), AVERAGEIF(IC!$L$3:$L$39, "=2013", IC!BF$3:BF$39))</f>
        <v>#N/A</v>
      </c>
      <c r="AW39" s="428" t="e">
        <f>IF(ISERROR(AVERAGEIF(IC!$L$3:$L$39, "=2013", IC!BG$3:BG$39)), NA(), AVERAGEIF(IC!$L$3:$L$39, "=2013", IC!BG$3:BG$39))</f>
        <v>#N/A</v>
      </c>
      <c r="AX39" s="428" t="e">
        <f>IF(ISERROR(AVERAGEIF(IC!$L$3:$L$39, "=2013", IC!BH$3:BH$39)), NA(), AVERAGEIF(IC!$L$3:$L$39, "=2013", IC!BH$3:BH$39))</f>
        <v>#N/A</v>
      </c>
      <c r="AY39" s="428" t="e">
        <f>IF(ISERROR(AVERAGEIF(IC!$L$3:$L$39, "=2013", IC!BI$3:BI$39)), NA(), AVERAGEIF(IC!$L$3:$L$39, "=2013", IC!BI$3:BI$39))</f>
        <v>#N/A</v>
      </c>
      <c r="AZ39" s="428" t="e">
        <f>IF(ISERROR(AVERAGEIF(IC!$L$3:$L$39, "=2013", IC!BJ$3:BJ$39)), NA(), AVERAGEIF(IC!$L$3:$L$39, "=2013", IC!BJ$3:BJ$39))</f>
        <v>#N/A</v>
      </c>
      <c r="BA39" s="428" t="e">
        <f>IF(ISERROR(AVERAGEIF(IC!$L$3:$L$39, "=2013", IC!BK$3:BK$39)), NA(), AVERAGEIF(IC!$L$3:$L$39, "=2013", IC!BK$3:BK$39))</f>
        <v>#N/A</v>
      </c>
      <c r="BB39" s="428">
        <f>IF(ISERROR(AVERAGEIF(IC!$L$3:$L$39, "=2013", IC!BL$3:BL$39)), NA(), AVERAGEIF(IC!$L$3:$L$39, "=2013", IC!BL$3:BL$39))</f>
        <v>0.23099999999999998</v>
      </c>
      <c r="BC39" s="428" t="e">
        <f>IF(ISERROR(AVERAGEIF(IC!$L$3:$L$39, "=2013", IC!BM$3:BM$39)), NA(), AVERAGEIF(IC!$L$3:$L$39, "=2013", IC!BM$3:BM$39))</f>
        <v>#N/A</v>
      </c>
      <c r="BD39" s="428">
        <f>IF(ISERROR(AVERAGEIF(IC!$L$3:$L$39, "=2013", IC!BO$3:BO$39)), NA(), AVERAGEIF(IC!$L$3:$L$39, "=2013", IC!BO$3:BO$39))</f>
        <v>3246.7532467532469</v>
      </c>
      <c r="BE39" s="428" t="e">
        <f>IF(ISERROR(AVERAGEIF(IC!$L$3:$L$39, "=2013", IC!BP$3:BP$39)), NA(), AVERAGEIF(IC!$L$3:$L$39, "=2013", IC!BP$3:BP$39))</f>
        <v>#N/A</v>
      </c>
      <c r="BF39" s="428">
        <f>IF(ISERROR(AVERAGEIF(IC!$L$3:$L$39, "=2013", IC!BQ$3:BQ$39)), NA(), AVERAGEIF(IC!$L$3:$L$39, "=2013", IC!BQ$3:BQ$39))</f>
        <v>32</v>
      </c>
      <c r="BG39" s="428">
        <f>IF(ISERROR(AVERAGEIF(IC!$L$3:$L$39, "=2013", IC!BR$3:BR$39)), NA(), AVERAGEIF(IC!$L$3:$L$39, "=2013", IC!BR$3:BR$39))</f>
        <v>48</v>
      </c>
      <c r="BH39" s="428" t="e">
        <f>IF(ISERROR(AVERAGEIF(IC!$L$3:$L$39, "=2013", IC!BS$3:BS$39)), NA(), AVERAGEIF(IC!$L$3:$L$39, "=2013", IC!BS$3:BS$39))</f>
        <v>#N/A</v>
      </c>
      <c r="BI39" s="428">
        <f>IF(ISERROR(AVERAGEIF(IC!$L$3:$L$39, "=2013", IC!BT$3:BT$39)), NA(), AVERAGEIF(IC!$L$3:$L$39, "=2013", IC!BT$3:BT$39))</f>
        <v>4</v>
      </c>
      <c r="BJ39" s="428">
        <f>IF(ISERROR(AVERAGEIF(IC!$L$3:$L$39, "=2013", IC!BU$3:BU$39)), NA(), AVERAGEIF(IC!$L$3:$L$39, "=2013", IC!BU$3:BU$39))</f>
        <v>32</v>
      </c>
      <c r="BK39" s="428" t="e">
        <f>IF(ISERROR(AVERAGEIF(IC!$L$3:$L$39, "=2013", IC!BV$3:BV$39)), NA(), AVERAGEIF(IC!$L$3:$L$39, "=2013", IC!BV$3:BV$39))</f>
        <v>#N/A</v>
      </c>
      <c r="BL39" s="428">
        <f>IF(ISERROR(AVERAGEIF(IC!$L$3:$L$39, "=2013", IC!BW$3:BW$39)), NA(), AVERAGEIF(IC!$L$3:$L$39, "=2013", IC!BW$3:BW$39))</f>
        <v>16</v>
      </c>
      <c r="BM39" s="428" t="e">
        <f>IF(ISERROR(AVERAGEIF(IC!$L$3:$L$39, "=2013", IC!BX$3:BX$39)), NA(), AVERAGEIF(IC!$L$3:$L$39, "=2013", IC!BX$3:BX$39))</f>
        <v>#N/A</v>
      </c>
      <c r="BN39" s="428" t="e">
        <f>IF(ISERROR(AVERAGEIF(IC!$L$3:$L$39, "=2013", IC!BY$3:BY$39)), NA(), AVERAGEIF(IC!$L$3:$L$39, "=2013", IC!BY$3:BY$39))</f>
        <v>#N/A</v>
      </c>
      <c r="BO39" s="428" t="e">
        <f>IF(ISERROR(AVERAGEIF(IC!$L$3:$L$39, "=2013", IC!BZ$3:BZ$39)), NA(), AVERAGEIF(IC!$L$3:$L$39, "=2013", IC!BZ$3:BZ$39))</f>
        <v>#N/A</v>
      </c>
      <c r="BP39" s="428" t="e">
        <f>IF(ISERROR(AVERAGEIF(IC!$L$3:$L$39, "=2013", IC!CA$3:CA$39)), NA(), AVERAGEIF(IC!$L$3:$L$39, "=2013", IC!CA$3:CA$39))</f>
        <v>#N/A</v>
      </c>
      <c r="BQ39" s="428" t="e">
        <f>IF(ISERROR(AVERAGEIF(IC!$L$3:$L$39, "=2013", IC!CB$3:CB$39)), NA(), AVERAGEIF(IC!$L$3:$L$39, "=2013", IC!CB$3:CB$39))</f>
        <v>#N/A</v>
      </c>
      <c r="BR39" s="428" t="e">
        <f>IF(ISERROR(AVERAGEIF(IC!$L$3:$L$39, "=2013", IC!CC$3:CC$39)), NA(), AVERAGEIF(IC!$L$3:$L$39, "=2013", IC!CC$3:CC$39))</f>
        <v>#N/A</v>
      </c>
      <c r="BS39" s="428" t="e">
        <f>IF(ISERROR(AVERAGEIF(IC!$L$3:$L$39, "=2013", IC!CD$3:CD$39)), NA(), AVERAGEIF(IC!$L$3:$L$39, "=2013", IC!CD$3:CD$39))</f>
        <v>#N/A</v>
      </c>
      <c r="BT39" s="428" t="e">
        <f>IF(ISERROR(AVERAGEIF(IC!$L$3:$L$39, "=2013", IC!CE$3:CE$39)), NA(), AVERAGEIF(IC!$L$3:$L$39, "=2013", IC!CE$3:CE$39))</f>
        <v>#N/A</v>
      </c>
      <c r="BU39" s="428" t="e">
        <f>IF(ISERROR(AVERAGEIF(IC!$L$3:$L$39, "=2013", IC!CF$3:CF$39)), NA(), AVERAGEIF(IC!$L$3:$L$39, "=2013", IC!CF$3:CF$39))</f>
        <v>#N/A</v>
      </c>
      <c r="BV39" s="428" t="e">
        <f>IF(ISERROR(AVERAGEIF(IC!$L$3:$L$39, "=2013", IC!CG$3:CG$39)), NA(), AVERAGEIF(IC!$L$3:$L$39, "=2013", IC!CG$3:CG$39))</f>
        <v>#N/A</v>
      </c>
      <c r="BW39" s="428" t="e">
        <f>IF(ISERROR(AVERAGEIF(IC!$L$3:$L$39, "=2013", IC!CH$3:CH$39)), NA(), AVERAGEIF(IC!$L$3:$L$39, "=2013", IC!CH$3:CH$39))</f>
        <v>#N/A</v>
      </c>
      <c r="BX39" s="428">
        <f>IF(ISERROR(AVERAGEIF(IC!$L$3:$L$39, "=2013", IC!CI$3:CI$39)), NA(), AVERAGEIF(IC!$L$3:$L$39, "=2013", IC!CI$3:CI$39))</f>
        <v>4</v>
      </c>
      <c r="BY39" s="428">
        <f>IF(ISERROR(AVERAGEIF(IC!$L$3:$L$39, "=2013", IC!CJ$3:CJ$39)), NA(), AVERAGEIF(IC!$L$3:$L$39, "=2013", IC!CJ$3:CJ$39))</f>
        <v>42</v>
      </c>
      <c r="BZ39" s="428">
        <f>IF(ISERROR(AVERAGEIF(IC!$L$3:$L$39, "=2013", IC!CK$3:CK$39)), NA(), AVERAGEIF(IC!$L$3:$L$39, "=2013", IC!CK$3:CK$39))</f>
        <v>93</v>
      </c>
    </row>
    <row r="40" spans="1:78">
      <c r="A40" s="775"/>
      <c r="B40" s="432">
        <v>2014</v>
      </c>
      <c r="C40" s="428" t="e">
        <f>IF(ISERROR(AVERAGEIF(IC!$L$3:$L$39, "=2014", IC!M$3:M$39)), NA(), AVERAGEIF(IC!$L$3:$L$39, "=2014", IC!M$3:M$39))</f>
        <v>#N/A</v>
      </c>
      <c r="D40" s="428" t="e">
        <f>IF(ISERROR(AVERAGEIF(IC!$L$3:$L$39, "=2014", IC!N$3:N$39)), NA(), AVERAGEIF(IC!$L$3:$L$39, "=2014", IC!N$3:N$39))</f>
        <v>#N/A</v>
      </c>
      <c r="E40" s="428" t="e">
        <f>IF(ISERROR(AVERAGEIF(IC!$L$3:$L$39, "=2014", IC!O$3:O$39)), NA(), AVERAGEIF(IC!$L$3:$L$39, "=2014", IC!O$3:O$39))</f>
        <v>#N/A</v>
      </c>
      <c r="F40" s="428" t="e">
        <f>IF(ISERROR(AVERAGEIF(IC!$L$3:$L$39, "=2014", IC!P$3:P$39)), NA(), AVERAGEIF(IC!$L$3:$L$39, "=2014", IC!P$3:P$39))</f>
        <v>#N/A</v>
      </c>
      <c r="G40" s="428" t="e">
        <f>IF(ISERROR(AVERAGEIF(IC!$L$3:$L$39, "=2014", IC!Q$3:Q$39)), NA(), AVERAGEIF(IC!$L$3:$L$39, "=2014", IC!Q$3:Q$39))</f>
        <v>#N/A</v>
      </c>
      <c r="H40" s="428" t="e">
        <f>IF(ISERROR(AVERAGEIF(IC!$L$3:$L$39, "=2014", IC!R$3:R$39)), NA(), AVERAGEIF(IC!$L$3:$L$39, "=2014", IC!R$3:R$39))</f>
        <v>#N/A</v>
      </c>
      <c r="I40" s="428">
        <f>IF(ISERROR(AVERAGEIF(IC!$L$3:$L$39, "=2014", IC!S$3:S$39)), NA(), AVERAGEIF(IC!$L$3:$L$39, "=2014", IC!S$3:S$39))</f>
        <v>1</v>
      </c>
      <c r="J40" s="428">
        <f>IF(ISERROR(AVERAGEIF(IC!$L$3:$L$39, "=2014", IC!T$3:T$39)), NA(), AVERAGEIF(IC!$L$3:$L$39, "=2014", IC!T$3:T$39))</f>
        <v>2</v>
      </c>
      <c r="K40" s="428" t="e">
        <f>IF(ISERROR(AVERAGEIF(IC!$L$3:$L$39, "=2014", IC!U$3:U$39)), NA(), AVERAGEIF(IC!$L$3:$L$39, "=2014", IC!U$3:U$39))</f>
        <v>#N/A</v>
      </c>
      <c r="L40" s="428">
        <f>IF(ISERROR(AVERAGEIF(IC!$L$3:$L$39, "=2014", IC!V$3:V$39)), NA(), AVERAGEIF(IC!$L$3:$L$39, "=2014", IC!V$3:V$39))</f>
        <v>12</v>
      </c>
      <c r="M40" s="428" t="e">
        <f>IF(ISERROR(AVERAGEIF(IC!$L$3:$L$39, "=2014", IC!W$3:W$39)), NA(), AVERAGEIF(IC!$L$3:$L$39, "=2014", IC!W$3:W$39))</f>
        <v>#N/A</v>
      </c>
      <c r="N40" s="428" t="e">
        <f>IF(ISERROR(AVERAGEIF(IC!$L$3:$L$39, "=2014", IC!X$3:X$39)), NA(), AVERAGEIF(IC!$L$3:$L$39, "=2014", IC!X$3:X$39))</f>
        <v>#N/A</v>
      </c>
      <c r="O40" s="428" t="e">
        <f>IF(ISERROR(AVERAGEIF(IC!$L$3:$L$39, "=2014", IC!Y$3:Y$39)), NA(), AVERAGEIF(IC!$L$3:$L$39, "=2014", IC!Y$3:Y$39))</f>
        <v>#N/A</v>
      </c>
      <c r="P40" s="428" t="e">
        <f>IF(ISERROR(AVERAGEIF(IC!$L$3:$L$39, "=2014", IC!Z$3:Z$39)), NA(), AVERAGEIF(IC!$L$3:$L$39, "=2014", IC!Z$3:Z$39))</f>
        <v>#N/A</v>
      </c>
      <c r="Q40" s="428" t="e">
        <f>IF(ISERROR(AVERAGEIF(IC!$L$3:$L$39, "=2014", IC!AA$3:AA$39)), NA(), AVERAGEIF(IC!$L$3:$L$39, "=2014", IC!AA$3:AA$39))</f>
        <v>#N/A</v>
      </c>
      <c r="R40" s="428" t="e">
        <f>IF(ISERROR(AVERAGEIF(IC!$L$3:$L$39, "=2014", IC!AB$3:AB$39)), NA(), AVERAGEIF(IC!$L$3:$L$39, "=2014", IC!AB$3:AB$39))</f>
        <v>#N/A</v>
      </c>
      <c r="S40" s="428" t="e">
        <f>IF(ISERROR(AVERAGEIF(IC!$L$3:$L$39, "=2014", IC!AC$3:AC$39)), NA(), AVERAGEIF(IC!$L$3:$L$39, "=2014", IC!AC$3:AC$39))</f>
        <v>#N/A</v>
      </c>
      <c r="T40" s="428">
        <f>IF(ISERROR(AVERAGEIF(IC!$L$3:$L$39, "=2014", IC!AD$3:AD$39)), NA(), AVERAGEIF(IC!$L$3:$L$39, "=2014", IC!AD$3:AD$39))</f>
        <v>4</v>
      </c>
      <c r="U40" s="428">
        <f>IF(ISERROR(AVERAGEIF(IC!$L$3:$L$39, "=2014", IC!AE$3:AE$39)), NA(), AVERAGEIF(IC!$L$3:$L$39, "=2014", IC!AE$3:AE$39))</f>
        <v>1.2</v>
      </c>
      <c r="V40" s="428">
        <f>IF(ISERROR(AVERAGEIF(IC!$L$3:$L$39, "=2014", IC!AF$3:AF$39)), NA(), AVERAGEIF(IC!$L$3:$L$39, "=2014", IC!AF$3:AF$39))</f>
        <v>11.169435215946844</v>
      </c>
      <c r="W40" s="428">
        <f>IF(ISERROR(AVERAGEIF(IC!$L$3:$L$39, "=2014", IC!AG$3:AG$39)), NA(), AVERAGEIF(IC!$L$3:$L$39, "=2014", IC!AG$3:AG$39))</f>
        <v>69</v>
      </c>
      <c r="X40" s="428">
        <f>IF(ISERROR(AVERAGEIF(IC!$L$3:$L$39, "=2014", IC!AH$3:AH$39)), NA(), AVERAGEIF(IC!$L$3:$L$39, "=2014", IC!AH$3:AH$39))</f>
        <v>500</v>
      </c>
      <c r="Y40" s="428">
        <f>IF(ISERROR(AVERAGEIF(IC!$L$3:$L$39, "=2014", IC!AI$3:AI$39)), NA(), AVERAGEIF(IC!$L$3:$L$39, "=2014", IC!AI$3:AI$39))</f>
        <v>2</v>
      </c>
      <c r="Z40" s="428">
        <f>IF(ISERROR(AVERAGEIF(IC!$L$3:$L$39, "=2014", IC!AJ$3:AJ$39)), NA(), AVERAGEIF(IC!$L$3:$L$39, "=2014", IC!AJ$3:AJ$39))</f>
        <v>1</v>
      </c>
      <c r="AA40" s="428">
        <f>IF(ISERROR(AVERAGEIF(IC!$L$3:$L$39, "=2014", IC!AK$3:AK$39)), NA(), AVERAGEIF(IC!$L$3:$L$39, "=2014", IC!AK$3:AK$39))</f>
        <v>5</v>
      </c>
      <c r="AB40" s="428" t="e">
        <f>IF(ISERROR(AVERAGEIF(IC!$L$3:$L$39, "=2014", IC!AL$3:AL$39)), NA(), AVERAGEIF(IC!$L$3:$L$39, "=2014", IC!AL$3:AL$39))</f>
        <v>#N/A</v>
      </c>
      <c r="AC40" s="428">
        <f>IF(ISERROR(AVERAGEIF(IC!$L$3:$L$39, "=2014", IC!AM$3:AM$39)), NA(), AVERAGEIF(IC!$L$3:$L$39, "=2014", IC!AM$3:AM$39))</f>
        <v>5.333333333333333</v>
      </c>
      <c r="AD40" s="428">
        <f>IF(ISERROR(AVERAGEIF(IC!$L$3:$L$39, "=2014", IC!AN$3:AN$39)), NA(), AVERAGEIF(IC!$L$3:$L$39, "=2014", IC!AN$3:AN$39))</f>
        <v>5.2</v>
      </c>
      <c r="AE40" s="428" t="e">
        <f>IF(ISERROR(AVERAGEIF(IC!$L$3:$L$39, "=2014", IC!AO$3:AO$39)), NA(), AVERAGEIF(IC!$L$3:$L$39, "=2014", IC!AO$3:AO$39))</f>
        <v>#N/A</v>
      </c>
      <c r="AF40" s="428">
        <f>IF(ISERROR(AVERAGEIF(IC!$L$3:$L$39, "=2014", IC!AP$3:AP$39)), NA(), AVERAGEIF(IC!$L$3:$L$39, "=2014", IC!AP$3:AP$39))</f>
        <v>5.333333333333333</v>
      </c>
      <c r="AG40" s="428">
        <f>IF(ISERROR(AVERAGEIF(IC!$L$3:$L$39, "=2014", IC!AQ$3:AQ$39)), NA(), AVERAGEIF(IC!$L$3:$L$39, "=2014", IC!AQ$3:AQ$39))</f>
        <v>14.1</v>
      </c>
      <c r="AH40" s="428" t="e">
        <f>IF(ISERROR(AVERAGEIF(IC!$L$3:$L$39, "=2014", IC!AR$3:AR$39)), NA(), AVERAGEIF(IC!$L$3:$L$39, "=2014", IC!AR$3:AR$39))</f>
        <v>#N/A</v>
      </c>
      <c r="AI40" s="428">
        <f>IF(ISERROR(AVERAGEIF(IC!$L$3:$L$39, "=2014", IC!AS$3:AS$39)), NA(), AVERAGEIF(IC!$L$3:$L$39, "=2014", IC!AS$3:AS$39))</f>
        <v>1.93</v>
      </c>
      <c r="AJ40" s="428">
        <f>IF(ISERROR(AVERAGEIF(IC!$L$3:$L$39, "=2014", IC!AT$3:AT$39)), NA(), AVERAGEIF(IC!$L$3:$L$39, "=2014", IC!AT$3:AT$39))</f>
        <v>3.6666666666666665</v>
      </c>
      <c r="AK40" s="428">
        <f>IF(ISERROR(AVERAGEIF(IC!$L$3:$L$39, "=2014", IC!AU$3:AU$39)), NA(), AVERAGEIF(IC!$L$3:$L$39, "=2014", IC!AU$3:AU$39))</f>
        <v>1.1360000000000001</v>
      </c>
      <c r="AL40" s="428" t="e">
        <f>IF(ISERROR(AVERAGEIF(IC!$L$3:$L$39, "=2014", IC!AV$3:AV$39)), NA(), AVERAGEIF(IC!$L$3:$L$39, "=2014", IC!AV$3:AV$39))</f>
        <v>#N/A</v>
      </c>
      <c r="AM40" s="428">
        <f>IF(ISERROR(AVERAGEIF(IC!$L$3:$L$39, "=2014", IC!AW$3:AW$39)), NA(), AVERAGEIF(IC!$L$3:$L$39, "=2014", IC!AW$3:AW$39))</f>
        <v>5.32</v>
      </c>
      <c r="AN40" s="428">
        <f>IF(ISERROR(AVERAGEIF(IC!$L$3:$L$39, "=2014", IC!AX$3:AX$39)), NA(), AVERAGEIF(IC!$L$3:$L$39, "=2014", IC!AX$3:AX$39))</f>
        <v>59</v>
      </c>
      <c r="AO40" s="428">
        <f>IF(ISERROR(AVERAGEIF(IC!$L$3:$L$39, "=2014", IC!AY$3:AY$39)), NA(), AVERAGEIF(IC!$L$3:$L$39, "=2014", IC!AY$3:AY$39))</f>
        <v>115.0155</v>
      </c>
      <c r="AP40" s="428">
        <f>IF(ISERROR(AVERAGEIF(IC!$L$3:$L$39, "=2014", IC!AZ$3:AZ$39)), NA(), AVERAGEIF(IC!$L$3:$L$39, "=2014", IC!AZ$3:AZ$39))</f>
        <v>141.7765</v>
      </c>
      <c r="AQ40" s="428">
        <f>IF(ISERROR(AVERAGEIF(IC!$L$3:$L$39, "=2014", IC!BA$3:BA$39)), NA(), AVERAGEIF(IC!$L$3:$L$39, "=2014", IC!BA$3:BA$39))</f>
        <v>375.45</v>
      </c>
      <c r="AR40" s="428">
        <f>IF(ISERROR(AVERAGEIF(IC!$L$3:$L$39, "=2014", IC!BB$3:BB$39)), NA(), AVERAGEIF(IC!$L$3:$L$39, "=2014", IC!BB$3:BB$39))</f>
        <v>143.86666666666667</v>
      </c>
      <c r="AS40" s="428">
        <f>IF(ISERROR(AVERAGEIF(IC!$L$3:$L$39, "=2014", IC!BC$3:BC$39)), NA(), AVERAGEIF(IC!$L$3:$L$39, "=2014", IC!BC$3:BC$39))</f>
        <v>1.9866666666666664</v>
      </c>
      <c r="AT40" s="428" t="e">
        <f>IF(ISERROR(AVERAGEIF(IC!$L$3:$L$39, "=2014", IC!BD$3:BD$39)), NA(), AVERAGEIF(IC!$L$3:$L$39, "=2014", IC!BD$3:BD$39))</f>
        <v>#N/A</v>
      </c>
      <c r="AU40" s="428" t="e">
        <f>IF(ISERROR(AVERAGEIF(IC!$L$3:$L$39, "=2014", IC!BE$3:BE$39)), NA(), AVERAGEIF(IC!$L$3:$L$39, "=2014", IC!BE$3:BE$39))</f>
        <v>#N/A</v>
      </c>
      <c r="AV40" s="428" t="e">
        <f>IF(ISERROR(AVERAGEIF(IC!$L$3:$L$39, "=2014", IC!BF$3:BF$39)), NA(), AVERAGEIF(IC!$L$3:$L$39, "=2014", IC!BF$3:BF$39))</f>
        <v>#N/A</v>
      </c>
      <c r="AW40" s="428" t="e">
        <f>IF(ISERROR(AVERAGEIF(IC!$L$3:$L$39, "=2014", IC!BG$3:BG$39)), NA(), AVERAGEIF(IC!$L$3:$L$39, "=2014", IC!BG$3:BG$39))</f>
        <v>#N/A</v>
      </c>
      <c r="AX40" s="428" t="e">
        <f>IF(ISERROR(AVERAGEIF(IC!$L$3:$L$39, "=2014", IC!BH$3:BH$39)), NA(), AVERAGEIF(IC!$L$3:$L$39, "=2014", IC!BH$3:BH$39))</f>
        <v>#N/A</v>
      </c>
      <c r="AY40" s="428" t="e">
        <f>IF(ISERROR(AVERAGEIF(IC!$L$3:$L$39, "=2014", IC!BI$3:BI$39)), NA(), AVERAGEIF(IC!$L$3:$L$39, "=2014", IC!BI$3:BI$39))</f>
        <v>#N/A</v>
      </c>
      <c r="AZ40" s="428" t="e">
        <f>IF(ISERROR(AVERAGEIF(IC!$L$3:$L$39, "=2014", IC!BJ$3:BJ$39)), NA(), AVERAGEIF(IC!$L$3:$L$39, "=2014", IC!BJ$3:BJ$39))</f>
        <v>#N/A</v>
      </c>
      <c r="BA40" s="428" t="e">
        <f>IF(ISERROR(AVERAGEIF(IC!$L$3:$L$39, "=2014", IC!BK$3:BK$39)), NA(), AVERAGEIF(IC!$L$3:$L$39, "=2014", IC!BK$3:BK$39))</f>
        <v>#N/A</v>
      </c>
      <c r="BB40" s="428">
        <f>IF(ISERROR(AVERAGEIF(IC!$L$3:$L$39, "=2014", IC!BL$3:BL$39)), NA(), AVERAGEIF(IC!$L$3:$L$39, "=2014", IC!BL$3:BL$39))</f>
        <v>0.16837199999999999</v>
      </c>
      <c r="BC40" s="428" t="e">
        <f>IF(ISERROR(AVERAGEIF(IC!$L$3:$L$39, "=2014", IC!BM$3:BM$39)), NA(), AVERAGEIF(IC!$L$3:$L$39, "=2014", IC!BM$3:BM$39))</f>
        <v>#N/A</v>
      </c>
      <c r="BD40" s="428">
        <f>IF(ISERROR(AVERAGEIF(IC!$L$3:$L$39, "=2014", IC!BO$3:BO$39)), NA(), AVERAGEIF(IC!$L$3:$L$39, "=2014", IC!BO$3:BO$39))</f>
        <v>4454.4223505095861</v>
      </c>
      <c r="BE40" s="428" t="e">
        <f>IF(ISERROR(AVERAGEIF(IC!$L$3:$L$39, "=2014", IC!BP$3:BP$39)), NA(), AVERAGEIF(IC!$L$3:$L$39, "=2014", IC!BP$3:BP$39))</f>
        <v>#N/A</v>
      </c>
      <c r="BF40" s="428">
        <f>IF(ISERROR(AVERAGEIF(IC!$L$3:$L$39, "=2014", IC!BQ$3:BQ$39)), NA(), AVERAGEIF(IC!$L$3:$L$39, "=2014", IC!BQ$3:BQ$39))</f>
        <v>32</v>
      </c>
      <c r="BG40" s="428">
        <f>IF(ISERROR(AVERAGEIF(IC!$L$3:$L$39, "=2014", IC!BR$3:BR$39)), NA(), AVERAGEIF(IC!$L$3:$L$39, "=2014", IC!BR$3:BR$39))</f>
        <v>51</v>
      </c>
      <c r="BH40" s="428" t="e">
        <f>IF(ISERROR(AVERAGEIF(IC!$L$3:$L$39, "=2014", IC!BS$3:BS$39)), NA(), AVERAGEIF(IC!$L$3:$L$39, "=2014", IC!BS$3:BS$39))</f>
        <v>#N/A</v>
      </c>
      <c r="BI40" s="428">
        <f>IF(ISERROR(AVERAGEIF(IC!$L$3:$L$39, "=2014", IC!BT$3:BT$39)), NA(), AVERAGEIF(IC!$L$3:$L$39, "=2014", IC!BT$3:BT$39))</f>
        <v>5</v>
      </c>
      <c r="BJ40" s="428">
        <f>IF(ISERROR(AVERAGEIF(IC!$L$3:$L$39, "=2014", IC!BU$3:BU$39)), NA(), AVERAGEIF(IC!$L$3:$L$39, "=2014", IC!BU$3:BU$39))</f>
        <v>117.33333333333333</v>
      </c>
      <c r="BK40" s="428" t="e">
        <f>IF(ISERROR(AVERAGEIF(IC!$L$3:$L$39, "=2014", IC!BV$3:BV$39)), NA(), AVERAGEIF(IC!$L$3:$L$39, "=2014", IC!BV$3:BV$39))</f>
        <v>#N/A</v>
      </c>
      <c r="BL40" s="428">
        <f>IF(ISERROR(AVERAGEIF(IC!$L$3:$L$39, "=2014", IC!BW$3:BW$39)), NA(), AVERAGEIF(IC!$L$3:$L$39, "=2014", IC!BW$3:BW$39))</f>
        <v>16</v>
      </c>
      <c r="BM40" s="428" t="e">
        <f>IF(ISERROR(AVERAGEIF(IC!$L$3:$L$39, "=2014", IC!BX$3:BX$39)), NA(), AVERAGEIF(IC!$L$3:$L$39, "=2014", IC!BX$3:BX$39))</f>
        <v>#N/A</v>
      </c>
      <c r="BN40" s="428" t="e">
        <f>IF(ISERROR(AVERAGEIF(IC!$L$3:$L$39, "=2014", IC!BY$3:BY$39)), NA(), AVERAGEIF(IC!$L$3:$L$39, "=2014", IC!BY$3:BY$39))</f>
        <v>#N/A</v>
      </c>
      <c r="BO40" s="428" t="e">
        <f>IF(ISERROR(AVERAGEIF(IC!$L$3:$L$39, "=2014", IC!BZ$3:BZ$39)), NA(), AVERAGEIF(IC!$L$3:$L$39, "=2014", IC!BZ$3:BZ$39))</f>
        <v>#N/A</v>
      </c>
      <c r="BP40" s="428" t="e">
        <f>IF(ISERROR(AVERAGEIF(IC!$L$3:$L$39, "=2014", IC!CA$3:CA$39)), NA(), AVERAGEIF(IC!$L$3:$L$39, "=2014", IC!CA$3:CA$39))</f>
        <v>#N/A</v>
      </c>
      <c r="BQ40" s="428" t="e">
        <f>IF(ISERROR(AVERAGEIF(IC!$L$3:$L$39, "=2014", IC!CB$3:CB$39)), NA(), AVERAGEIF(IC!$L$3:$L$39, "=2014", IC!CB$3:CB$39))</f>
        <v>#N/A</v>
      </c>
      <c r="BR40" s="428" t="e">
        <f>IF(ISERROR(AVERAGEIF(IC!$L$3:$L$39, "=2014", IC!CC$3:CC$39)), NA(), AVERAGEIF(IC!$L$3:$L$39, "=2014", IC!CC$3:CC$39))</f>
        <v>#N/A</v>
      </c>
      <c r="BS40" s="428" t="e">
        <f>IF(ISERROR(AVERAGEIF(IC!$L$3:$L$39, "=2014", IC!CD$3:CD$39)), NA(), AVERAGEIF(IC!$L$3:$L$39, "=2014", IC!CD$3:CD$39))</f>
        <v>#N/A</v>
      </c>
      <c r="BT40" s="428" t="e">
        <f>IF(ISERROR(AVERAGEIF(IC!$L$3:$L$39, "=2014", IC!CE$3:CE$39)), NA(), AVERAGEIF(IC!$L$3:$L$39, "=2014", IC!CE$3:CE$39))</f>
        <v>#N/A</v>
      </c>
      <c r="BU40" s="428">
        <f>IF(ISERROR(AVERAGEIF(IC!$L$3:$L$39, "=2014", IC!CF$3:CF$39)), NA(), AVERAGEIF(IC!$L$3:$L$39, "=2014", IC!CF$3:CF$39))</f>
        <v>2400</v>
      </c>
      <c r="BV40" s="428">
        <f>IF(ISERROR(AVERAGEIF(IC!$L$3:$L$39, "=2014", IC!CG$3:CG$39)), NA(), AVERAGEIF(IC!$L$3:$L$39, "=2014", IC!CG$3:CG$39))</f>
        <v>-95.7</v>
      </c>
      <c r="BW40" s="428">
        <f>IF(ISERROR(AVERAGEIF(IC!$L$3:$L$39, "=2014", IC!CH$3:CH$39)), NA(), AVERAGEIF(IC!$L$3:$L$39, "=2014", IC!CH$3:CH$39))</f>
        <v>18</v>
      </c>
      <c r="BX40" s="428">
        <f>IF(ISERROR(AVERAGEIF(IC!$L$3:$L$39, "=2014", IC!CI$3:CI$39)), NA(), AVERAGEIF(IC!$L$3:$L$39, "=2014", IC!CI$3:CI$39))</f>
        <v>4.75</v>
      </c>
      <c r="BY40" s="428">
        <f>IF(ISERROR(AVERAGEIF(IC!$L$3:$L$39, "=2014", IC!CJ$3:CJ$39)), NA(), AVERAGEIF(IC!$L$3:$L$39, "=2014", IC!CJ$3:CJ$39))</f>
        <v>93</v>
      </c>
      <c r="BZ40" s="428">
        <f>IF(ISERROR(AVERAGEIF(IC!$L$3:$L$39, "=2014", IC!CK$3:CK$39)), NA(), AVERAGEIF(IC!$L$3:$L$39, "=2014", IC!CK$3:CK$39))</f>
        <v>157.5</v>
      </c>
    </row>
    <row r="41" spans="1:78">
      <c r="A41" s="775"/>
      <c r="B41" s="432">
        <v>2015</v>
      </c>
      <c r="C41" s="428" t="e">
        <f>IF(ISERROR(AVERAGEIF(IC!$L$3:$L$39, "=2015", IC!M$3:M$39)), NA(), AVERAGEIF(IC!$L$3:$L$39, "=2015", IC!M$3:M$39))</f>
        <v>#N/A</v>
      </c>
      <c r="D41" s="428" t="e">
        <f>IF(ISERROR(AVERAGEIF(IC!$L$3:$L$39, "=2015", IC!N$3:N$39)), NA(), AVERAGEIF(IC!$L$3:$L$39, "=2015", IC!N$3:N$39))</f>
        <v>#N/A</v>
      </c>
      <c r="E41" s="428" t="e">
        <f>IF(ISERROR(AVERAGEIF(IC!$L$3:$L$39, "=2015", IC!O$3:O$39)), NA(), AVERAGEIF(IC!$L$3:$L$39, "=2015", IC!O$3:O$39))</f>
        <v>#N/A</v>
      </c>
      <c r="F41" s="428" t="e">
        <f>IF(ISERROR(AVERAGEIF(IC!$L$3:$L$39, "=2015", IC!P$3:P$39)), NA(), AVERAGEIF(IC!$L$3:$L$39, "=2015", IC!P$3:P$39))</f>
        <v>#N/A</v>
      </c>
      <c r="G41" s="428" t="e">
        <f>IF(ISERROR(AVERAGEIF(IC!$L$3:$L$39, "=2015", IC!Q$3:Q$39)), NA(), AVERAGEIF(IC!$L$3:$L$39, "=2015", IC!Q$3:Q$39))</f>
        <v>#N/A</v>
      </c>
      <c r="H41" s="428" t="e">
        <f>IF(ISERROR(AVERAGEIF(IC!$L$3:$L$39, "=2015", IC!R$3:R$39)), NA(), AVERAGEIF(IC!$L$3:$L$39, "=2015", IC!R$3:R$39))</f>
        <v>#N/A</v>
      </c>
      <c r="I41" s="428">
        <f>IF(ISERROR(AVERAGEIF(IC!$L$3:$L$39, "=2015", IC!S$3:S$39)), NA(), AVERAGEIF(IC!$L$3:$L$39, "=2015", IC!S$3:S$39))</f>
        <v>8</v>
      </c>
      <c r="J41" s="428">
        <f>IF(ISERROR(AVERAGEIF(IC!$L$3:$L$39, "=2015", IC!T$3:T$39)), NA(), AVERAGEIF(IC!$L$3:$L$39, "=2015", IC!T$3:T$39))</f>
        <v>1</v>
      </c>
      <c r="K41" s="428" t="e">
        <f>IF(ISERROR(AVERAGEIF(IC!$L$3:$L$39, "=2015", IC!U$3:U$39)), NA(), AVERAGEIF(IC!$L$3:$L$39, "=2015", IC!U$3:U$39))</f>
        <v>#N/A</v>
      </c>
      <c r="L41" s="428">
        <f>IF(ISERROR(AVERAGEIF(IC!$L$3:$L$39, "=2015", IC!V$3:V$39)), NA(), AVERAGEIF(IC!$L$3:$L$39, "=2015", IC!V$3:V$39))</f>
        <v>12</v>
      </c>
      <c r="M41" s="428" t="e">
        <f>IF(ISERROR(AVERAGEIF(IC!$L$3:$L$39, "=2015", IC!W$3:W$39)), NA(), AVERAGEIF(IC!$L$3:$L$39, "=2015", IC!W$3:W$39))</f>
        <v>#N/A</v>
      </c>
      <c r="N41" s="428" t="e">
        <f>IF(ISERROR(AVERAGEIF(IC!$L$3:$L$39, "=2015", IC!X$3:X$39)), NA(), AVERAGEIF(IC!$L$3:$L$39, "=2015", IC!X$3:X$39))</f>
        <v>#N/A</v>
      </c>
      <c r="O41" s="428" t="e">
        <f>IF(ISERROR(AVERAGEIF(IC!$L$3:$L$39, "=2015", IC!Y$3:Y$39)), NA(), AVERAGEIF(IC!$L$3:$L$39, "=2015", IC!Y$3:Y$39))</f>
        <v>#N/A</v>
      </c>
      <c r="P41" s="428" t="e">
        <f>IF(ISERROR(AVERAGEIF(IC!$L$3:$L$39, "=2015", IC!Z$3:Z$39)), NA(), AVERAGEIF(IC!$L$3:$L$39, "=2015", IC!Z$3:Z$39))</f>
        <v>#N/A</v>
      </c>
      <c r="Q41" s="428" t="e">
        <f>IF(ISERROR(AVERAGEIF(IC!$L$3:$L$39, "=2015", IC!AA$3:AA$39)), NA(), AVERAGEIF(IC!$L$3:$L$39, "=2015", IC!AA$3:AA$39))</f>
        <v>#N/A</v>
      </c>
      <c r="R41" s="428" t="e">
        <f>IF(ISERROR(AVERAGEIF(IC!$L$3:$L$39, "=2015", IC!AB$3:AB$39)), NA(), AVERAGEIF(IC!$L$3:$L$39, "=2015", IC!AB$3:AB$39))</f>
        <v>#N/A</v>
      </c>
      <c r="S41" s="428" t="e">
        <f>IF(ISERROR(AVERAGEIF(IC!$L$3:$L$39, "=2015", IC!AC$3:AC$39)), NA(), AVERAGEIF(IC!$L$3:$L$39, "=2015", IC!AC$3:AC$39))</f>
        <v>#N/A</v>
      </c>
      <c r="T41" s="428">
        <f>IF(ISERROR(AVERAGEIF(IC!$L$3:$L$39, "=2015", IC!AD$3:AD$39)), NA(), AVERAGEIF(IC!$L$3:$L$39, "=2015", IC!AD$3:AD$39))</f>
        <v>0</v>
      </c>
      <c r="U41" s="428" t="e">
        <f>IF(ISERROR(AVERAGEIF(IC!$L$3:$L$39, "=2015", IC!AE$3:AE$39)), NA(), AVERAGEIF(IC!$L$3:$L$39, "=2015", IC!AE$3:AE$39))</f>
        <v>#N/A</v>
      </c>
      <c r="V41" s="428">
        <f>IF(ISERROR(AVERAGEIF(IC!$L$3:$L$39, "=2015", IC!AF$3:AF$39)), NA(), AVERAGEIF(IC!$L$3:$L$39, "=2015", IC!AF$3:AF$39))</f>
        <v>11.1</v>
      </c>
      <c r="W41" s="428">
        <f>IF(ISERROR(AVERAGEIF(IC!$L$3:$L$39, "=2015", IC!AG$3:AG$39)), NA(), AVERAGEIF(IC!$L$3:$L$39, "=2015", IC!AG$3:AG$39))</f>
        <v>69</v>
      </c>
      <c r="X41" s="428">
        <f>IF(ISERROR(AVERAGEIF(IC!$L$3:$L$39, "=2015", IC!AH$3:AH$39)), NA(), AVERAGEIF(IC!$L$3:$L$39, "=2015", IC!AH$3:AH$39))</f>
        <v>100</v>
      </c>
      <c r="Y41" s="428" t="e">
        <f>IF(ISERROR(AVERAGEIF(IC!$L$3:$L$39, "=2015", IC!AI$3:AI$39)), NA(), AVERAGEIF(IC!$L$3:$L$39, "=2015", IC!AI$3:AI$39))</f>
        <v>#N/A</v>
      </c>
      <c r="Z41" s="428" t="e">
        <f>IF(ISERROR(AVERAGEIF(IC!$L$3:$L$39, "=2015", IC!AJ$3:AJ$39)), NA(), AVERAGEIF(IC!$L$3:$L$39, "=2015", IC!AJ$3:AJ$39))</f>
        <v>#N/A</v>
      </c>
      <c r="AA41" s="428" t="e">
        <f>IF(ISERROR(AVERAGEIF(IC!$L$3:$L$39, "=2015", IC!AK$3:AK$39)), NA(), AVERAGEIF(IC!$L$3:$L$39, "=2015", IC!AK$3:AK$39))</f>
        <v>#N/A</v>
      </c>
      <c r="AB41" s="428" t="e">
        <f>IF(ISERROR(AVERAGEIF(IC!$L$3:$L$39, "=2015", IC!AL$3:AL$39)), NA(), AVERAGEIF(IC!$L$3:$L$39, "=2015", IC!AL$3:AL$39))</f>
        <v>#N/A</v>
      </c>
      <c r="AC41" s="428" t="e">
        <f>IF(ISERROR(AVERAGEIF(IC!$L$3:$L$39, "=2015", IC!AM$3:AM$39)), NA(), AVERAGEIF(IC!$L$3:$L$39, "=2015", IC!AM$3:AM$39))</f>
        <v>#N/A</v>
      </c>
      <c r="AD41" s="428" t="e">
        <f>IF(ISERROR(AVERAGEIF(IC!$L$3:$L$39, "=2015", IC!AN$3:AN$39)), NA(), AVERAGEIF(IC!$L$3:$L$39, "=2015", IC!AN$3:AN$39))</f>
        <v>#N/A</v>
      </c>
      <c r="AE41" s="428" t="e">
        <f>IF(ISERROR(AVERAGEIF(IC!$L$3:$L$39, "=2015", IC!AO$3:AO$39)), NA(), AVERAGEIF(IC!$L$3:$L$39, "=2015", IC!AO$3:AO$39))</f>
        <v>#N/A</v>
      </c>
      <c r="AF41" s="428" t="e">
        <f>IF(ISERROR(AVERAGEIF(IC!$L$3:$L$39, "=2015", IC!AP$3:AP$39)), NA(), AVERAGEIF(IC!$L$3:$L$39, "=2015", IC!AP$3:AP$39))</f>
        <v>#N/A</v>
      </c>
      <c r="AG41" s="428" t="e">
        <f>IF(ISERROR(AVERAGEIF(IC!$L$3:$L$39, "=2015", IC!AQ$3:AQ$39)), NA(), AVERAGEIF(IC!$L$3:$L$39, "=2015", IC!AQ$3:AQ$39))</f>
        <v>#N/A</v>
      </c>
      <c r="AH41" s="428" t="e">
        <f>IF(ISERROR(AVERAGEIF(IC!$L$3:$L$39, "=2015", IC!AR$3:AR$39)), NA(), AVERAGEIF(IC!$L$3:$L$39, "=2015", IC!AR$3:AR$39))</f>
        <v>#N/A</v>
      </c>
      <c r="AI41" s="428" t="e">
        <f>IF(ISERROR(AVERAGEIF(IC!$L$3:$L$39, "=2015", IC!AS$3:AS$39)), NA(), AVERAGEIF(IC!$L$3:$L$39, "=2015", IC!AS$3:AS$39))</f>
        <v>#N/A</v>
      </c>
      <c r="AJ41" s="428" t="e">
        <f>IF(ISERROR(AVERAGEIF(IC!$L$3:$L$39, "=2015", IC!AT$3:AT$39)), NA(), AVERAGEIF(IC!$L$3:$L$39, "=2015", IC!AT$3:AT$39))</f>
        <v>#N/A</v>
      </c>
      <c r="AK41" s="428" t="e">
        <f>IF(ISERROR(AVERAGEIF(IC!$L$3:$L$39, "=2015", IC!AU$3:AU$39)), NA(), AVERAGEIF(IC!$L$3:$L$39, "=2015", IC!AU$3:AU$39))</f>
        <v>#N/A</v>
      </c>
      <c r="AL41" s="428" t="e">
        <f>IF(ISERROR(AVERAGEIF(IC!$L$3:$L$39, "=2015", IC!AV$3:AV$39)), NA(), AVERAGEIF(IC!$L$3:$L$39, "=2015", IC!AV$3:AV$39))</f>
        <v>#N/A</v>
      </c>
      <c r="AM41" s="428" t="e">
        <f>IF(ISERROR(AVERAGEIF(IC!$L$3:$L$39, "=2015", IC!AW$3:AW$39)), NA(), AVERAGEIF(IC!$L$3:$L$39, "=2015", IC!AW$3:AW$39))</f>
        <v>#N/A</v>
      </c>
      <c r="AN41" s="428" t="e">
        <f>IF(ISERROR(AVERAGEIF(IC!$L$3:$L$39, "=2015", IC!AX$3:AX$39)), NA(), AVERAGEIF(IC!$L$3:$L$39, "=2015", IC!AX$3:AX$39))</f>
        <v>#N/A</v>
      </c>
      <c r="AO41" s="428" t="e">
        <f>IF(ISERROR(AVERAGEIF(IC!$L$3:$L$39, "=2015", IC!AY$3:AY$39)), NA(), AVERAGEIF(IC!$L$3:$L$39, "=2015", IC!AY$3:AY$39))</f>
        <v>#N/A</v>
      </c>
      <c r="AP41" s="428" t="e">
        <f>IF(ISERROR(AVERAGEIF(IC!$L$3:$L$39, "=2015", IC!AZ$3:AZ$39)), NA(), AVERAGEIF(IC!$L$3:$L$39, "=2015", IC!AZ$3:AZ$39))</f>
        <v>#N/A</v>
      </c>
      <c r="AQ41" s="428" t="e">
        <f>IF(ISERROR(AVERAGEIF(IC!$L$3:$L$39, "=2015", IC!BA$3:BA$39)), NA(), AVERAGEIF(IC!$L$3:$L$39, "=2015", IC!BA$3:BA$39))</f>
        <v>#N/A</v>
      </c>
      <c r="AR41" s="428" t="e">
        <f>IF(ISERROR(AVERAGEIF(IC!$L$3:$L$39, "=2015", IC!BB$3:BB$39)), NA(), AVERAGEIF(IC!$L$3:$L$39, "=2015", IC!BB$3:BB$39))</f>
        <v>#N/A</v>
      </c>
      <c r="AS41" s="428" t="e">
        <f>IF(ISERROR(AVERAGEIF(IC!$L$3:$L$39, "=2015", IC!BC$3:BC$39)), NA(), AVERAGEIF(IC!$L$3:$L$39, "=2015", IC!BC$3:BC$39))</f>
        <v>#N/A</v>
      </c>
      <c r="AT41" s="428" t="e">
        <f>IF(ISERROR(AVERAGEIF(IC!$L$3:$L$39, "=2015", IC!BD$3:BD$39)), NA(), AVERAGEIF(IC!$L$3:$L$39, "=2015", IC!BD$3:BD$39))</f>
        <v>#N/A</v>
      </c>
      <c r="AU41" s="428" t="e">
        <f>IF(ISERROR(AVERAGEIF(IC!$L$3:$L$39, "=2015", IC!BE$3:BE$39)), NA(), AVERAGEIF(IC!$L$3:$L$39, "=2015", IC!BE$3:BE$39))</f>
        <v>#N/A</v>
      </c>
      <c r="AV41" s="428" t="e">
        <f>IF(ISERROR(AVERAGEIF(IC!$L$3:$L$39, "=2015", IC!BF$3:BF$39)), NA(), AVERAGEIF(IC!$L$3:$L$39, "=2015", IC!BF$3:BF$39))</f>
        <v>#N/A</v>
      </c>
      <c r="AW41" s="428" t="e">
        <f>IF(ISERROR(AVERAGEIF(IC!$L$3:$L$39, "=2015", IC!BG$3:BG$39)), NA(), AVERAGEIF(IC!$L$3:$L$39, "=2015", IC!BG$3:BG$39))</f>
        <v>#N/A</v>
      </c>
      <c r="AX41" s="428" t="e">
        <f>IF(ISERROR(AVERAGEIF(IC!$L$3:$L$39, "=2015", IC!BH$3:BH$39)), NA(), AVERAGEIF(IC!$L$3:$L$39, "=2015", IC!BH$3:BH$39))</f>
        <v>#N/A</v>
      </c>
      <c r="AY41" s="428" t="e">
        <f>IF(ISERROR(AVERAGEIF(IC!$L$3:$L$39, "=2015", IC!BI$3:BI$39)), NA(), AVERAGEIF(IC!$L$3:$L$39, "=2015", IC!BI$3:BI$39))</f>
        <v>#N/A</v>
      </c>
      <c r="AZ41" s="428" t="e">
        <f>IF(ISERROR(AVERAGEIF(IC!$L$3:$L$39, "=2015", IC!BJ$3:BJ$39)), NA(), AVERAGEIF(IC!$L$3:$L$39, "=2015", IC!BJ$3:BJ$39))</f>
        <v>#N/A</v>
      </c>
      <c r="BA41" s="428" t="e">
        <f>IF(ISERROR(AVERAGEIF(IC!$L$3:$L$39, "=2015", IC!BK$3:BK$39)), NA(), AVERAGEIF(IC!$L$3:$L$39, "=2015", IC!BK$3:BK$39))</f>
        <v>#N/A</v>
      </c>
      <c r="BB41" s="428" t="e">
        <f>IF(ISERROR(AVERAGEIF(IC!$L$3:$L$39, "=2015", IC!BL$3:BL$39)), NA(), AVERAGEIF(IC!$L$3:$L$39, "=2015", IC!BL$3:BL$39))</f>
        <v>#N/A</v>
      </c>
      <c r="BC41" s="428" t="e">
        <f>IF(ISERROR(AVERAGEIF(IC!$L$3:$L$39, "=2015", IC!BM$3:BM$39)), NA(), AVERAGEIF(IC!$L$3:$L$39, "=2015", IC!BM$3:BM$39))</f>
        <v>#N/A</v>
      </c>
      <c r="BD41" s="428" t="e">
        <f>IF(ISERROR(AVERAGEIF(IC!$L$3:$L$39, "=2015", IC!BO$3:BO$39)), NA(), AVERAGEIF(IC!$L$3:$L$39, "=2015", IC!BO$3:BO$39))</f>
        <v>#N/A</v>
      </c>
      <c r="BE41" s="428" t="e">
        <f>IF(ISERROR(AVERAGEIF(IC!$L$3:$L$39, "=2015", IC!BP$3:BP$39)), NA(), AVERAGEIF(IC!$L$3:$L$39, "=2015", IC!BP$3:BP$39))</f>
        <v>#N/A</v>
      </c>
      <c r="BF41" s="428">
        <f>IF(ISERROR(AVERAGEIF(IC!$L$3:$L$39, "=2015", IC!BQ$3:BQ$39)), NA(), AVERAGEIF(IC!$L$3:$L$39, "=2015", IC!BQ$3:BQ$39))</f>
        <v>32</v>
      </c>
      <c r="BG41" s="428">
        <f>IF(ISERROR(AVERAGEIF(IC!$L$3:$L$39, "=2015", IC!BR$3:BR$39)), NA(), AVERAGEIF(IC!$L$3:$L$39, "=2015", IC!BR$3:BR$39))</f>
        <v>48</v>
      </c>
      <c r="BH41" s="428" t="e">
        <f>IF(ISERROR(AVERAGEIF(IC!$L$3:$L$39, "=2015", IC!BS$3:BS$39)), NA(), AVERAGEIF(IC!$L$3:$L$39, "=2015", IC!BS$3:BS$39))</f>
        <v>#N/A</v>
      </c>
      <c r="BI41" s="428">
        <f>IF(ISERROR(AVERAGEIF(IC!$L$3:$L$39, "=2015", IC!BT$3:BT$39)), NA(), AVERAGEIF(IC!$L$3:$L$39, "=2015", IC!BT$3:BT$39))</f>
        <v>24</v>
      </c>
      <c r="BJ41" s="428">
        <f>IF(ISERROR(AVERAGEIF(IC!$L$3:$L$39, "=2015", IC!BU$3:BU$39)), NA(), AVERAGEIF(IC!$L$3:$L$39, "=2015", IC!BU$3:BU$39))</f>
        <v>128</v>
      </c>
      <c r="BK41" s="428" t="e">
        <f>IF(ISERROR(AVERAGEIF(IC!$L$3:$L$39, "=2015", IC!BV$3:BV$39)), NA(), AVERAGEIF(IC!$L$3:$L$39, "=2015", IC!BV$3:BV$39))</f>
        <v>#N/A</v>
      </c>
      <c r="BL41" s="428" t="e">
        <f>IF(ISERROR(AVERAGEIF(IC!$L$3:$L$39, "=2015", IC!BW$3:BW$39)), NA(), AVERAGEIF(IC!$L$3:$L$39, "=2015", IC!BW$3:BW$39))</f>
        <v>#N/A</v>
      </c>
      <c r="BM41" s="428" t="e">
        <f>IF(ISERROR(AVERAGEIF(IC!$L$3:$L$39, "=2015", IC!BX$3:BX$39)), NA(), AVERAGEIF(IC!$L$3:$L$39, "=2015", IC!BX$3:BX$39))</f>
        <v>#N/A</v>
      </c>
      <c r="BN41" s="428" t="e">
        <f>IF(ISERROR(AVERAGEIF(IC!$L$3:$L$39, "=2015", IC!BY$3:BY$39)), NA(), AVERAGEIF(IC!$L$3:$L$39, "=2015", IC!BY$3:BY$39))</f>
        <v>#N/A</v>
      </c>
      <c r="BO41" s="428" t="e">
        <f>IF(ISERROR(AVERAGEIF(IC!$L$3:$L$39, "=2015", IC!BZ$3:BZ$39)), NA(), AVERAGEIF(IC!$L$3:$L$39, "=2015", IC!BZ$3:BZ$39))</f>
        <v>#N/A</v>
      </c>
      <c r="BP41" s="428" t="e">
        <f>IF(ISERROR(AVERAGEIF(IC!$L$3:$L$39, "=2015", IC!CA$3:CA$39)), NA(), AVERAGEIF(IC!$L$3:$L$39, "=2015", IC!CA$3:CA$39))</f>
        <v>#N/A</v>
      </c>
      <c r="BQ41" s="428" t="e">
        <f>IF(ISERROR(AVERAGEIF(IC!$L$3:$L$39, "=2015", IC!CB$3:CB$39)), NA(), AVERAGEIF(IC!$L$3:$L$39, "=2015", IC!CB$3:CB$39))</f>
        <v>#N/A</v>
      </c>
      <c r="BR41" s="428" t="e">
        <f>IF(ISERROR(AVERAGEIF(IC!$L$3:$L$39, "=2015", IC!CC$3:CC$39)), NA(), AVERAGEIF(IC!$L$3:$L$39, "=2015", IC!CC$3:CC$39))</f>
        <v>#N/A</v>
      </c>
      <c r="BS41" s="428" t="e">
        <f>IF(ISERROR(AVERAGEIF(IC!$L$3:$L$39, "=2015", IC!CD$3:CD$39)), NA(), AVERAGEIF(IC!$L$3:$L$39, "=2015", IC!CD$3:CD$39))</f>
        <v>#N/A</v>
      </c>
      <c r="BT41" s="428" t="e">
        <f>IF(ISERROR(AVERAGEIF(IC!$L$3:$L$39, "=2015", IC!CE$3:CE$39)), NA(), AVERAGEIF(IC!$L$3:$L$39, "=2015", IC!CE$3:CE$39))</f>
        <v>#N/A</v>
      </c>
      <c r="BU41" s="428">
        <f>IF(ISERROR(AVERAGEIF(IC!$L$3:$L$39, "=2015", IC!CF$3:CF$39)), NA(), AVERAGEIF(IC!$L$3:$L$39, "=2015", IC!CF$3:CF$39))</f>
        <v>2401</v>
      </c>
      <c r="BV41" s="428">
        <f>IF(ISERROR(AVERAGEIF(IC!$L$3:$L$39, "=2015", IC!CG$3:CG$39)), NA(), AVERAGEIF(IC!$L$3:$L$39, "=2015", IC!CG$3:CG$39))</f>
        <v>-97</v>
      </c>
      <c r="BW41" s="428">
        <f>IF(ISERROR(AVERAGEIF(IC!$L$3:$L$39, "=2015", IC!CH$3:CH$39)), NA(), AVERAGEIF(IC!$L$3:$L$39, "=2015", IC!CH$3:CH$39))</f>
        <v>5</v>
      </c>
      <c r="BX41" s="428" t="e">
        <f>IF(ISERROR(AVERAGEIF(IC!$L$3:$L$39, "=2015", IC!CI$3:CI$39)), NA(), AVERAGEIF(IC!$L$3:$L$39, "=2015", IC!CI$3:CI$39))</f>
        <v>#N/A</v>
      </c>
      <c r="BY41" s="428" t="e">
        <f>IF(ISERROR(AVERAGEIF(IC!$L$3:$L$39, "=2015", IC!CJ$3:CJ$39)), NA(), AVERAGEIF(IC!$L$3:$L$39, "=2015", IC!CJ$3:CJ$39))</f>
        <v>#N/A</v>
      </c>
      <c r="BZ41" s="428" t="e">
        <f>IF(ISERROR(AVERAGEIF(IC!$L$3:$L$39, "=2015", IC!CK$3:CK$39)), NA(), AVERAGEIF(IC!$L$3:$L$39, "=2015", IC!CK$3:CK$39))</f>
        <v>#N/A</v>
      </c>
    </row>
    <row r="42" spans="1:78">
      <c r="A42" s="775"/>
      <c r="B42" s="432">
        <v>2016</v>
      </c>
      <c r="C42" s="428" t="e">
        <f>IF(ISERROR(AVERAGEIF(IC!$L$3:$L$39, "=2016", IC!M$3:M$39)), NA(), AVERAGEIF(IC!$L$3:$L$39, "=2016", IC!M$3:M$39))</f>
        <v>#N/A</v>
      </c>
      <c r="D42" s="428" t="e">
        <f>IF(ISERROR(AVERAGEIF(IC!$L$3:$L$39, "=2016", IC!N$3:N$39)), NA(), AVERAGEIF(IC!$L$3:$L$39, "=2016", IC!N$3:N$39))</f>
        <v>#N/A</v>
      </c>
      <c r="E42" s="428" t="e">
        <f>IF(ISERROR(AVERAGEIF(IC!$L$3:$L$39, "=2016", IC!O$3:O$39)), NA(), AVERAGEIF(IC!$L$3:$L$39, "=2016", IC!O$3:O$39))</f>
        <v>#N/A</v>
      </c>
      <c r="F42" s="428" t="e">
        <f>IF(ISERROR(AVERAGEIF(IC!$L$3:$L$39, "=2016", IC!P$3:P$39)), NA(), AVERAGEIF(IC!$L$3:$L$39, "=2016", IC!P$3:P$39))</f>
        <v>#N/A</v>
      </c>
      <c r="G42" s="428" t="e">
        <f>IF(ISERROR(AVERAGEIF(IC!$L$3:$L$39, "=2016", IC!Q$3:Q$39)), NA(), AVERAGEIF(IC!$L$3:$L$39, "=2016", IC!Q$3:Q$39))</f>
        <v>#N/A</v>
      </c>
      <c r="H42" s="428" t="e">
        <f>IF(ISERROR(AVERAGEIF(IC!$L$3:$L$39, "=2016", IC!R$3:R$39)), NA(), AVERAGEIF(IC!$L$3:$L$39, "=2016", IC!R$3:R$39))</f>
        <v>#N/A</v>
      </c>
      <c r="I42" s="428">
        <f>IF(ISERROR(AVERAGEIF(IC!$L$3:$L$39, "=2016", IC!S$3:S$39)), NA(), AVERAGEIF(IC!$L$3:$L$39, "=2016", IC!S$3:S$39))</f>
        <v>8</v>
      </c>
      <c r="J42" s="428">
        <f>IF(ISERROR(AVERAGEIF(IC!$L$3:$L$39, "=2016", IC!T$3:T$39)), NA(), AVERAGEIF(IC!$L$3:$L$39, "=2016", IC!T$3:T$39))</f>
        <v>1</v>
      </c>
      <c r="K42" s="428" t="e">
        <f>IF(ISERROR(AVERAGEIF(IC!$L$3:$L$39, "=2016", IC!U$3:U$39)), NA(), AVERAGEIF(IC!$L$3:$L$39, "=2016", IC!U$3:U$39))</f>
        <v>#N/A</v>
      </c>
      <c r="L42" s="428">
        <f>IF(ISERROR(AVERAGEIF(IC!$L$3:$L$39, "=2016", IC!V$3:V$39)), NA(), AVERAGEIF(IC!$L$3:$L$39, "=2016", IC!V$3:V$39))</f>
        <v>12</v>
      </c>
      <c r="M42" s="428" t="e">
        <f>IF(ISERROR(AVERAGEIF(IC!$L$3:$L$39, "=2016", IC!W$3:W$39)), NA(), AVERAGEIF(IC!$L$3:$L$39, "=2016", IC!W$3:W$39))</f>
        <v>#N/A</v>
      </c>
      <c r="N42" s="428" t="e">
        <f>IF(ISERROR(AVERAGEIF(IC!$L$3:$L$39, "=2016", IC!X$3:X$39)), NA(), AVERAGEIF(IC!$L$3:$L$39, "=2016", IC!X$3:X$39))</f>
        <v>#N/A</v>
      </c>
      <c r="O42" s="428" t="e">
        <f>IF(ISERROR(AVERAGEIF(IC!$L$3:$L$39, "=2016", IC!Y$3:Y$39)), NA(), AVERAGEIF(IC!$L$3:$L$39, "=2016", IC!Y$3:Y$39))</f>
        <v>#N/A</v>
      </c>
      <c r="P42" s="428" t="e">
        <f>IF(ISERROR(AVERAGEIF(IC!$L$3:$L$39, "=2016", IC!Z$3:Z$39)), NA(), AVERAGEIF(IC!$L$3:$L$39, "=2016", IC!Z$3:Z$39))</f>
        <v>#N/A</v>
      </c>
      <c r="Q42" s="428" t="e">
        <f>IF(ISERROR(AVERAGEIF(IC!$L$3:$L$39, "=2016", IC!AA$3:AA$39)), NA(), AVERAGEIF(IC!$L$3:$L$39, "=2016", IC!AA$3:AA$39))</f>
        <v>#N/A</v>
      </c>
      <c r="R42" s="428" t="e">
        <f>IF(ISERROR(AVERAGEIF(IC!$L$3:$L$39, "=2016", IC!AB$3:AB$39)), NA(), AVERAGEIF(IC!$L$3:$L$39, "=2016", IC!AB$3:AB$39))</f>
        <v>#N/A</v>
      </c>
      <c r="S42" s="428" t="e">
        <f>IF(ISERROR(AVERAGEIF(IC!$L$3:$L$39, "=2016", IC!AC$3:AC$39)), NA(), AVERAGEIF(IC!$L$3:$L$39, "=2016", IC!AC$3:AC$39))</f>
        <v>#N/A</v>
      </c>
      <c r="T42" s="428">
        <f>IF(ISERROR(AVERAGEIF(IC!$L$3:$L$39, "=2016", IC!AD$3:AD$39)), NA(), AVERAGEIF(IC!$L$3:$L$39, "=2016", IC!AD$3:AD$39))</f>
        <v>1</v>
      </c>
      <c r="U42" s="428" t="e">
        <f>IF(ISERROR(AVERAGEIF(IC!$L$3:$L$39, "=2016", IC!AE$3:AE$39)), NA(), AVERAGEIF(IC!$L$3:$L$39, "=2016", IC!AE$3:AE$39))</f>
        <v>#N/A</v>
      </c>
      <c r="V42" s="428">
        <f>IF(ISERROR(AVERAGEIF(IC!$L$3:$L$39, "=2016", IC!AF$3:AF$39)), NA(), AVERAGEIF(IC!$L$3:$L$39, "=2016", IC!AF$3:AF$39))</f>
        <v>11.1</v>
      </c>
      <c r="W42" s="428">
        <f>IF(ISERROR(AVERAGEIF(IC!$L$3:$L$39, "=2016", IC!AG$3:AG$39)), NA(), AVERAGEIF(IC!$L$3:$L$39, "=2016", IC!AG$3:AG$39))</f>
        <v>69</v>
      </c>
      <c r="X42" s="428">
        <f>IF(ISERROR(AVERAGEIF(IC!$L$3:$L$39, "=2016", IC!AH$3:AH$39)), NA(), AVERAGEIF(IC!$L$3:$L$39, "=2016", IC!AH$3:AH$39))</f>
        <v>100</v>
      </c>
      <c r="Y42" s="428" t="e">
        <f>IF(ISERROR(AVERAGEIF(IC!$L$3:$L$39, "=2016", IC!AI$3:AI$39)), NA(), AVERAGEIF(IC!$L$3:$L$39, "=2016", IC!AI$3:AI$39))</f>
        <v>#N/A</v>
      </c>
      <c r="Z42" s="428" t="e">
        <f>IF(ISERROR(AVERAGEIF(IC!$L$3:$L$39, "=2016", IC!AJ$3:AJ$39)), NA(), AVERAGEIF(IC!$L$3:$L$39, "=2016", IC!AJ$3:AJ$39))</f>
        <v>#N/A</v>
      </c>
      <c r="AA42" s="428" t="e">
        <f>IF(ISERROR(AVERAGEIF(IC!$L$3:$L$39, "=2016", IC!AK$3:AK$39)), NA(), AVERAGEIF(IC!$L$3:$L$39, "=2016", IC!AK$3:AK$39))</f>
        <v>#N/A</v>
      </c>
      <c r="AB42" s="428" t="e">
        <f>IF(ISERROR(AVERAGEIF(IC!$L$3:$L$39, "=2016", IC!AL$3:AL$39)), NA(), AVERAGEIF(IC!$L$3:$L$39, "=2016", IC!AL$3:AL$39))</f>
        <v>#N/A</v>
      </c>
      <c r="AC42" s="428">
        <f>IF(ISERROR(AVERAGEIF(IC!$L$3:$L$39, "=2016", IC!AM$3:AM$39)), NA(), AVERAGEIF(IC!$L$3:$L$39, "=2016", IC!AM$3:AM$39))</f>
        <v>4</v>
      </c>
      <c r="AD42" s="428">
        <f>IF(ISERROR(AVERAGEIF(IC!$L$3:$L$39, "=2016", IC!AN$3:AN$39)), NA(), AVERAGEIF(IC!$L$3:$L$39, "=2016", IC!AN$3:AN$39))</f>
        <v>4</v>
      </c>
      <c r="AE42" s="428" t="e">
        <f>IF(ISERROR(AVERAGEIF(IC!$L$3:$L$39, "=2016", IC!AO$3:AO$39)), NA(), AVERAGEIF(IC!$L$3:$L$39, "=2016", IC!AO$3:AO$39))</f>
        <v>#N/A</v>
      </c>
      <c r="AF42" s="428">
        <f>IF(ISERROR(AVERAGEIF(IC!$L$3:$L$39, "=2016", IC!AP$3:AP$39)), NA(), AVERAGEIF(IC!$L$3:$L$39, "=2016", IC!AP$3:AP$39))</f>
        <v>4</v>
      </c>
      <c r="AG42" s="428">
        <f>IF(ISERROR(AVERAGEIF(IC!$L$3:$L$39, "=2016", IC!AQ$3:AQ$39)), NA(), AVERAGEIF(IC!$L$3:$L$39, "=2016", IC!AQ$3:AQ$39))</f>
        <v>16</v>
      </c>
      <c r="AH42" s="428" t="e">
        <f>IF(ISERROR(AVERAGEIF(IC!$L$3:$L$39, "=2016", IC!AR$3:AR$39)), NA(), AVERAGEIF(IC!$L$3:$L$39, "=2016", IC!AR$3:AR$39))</f>
        <v>#N/A</v>
      </c>
      <c r="AI42" s="428">
        <f>IF(ISERROR(AVERAGEIF(IC!$L$3:$L$39, "=2016", IC!AS$3:AS$39)), NA(), AVERAGEIF(IC!$L$3:$L$39, "=2016", IC!AS$3:AS$39))</f>
        <v>1.8</v>
      </c>
      <c r="AJ42" s="428">
        <f>IF(ISERROR(AVERAGEIF(IC!$L$3:$L$39, "=2016", IC!AT$3:AT$39)), NA(), AVERAGEIF(IC!$L$3:$L$39, "=2016", IC!AT$3:AT$39))</f>
        <v>3.8</v>
      </c>
      <c r="AK42" s="428">
        <f>IF(ISERROR(AVERAGEIF(IC!$L$3:$L$39, "=2016", IC!AU$3:AU$39)), NA(), AVERAGEIF(IC!$L$3:$L$39, "=2016", IC!AU$3:AU$39))</f>
        <v>0.75</v>
      </c>
      <c r="AL42" s="428">
        <f>IF(ISERROR(AVERAGEIF(IC!$L$3:$L$39, "=2016", IC!AV$3:AV$39)), NA(), AVERAGEIF(IC!$L$3:$L$39, "=2016", IC!AV$3:AV$39))</f>
        <v>0.39360000000000006</v>
      </c>
      <c r="AM42" s="428">
        <f>IF(ISERROR(AVERAGEIF(IC!$L$3:$L$39, "=2016", IC!AW$3:AW$39)), NA(), AVERAGEIF(IC!$L$3:$L$39, "=2016", IC!AW$3:AW$39))</f>
        <v>12.979499999999998</v>
      </c>
      <c r="AN42" s="428">
        <f>IF(ISERROR(AVERAGEIF(IC!$L$3:$L$39, "=2016", IC!AX$3:AX$39)), NA(), AVERAGEIF(IC!$L$3:$L$39, "=2016", IC!AX$3:AX$39))</f>
        <v>9.1</v>
      </c>
      <c r="AO42" s="428">
        <f>IF(ISERROR(AVERAGEIF(IC!$L$3:$L$39, "=2016", IC!AY$3:AY$39)), NA(), AVERAGEIF(IC!$L$3:$L$39, "=2016", IC!AY$3:AY$39))</f>
        <v>6.1</v>
      </c>
      <c r="AP42" s="428">
        <f>IF(ISERROR(AVERAGEIF(IC!$L$3:$L$39, "=2016", IC!AZ$3:AZ$39)), NA(), AVERAGEIF(IC!$L$3:$L$39, "=2016", IC!AZ$3:AZ$39))</f>
        <v>29.027900000000002</v>
      </c>
      <c r="AQ42" s="428">
        <f>IF(ISERROR(AVERAGEIF(IC!$L$3:$L$39, "=2016", IC!BA$3:BA$39)), NA(), AVERAGEIF(IC!$L$3:$L$39, "=2016", IC!BA$3:BA$39))</f>
        <v>550</v>
      </c>
      <c r="AR42" s="428">
        <f>IF(ISERROR(AVERAGEIF(IC!$L$3:$L$39, "=2016", IC!BB$3:BB$39)), NA(), AVERAGEIF(IC!$L$3:$L$39, "=2016", IC!BB$3:BB$39))</f>
        <v>412.75</v>
      </c>
      <c r="AS42" s="428">
        <f>IF(ISERROR(AVERAGEIF(IC!$L$3:$L$39, "=2016", IC!BC$3:BC$39)), NA(), AVERAGEIF(IC!$L$3:$L$39, "=2016", IC!BC$3:BC$39))</f>
        <v>0.13750000000000001</v>
      </c>
      <c r="AT42" s="428" t="e">
        <f>IF(ISERROR(AVERAGEIF(IC!$L$3:$L$39, "=2016", IC!BD$3:BD$39)), NA(), AVERAGEIF(IC!$L$3:$L$39, "=2016", IC!BD$3:BD$39))</f>
        <v>#N/A</v>
      </c>
      <c r="AU42" s="428" t="e">
        <f>IF(ISERROR(AVERAGEIF(IC!$L$3:$L$39, "=2016", IC!BE$3:BE$39)), NA(), AVERAGEIF(IC!$L$3:$L$39, "=2016", IC!BE$3:BE$39))</f>
        <v>#N/A</v>
      </c>
      <c r="AV42" s="428">
        <f>IF(ISERROR(AVERAGEIF(IC!$L$3:$L$39, "=2016", IC!BF$3:BF$39)), NA(), AVERAGEIF(IC!$L$3:$L$39, "=2016", IC!BF$3:BF$39))</f>
        <v>1</v>
      </c>
      <c r="AW42" s="428" t="e">
        <f>IF(ISERROR(AVERAGEIF(IC!$L$3:$L$39, "=2016", IC!BG$3:BG$39)), NA(), AVERAGEIF(IC!$L$3:$L$39, "=2016", IC!BG$3:BG$39))</f>
        <v>#N/A</v>
      </c>
      <c r="AX42" s="428" t="e">
        <f>IF(ISERROR(AVERAGEIF(IC!$L$3:$L$39, "=2016", IC!BH$3:BH$39)), NA(), AVERAGEIF(IC!$L$3:$L$39, "=2016", IC!BH$3:BH$39))</f>
        <v>#N/A</v>
      </c>
      <c r="AY42" s="428" t="e">
        <f>IF(ISERROR(AVERAGEIF(IC!$L$3:$L$39, "=2016", IC!BI$3:BI$39)), NA(), AVERAGEIF(IC!$L$3:$L$39, "=2016", IC!BI$3:BI$39))</f>
        <v>#N/A</v>
      </c>
      <c r="AZ42" s="428" t="e">
        <f>IF(ISERROR(AVERAGEIF(IC!$L$3:$L$39, "=2016", IC!BJ$3:BJ$39)), NA(), AVERAGEIF(IC!$L$3:$L$39, "=2016", IC!BJ$3:BJ$39))</f>
        <v>#N/A</v>
      </c>
      <c r="BA42" s="428" t="e">
        <f>IF(ISERROR(AVERAGEIF(IC!$L$3:$L$39, "=2016", IC!BK$3:BK$39)), NA(), AVERAGEIF(IC!$L$3:$L$39, "=2016", IC!BK$3:BK$39))</f>
        <v>#N/A</v>
      </c>
      <c r="BB42" s="428">
        <f>IF(ISERROR(AVERAGEIF(IC!$L$3:$L$39, "=2016", IC!BL$3:BL$39)), NA(), AVERAGEIF(IC!$L$3:$L$39, "=2016", IC!BL$3:BL$39))</f>
        <v>2.0967044999999995</v>
      </c>
      <c r="BC42" s="428" t="e">
        <f>IF(ISERROR(AVERAGEIF(IC!$L$3:$L$39, "=2016", IC!BM$3:BM$39)), NA(), AVERAGEIF(IC!$L$3:$L$39, "=2016", IC!BM$3:BM$39))</f>
        <v>#N/A</v>
      </c>
      <c r="BD42" s="428">
        <f>IF(ISERROR(AVERAGEIF(IC!$L$3:$L$39, "=2016", IC!BO$3:BO$39)), NA(), AVERAGEIF(IC!$L$3:$L$39, "=2016", IC!BO$3:BO$39))</f>
        <v>538.84208900876399</v>
      </c>
      <c r="BE42" s="428" t="e">
        <f>IF(ISERROR(AVERAGEIF(IC!$L$3:$L$39, "=2016", IC!BP$3:BP$39)), NA(), AVERAGEIF(IC!$L$3:$L$39, "=2016", IC!BP$3:BP$39))</f>
        <v>#N/A</v>
      </c>
      <c r="BF42" s="428">
        <f>IF(ISERROR(AVERAGEIF(IC!$L$3:$L$39, "=2016", IC!BQ$3:BQ$39)), NA(), AVERAGEIF(IC!$L$3:$L$39, "=2016", IC!BQ$3:BQ$39))</f>
        <v>32</v>
      </c>
      <c r="BG42" s="428">
        <f>IF(ISERROR(AVERAGEIF(IC!$L$3:$L$39, "=2016", IC!BR$3:BR$39)), NA(), AVERAGEIF(IC!$L$3:$L$39, "=2016", IC!BR$3:BR$39))</f>
        <v>48</v>
      </c>
      <c r="BH42" s="428" t="e">
        <f>IF(ISERROR(AVERAGEIF(IC!$L$3:$L$39, "=2016", IC!BS$3:BS$39)), NA(), AVERAGEIF(IC!$L$3:$L$39, "=2016", IC!BS$3:BS$39))</f>
        <v>#N/A</v>
      </c>
      <c r="BI42" s="428">
        <f>IF(ISERROR(AVERAGEIF(IC!$L$3:$L$39, "=2016", IC!BT$3:BT$39)), NA(), AVERAGEIF(IC!$L$3:$L$39, "=2016", IC!BT$3:BT$39))</f>
        <v>30</v>
      </c>
      <c r="BJ42" s="428">
        <f>IF(ISERROR(AVERAGEIF(IC!$L$3:$L$39, "=2016", IC!BU$3:BU$39)), NA(), AVERAGEIF(IC!$L$3:$L$39, "=2016", IC!BU$3:BU$39))</f>
        <v>127.75</v>
      </c>
      <c r="BK42" s="428" t="e">
        <f>IF(ISERROR(AVERAGEIF(IC!$L$3:$L$39, "=2016", IC!BV$3:BV$39)), NA(), AVERAGEIF(IC!$L$3:$L$39, "=2016", IC!BV$3:BV$39))</f>
        <v>#N/A</v>
      </c>
      <c r="BL42" s="428" t="e">
        <f>IF(ISERROR(AVERAGEIF(IC!$L$3:$L$39, "=2016", IC!BW$3:BW$39)), NA(), AVERAGEIF(IC!$L$3:$L$39, "=2016", IC!BW$3:BW$39))</f>
        <v>#N/A</v>
      </c>
      <c r="BM42" s="428">
        <f>IF(ISERROR(AVERAGEIF(IC!$L$3:$L$39, "=2016", IC!BX$3:BX$39)), NA(), AVERAGEIF(IC!$L$3:$L$39, "=2016", IC!BX$3:BX$39))</f>
        <v>999999.75</v>
      </c>
      <c r="BN42" s="428" t="e">
        <f>IF(ISERROR(AVERAGEIF(IC!$L$3:$L$39, "=2016", IC!BY$3:BY$39)), NA(), AVERAGEIF(IC!$L$3:$L$39, "=2016", IC!BY$3:BY$39))</f>
        <v>#N/A</v>
      </c>
      <c r="BO42" s="428" t="e">
        <f>IF(ISERROR(AVERAGEIF(IC!$L$3:$L$39, "=2016", IC!BZ$3:BZ$39)), NA(), AVERAGEIF(IC!$L$3:$L$39, "=2016", IC!BZ$3:BZ$39))</f>
        <v>#N/A</v>
      </c>
      <c r="BP42" s="428" t="e">
        <f>IF(ISERROR(AVERAGEIF(IC!$L$3:$L$39, "=2016", IC!CA$3:CA$39)), NA(), AVERAGEIF(IC!$L$3:$L$39, "=2016", IC!CA$3:CA$39))</f>
        <v>#N/A</v>
      </c>
      <c r="BQ42" s="428" t="e">
        <f>IF(ISERROR(AVERAGEIF(IC!$L$3:$L$39, "=2016", IC!CB$3:CB$39)), NA(), AVERAGEIF(IC!$L$3:$L$39, "=2016", IC!CB$3:CB$39))</f>
        <v>#N/A</v>
      </c>
      <c r="BR42" s="428" t="e">
        <f>IF(ISERROR(AVERAGEIF(IC!$L$3:$L$39, "=2016", IC!CC$3:CC$39)), NA(), AVERAGEIF(IC!$L$3:$L$39, "=2016", IC!CC$3:CC$39))</f>
        <v>#N/A</v>
      </c>
      <c r="BS42" s="428" t="e">
        <f>IF(ISERROR(AVERAGEIF(IC!$L$3:$L$39, "=2016", IC!CD$3:CD$39)), NA(), AVERAGEIF(IC!$L$3:$L$39, "=2016", IC!CD$3:CD$39))</f>
        <v>#N/A</v>
      </c>
      <c r="BT42" s="428" t="e">
        <f>IF(ISERROR(AVERAGEIF(IC!$L$3:$L$39, "=2016", IC!CE$3:CE$39)), NA(), AVERAGEIF(IC!$L$3:$L$39, "=2016", IC!CE$3:CE$39))</f>
        <v>#N/A</v>
      </c>
      <c r="BU42" s="428">
        <f>IF(ISERROR(AVERAGEIF(IC!$L$3:$L$39, "=2016", IC!CF$3:CF$39)), NA(), AVERAGEIF(IC!$L$3:$L$39, "=2016", IC!CF$3:CF$39))</f>
        <v>2400</v>
      </c>
      <c r="BV42" s="428">
        <f>IF(ISERROR(AVERAGEIF(IC!$L$3:$L$39, "=2016", IC!CG$3:CG$39)), NA(), AVERAGEIF(IC!$L$3:$L$39, "=2016", IC!CG$3:CG$39))</f>
        <v>-98.5</v>
      </c>
      <c r="BW42" s="428">
        <f>IF(ISERROR(AVERAGEIF(IC!$L$3:$L$39, "=2016", IC!CH$3:CH$39)), NA(), AVERAGEIF(IC!$L$3:$L$39, "=2016", IC!CH$3:CH$39))</f>
        <v>4.75</v>
      </c>
      <c r="BX42" s="428">
        <f>IF(ISERROR(AVERAGEIF(IC!$L$3:$L$39, "=2016", IC!CI$3:CI$39)), NA(), AVERAGEIF(IC!$L$3:$L$39, "=2016", IC!CI$3:CI$39))</f>
        <v>14</v>
      </c>
      <c r="BY42" s="428">
        <f>IF(ISERROR(AVERAGEIF(IC!$L$3:$L$39, "=2016", IC!CJ$3:CJ$39)), NA(), AVERAGEIF(IC!$L$3:$L$39, "=2016", IC!CJ$3:CJ$39))</f>
        <v>151</v>
      </c>
      <c r="BZ42" s="428">
        <f>IF(ISERROR(AVERAGEIF(IC!$L$3:$L$39, "=2016", IC!CK$3:CK$39)), NA(), AVERAGEIF(IC!$L$3:$L$39, "=2016", IC!CK$3:CK$39))</f>
        <v>1015</v>
      </c>
    </row>
    <row r="43" spans="1:78" s="431" customFormat="1" ht="15" thickBot="1">
      <c r="A43" s="776"/>
      <c r="B43" s="433">
        <v>2017</v>
      </c>
      <c r="C43" s="431" t="e">
        <f>IF(ISERROR(AVERAGEIF(IC!$L$3:$L$39, "=2017", IC!M$3:M$39)), NA(), AVERAGEIF(IC!$L$3:$L$39, "=2017", IC!M$3:M$39))</f>
        <v>#N/A</v>
      </c>
      <c r="D43" s="431" t="e">
        <f>IF(ISERROR(AVERAGEIF(IC!$L$3:$L$39, "=2017", IC!N$3:N$39)), NA(), AVERAGEIF(IC!$L$3:$L$39, "=2017", IC!N$3:N$39))</f>
        <v>#N/A</v>
      </c>
      <c r="E43" s="431" t="e">
        <f>IF(ISERROR(AVERAGEIF(IC!$L$3:$L$39, "=2017", IC!O$3:O$39)), NA(), AVERAGEIF(IC!$L$3:$L$39, "=2017", IC!O$3:O$39))</f>
        <v>#N/A</v>
      </c>
      <c r="F43" s="431" t="e">
        <f>IF(ISERROR(AVERAGEIF(IC!$L$3:$L$39, "=2017", IC!P$3:P$39)), NA(), AVERAGEIF(IC!$L$3:$L$39, "=2017", IC!P$3:P$39))</f>
        <v>#N/A</v>
      </c>
      <c r="G43" s="431" t="e">
        <f>IF(ISERROR(AVERAGEIF(IC!$L$3:$L$39, "=2017", IC!Q$3:Q$39)), NA(), AVERAGEIF(IC!$L$3:$L$39, "=2017", IC!Q$3:Q$39))</f>
        <v>#N/A</v>
      </c>
      <c r="H43" s="431" t="e">
        <f>IF(ISERROR(AVERAGEIF(IC!$L$3:$L$39, "=2017", IC!R$3:R$39)), NA(), AVERAGEIF(IC!$L$3:$L$39, "=2017", IC!R$3:R$39))</f>
        <v>#N/A</v>
      </c>
      <c r="I43" s="431" t="e">
        <f>IF(ISERROR(AVERAGEIF(IC!$L$3:$L$39, "=2017", IC!S$3:S$39)), NA(), AVERAGEIF(IC!$L$3:$L$39, "=2017", IC!S$3:S$39))</f>
        <v>#N/A</v>
      </c>
      <c r="J43" s="431" t="e">
        <f>IF(ISERROR(AVERAGEIF(IC!$L$3:$L$39, "=2017", IC!T$3:T$39)), NA(), AVERAGEIF(IC!$L$3:$L$39, "=2017", IC!T$3:T$39))</f>
        <v>#N/A</v>
      </c>
      <c r="K43" s="431" t="e">
        <f>IF(ISERROR(AVERAGEIF(IC!$L$3:$L$39, "=2017", IC!U$3:U$39)), NA(), AVERAGEIF(IC!$L$3:$L$39, "=2017", IC!U$3:U$39))</f>
        <v>#N/A</v>
      </c>
      <c r="L43" s="431" t="e">
        <f>IF(ISERROR(AVERAGEIF(IC!$L$3:$L$39, "=2017", IC!V$3:V$39)), NA(), AVERAGEIF(IC!$L$3:$L$39, "=2017", IC!V$3:V$39))</f>
        <v>#N/A</v>
      </c>
      <c r="M43" s="431" t="e">
        <f>IF(ISERROR(AVERAGEIF(IC!$L$3:$L$39, "=2017", IC!W$3:W$39)), NA(), AVERAGEIF(IC!$L$3:$L$39, "=2017", IC!W$3:W$39))</f>
        <v>#N/A</v>
      </c>
      <c r="N43" s="431" t="e">
        <f>IF(ISERROR(AVERAGEIF(IC!$L$3:$L$39, "=2017", IC!X$3:X$39)), NA(), AVERAGEIF(IC!$L$3:$L$39, "=2017", IC!X$3:X$39))</f>
        <v>#N/A</v>
      </c>
      <c r="O43" s="431" t="e">
        <f>IF(ISERROR(AVERAGEIF(IC!$L$3:$L$39, "=2017", IC!Y$3:Y$39)), NA(), AVERAGEIF(IC!$L$3:$L$39, "=2017", IC!Y$3:Y$39))</f>
        <v>#N/A</v>
      </c>
      <c r="P43" s="431" t="e">
        <f>IF(ISERROR(AVERAGEIF(IC!$L$3:$L$39, "=2017", IC!Z$3:Z$39)), NA(), AVERAGEIF(IC!$L$3:$L$39, "=2017", IC!Z$3:Z$39))</f>
        <v>#N/A</v>
      </c>
      <c r="Q43" s="431" t="e">
        <f>IF(ISERROR(AVERAGEIF(IC!$L$3:$L$39, "=2017", IC!AA$3:AA$39)), NA(), AVERAGEIF(IC!$L$3:$L$39, "=2017", IC!AA$3:AA$39))</f>
        <v>#N/A</v>
      </c>
      <c r="R43" s="431" t="e">
        <f>IF(ISERROR(AVERAGEIF(IC!$L$3:$L$39, "=2017", IC!AB$3:AB$39)), NA(), AVERAGEIF(IC!$L$3:$L$39, "=2017", IC!AB$3:AB$39))</f>
        <v>#N/A</v>
      </c>
      <c r="S43" s="431" t="e">
        <f>IF(ISERROR(AVERAGEIF(IC!$L$3:$L$39, "=2017", IC!AC$3:AC$39)), NA(), AVERAGEIF(IC!$L$3:$L$39, "=2017", IC!AC$3:AC$39))</f>
        <v>#N/A</v>
      </c>
      <c r="T43" s="431" t="e">
        <f>IF(ISERROR(AVERAGEIF(IC!$L$3:$L$39, "=2017", IC!AD$3:AD$39)), NA(), AVERAGEIF(IC!$L$3:$L$39, "=2017", IC!AD$3:AD$39))</f>
        <v>#N/A</v>
      </c>
      <c r="U43" s="431" t="e">
        <f>IF(ISERROR(AVERAGEIF(IC!$L$3:$L$39, "=2017", IC!AE$3:AE$39)), NA(), AVERAGEIF(IC!$L$3:$L$39, "=2017", IC!AE$3:AE$39))</f>
        <v>#N/A</v>
      </c>
      <c r="V43" s="431" t="e">
        <f>IF(ISERROR(AVERAGEIF(IC!$L$3:$L$39, "=2017", IC!AF$3:AF$39)), NA(), AVERAGEIF(IC!$L$3:$L$39, "=2017", IC!AF$3:AF$39))</f>
        <v>#N/A</v>
      </c>
      <c r="W43" s="431" t="e">
        <f>IF(ISERROR(AVERAGEIF(IC!$L$3:$L$39, "=2017", IC!AG$3:AG$39)), NA(), AVERAGEIF(IC!$L$3:$L$39, "=2017", IC!AG$3:AG$39))</f>
        <v>#N/A</v>
      </c>
      <c r="X43" s="431" t="e">
        <f>IF(ISERROR(AVERAGEIF(IC!$L$3:$L$39, "=2017", IC!AH$3:AH$39)), NA(), AVERAGEIF(IC!$L$3:$L$39, "=2017", IC!AH$3:AH$39))</f>
        <v>#N/A</v>
      </c>
      <c r="Y43" s="431" t="e">
        <f>IF(ISERROR(AVERAGEIF(IC!$L$3:$L$39, "=2017", IC!AI$3:AI$39)), NA(), AVERAGEIF(IC!$L$3:$L$39, "=2017", IC!AI$3:AI$39))</f>
        <v>#N/A</v>
      </c>
      <c r="Z43" s="431" t="e">
        <f>IF(ISERROR(AVERAGEIF(IC!$L$3:$L$39, "=2017", IC!AJ$3:AJ$39)), NA(), AVERAGEIF(IC!$L$3:$L$39, "=2017", IC!AJ$3:AJ$39))</f>
        <v>#N/A</v>
      </c>
      <c r="AA43" s="431" t="e">
        <f>IF(ISERROR(AVERAGEIF(IC!$L$3:$L$39, "=2017", IC!AK$3:AK$39)), NA(), AVERAGEIF(IC!$L$3:$L$39, "=2017", IC!AK$3:AK$39))</f>
        <v>#N/A</v>
      </c>
      <c r="AB43" s="431" t="e">
        <f>IF(ISERROR(AVERAGEIF(IC!$L$3:$L$39, "=2017", IC!AL$3:AL$39)), NA(), AVERAGEIF(IC!$L$3:$L$39, "=2017", IC!AL$3:AL$39))</f>
        <v>#N/A</v>
      </c>
      <c r="AC43" s="431" t="e">
        <f>IF(ISERROR(AVERAGEIF(IC!$L$3:$L$39, "=2017", IC!AM$3:AM$39)), NA(), AVERAGEIF(IC!$L$3:$L$39, "=2017", IC!AM$3:AM$39))</f>
        <v>#N/A</v>
      </c>
      <c r="AD43" s="431" t="e">
        <f>IF(ISERROR(AVERAGEIF(IC!$L$3:$L$39, "=2017", IC!AN$3:AN$39)), NA(), AVERAGEIF(IC!$L$3:$L$39, "=2017", IC!AN$3:AN$39))</f>
        <v>#N/A</v>
      </c>
      <c r="AE43" s="431" t="e">
        <f>IF(ISERROR(AVERAGEIF(IC!$L$3:$L$39, "=2017", IC!AO$3:AO$39)), NA(), AVERAGEIF(IC!$L$3:$L$39, "=2017", IC!AO$3:AO$39))</f>
        <v>#N/A</v>
      </c>
      <c r="AF43" s="431" t="e">
        <f>IF(ISERROR(AVERAGEIF(IC!$L$3:$L$39, "=2017", IC!AP$3:AP$39)), NA(), AVERAGEIF(IC!$L$3:$L$39, "=2017", IC!AP$3:AP$39))</f>
        <v>#N/A</v>
      </c>
      <c r="AG43" s="431" t="e">
        <f>IF(ISERROR(AVERAGEIF(IC!$L$3:$L$39, "=2017", IC!AQ$3:AQ$39)), NA(), AVERAGEIF(IC!$L$3:$L$39, "=2017", IC!AQ$3:AQ$39))</f>
        <v>#N/A</v>
      </c>
      <c r="AH43" s="431" t="e">
        <f>IF(ISERROR(AVERAGEIF(IC!$L$3:$L$39, "=2017", IC!AR$3:AR$39)), NA(), AVERAGEIF(IC!$L$3:$L$39, "=2017", IC!AR$3:AR$39))</f>
        <v>#N/A</v>
      </c>
      <c r="AI43" s="431" t="e">
        <f>IF(ISERROR(AVERAGEIF(IC!$L$3:$L$39, "=2017", IC!AS$3:AS$39)), NA(), AVERAGEIF(IC!$L$3:$L$39, "=2017", IC!AS$3:AS$39))</f>
        <v>#N/A</v>
      </c>
      <c r="AJ43" s="431" t="e">
        <f>IF(ISERROR(AVERAGEIF(IC!$L$3:$L$39, "=2017", IC!AT$3:AT$39)), NA(), AVERAGEIF(IC!$L$3:$L$39, "=2017", IC!AT$3:AT$39))</f>
        <v>#N/A</v>
      </c>
      <c r="AK43" s="431" t="e">
        <f>IF(ISERROR(AVERAGEIF(IC!$L$3:$L$39, "=2017", IC!AU$3:AU$39)), NA(), AVERAGEIF(IC!$L$3:$L$39, "=2017", IC!AU$3:AU$39))</f>
        <v>#N/A</v>
      </c>
      <c r="AL43" s="431" t="e">
        <f>IF(ISERROR(AVERAGEIF(IC!$L$3:$L$39, "=2017", IC!AV$3:AV$39)), NA(), AVERAGEIF(IC!$L$3:$L$39, "=2017", IC!AV$3:AV$39))</f>
        <v>#N/A</v>
      </c>
      <c r="AM43" s="431" t="e">
        <f>IF(ISERROR(AVERAGEIF(IC!$L$3:$L$39, "=2017", IC!AW$3:AW$39)), NA(), AVERAGEIF(IC!$L$3:$L$39, "=2017", IC!AW$3:AW$39))</f>
        <v>#N/A</v>
      </c>
      <c r="AN43" s="431" t="e">
        <f>IF(ISERROR(AVERAGEIF(IC!$L$3:$L$39, "=2017", IC!AX$3:AX$39)), NA(), AVERAGEIF(IC!$L$3:$L$39, "=2017", IC!AX$3:AX$39))</f>
        <v>#N/A</v>
      </c>
      <c r="AO43" s="431" t="e">
        <f>IF(ISERROR(AVERAGEIF(IC!$L$3:$L$39, "=2017", IC!AY$3:AY$39)), NA(), AVERAGEIF(IC!$L$3:$L$39, "=2017", IC!AY$3:AY$39))</f>
        <v>#N/A</v>
      </c>
      <c r="AP43" s="431" t="e">
        <f>IF(ISERROR(AVERAGEIF(IC!$L$3:$L$39, "=2017", IC!AZ$3:AZ$39)), NA(), AVERAGEIF(IC!$L$3:$L$39, "=2017", IC!AZ$3:AZ$39))</f>
        <v>#N/A</v>
      </c>
      <c r="AQ43" s="431" t="e">
        <f>IF(ISERROR(AVERAGEIF(IC!$L$3:$L$39, "=2017", IC!BA$3:BA$39)), NA(), AVERAGEIF(IC!$L$3:$L$39, "=2017", IC!BA$3:BA$39))</f>
        <v>#N/A</v>
      </c>
      <c r="AR43" s="431" t="e">
        <f>IF(ISERROR(AVERAGEIF(IC!$L$3:$L$39, "=2017", IC!BB$3:BB$39)), NA(), AVERAGEIF(IC!$L$3:$L$39, "=2017", IC!BB$3:BB$39))</f>
        <v>#N/A</v>
      </c>
      <c r="AS43" s="431" t="e">
        <f>IF(ISERROR(AVERAGEIF(IC!$L$3:$L$39, "=2017", IC!BC$3:BC$39)), NA(), AVERAGEIF(IC!$L$3:$L$39, "=2017", IC!BC$3:BC$39))</f>
        <v>#N/A</v>
      </c>
      <c r="AT43" s="431" t="e">
        <f>IF(ISERROR(AVERAGEIF(IC!$L$3:$L$39, "=2017", IC!BD$3:BD$39)), NA(), AVERAGEIF(IC!$L$3:$L$39, "=2017", IC!BD$3:BD$39))</f>
        <v>#N/A</v>
      </c>
      <c r="AU43" s="431" t="e">
        <f>IF(ISERROR(AVERAGEIF(IC!$L$3:$L$39, "=2017", IC!BE$3:BE$39)), NA(), AVERAGEIF(IC!$L$3:$L$39, "=2017", IC!BE$3:BE$39))</f>
        <v>#N/A</v>
      </c>
      <c r="AV43" s="431" t="e">
        <f>IF(ISERROR(AVERAGEIF(IC!$L$3:$L$39, "=2017", IC!BF$3:BF$39)), NA(), AVERAGEIF(IC!$L$3:$L$39, "=2017", IC!BF$3:BF$39))</f>
        <v>#N/A</v>
      </c>
      <c r="AW43" s="431" t="e">
        <f>IF(ISERROR(AVERAGEIF(IC!$L$3:$L$39, "=2017", IC!BG$3:BG$39)), NA(), AVERAGEIF(IC!$L$3:$L$39, "=2017", IC!BG$3:BG$39))</f>
        <v>#N/A</v>
      </c>
      <c r="AX43" s="431" t="e">
        <f>IF(ISERROR(AVERAGEIF(IC!$L$3:$L$39, "=2017", IC!BH$3:BH$39)), NA(), AVERAGEIF(IC!$L$3:$L$39, "=2017", IC!BH$3:BH$39))</f>
        <v>#N/A</v>
      </c>
      <c r="AY43" s="431" t="e">
        <f>IF(ISERROR(AVERAGEIF(IC!$L$3:$L$39, "=2017", IC!BI$3:BI$39)), NA(), AVERAGEIF(IC!$L$3:$L$39, "=2017", IC!BI$3:BI$39))</f>
        <v>#N/A</v>
      </c>
      <c r="AZ43" s="431" t="e">
        <f>IF(ISERROR(AVERAGEIF(IC!$L$3:$L$39, "=2017", IC!BJ$3:BJ$39)), NA(), AVERAGEIF(IC!$L$3:$L$39, "=2017", IC!BJ$3:BJ$39))</f>
        <v>#N/A</v>
      </c>
      <c r="BA43" s="431" t="e">
        <f>IF(ISERROR(AVERAGEIF(IC!$L$3:$L$39, "=2017", IC!BK$3:BK$39)), NA(), AVERAGEIF(IC!$L$3:$L$39, "=2017", IC!BK$3:BK$39))</f>
        <v>#N/A</v>
      </c>
      <c r="BB43" s="431" t="e">
        <f>IF(ISERROR(AVERAGEIF(IC!$L$3:$L$39, "=2017", IC!BL$3:BL$39)), NA(), AVERAGEIF(IC!$L$3:$L$39, "=2017", IC!BL$3:BL$39))</f>
        <v>#N/A</v>
      </c>
      <c r="BC43" s="431" t="e">
        <f>IF(ISERROR(AVERAGEIF(IC!$L$3:$L$39, "=2017", IC!BM$3:BM$39)), NA(), AVERAGEIF(IC!$L$3:$L$39, "=2017", IC!BM$3:BM$39))</f>
        <v>#N/A</v>
      </c>
      <c r="BD43" s="431" t="e">
        <f>IF(ISERROR(AVERAGEIF(IC!$L$3:$L$39, "=2017", IC!BO$3:BO$39)), NA(), AVERAGEIF(IC!$L$3:$L$39, "=2017", IC!BO$3:BO$39))</f>
        <v>#N/A</v>
      </c>
      <c r="BE43" s="431" t="e">
        <f>IF(ISERROR(AVERAGEIF(IC!$L$3:$L$39, "=2017", IC!BP$3:BP$39)), NA(), AVERAGEIF(IC!$L$3:$L$39, "=2017", IC!BP$3:BP$39))</f>
        <v>#N/A</v>
      </c>
      <c r="BF43" s="431" t="e">
        <f>IF(ISERROR(AVERAGEIF(IC!$L$3:$L$39, "=2017", IC!BQ$3:BQ$39)), NA(), AVERAGEIF(IC!$L$3:$L$39, "=2017", IC!BQ$3:BQ$39))</f>
        <v>#N/A</v>
      </c>
      <c r="BG43" s="431" t="e">
        <f>IF(ISERROR(AVERAGEIF(IC!$L$3:$L$39, "=2017", IC!BR$3:BR$39)), NA(), AVERAGEIF(IC!$L$3:$L$39, "=2017", IC!BR$3:BR$39))</f>
        <v>#N/A</v>
      </c>
      <c r="BH43" s="431" t="e">
        <f>IF(ISERROR(AVERAGEIF(IC!$L$3:$L$39, "=2017", IC!BS$3:BS$39)), NA(), AVERAGEIF(IC!$L$3:$L$39, "=2017", IC!BS$3:BS$39))</f>
        <v>#N/A</v>
      </c>
      <c r="BI43" s="431" t="e">
        <f>IF(ISERROR(AVERAGEIF(IC!$L$3:$L$39, "=2017", IC!BT$3:BT$39)), NA(), AVERAGEIF(IC!$L$3:$L$39, "=2017", IC!BT$3:BT$39))</f>
        <v>#N/A</v>
      </c>
      <c r="BJ43" s="431" t="e">
        <f>IF(ISERROR(AVERAGEIF(IC!$L$3:$L$39, "=2017", IC!BU$3:BU$39)), NA(), AVERAGEIF(IC!$L$3:$L$39, "=2017", IC!BU$3:BU$39))</f>
        <v>#N/A</v>
      </c>
      <c r="BK43" s="431" t="e">
        <f>IF(ISERROR(AVERAGEIF(IC!$L$3:$L$39, "=2017", IC!BV$3:BV$39)), NA(), AVERAGEIF(IC!$L$3:$L$39, "=2017", IC!BV$3:BV$39))</f>
        <v>#N/A</v>
      </c>
      <c r="BL43" s="431" t="e">
        <f>IF(ISERROR(AVERAGEIF(IC!$L$3:$L$39, "=2017", IC!BW$3:BW$39)), NA(), AVERAGEIF(IC!$L$3:$L$39, "=2017", IC!BW$3:BW$39))</f>
        <v>#N/A</v>
      </c>
      <c r="BM43" s="431" t="e">
        <f>IF(ISERROR(AVERAGEIF(IC!$L$3:$L$39, "=2017", IC!BX$3:BX$39)), NA(), AVERAGEIF(IC!$L$3:$L$39, "=2017", IC!BX$3:BX$39))</f>
        <v>#N/A</v>
      </c>
      <c r="BN43" s="431" t="e">
        <f>IF(ISERROR(AVERAGEIF(IC!$L$3:$L$39, "=2017", IC!BY$3:BY$39)), NA(), AVERAGEIF(IC!$L$3:$L$39, "=2017", IC!BY$3:BY$39))</f>
        <v>#N/A</v>
      </c>
      <c r="BO43" s="431" t="e">
        <f>IF(ISERROR(AVERAGEIF(IC!$L$3:$L$39, "=2017", IC!BZ$3:BZ$39)), NA(), AVERAGEIF(IC!$L$3:$L$39, "=2017", IC!BZ$3:BZ$39))</f>
        <v>#N/A</v>
      </c>
      <c r="BP43" s="431" t="e">
        <f>IF(ISERROR(AVERAGEIF(IC!$L$3:$L$39, "=2017", IC!CA$3:CA$39)), NA(), AVERAGEIF(IC!$L$3:$L$39, "=2017", IC!CA$3:CA$39))</f>
        <v>#N/A</v>
      </c>
      <c r="BQ43" s="431" t="e">
        <f>IF(ISERROR(AVERAGEIF(IC!$L$3:$L$39, "=2017", IC!CB$3:CB$39)), NA(), AVERAGEIF(IC!$L$3:$L$39, "=2017", IC!CB$3:CB$39))</f>
        <v>#N/A</v>
      </c>
      <c r="BR43" s="431" t="e">
        <f>IF(ISERROR(AVERAGEIF(IC!$L$3:$L$39, "=2017", IC!CC$3:CC$39)), NA(), AVERAGEIF(IC!$L$3:$L$39, "=2017", IC!CC$3:CC$39))</f>
        <v>#N/A</v>
      </c>
      <c r="BS43" s="431" t="e">
        <f>IF(ISERROR(AVERAGEIF(IC!$L$3:$L$39, "=2017", IC!CD$3:CD$39)), NA(), AVERAGEIF(IC!$L$3:$L$39, "=2017", IC!CD$3:CD$39))</f>
        <v>#N/A</v>
      </c>
      <c r="BT43" s="431" t="e">
        <f>IF(ISERROR(AVERAGEIF(IC!$L$3:$L$39, "=2017", IC!CE$3:CE$39)), NA(), AVERAGEIF(IC!$L$3:$L$39, "=2017", IC!CE$3:CE$39))</f>
        <v>#N/A</v>
      </c>
      <c r="BU43" s="431" t="e">
        <f>IF(ISERROR(AVERAGEIF(IC!$L$3:$L$39, "=2017", IC!CF$3:CF$39)), NA(), AVERAGEIF(IC!$L$3:$L$39, "=2017", IC!CF$3:CF$39))</f>
        <v>#N/A</v>
      </c>
      <c r="BV43" s="431" t="e">
        <f>IF(ISERROR(AVERAGEIF(IC!$L$3:$L$39, "=2017", IC!CG$3:CG$39)), NA(), AVERAGEIF(IC!$L$3:$L$39, "=2017", IC!CG$3:CG$39))</f>
        <v>#N/A</v>
      </c>
      <c r="BW43" s="431" t="e">
        <f>IF(ISERROR(AVERAGEIF(IC!$L$3:$L$39, "=2017", IC!CH$3:CH$39)), NA(), AVERAGEIF(IC!$L$3:$L$39, "=2017", IC!CH$3:CH$39))</f>
        <v>#N/A</v>
      </c>
      <c r="BX43" s="431" t="e">
        <f>IF(ISERROR(AVERAGEIF(IC!$L$3:$L$39, "=2017", IC!CI$3:CI$39)), NA(), AVERAGEIF(IC!$L$3:$L$39, "=2017", IC!CI$3:CI$39))</f>
        <v>#N/A</v>
      </c>
      <c r="BY43" s="431" t="e">
        <f>IF(ISERROR(AVERAGEIF(IC!$L$3:$L$39, "=2017", IC!CJ$3:CJ$39)), NA(), AVERAGEIF(IC!$L$3:$L$39, "=2017", IC!CJ$3:CJ$39))</f>
        <v>#N/A</v>
      </c>
      <c r="BZ43" s="431" t="e">
        <f>IF(ISERROR(AVERAGEIF(IC!$L$3:$L$39, "=2017", IC!CK$3:CK$39)), NA(), AVERAGEIF(IC!$L$3:$L$39, "=2017", IC!CK$3:CK$39))</f>
        <v>#N/A</v>
      </c>
    </row>
    <row r="44" spans="1:78">
      <c r="A44" s="774" t="s">
        <v>879</v>
      </c>
      <c r="B44" s="434">
        <v>2006</v>
      </c>
      <c r="C44" s="428" t="e">
        <f>IF(ISERROR(AVERAGEIF(IC!$L$40:$L$64, "=2006", IC!M$40:M$64)), NA(), AVERAGEIF(IC!$L$40:$L$64, "=2006", IC!M$40:M$64))</f>
        <v>#N/A</v>
      </c>
      <c r="D44" s="428" t="e">
        <f>IF(ISERROR(AVERAGEIF(IC!$L$40:$L$64, "=2006", IC!N$40:N$64)), NA(), AVERAGEIF(IC!$L$40:$L$64, "=2006", IC!N$40:N$64))</f>
        <v>#N/A</v>
      </c>
      <c r="E44" s="428" t="e">
        <f>IF(ISERROR(AVERAGEIF(IC!$L$40:$L$64, "=2006", IC!O$40:O$64)), NA(), AVERAGEIF(IC!$L$40:$L$64, "=2006", IC!O$40:O$64))</f>
        <v>#N/A</v>
      </c>
      <c r="F44" s="428" t="e">
        <f>IF(ISERROR(AVERAGEIF(IC!$L$40:$L$64, "=2006", IC!P$40:P$64)), NA(), AVERAGEIF(IC!$L$40:$L$64, "=2006", IC!P$40:P$64))</f>
        <v>#N/A</v>
      </c>
      <c r="G44" s="428" t="e">
        <f>IF(ISERROR(AVERAGEIF(IC!$L$40:$L$64, "=2006", IC!Q$40:Q$64)), NA(), AVERAGEIF(IC!$L$40:$L$64, "=2006", IC!Q$40:Q$64))</f>
        <v>#N/A</v>
      </c>
      <c r="H44" s="428" t="e">
        <f>IF(ISERROR(AVERAGEIF(IC!$L$40:$L$64, "=2006", IC!R$40:R$64)), NA(), AVERAGEIF(IC!$L$40:$L$64, "=2006", IC!R$40:R$64))</f>
        <v>#N/A</v>
      </c>
      <c r="I44" s="428" t="e">
        <f>IF(ISERROR(AVERAGEIF(IC!$L$40:$L$64, "=2006", IC!S$40:S$64)), NA(), AVERAGEIF(IC!$L$40:$L$64, "=2006", IC!S$40:S$64))</f>
        <v>#N/A</v>
      </c>
      <c r="J44" s="428" t="e">
        <f>IF(ISERROR(AVERAGEIF(IC!$L$40:$L$64, "=2006", IC!T$40:T$64)), NA(), AVERAGEIF(IC!$L$40:$L$64, "=2006", IC!T$40:T$64))</f>
        <v>#N/A</v>
      </c>
      <c r="K44" s="428" t="e">
        <f>IF(ISERROR(AVERAGEIF(IC!$L$40:$L$64, "=2006", IC!U$40:U$64)), NA(), AVERAGEIF(IC!$L$40:$L$64, "=2006", IC!U$40:U$64))</f>
        <v>#N/A</v>
      </c>
      <c r="L44" s="428" t="e">
        <f>IF(ISERROR(AVERAGEIF(IC!$L$40:$L$64, "=2006", IC!V$40:V$64)), NA(), AVERAGEIF(IC!$L$40:$L$64, "=2006", IC!V$40:V$64))</f>
        <v>#N/A</v>
      </c>
      <c r="M44" s="428" t="e">
        <f>IF(ISERROR(AVERAGEIF(IC!$L$40:$L$64, "=2006", IC!W$40:W$64)), NA(), AVERAGEIF(IC!$L$40:$L$64, "=2006", IC!W$40:W$64))</f>
        <v>#N/A</v>
      </c>
      <c r="N44" s="428" t="e">
        <f>IF(ISERROR(AVERAGEIF(IC!$L$40:$L$64, "=2006", IC!X$40:X$64)), NA(), AVERAGEIF(IC!$L$40:$L$64, "=2006", IC!X$40:X$64))</f>
        <v>#N/A</v>
      </c>
      <c r="O44" s="428" t="e">
        <f>IF(ISERROR(AVERAGEIF(IC!$L$40:$L$64, "=2006", IC!Y$40:Y$64)), NA(), AVERAGEIF(IC!$L$40:$L$64, "=2006", IC!Y$40:Y$64))</f>
        <v>#N/A</v>
      </c>
      <c r="P44" s="428" t="e">
        <f>IF(ISERROR(AVERAGEIF(IC!$L$40:$L$64, "=2006", IC!Z$40:Z$64)), NA(), AVERAGEIF(IC!$L$40:$L$64, "=2006", IC!Z$40:Z$64))</f>
        <v>#N/A</v>
      </c>
      <c r="Q44" s="428" t="e">
        <f>IF(ISERROR(AVERAGEIF(IC!$L$40:$L$64, "=2006", IC!AA$40:AA$64)), NA(), AVERAGEIF(IC!$L$40:$L$64, "=2006", IC!AA$40:AA$64))</f>
        <v>#N/A</v>
      </c>
      <c r="R44" s="428" t="e">
        <f>IF(ISERROR(AVERAGEIF(IC!$L$40:$L$64, "=2006", IC!AB$40:AB$64)), NA(), AVERAGEIF(IC!$L$40:$L$64, "=2006", IC!AB$40:AB$64))</f>
        <v>#N/A</v>
      </c>
      <c r="S44" s="428" t="e">
        <f>IF(ISERROR(AVERAGEIF(IC!$L$40:$L$64, "=2006", IC!AC$40:AC$64)), NA(), AVERAGEIF(IC!$L$40:$L$64, "=2006", IC!AC$40:AC$64))</f>
        <v>#N/A</v>
      </c>
      <c r="T44" s="428" t="e">
        <f>IF(ISERROR(AVERAGEIF(IC!$L$40:$L$64, "=2006", IC!AD$40:AD$64)), NA(), AVERAGEIF(IC!$L$40:$L$64, "=2006", IC!AD$40:AD$64))</f>
        <v>#N/A</v>
      </c>
      <c r="U44" s="428" t="e">
        <f>IF(ISERROR(AVERAGEIF(IC!$L$40:$L$64, "=2006", IC!AE$40:AE$64)), NA(), AVERAGEIF(IC!$L$40:$L$64, "=2006", IC!AE$40:AE$64))</f>
        <v>#N/A</v>
      </c>
      <c r="V44" s="428" t="e">
        <f>IF(ISERROR(AVERAGEIF(IC!$L$40:$L$64, "=2006", IC!AF$40:AF$64)), NA(), AVERAGEIF(IC!$L$40:$L$64, "=2006", IC!AF$40:AF$64))</f>
        <v>#N/A</v>
      </c>
      <c r="W44" s="428" t="e">
        <f>IF(ISERROR(AVERAGEIF(IC!$L$40:$L$64, "=2006", IC!AG$40:AG$64)), NA(), AVERAGEIF(IC!$L$40:$L$64, "=2006", IC!AG$40:AG$64))</f>
        <v>#N/A</v>
      </c>
      <c r="X44" s="428" t="e">
        <f>IF(ISERROR(AVERAGEIF(IC!$L$40:$L$64, "=2006", IC!AH$40:AH$64)), NA(), AVERAGEIF(IC!$L$40:$L$64, "=2006", IC!AH$40:AH$64))</f>
        <v>#N/A</v>
      </c>
      <c r="Y44" s="428" t="e">
        <f>IF(ISERROR(AVERAGEIF(IC!$L$40:$L$64, "=2006", IC!AI$40:AI$64)), NA(), AVERAGEIF(IC!$L$40:$L$64, "=2006", IC!AI$40:AI$64))</f>
        <v>#N/A</v>
      </c>
      <c r="Z44" s="428" t="e">
        <f>IF(ISERROR(AVERAGEIF(IC!$L$40:$L$64, "=2006", IC!AJ$40:AJ$64)), NA(), AVERAGEIF(IC!$L$40:$L$64, "=2006", IC!AJ$40:AJ$64))</f>
        <v>#N/A</v>
      </c>
      <c r="AA44" s="428" t="e">
        <f>IF(ISERROR(AVERAGEIF(IC!$L$40:$L$64, "=2006", IC!AK$40:AK$64)), NA(), AVERAGEIF(IC!$L$40:$L$64, "=2006", IC!AK$40:AK$64))</f>
        <v>#N/A</v>
      </c>
      <c r="AB44" s="428" t="e">
        <f>IF(ISERROR(AVERAGEIF(IC!$L$40:$L$64, "=2006", IC!AL$40:AL$64)), NA(), AVERAGEIF(IC!$L$40:$L$64, "=2006", IC!AL$40:AL$64))</f>
        <v>#N/A</v>
      </c>
      <c r="AC44" s="428" t="e">
        <f>IF(ISERROR(AVERAGEIF(IC!$L$40:$L$64, "=2006", IC!AM$40:AM$64)), NA(), AVERAGEIF(IC!$L$40:$L$64, "=2006", IC!AM$40:AM$64))</f>
        <v>#N/A</v>
      </c>
      <c r="AD44" s="428" t="e">
        <f>IF(ISERROR(AVERAGEIF(IC!$L$40:$L$64, "=2006", IC!AN$40:AN$64)), NA(), AVERAGEIF(IC!$L$40:$L$64, "=2006", IC!AN$40:AN$64))</f>
        <v>#N/A</v>
      </c>
      <c r="AE44" s="428" t="e">
        <f>IF(ISERROR(AVERAGEIF(IC!$L$40:$L$64, "=2006", IC!AO$40:AO$64)), NA(), AVERAGEIF(IC!$L$40:$L$64, "=2006", IC!AO$40:AO$64))</f>
        <v>#N/A</v>
      </c>
      <c r="AF44" s="428" t="e">
        <f>IF(ISERROR(AVERAGEIF(IC!$L$40:$L$64, "=2006", IC!AP$40:AP$64)), NA(), AVERAGEIF(IC!$L$40:$L$64, "=2006", IC!AP$40:AP$64))</f>
        <v>#N/A</v>
      </c>
      <c r="AG44" s="428" t="e">
        <f>IF(ISERROR(AVERAGEIF(IC!$L$40:$L$64, "=2006", IC!AQ$40:AQ$64)), NA(), AVERAGEIF(IC!$L$40:$L$64, "=2006", IC!AQ$40:AQ$64))</f>
        <v>#N/A</v>
      </c>
      <c r="AH44" s="428" t="e">
        <f>IF(ISERROR(AVERAGEIF(IC!$L$40:$L$64, "=2006", IC!AR$40:AR$64)), NA(), AVERAGEIF(IC!$L$40:$L$64, "=2006", IC!AR$40:AR$64))</f>
        <v>#N/A</v>
      </c>
      <c r="AI44" s="428" t="e">
        <f>IF(ISERROR(AVERAGEIF(IC!$L$40:$L$64, "=2006", IC!AS$40:AS$64)), NA(), AVERAGEIF(IC!$L$40:$L$64, "=2006", IC!AS$40:AS$64))</f>
        <v>#N/A</v>
      </c>
      <c r="AJ44" s="428" t="e">
        <f>IF(ISERROR(AVERAGEIF(IC!$L$40:$L$64, "=2006", IC!AT$40:AT$64)), NA(), AVERAGEIF(IC!$L$40:$L$64, "=2006", IC!AT$40:AT$64))</f>
        <v>#N/A</v>
      </c>
      <c r="AK44" s="428" t="e">
        <f>IF(ISERROR(AVERAGEIF(IC!$L$40:$L$64, "=2006", IC!AU$40:AU$64)), NA(), AVERAGEIF(IC!$L$40:$L$64, "=2006", IC!AU$40:AU$64))</f>
        <v>#N/A</v>
      </c>
      <c r="AL44" s="428" t="e">
        <f>IF(ISERROR(AVERAGEIF(IC!$L$40:$L$64, "=2006", IC!AV$40:AV$64)), NA(), AVERAGEIF(IC!$L$40:$L$64, "=2006", IC!AV$40:AV$64))</f>
        <v>#N/A</v>
      </c>
      <c r="AM44" s="428" t="e">
        <f>IF(ISERROR(AVERAGEIF(IC!$L$40:$L$64, "=2006", IC!AW$40:AW$64)), NA(), AVERAGEIF(IC!$L$40:$L$64, "=2006", IC!AW$40:AW$64))</f>
        <v>#N/A</v>
      </c>
      <c r="AN44" s="428" t="e">
        <f>IF(ISERROR(AVERAGEIF(IC!$L$40:$L$64, "=2006", IC!AX$40:AX$64)), NA(), AVERAGEIF(IC!$L$40:$L$64, "=2006", IC!AX$40:AX$64))</f>
        <v>#N/A</v>
      </c>
      <c r="AO44" s="428" t="e">
        <f>IF(ISERROR(AVERAGEIF(IC!$L$40:$L$64, "=2006", IC!AY$40:AY$64)), NA(), AVERAGEIF(IC!$L$40:$L$64, "=2006", IC!AY$40:AY$64))</f>
        <v>#N/A</v>
      </c>
      <c r="AP44" s="428" t="e">
        <f>IF(ISERROR(AVERAGEIF(IC!$L$40:$L$64, "=2006", IC!AZ$40:AZ$64)), NA(), AVERAGEIF(IC!$L$40:$L$64, "=2006", IC!AZ$40:AZ$64))</f>
        <v>#N/A</v>
      </c>
      <c r="AQ44" s="428" t="e">
        <f>IF(ISERROR(AVERAGEIF(IC!$L$40:$L$64, "=2006", IC!BA$40:BA$64)), NA(), AVERAGEIF(IC!$L$40:$L$64, "=2006", IC!BA$40:BA$64))</f>
        <v>#N/A</v>
      </c>
      <c r="AR44" s="428" t="e">
        <f>IF(ISERROR(AVERAGEIF(IC!$L$40:$L$64, "=2006", IC!BB$40:BB$64)), NA(), AVERAGEIF(IC!$L$40:$L$64, "=2006", IC!BB$40:BB$64))</f>
        <v>#N/A</v>
      </c>
      <c r="AS44" s="428" t="e">
        <f>IF(ISERROR(AVERAGEIF(IC!$L$40:$L$64, "=2006", IC!BC$40:BC$64)), NA(), AVERAGEIF(IC!$L$40:$L$64, "=2006", IC!BC$40:BC$64))</f>
        <v>#N/A</v>
      </c>
      <c r="AT44" s="428" t="e">
        <f>IF(ISERROR(AVERAGEIF(IC!$L$40:$L$64, "=2006", IC!BD$40:BD$64)), NA(), AVERAGEIF(IC!$L$40:$L$64, "=2006", IC!BD$40:BD$64))</f>
        <v>#N/A</v>
      </c>
      <c r="AU44" s="428" t="e">
        <f>IF(ISERROR(AVERAGEIF(IC!$L$40:$L$64, "=2006", IC!BE$40:BE$64)), NA(), AVERAGEIF(IC!$L$40:$L$64, "=2006", IC!BE$40:BE$64))</f>
        <v>#N/A</v>
      </c>
      <c r="AV44" s="428" t="e">
        <f>IF(ISERROR(AVERAGEIF(IC!$L$40:$L$64, "=2006", IC!BF$40:BF$64)), NA(), AVERAGEIF(IC!$L$40:$L$64, "=2006", IC!BF$40:BF$64))</f>
        <v>#N/A</v>
      </c>
      <c r="AW44" s="428" t="e">
        <f>IF(ISERROR(AVERAGEIF(IC!$L$40:$L$64, "=2006", IC!BG$40:BG$64)), NA(), AVERAGEIF(IC!$L$40:$L$64, "=2006", IC!BG$40:BG$64))</f>
        <v>#N/A</v>
      </c>
      <c r="AX44" s="428" t="e">
        <f>IF(ISERROR(AVERAGEIF(IC!$L$40:$L$64, "=2006", IC!BH$40:BH$64)), NA(), AVERAGEIF(IC!$L$40:$L$64, "=2006", IC!BH$40:BH$64))</f>
        <v>#N/A</v>
      </c>
      <c r="AY44" s="428" t="e">
        <f>IF(ISERROR(AVERAGEIF(IC!$L$40:$L$64, "=2006", IC!BI$40:BI$64)), NA(), AVERAGEIF(IC!$L$40:$L$64, "=2006", IC!BI$40:BI$64))</f>
        <v>#N/A</v>
      </c>
      <c r="AZ44" s="428" t="e">
        <f>IF(ISERROR(AVERAGEIF(IC!$L$40:$L$64, "=2006", IC!BJ$40:BJ$64)), NA(), AVERAGEIF(IC!$L$40:$L$64, "=2006", IC!BJ$40:BJ$64))</f>
        <v>#N/A</v>
      </c>
      <c r="BA44" s="428" t="e">
        <f>IF(ISERROR(AVERAGEIF(IC!$L$40:$L$64, "=2006", IC!BK$40:BK$64)), NA(), AVERAGEIF(IC!$L$40:$L$64, "=2006", IC!BK$40:BK$64))</f>
        <v>#N/A</v>
      </c>
      <c r="BB44" s="428" t="e">
        <f>IF(ISERROR(AVERAGEIF(IC!$L$40:$L$64, "=2006", IC!BL$40:BL$64)), NA(), AVERAGEIF(IC!$L$40:$L$64, "=2006", IC!BL$40:BL$64))</f>
        <v>#N/A</v>
      </c>
      <c r="BC44" s="428" t="e">
        <f>IF(ISERROR(AVERAGEIF(IC!$L$40:$L$64, "=2006", IC!BM$40:BM$64)), NA(), AVERAGEIF(IC!$L$40:$L$64, "=2006", IC!BM$40:BM$64))</f>
        <v>#N/A</v>
      </c>
      <c r="BD44" s="428" t="e">
        <f>IF(ISERROR(AVERAGEIF(IC!$L$40:$L$64, "=2006", IC!BO$40:BO$64)), NA(), AVERAGEIF(IC!$L$40:$L$64, "=2006", IC!BO$40:BO$64))</f>
        <v>#N/A</v>
      </c>
      <c r="BE44" s="428" t="e">
        <f>IF(ISERROR(AVERAGEIF(IC!$L$40:$L$64, "=2006", IC!BP$40:BP$64)), NA(), AVERAGEIF(IC!$L$40:$L$64, "=2006", IC!BP$40:BP$64))</f>
        <v>#N/A</v>
      </c>
      <c r="BF44" s="428" t="e">
        <f>IF(ISERROR(AVERAGEIF(IC!$L$40:$L$64, "=2006", IC!BQ$40:BQ$64)), NA(), AVERAGEIF(IC!$L$40:$L$64, "=2006", IC!BQ$40:BQ$64))</f>
        <v>#N/A</v>
      </c>
      <c r="BG44" s="428" t="e">
        <f>IF(ISERROR(AVERAGEIF(IC!$L$40:$L$64, "=2006", IC!BR$40:BR$64)), NA(), AVERAGEIF(IC!$L$40:$L$64, "=2006", IC!BR$40:BR$64))</f>
        <v>#N/A</v>
      </c>
      <c r="BH44" s="428" t="e">
        <f>IF(ISERROR(AVERAGEIF(IC!$L$40:$L$64, "=2006", IC!BS$40:BS$64)), NA(), AVERAGEIF(IC!$L$40:$L$64, "=2006", IC!BS$40:BS$64))</f>
        <v>#N/A</v>
      </c>
      <c r="BI44" s="428" t="e">
        <f>IF(ISERROR(AVERAGEIF(IC!$L$40:$L$64, "=2006", IC!BT$40:BT$64)), NA(), AVERAGEIF(IC!$L$40:$L$64, "=2006", IC!BT$40:BT$64))</f>
        <v>#N/A</v>
      </c>
      <c r="BJ44" s="428" t="e">
        <f>IF(ISERROR(AVERAGEIF(IC!$L$40:$L$64, "=2006", IC!BU$40:BU$64)), NA(), AVERAGEIF(IC!$L$40:$L$64, "=2006", IC!BU$40:BU$64))</f>
        <v>#N/A</v>
      </c>
      <c r="BK44" s="428" t="e">
        <f>IF(ISERROR(AVERAGEIF(IC!$L$40:$L$64, "=2006", IC!BV$40:BV$64)), NA(), AVERAGEIF(IC!$L$40:$L$64, "=2006", IC!BV$40:BV$64))</f>
        <v>#N/A</v>
      </c>
      <c r="BL44" s="428" t="e">
        <f>IF(ISERROR(AVERAGEIF(IC!$L$40:$L$64, "=2006", IC!BW$40:BW$64)), NA(), AVERAGEIF(IC!$L$40:$L$64, "=2006", IC!BW$40:BW$64))</f>
        <v>#N/A</v>
      </c>
      <c r="BM44" s="428" t="e">
        <f>IF(ISERROR(AVERAGEIF(IC!$L$40:$L$64, "=2006", IC!BX$40:BX$64)), NA(), AVERAGEIF(IC!$L$40:$L$64, "=2006", IC!BX$40:BX$64))</f>
        <v>#N/A</v>
      </c>
      <c r="BN44" s="428" t="e">
        <f>IF(ISERROR(AVERAGEIF(IC!$L$40:$L$64, "=2006", IC!BY$40:BY$64)), NA(), AVERAGEIF(IC!$L$40:$L$64, "=2006", IC!BY$40:BY$64))</f>
        <v>#N/A</v>
      </c>
      <c r="BO44" s="428" t="e">
        <f>IF(ISERROR(AVERAGEIF(IC!$L$40:$L$64, "=2006", IC!BZ$40:BZ$64)), NA(), AVERAGEIF(IC!$L$40:$L$64, "=2006", IC!BZ$40:BZ$64))</f>
        <v>#N/A</v>
      </c>
      <c r="BP44" s="428" t="e">
        <f>IF(ISERROR(AVERAGEIF(IC!$L$40:$L$64, "=2006", IC!CA$40:CA$64)), NA(), AVERAGEIF(IC!$L$40:$L$64, "=2006", IC!CA$40:CA$64))</f>
        <v>#N/A</v>
      </c>
      <c r="BQ44" s="428" t="e">
        <f>IF(ISERROR(AVERAGEIF(IC!$L$40:$L$64, "=2006", IC!CB$40:CB$64)), NA(), AVERAGEIF(IC!$L$40:$L$64, "=2006", IC!CB$40:CB$64))</f>
        <v>#N/A</v>
      </c>
      <c r="BR44" s="428" t="e">
        <f>IF(ISERROR(AVERAGEIF(IC!$L$40:$L$64, "=2006", IC!CC$40:CC$64)), NA(), AVERAGEIF(IC!$L$40:$L$64, "=2006", IC!CC$40:CC$64))</f>
        <v>#N/A</v>
      </c>
      <c r="BS44" s="428" t="e">
        <f>IF(ISERROR(AVERAGEIF(IC!$L$40:$L$64, "=2006", IC!CD$40:CD$64)), NA(), AVERAGEIF(IC!$L$40:$L$64, "=2006", IC!CD$40:CD$64))</f>
        <v>#N/A</v>
      </c>
      <c r="BT44" s="428" t="e">
        <f>IF(ISERROR(AVERAGEIF(IC!$L$40:$L$64, "=2006", IC!CE$40:CE$64)), NA(), AVERAGEIF(IC!$L$40:$L$64, "=2006", IC!CE$40:CE$64))</f>
        <v>#N/A</v>
      </c>
      <c r="BU44" s="428" t="e">
        <f>IF(ISERROR(AVERAGEIF(IC!$L$40:$L$64, "=2006", IC!CF$40:CF$64)), NA(), AVERAGEIF(IC!$L$40:$L$64, "=2006", IC!CF$40:CF$64))</f>
        <v>#N/A</v>
      </c>
      <c r="BV44" s="428" t="e">
        <f>IF(ISERROR(AVERAGEIF(IC!$L$40:$L$64, "=2006", IC!CG$40:CG$64)), NA(), AVERAGEIF(IC!$L$40:$L$64, "=2006", IC!CG$40:CG$64))</f>
        <v>#N/A</v>
      </c>
      <c r="BW44" s="428" t="e">
        <f>IF(ISERROR(AVERAGEIF(IC!$L$40:$L$64, "=2006", IC!CH$40:CH$64)), NA(), AVERAGEIF(IC!$L$40:$L$64, "=2006", IC!CH$40:CH$64))</f>
        <v>#N/A</v>
      </c>
      <c r="BX44" s="428" t="e">
        <f>IF(ISERROR(AVERAGEIF(IC!$L$40:$L$64, "=2006", IC!CI$40:CI$64)), NA(), AVERAGEIF(IC!$L$40:$L$64, "=2006", IC!CI$40:CI$64))</f>
        <v>#N/A</v>
      </c>
      <c r="BY44" s="428" t="e">
        <f>IF(ISERROR(AVERAGEIF(IC!$L$40:$L$64, "=2006", IC!CJ$40:CJ$64)), NA(), AVERAGEIF(IC!$L$40:$L$64, "=2006", IC!CJ$40:CJ$64))</f>
        <v>#N/A</v>
      </c>
      <c r="BZ44" s="428" t="e">
        <f>IF(ISERROR(AVERAGEIF(IC!$L$40:$L$64, "=2006", IC!CK$40:CK$64)), NA(), AVERAGEIF(IC!$L$40:$L$64, "=2006", IC!CK$40:CK$64))</f>
        <v>#N/A</v>
      </c>
    </row>
    <row r="45" spans="1:78">
      <c r="A45" s="774"/>
      <c r="B45" s="434">
        <v>2007</v>
      </c>
      <c r="C45" s="428" t="e">
        <f>IF(ISERROR(AVERAGEIF(IC!$L$40:$L$64, "=2007", IC!M$40:M$64)), NA(), AVERAGEIF(IC!$L$40:$L$64, "=2007", IC!M$40:M$64))</f>
        <v>#N/A</v>
      </c>
      <c r="D45" s="428" t="e">
        <f>IF(ISERROR(AVERAGEIF(IC!$L$40:$L$64, "=2007", IC!N$40:N$64)), NA(), AVERAGEIF(IC!$L$40:$L$64, "=2007", IC!N$40:N$64))</f>
        <v>#N/A</v>
      </c>
      <c r="E45" s="428" t="e">
        <f>IF(ISERROR(AVERAGEIF(IC!$L$40:$L$64, "=2007", IC!O$40:O$64)), NA(), AVERAGEIF(IC!$L$40:$L$64, "=2007", IC!O$40:O$64))</f>
        <v>#N/A</v>
      </c>
      <c r="F45" s="428" t="e">
        <f>IF(ISERROR(AVERAGEIF(IC!$L$40:$L$64, "=2007", IC!P$40:P$64)), NA(), AVERAGEIF(IC!$L$40:$L$64, "=2007", IC!P$40:P$64))</f>
        <v>#N/A</v>
      </c>
      <c r="G45" s="428" t="e">
        <f>IF(ISERROR(AVERAGEIF(IC!$L$40:$L$64, "=2007", IC!Q$40:Q$64)), NA(), AVERAGEIF(IC!$L$40:$L$64, "=2007", IC!Q$40:Q$64))</f>
        <v>#N/A</v>
      </c>
      <c r="H45" s="428" t="e">
        <f>IF(ISERROR(AVERAGEIF(IC!$L$40:$L$64, "=2007", IC!R$40:R$64)), NA(), AVERAGEIF(IC!$L$40:$L$64, "=2007", IC!R$40:R$64))</f>
        <v>#N/A</v>
      </c>
      <c r="I45" s="428" t="e">
        <f>IF(ISERROR(AVERAGEIF(IC!$L$40:$L$64, "=2007", IC!S$40:S$64)), NA(), AVERAGEIF(IC!$L$40:$L$64, "=2007", IC!S$40:S$64))</f>
        <v>#N/A</v>
      </c>
      <c r="J45" s="428" t="e">
        <f>IF(ISERROR(AVERAGEIF(IC!$L$40:$L$64, "=2007", IC!T$40:T$64)), NA(), AVERAGEIF(IC!$L$40:$L$64, "=2007", IC!T$40:T$64))</f>
        <v>#N/A</v>
      </c>
      <c r="K45" s="428" t="e">
        <f>IF(ISERROR(AVERAGEIF(IC!$L$40:$L$64, "=2007", IC!U$40:U$64)), NA(), AVERAGEIF(IC!$L$40:$L$64, "=2007", IC!U$40:U$64))</f>
        <v>#N/A</v>
      </c>
      <c r="L45" s="428" t="e">
        <f>IF(ISERROR(AVERAGEIF(IC!$L$40:$L$64, "=2007", IC!V$40:V$64)), NA(), AVERAGEIF(IC!$L$40:$L$64, "=2007", IC!V$40:V$64))</f>
        <v>#N/A</v>
      </c>
      <c r="M45" s="428" t="e">
        <f>IF(ISERROR(AVERAGEIF(IC!$L$40:$L$64, "=2007", IC!W$40:W$64)), NA(), AVERAGEIF(IC!$L$40:$L$64, "=2007", IC!W$40:W$64))</f>
        <v>#N/A</v>
      </c>
      <c r="N45" s="428" t="e">
        <f>IF(ISERROR(AVERAGEIF(IC!$L$40:$L$64, "=2007", IC!X$40:X$64)), NA(), AVERAGEIF(IC!$L$40:$L$64, "=2007", IC!X$40:X$64))</f>
        <v>#N/A</v>
      </c>
      <c r="O45" s="428" t="e">
        <f>IF(ISERROR(AVERAGEIF(IC!$L$40:$L$64, "=2007", IC!Y$40:Y$64)), NA(), AVERAGEIF(IC!$L$40:$L$64, "=2007", IC!Y$40:Y$64))</f>
        <v>#N/A</v>
      </c>
      <c r="P45" s="428" t="e">
        <f>IF(ISERROR(AVERAGEIF(IC!$L$40:$L$64, "=2007", IC!Z$40:Z$64)), NA(), AVERAGEIF(IC!$L$40:$L$64, "=2007", IC!Z$40:Z$64))</f>
        <v>#N/A</v>
      </c>
      <c r="Q45" s="428" t="e">
        <f>IF(ISERROR(AVERAGEIF(IC!$L$40:$L$64, "=2007", IC!AA$40:AA$64)), NA(), AVERAGEIF(IC!$L$40:$L$64, "=2007", IC!AA$40:AA$64))</f>
        <v>#N/A</v>
      </c>
      <c r="R45" s="428" t="e">
        <f>IF(ISERROR(AVERAGEIF(IC!$L$40:$L$64, "=2007", IC!AB$40:AB$64)), NA(), AVERAGEIF(IC!$L$40:$L$64, "=2007", IC!AB$40:AB$64))</f>
        <v>#N/A</v>
      </c>
      <c r="S45" s="428" t="e">
        <f>IF(ISERROR(AVERAGEIF(IC!$L$40:$L$64, "=2007", IC!AC$40:AC$64)), NA(), AVERAGEIF(IC!$L$40:$L$64, "=2007", IC!AC$40:AC$64))</f>
        <v>#N/A</v>
      </c>
      <c r="T45" s="428" t="e">
        <f>IF(ISERROR(AVERAGEIF(IC!$L$40:$L$64, "=2007", IC!AD$40:AD$64)), NA(), AVERAGEIF(IC!$L$40:$L$64, "=2007", IC!AD$40:AD$64))</f>
        <v>#N/A</v>
      </c>
      <c r="U45" s="428" t="e">
        <f>IF(ISERROR(AVERAGEIF(IC!$L$40:$L$64, "=2007", IC!AE$40:AE$64)), NA(), AVERAGEIF(IC!$L$40:$L$64, "=2007", IC!AE$40:AE$64))</f>
        <v>#N/A</v>
      </c>
      <c r="V45" s="428" t="e">
        <f>IF(ISERROR(AVERAGEIF(IC!$L$40:$L$64, "=2007", IC!AF$40:AF$64)), NA(), AVERAGEIF(IC!$L$40:$L$64, "=2007", IC!AF$40:AF$64))</f>
        <v>#N/A</v>
      </c>
      <c r="W45" s="428" t="e">
        <f>IF(ISERROR(AVERAGEIF(IC!$L$40:$L$64, "=2007", IC!AG$40:AG$64)), NA(), AVERAGEIF(IC!$L$40:$L$64, "=2007", IC!AG$40:AG$64))</f>
        <v>#N/A</v>
      </c>
      <c r="X45" s="428" t="e">
        <f>IF(ISERROR(AVERAGEIF(IC!$L$40:$L$64, "=2007", IC!AH$40:AH$64)), NA(), AVERAGEIF(IC!$L$40:$L$64, "=2007", IC!AH$40:AH$64))</f>
        <v>#N/A</v>
      </c>
      <c r="Y45" s="428" t="e">
        <f>IF(ISERROR(AVERAGEIF(IC!$L$40:$L$64, "=2007", IC!AI$40:AI$64)), NA(), AVERAGEIF(IC!$L$40:$L$64, "=2007", IC!AI$40:AI$64))</f>
        <v>#N/A</v>
      </c>
      <c r="Z45" s="428" t="e">
        <f>IF(ISERROR(AVERAGEIF(IC!$L$40:$L$64, "=2007", IC!AJ$40:AJ$64)), NA(), AVERAGEIF(IC!$L$40:$L$64, "=2007", IC!AJ$40:AJ$64))</f>
        <v>#N/A</v>
      </c>
      <c r="AA45" s="428" t="e">
        <f>IF(ISERROR(AVERAGEIF(IC!$L$40:$L$64, "=2007", IC!AK$40:AK$64)), NA(), AVERAGEIF(IC!$L$40:$L$64, "=2007", IC!AK$40:AK$64))</f>
        <v>#N/A</v>
      </c>
      <c r="AB45" s="428" t="e">
        <f>IF(ISERROR(AVERAGEIF(IC!$L$40:$L$64, "=2007", IC!AL$40:AL$64)), NA(), AVERAGEIF(IC!$L$40:$L$64, "=2007", IC!AL$40:AL$64))</f>
        <v>#N/A</v>
      </c>
      <c r="AC45" s="428" t="e">
        <f>IF(ISERROR(AVERAGEIF(IC!$L$40:$L$64, "=2007", IC!AM$40:AM$64)), NA(), AVERAGEIF(IC!$L$40:$L$64, "=2007", IC!AM$40:AM$64))</f>
        <v>#N/A</v>
      </c>
      <c r="AD45" s="428" t="e">
        <f>IF(ISERROR(AVERAGEIF(IC!$L$40:$L$64, "=2007", IC!AN$40:AN$64)), NA(), AVERAGEIF(IC!$L$40:$L$64, "=2007", IC!AN$40:AN$64))</f>
        <v>#N/A</v>
      </c>
      <c r="AE45" s="428" t="e">
        <f>IF(ISERROR(AVERAGEIF(IC!$L$40:$L$64, "=2007", IC!AO$40:AO$64)), NA(), AVERAGEIF(IC!$L$40:$L$64, "=2007", IC!AO$40:AO$64))</f>
        <v>#N/A</v>
      </c>
      <c r="AF45" s="428" t="e">
        <f>IF(ISERROR(AVERAGEIF(IC!$L$40:$L$64, "=2007", IC!AP$40:AP$64)), NA(), AVERAGEIF(IC!$L$40:$L$64, "=2007", IC!AP$40:AP$64))</f>
        <v>#N/A</v>
      </c>
      <c r="AG45" s="428" t="e">
        <f>IF(ISERROR(AVERAGEIF(IC!$L$40:$L$64, "=2007", IC!AQ$40:AQ$64)), NA(), AVERAGEIF(IC!$L$40:$L$64, "=2007", IC!AQ$40:AQ$64))</f>
        <v>#N/A</v>
      </c>
      <c r="AH45" s="428" t="e">
        <f>IF(ISERROR(AVERAGEIF(IC!$L$40:$L$64, "=2007", IC!AR$40:AR$64)), NA(), AVERAGEIF(IC!$L$40:$L$64, "=2007", IC!AR$40:AR$64))</f>
        <v>#N/A</v>
      </c>
      <c r="AI45" s="428" t="e">
        <f>IF(ISERROR(AVERAGEIF(IC!$L$40:$L$64, "=2007", IC!AS$40:AS$64)), NA(), AVERAGEIF(IC!$L$40:$L$64, "=2007", IC!AS$40:AS$64))</f>
        <v>#N/A</v>
      </c>
      <c r="AJ45" s="428" t="e">
        <f>IF(ISERROR(AVERAGEIF(IC!$L$40:$L$64, "=2007", IC!AT$40:AT$64)), NA(), AVERAGEIF(IC!$L$40:$L$64, "=2007", IC!AT$40:AT$64))</f>
        <v>#N/A</v>
      </c>
      <c r="AK45" s="428" t="e">
        <f>IF(ISERROR(AVERAGEIF(IC!$L$40:$L$64, "=2007", IC!AU$40:AU$64)), NA(), AVERAGEIF(IC!$L$40:$L$64, "=2007", IC!AU$40:AU$64))</f>
        <v>#N/A</v>
      </c>
      <c r="AL45" s="428" t="e">
        <f>IF(ISERROR(AVERAGEIF(IC!$L$40:$L$64, "=2007", IC!AV$40:AV$64)), NA(), AVERAGEIF(IC!$L$40:$L$64, "=2007", IC!AV$40:AV$64))</f>
        <v>#N/A</v>
      </c>
      <c r="AM45" s="428" t="e">
        <f>IF(ISERROR(AVERAGEIF(IC!$L$40:$L$64, "=2007", IC!AW$40:AW$64)), NA(), AVERAGEIF(IC!$L$40:$L$64, "=2007", IC!AW$40:AW$64))</f>
        <v>#N/A</v>
      </c>
      <c r="AN45" s="428" t="e">
        <f>IF(ISERROR(AVERAGEIF(IC!$L$40:$L$64, "=2007", IC!AX$40:AX$64)), NA(), AVERAGEIF(IC!$L$40:$L$64, "=2007", IC!AX$40:AX$64))</f>
        <v>#N/A</v>
      </c>
      <c r="AO45" s="428" t="e">
        <f>IF(ISERROR(AVERAGEIF(IC!$L$40:$L$64, "=2007", IC!AY$40:AY$64)), NA(), AVERAGEIF(IC!$L$40:$L$64, "=2007", IC!AY$40:AY$64))</f>
        <v>#N/A</v>
      </c>
      <c r="AP45" s="428" t="e">
        <f>IF(ISERROR(AVERAGEIF(IC!$L$40:$L$64, "=2007", IC!AZ$40:AZ$64)), NA(), AVERAGEIF(IC!$L$40:$L$64, "=2007", IC!AZ$40:AZ$64))</f>
        <v>#N/A</v>
      </c>
      <c r="AQ45" s="428" t="e">
        <f>IF(ISERROR(AVERAGEIF(IC!$L$40:$L$64, "=2007", IC!BA$40:BA$64)), NA(), AVERAGEIF(IC!$L$40:$L$64, "=2007", IC!BA$40:BA$64))</f>
        <v>#N/A</v>
      </c>
      <c r="AR45" s="428" t="e">
        <f>IF(ISERROR(AVERAGEIF(IC!$L$40:$L$64, "=2007", IC!BB$40:BB$64)), NA(), AVERAGEIF(IC!$L$40:$L$64, "=2007", IC!BB$40:BB$64))</f>
        <v>#N/A</v>
      </c>
      <c r="AS45" s="428" t="e">
        <f>IF(ISERROR(AVERAGEIF(IC!$L$40:$L$64, "=2007", IC!BC$40:BC$64)), NA(), AVERAGEIF(IC!$L$40:$L$64, "=2007", IC!BC$40:BC$64))</f>
        <v>#N/A</v>
      </c>
      <c r="AT45" s="428" t="e">
        <f>IF(ISERROR(AVERAGEIF(IC!$L$40:$L$64, "=2007", IC!BD$40:BD$64)), NA(), AVERAGEIF(IC!$L$40:$L$64, "=2007", IC!BD$40:BD$64))</f>
        <v>#N/A</v>
      </c>
      <c r="AU45" s="428" t="e">
        <f>IF(ISERROR(AVERAGEIF(IC!$L$40:$L$64, "=2007", IC!BE$40:BE$64)), NA(), AVERAGEIF(IC!$L$40:$L$64, "=2007", IC!BE$40:BE$64))</f>
        <v>#N/A</v>
      </c>
      <c r="AV45" s="428" t="e">
        <f>IF(ISERROR(AVERAGEIF(IC!$L$40:$L$64, "=2007", IC!BF$40:BF$64)), NA(), AVERAGEIF(IC!$L$40:$L$64, "=2007", IC!BF$40:BF$64))</f>
        <v>#N/A</v>
      </c>
      <c r="AW45" s="428" t="e">
        <f>IF(ISERROR(AVERAGEIF(IC!$L$40:$L$64, "=2007", IC!BG$40:BG$64)), NA(), AVERAGEIF(IC!$L$40:$L$64, "=2007", IC!BG$40:BG$64))</f>
        <v>#N/A</v>
      </c>
      <c r="AX45" s="428" t="e">
        <f>IF(ISERROR(AVERAGEIF(IC!$L$40:$L$64, "=2007", IC!BH$40:BH$64)), NA(), AVERAGEIF(IC!$L$40:$L$64, "=2007", IC!BH$40:BH$64))</f>
        <v>#N/A</v>
      </c>
      <c r="AY45" s="428" t="e">
        <f>IF(ISERROR(AVERAGEIF(IC!$L$40:$L$64, "=2007", IC!BI$40:BI$64)), NA(), AVERAGEIF(IC!$L$40:$L$64, "=2007", IC!BI$40:BI$64))</f>
        <v>#N/A</v>
      </c>
      <c r="AZ45" s="428" t="e">
        <f>IF(ISERROR(AVERAGEIF(IC!$L$40:$L$64, "=2007", IC!BJ$40:BJ$64)), NA(), AVERAGEIF(IC!$L$40:$L$64, "=2007", IC!BJ$40:BJ$64))</f>
        <v>#N/A</v>
      </c>
      <c r="BA45" s="428" t="e">
        <f>IF(ISERROR(AVERAGEIF(IC!$L$40:$L$64, "=2007", IC!BK$40:BK$64)), NA(), AVERAGEIF(IC!$L$40:$L$64, "=2007", IC!BK$40:BK$64))</f>
        <v>#N/A</v>
      </c>
      <c r="BB45" s="428" t="e">
        <f>IF(ISERROR(AVERAGEIF(IC!$L$40:$L$64, "=2007", IC!BL$40:BL$64)), NA(), AVERAGEIF(IC!$L$40:$L$64, "=2007", IC!BL$40:BL$64))</f>
        <v>#N/A</v>
      </c>
      <c r="BC45" s="428" t="e">
        <f>IF(ISERROR(AVERAGEIF(IC!$L$40:$L$64, "=2007", IC!BM$40:BM$64)), NA(), AVERAGEIF(IC!$L$40:$L$64, "=2007", IC!BM$40:BM$64))</f>
        <v>#N/A</v>
      </c>
      <c r="BD45" s="428" t="e">
        <f>IF(ISERROR(AVERAGEIF(IC!$L$40:$L$64, "=2007", IC!BO$40:BO$64)), NA(), AVERAGEIF(IC!$L$40:$L$64, "=2007", IC!BO$40:BO$64))</f>
        <v>#N/A</v>
      </c>
      <c r="BE45" s="428" t="e">
        <f>IF(ISERROR(AVERAGEIF(IC!$L$40:$L$64, "=2007", IC!BP$40:BP$64)), NA(), AVERAGEIF(IC!$L$40:$L$64, "=2007", IC!BP$40:BP$64))</f>
        <v>#N/A</v>
      </c>
      <c r="BF45" s="428" t="e">
        <f>IF(ISERROR(AVERAGEIF(IC!$L$40:$L$64, "=2007", IC!BQ$40:BQ$64)), NA(), AVERAGEIF(IC!$L$40:$L$64, "=2007", IC!BQ$40:BQ$64))</f>
        <v>#N/A</v>
      </c>
      <c r="BG45" s="428" t="e">
        <f>IF(ISERROR(AVERAGEIF(IC!$L$40:$L$64, "=2007", IC!BR$40:BR$64)), NA(), AVERAGEIF(IC!$L$40:$L$64, "=2007", IC!BR$40:BR$64))</f>
        <v>#N/A</v>
      </c>
      <c r="BH45" s="428" t="e">
        <f>IF(ISERROR(AVERAGEIF(IC!$L$40:$L$64, "=2007", IC!BS$40:BS$64)), NA(), AVERAGEIF(IC!$L$40:$L$64, "=2007", IC!BS$40:BS$64))</f>
        <v>#N/A</v>
      </c>
      <c r="BI45" s="428" t="e">
        <f>IF(ISERROR(AVERAGEIF(IC!$L$40:$L$64, "=2007", IC!BT$40:BT$64)), NA(), AVERAGEIF(IC!$L$40:$L$64, "=2007", IC!BT$40:BT$64))</f>
        <v>#N/A</v>
      </c>
      <c r="BJ45" s="428" t="e">
        <f>IF(ISERROR(AVERAGEIF(IC!$L$40:$L$64, "=2007", IC!BU$40:BU$64)), NA(), AVERAGEIF(IC!$L$40:$L$64, "=2007", IC!BU$40:BU$64))</f>
        <v>#N/A</v>
      </c>
      <c r="BK45" s="428" t="e">
        <f>IF(ISERROR(AVERAGEIF(IC!$L$40:$L$64, "=2007", IC!BV$40:BV$64)), NA(), AVERAGEIF(IC!$L$40:$L$64, "=2007", IC!BV$40:BV$64))</f>
        <v>#N/A</v>
      </c>
      <c r="BL45" s="428" t="e">
        <f>IF(ISERROR(AVERAGEIF(IC!$L$40:$L$64, "=2007", IC!BW$40:BW$64)), NA(), AVERAGEIF(IC!$L$40:$L$64, "=2007", IC!BW$40:BW$64))</f>
        <v>#N/A</v>
      </c>
      <c r="BM45" s="428" t="e">
        <f>IF(ISERROR(AVERAGEIF(IC!$L$40:$L$64, "=2007", IC!BX$40:BX$64)), NA(), AVERAGEIF(IC!$L$40:$L$64, "=2007", IC!BX$40:BX$64))</f>
        <v>#N/A</v>
      </c>
      <c r="BN45" s="428" t="e">
        <f>IF(ISERROR(AVERAGEIF(IC!$L$40:$L$64, "=2007", IC!BY$40:BY$64)), NA(), AVERAGEIF(IC!$L$40:$L$64, "=2007", IC!BY$40:BY$64))</f>
        <v>#N/A</v>
      </c>
      <c r="BO45" s="428" t="e">
        <f>IF(ISERROR(AVERAGEIF(IC!$L$40:$L$64, "=2007", IC!BZ$40:BZ$64)), NA(), AVERAGEIF(IC!$L$40:$L$64, "=2007", IC!BZ$40:BZ$64))</f>
        <v>#N/A</v>
      </c>
      <c r="BP45" s="428" t="e">
        <f>IF(ISERROR(AVERAGEIF(IC!$L$40:$L$64, "=2007", IC!CA$40:CA$64)), NA(), AVERAGEIF(IC!$L$40:$L$64, "=2007", IC!CA$40:CA$64))</f>
        <v>#N/A</v>
      </c>
      <c r="BQ45" s="428" t="e">
        <f>IF(ISERROR(AVERAGEIF(IC!$L$40:$L$64, "=2007", IC!CB$40:CB$64)), NA(), AVERAGEIF(IC!$L$40:$L$64, "=2007", IC!CB$40:CB$64))</f>
        <v>#N/A</v>
      </c>
      <c r="BR45" s="428" t="e">
        <f>IF(ISERROR(AVERAGEIF(IC!$L$40:$L$64, "=2007", IC!CC$40:CC$64)), NA(), AVERAGEIF(IC!$L$40:$L$64, "=2007", IC!CC$40:CC$64))</f>
        <v>#N/A</v>
      </c>
      <c r="BS45" s="428" t="e">
        <f>IF(ISERROR(AVERAGEIF(IC!$L$40:$L$64, "=2007", IC!CD$40:CD$64)), NA(), AVERAGEIF(IC!$L$40:$L$64, "=2007", IC!CD$40:CD$64))</f>
        <v>#N/A</v>
      </c>
      <c r="BT45" s="428" t="e">
        <f>IF(ISERROR(AVERAGEIF(IC!$L$40:$L$64, "=2007", IC!CE$40:CE$64)), NA(), AVERAGEIF(IC!$L$40:$L$64, "=2007", IC!CE$40:CE$64))</f>
        <v>#N/A</v>
      </c>
      <c r="BU45" s="428" t="e">
        <f>IF(ISERROR(AVERAGEIF(IC!$L$40:$L$64, "=2007", IC!CF$40:CF$64)), NA(), AVERAGEIF(IC!$L$40:$L$64, "=2007", IC!CF$40:CF$64))</f>
        <v>#N/A</v>
      </c>
      <c r="BV45" s="428" t="e">
        <f>IF(ISERROR(AVERAGEIF(IC!$L$40:$L$64, "=2007", IC!CG$40:CG$64)), NA(), AVERAGEIF(IC!$L$40:$L$64, "=2007", IC!CG$40:CG$64))</f>
        <v>#N/A</v>
      </c>
      <c r="BW45" s="428" t="e">
        <f>IF(ISERROR(AVERAGEIF(IC!$L$40:$L$64, "=2007", IC!CH$40:CH$64)), NA(), AVERAGEIF(IC!$L$40:$L$64, "=2007", IC!CH$40:CH$64))</f>
        <v>#N/A</v>
      </c>
      <c r="BX45" s="428" t="e">
        <f>IF(ISERROR(AVERAGEIF(IC!$L$40:$L$64, "=2007", IC!CI$40:CI$64)), NA(), AVERAGEIF(IC!$L$40:$L$64, "=2007", IC!CI$40:CI$64))</f>
        <v>#N/A</v>
      </c>
      <c r="BY45" s="428" t="e">
        <f>IF(ISERROR(AVERAGEIF(IC!$L$40:$L$64, "=2007", IC!CJ$40:CJ$64)), NA(), AVERAGEIF(IC!$L$40:$L$64, "=2007", IC!CJ$40:CJ$64))</f>
        <v>#N/A</v>
      </c>
      <c r="BZ45" s="428" t="e">
        <f>IF(ISERROR(AVERAGEIF(IC!$L$40:$L$64, "=2007", IC!CK$40:CK$64)), NA(), AVERAGEIF(IC!$L$40:$L$64, "=2007", IC!CK$40:CK$64))</f>
        <v>#N/A</v>
      </c>
    </row>
    <row r="46" spans="1:78">
      <c r="A46" s="774"/>
      <c r="B46" s="434">
        <v>2008</v>
      </c>
      <c r="C46" s="428" t="e">
        <f>IF(ISERROR(AVERAGEIF(IC!$L$40:$L$64, "=2008", IC!M$40:M$64)), NA(), AVERAGEIF(IC!$L$40:$L$64, "=2008", IC!M$40:M$64))</f>
        <v>#N/A</v>
      </c>
      <c r="D46" s="428" t="e">
        <f>IF(ISERROR(AVERAGEIF(IC!$L$40:$L$64, "=2008", IC!N$40:N$64)), NA(), AVERAGEIF(IC!$L$40:$L$64, "=2008", IC!N$40:N$64))</f>
        <v>#N/A</v>
      </c>
      <c r="E46" s="428" t="e">
        <f>IF(ISERROR(AVERAGEIF(IC!$L$40:$L$64, "=2008", IC!O$40:O$64)), NA(), AVERAGEIF(IC!$L$40:$L$64, "=2008", IC!O$40:O$64))</f>
        <v>#N/A</v>
      </c>
      <c r="F46" s="428" t="e">
        <f>IF(ISERROR(AVERAGEIF(IC!$L$40:$L$64, "=2008", IC!P$40:P$64)), NA(), AVERAGEIF(IC!$L$40:$L$64, "=2008", IC!P$40:P$64))</f>
        <v>#N/A</v>
      </c>
      <c r="G46" s="428" t="e">
        <f>IF(ISERROR(AVERAGEIF(IC!$L$40:$L$64, "=2008", IC!Q$40:Q$64)), NA(), AVERAGEIF(IC!$L$40:$L$64, "=2008", IC!Q$40:Q$64))</f>
        <v>#N/A</v>
      </c>
      <c r="H46" s="428" t="e">
        <f>IF(ISERROR(AVERAGEIF(IC!$L$40:$L$64, "=2008", IC!R$40:R$64)), NA(), AVERAGEIF(IC!$L$40:$L$64, "=2008", IC!R$40:R$64))</f>
        <v>#N/A</v>
      </c>
      <c r="I46" s="428" t="e">
        <f>IF(ISERROR(AVERAGEIF(IC!$L$40:$L$64, "=2008", IC!S$40:S$64)), NA(), AVERAGEIF(IC!$L$40:$L$64, "=2008", IC!S$40:S$64))</f>
        <v>#N/A</v>
      </c>
      <c r="J46" s="428" t="e">
        <f>IF(ISERROR(AVERAGEIF(IC!$L$40:$L$64, "=2008", IC!T$40:T$64)), NA(), AVERAGEIF(IC!$L$40:$L$64, "=2008", IC!T$40:T$64))</f>
        <v>#N/A</v>
      </c>
      <c r="K46" s="428" t="e">
        <f>IF(ISERROR(AVERAGEIF(IC!$L$40:$L$64, "=2008", IC!U$40:U$64)), NA(), AVERAGEIF(IC!$L$40:$L$64, "=2008", IC!U$40:U$64))</f>
        <v>#N/A</v>
      </c>
      <c r="L46" s="428" t="e">
        <f>IF(ISERROR(AVERAGEIF(IC!$L$40:$L$64, "=2008", IC!V$40:V$64)), NA(), AVERAGEIF(IC!$L$40:$L$64, "=2008", IC!V$40:V$64))</f>
        <v>#N/A</v>
      </c>
      <c r="M46" s="428" t="e">
        <f>IF(ISERROR(AVERAGEIF(IC!$L$40:$L$64, "=2008", IC!W$40:W$64)), NA(), AVERAGEIF(IC!$L$40:$L$64, "=2008", IC!W$40:W$64))</f>
        <v>#N/A</v>
      </c>
      <c r="N46" s="428" t="e">
        <f>IF(ISERROR(AVERAGEIF(IC!$L$40:$L$64, "=2008", IC!X$40:X$64)), NA(), AVERAGEIF(IC!$L$40:$L$64, "=2008", IC!X$40:X$64))</f>
        <v>#N/A</v>
      </c>
      <c r="O46" s="428" t="e">
        <f>IF(ISERROR(AVERAGEIF(IC!$L$40:$L$64, "=2008", IC!Y$40:Y$64)), NA(), AVERAGEIF(IC!$L$40:$L$64, "=2008", IC!Y$40:Y$64))</f>
        <v>#N/A</v>
      </c>
      <c r="P46" s="428" t="e">
        <f>IF(ISERROR(AVERAGEIF(IC!$L$40:$L$64, "=2008", IC!Z$40:Z$64)), NA(), AVERAGEIF(IC!$L$40:$L$64, "=2008", IC!Z$40:Z$64))</f>
        <v>#N/A</v>
      </c>
      <c r="Q46" s="428" t="e">
        <f>IF(ISERROR(AVERAGEIF(IC!$L$40:$L$64, "=2008", IC!AA$40:AA$64)), NA(), AVERAGEIF(IC!$L$40:$L$64, "=2008", IC!AA$40:AA$64))</f>
        <v>#N/A</v>
      </c>
      <c r="R46" s="428" t="e">
        <f>IF(ISERROR(AVERAGEIF(IC!$L$40:$L$64, "=2008", IC!AB$40:AB$64)), NA(), AVERAGEIF(IC!$L$40:$L$64, "=2008", IC!AB$40:AB$64))</f>
        <v>#N/A</v>
      </c>
      <c r="S46" s="428" t="e">
        <f>IF(ISERROR(AVERAGEIF(IC!$L$40:$L$64, "=2008", IC!AC$40:AC$64)), NA(), AVERAGEIF(IC!$L$40:$L$64, "=2008", IC!AC$40:AC$64))</f>
        <v>#N/A</v>
      </c>
      <c r="T46" s="428" t="e">
        <f>IF(ISERROR(AVERAGEIF(IC!$L$40:$L$64, "=2008", IC!AD$40:AD$64)), NA(), AVERAGEIF(IC!$L$40:$L$64, "=2008", IC!AD$40:AD$64))</f>
        <v>#N/A</v>
      </c>
      <c r="U46" s="428" t="e">
        <f>IF(ISERROR(AVERAGEIF(IC!$L$40:$L$64, "=2008", IC!AE$40:AE$64)), NA(), AVERAGEIF(IC!$L$40:$L$64, "=2008", IC!AE$40:AE$64))</f>
        <v>#N/A</v>
      </c>
      <c r="V46" s="428" t="e">
        <f>IF(ISERROR(AVERAGEIF(IC!$L$40:$L$64, "=2008", IC!AF$40:AF$64)), NA(), AVERAGEIF(IC!$L$40:$L$64, "=2008", IC!AF$40:AF$64))</f>
        <v>#N/A</v>
      </c>
      <c r="W46" s="428" t="e">
        <f>IF(ISERROR(AVERAGEIF(IC!$L$40:$L$64, "=2008", IC!AG$40:AG$64)), NA(), AVERAGEIF(IC!$L$40:$L$64, "=2008", IC!AG$40:AG$64))</f>
        <v>#N/A</v>
      </c>
      <c r="X46" s="428" t="e">
        <f>IF(ISERROR(AVERAGEIF(IC!$L$40:$L$64, "=2008", IC!AH$40:AH$64)), NA(), AVERAGEIF(IC!$L$40:$L$64, "=2008", IC!AH$40:AH$64))</f>
        <v>#N/A</v>
      </c>
      <c r="Y46" s="428" t="e">
        <f>IF(ISERROR(AVERAGEIF(IC!$L$40:$L$64, "=2008", IC!AI$40:AI$64)), NA(), AVERAGEIF(IC!$L$40:$L$64, "=2008", IC!AI$40:AI$64))</f>
        <v>#N/A</v>
      </c>
      <c r="Z46" s="428" t="e">
        <f>IF(ISERROR(AVERAGEIF(IC!$L$40:$L$64, "=2008", IC!AJ$40:AJ$64)), NA(), AVERAGEIF(IC!$L$40:$L$64, "=2008", IC!AJ$40:AJ$64))</f>
        <v>#N/A</v>
      </c>
      <c r="AA46" s="428" t="e">
        <f>IF(ISERROR(AVERAGEIF(IC!$L$40:$L$64, "=2008", IC!AK$40:AK$64)), NA(), AVERAGEIF(IC!$L$40:$L$64, "=2008", IC!AK$40:AK$64))</f>
        <v>#N/A</v>
      </c>
      <c r="AB46" s="428" t="e">
        <f>IF(ISERROR(AVERAGEIF(IC!$L$40:$L$64, "=2008", IC!AL$40:AL$64)), NA(), AVERAGEIF(IC!$L$40:$L$64, "=2008", IC!AL$40:AL$64))</f>
        <v>#N/A</v>
      </c>
      <c r="AC46" s="428" t="e">
        <f>IF(ISERROR(AVERAGEIF(IC!$L$40:$L$64, "=2008", IC!AM$40:AM$64)), NA(), AVERAGEIF(IC!$L$40:$L$64, "=2008", IC!AM$40:AM$64))</f>
        <v>#N/A</v>
      </c>
      <c r="AD46" s="428" t="e">
        <f>IF(ISERROR(AVERAGEIF(IC!$L$40:$L$64, "=2008", IC!AN$40:AN$64)), NA(), AVERAGEIF(IC!$L$40:$L$64, "=2008", IC!AN$40:AN$64))</f>
        <v>#N/A</v>
      </c>
      <c r="AE46" s="428" t="e">
        <f>IF(ISERROR(AVERAGEIF(IC!$L$40:$L$64, "=2008", IC!AO$40:AO$64)), NA(), AVERAGEIF(IC!$L$40:$L$64, "=2008", IC!AO$40:AO$64))</f>
        <v>#N/A</v>
      </c>
      <c r="AF46" s="428" t="e">
        <f>IF(ISERROR(AVERAGEIF(IC!$L$40:$L$64, "=2008", IC!AP$40:AP$64)), NA(), AVERAGEIF(IC!$L$40:$L$64, "=2008", IC!AP$40:AP$64))</f>
        <v>#N/A</v>
      </c>
      <c r="AG46" s="428" t="e">
        <f>IF(ISERROR(AVERAGEIF(IC!$L$40:$L$64, "=2008", IC!AQ$40:AQ$64)), NA(), AVERAGEIF(IC!$L$40:$L$64, "=2008", IC!AQ$40:AQ$64))</f>
        <v>#N/A</v>
      </c>
      <c r="AH46" s="428" t="e">
        <f>IF(ISERROR(AVERAGEIF(IC!$L$40:$L$64, "=2008", IC!AR$40:AR$64)), NA(), AVERAGEIF(IC!$L$40:$L$64, "=2008", IC!AR$40:AR$64))</f>
        <v>#N/A</v>
      </c>
      <c r="AI46" s="428" t="e">
        <f>IF(ISERROR(AVERAGEIF(IC!$L$40:$L$64, "=2008", IC!AS$40:AS$64)), NA(), AVERAGEIF(IC!$L$40:$L$64, "=2008", IC!AS$40:AS$64))</f>
        <v>#N/A</v>
      </c>
      <c r="AJ46" s="428" t="e">
        <f>IF(ISERROR(AVERAGEIF(IC!$L$40:$L$64, "=2008", IC!AT$40:AT$64)), NA(), AVERAGEIF(IC!$L$40:$L$64, "=2008", IC!AT$40:AT$64))</f>
        <v>#N/A</v>
      </c>
      <c r="AK46" s="428" t="e">
        <f>IF(ISERROR(AVERAGEIF(IC!$L$40:$L$64, "=2008", IC!AU$40:AU$64)), NA(), AVERAGEIF(IC!$L$40:$L$64, "=2008", IC!AU$40:AU$64))</f>
        <v>#N/A</v>
      </c>
      <c r="AL46" s="428" t="e">
        <f>IF(ISERROR(AVERAGEIF(IC!$L$40:$L$64, "=2008", IC!AV$40:AV$64)), NA(), AVERAGEIF(IC!$L$40:$L$64, "=2008", IC!AV$40:AV$64))</f>
        <v>#N/A</v>
      </c>
      <c r="AM46" s="428" t="e">
        <f>IF(ISERROR(AVERAGEIF(IC!$L$40:$L$64, "=2008", IC!AW$40:AW$64)), NA(), AVERAGEIF(IC!$L$40:$L$64, "=2008", IC!AW$40:AW$64))</f>
        <v>#N/A</v>
      </c>
      <c r="AN46" s="428" t="e">
        <f>IF(ISERROR(AVERAGEIF(IC!$L$40:$L$64, "=2008", IC!AX$40:AX$64)), NA(), AVERAGEIF(IC!$L$40:$L$64, "=2008", IC!AX$40:AX$64))</f>
        <v>#N/A</v>
      </c>
      <c r="AO46" s="428" t="e">
        <f>IF(ISERROR(AVERAGEIF(IC!$L$40:$L$64, "=2008", IC!AY$40:AY$64)), NA(), AVERAGEIF(IC!$L$40:$L$64, "=2008", IC!AY$40:AY$64))</f>
        <v>#N/A</v>
      </c>
      <c r="AP46" s="428" t="e">
        <f>IF(ISERROR(AVERAGEIF(IC!$L$40:$L$64, "=2008", IC!AZ$40:AZ$64)), NA(), AVERAGEIF(IC!$L$40:$L$64, "=2008", IC!AZ$40:AZ$64))</f>
        <v>#N/A</v>
      </c>
      <c r="AQ46" s="428" t="e">
        <f>IF(ISERROR(AVERAGEIF(IC!$L$40:$L$64, "=2008", IC!BA$40:BA$64)), NA(), AVERAGEIF(IC!$L$40:$L$64, "=2008", IC!BA$40:BA$64))</f>
        <v>#N/A</v>
      </c>
      <c r="AR46" s="428" t="e">
        <f>IF(ISERROR(AVERAGEIF(IC!$L$40:$L$64, "=2008", IC!BB$40:BB$64)), NA(), AVERAGEIF(IC!$L$40:$L$64, "=2008", IC!BB$40:BB$64))</f>
        <v>#N/A</v>
      </c>
      <c r="AS46" s="428" t="e">
        <f>IF(ISERROR(AVERAGEIF(IC!$L$40:$L$64, "=2008", IC!BC$40:BC$64)), NA(), AVERAGEIF(IC!$L$40:$L$64, "=2008", IC!BC$40:BC$64))</f>
        <v>#N/A</v>
      </c>
      <c r="AT46" s="428" t="e">
        <f>IF(ISERROR(AVERAGEIF(IC!$L$40:$L$64, "=2008", IC!BD$40:BD$64)), NA(), AVERAGEIF(IC!$L$40:$L$64, "=2008", IC!BD$40:BD$64))</f>
        <v>#N/A</v>
      </c>
      <c r="AU46" s="428" t="e">
        <f>IF(ISERROR(AVERAGEIF(IC!$L$40:$L$64, "=2008", IC!BE$40:BE$64)), NA(), AVERAGEIF(IC!$L$40:$L$64, "=2008", IC!BE$40:BE$64))</f>
        <v>#N/A</v>
      </c>
      <c r="AV46" s="428" t="e">
        <f>IF(ISERROR(AVERAGEIF(IC!$L$40:$L$64, "=2008", IC!BF$40:BF$64)), NA(), AVERAGEIF(IC!$L$40:$L$64, "=2008", IC!BF$40:BF$64))</f>
        <v>#N/A</v>
      </c>
      <c r="AW46" s="428" t="e">
        <f>IF(ISERROR(AVERAGEIF(IC!$L$40:$L$64, "=2008", IC!BG$40:BG$64)), NA(), AVERAGEIF(IC!$L$40:$L$64, "=2008", IC!BG$40:BG$64))</f>
        <v>#N/A</v>
      </c>
      <c r="AX46" s="428" t="e">
        <f>IF(ISERROR(AVERAGEIF(IC!$L$40:$L$64, "=2008", IC!BH$40:BH$64)), NA(), AVERAGEIF(IC!$L$40:$L$64, "=2008", IC!BH$40:BH$64))</f>
        <v>#N/A</v>
      </c>
      <c r="AY46" s="428" t="e">
        <f>IF(ISERROR(AVERAGEIF(IC!$L$40:$L$64, "=2008", IC!BI$40:BI$64)), NA(), AVERAGEIF(IC!$L$40:$L$64, "=2008", IC!BI$40:BI$64))</f>
        <v>#N/A</v>
      </c>
      <c r="AZ46" s="428" t="e">
        <f>IF(ISERROR(AVERAGEIF(IC!$L$40:$L$64, "=2008", IC!BJ$40:BJ$64)), NA(), AVERAGEIF(IC!$L$40:$L$64, "=2008", IC!BJ$40:BJ$64))</f>
        <v>#N/A</v>
      </c>
      <c r="BA46" s="428" t="e">
        <f>IF(ISERROR(AVERAGEIF(IC!$L$40:$L$64, "=2008", IC!BK$40:BK$64)), NA(), AVERAGEIF(IC!$L$40:$L$64, "=2008", IC!BK$40:BK$64))</f>
        <v>#N/A</v>
      </c>
      <c r="BB46" s="428" t="e">
        <f>IF(ISERROR(AVERAGEIF(IC!$L$40:$L$64, "=2008", IC!BL$40:BL$64)), NA(), AVERAGEIF(IC!$L$40:$L$64, "=2008", IC!BL$40:BL$64))</f>
        <v>#N/A</v>
      </c>
      <c r="BC46" s="428" t="e">
        <f>IF(ISERROR(AVERAGEIF(IC!$L$40:$L$64, "=2008", IC!BM$40:BM$64)), NA(), AVERAGEIF(IC!$L$40:$L$64, "=2008", IC!BM$40:BM$64))</f>
        <v>#N/A</v>
      </c>
      <c r="BD46" s="428" t="e">
        <f>IF(ISERROR(AVERAGEIF(IC!$L$40:$L$64, "=2008", IC!BO$40:BO$64)), NA(), AVERAGEIF(IC!$L$40:$L$64, "=2008", IC!BO$40:BO$64))</f>
        <v>#N/A</v>
      </c>
      <c r="BE46" s="428" t="e">
        <f>IF(ISERROR(AVERAGEIF(IC!$L$40:$L$64, "=2008", IC!BP$40:BP$64)), NA(), AVERAGEIF(IC!$L$40:$L$64, "=2008", IC!BP$40:BP$64))</f>
        <v>#N/A</v>
      </c>
      <c r="BF46" s="428" t="e">
        <f>IF(ISERROR(AVERAGEIF(IC!$L$40:$L$64, "=2008", IC!BQ$40:BQ$64)), NA(), AVERAGEIF(IC!$L$40:$L$64, "=2008", IC!BQ$40:BQ$64))</f>
        <v>#N/A</v>
      </c>
      <c r="BG46" s="428" t="e">
        <f>IF(ISERROR(AVERAGEIF(IC!$L$40:$L$64, "=2008", IC!BR$40:BR$64)), NA(), AVERAGEIF(IC!$L$40:$L$64, "=2008", IC!BR$40:BR$64))</f>
        <v>#N/A</v>
      </c>
      <c r="BH46" s="428" t="e">
        <f>IF(ISERROR(AVERAGEIF(IC!$L$40:$L$64, "=2008", IC!BS$40:BS$64)), NA(), AVERAGEIF(IC!$L$40:$L$64, "=2008", IC!BS$40:BS$64))</f>
        <v>#N/A</v>
      </c>
      <c r="BI46" s="428" t="e">
        <f>IF(ISERROR(AVERAGEIF(IC!$L$40:$L$64, "=2008", IC!BT$40:BT$64)), NA(), AVERAGEIF(IC!$L$40:$L$64, "=2008", IC!BT$40:BT$64))</f>
        <v>#N/A</v>
      </c>
      <c r="BJ46" s="428" t="e">
        <f>IF(ISERROR(AVERAGEIF(IC!$L$40:$L$64, "=2008", IC!BU$40:BU$64)), NA(), AVERAGEIF(IC!$L$40:$L$64, "=2008", IC!BU$40:BU$64))</f>
        <v>#N/A</v>
      </c>
      <c r="BK46" s="428" t="e">
        <f>IF(ISERROR(AVERAGEIF(IC!$L$40:$L$64, "=2008", IC!BV$40:BV$64)), NA(), AVERAGEIF(IC!$L$40:$L$64, "=2008", IC!BV$40:BV$64))</f>
        <v>#N/A</v>
      </c>
      <c r="BL46" s="428" t="e">
        <f>IF(ISERROR(AVERAGEIF(IC!$L$40:$L$64, "=2008", IC!BW$40:BW$64)), NA(), AVERAGEIF(IC!$L$40:$L$64, "=2008", IC!BW$40:BW$64))</f>
        <v>#N/A</v>
      </c>
      <c r="BM46" s="428" t="e">
        <f>IF(ISERROR(AVERAGEIF(IC!$L$40:$L$64, "=2008", IC!BX$40:BX$64)), NA(), AVERAGEIF(IC!$L$40:$L$64, "=2008", IC!BX$40:BX$64))</f>
        <v>#N/A</v>
      </c>
      <c r="BN46" s="428" t="e">
        <f>IF(ISERROR(AVERAGEIF(IC!$L$40:$L$64, "=2008", IC!BY$40:BY$64)), NA(), AVERAGEIF(IC!$L$40:$L$64, "=2008", IC!BY$40:BY$64))</f>
        <v>#N/A</v>
      </c>
      <c r="BO46" s="428" t="e">
        <f>IF(ISERROR(AVERAGEIF(IC!$L$40:$L$64, "=2008", IC!BZ$40:BZ$64)), NA(), AVERAGEIF(IC!$L$40:$L$64, "=2008", IC!BZ$40:BZ$64))</f>
        <v>#N/A</v>
      </c>
      <c r="BP46" s="428" t="e">
        <f>IF(ISERROR(AVERAGEIF(IC!$L$40:$L$64, "=2008", IC!CA$40:CA$64)), NA(), AVERAGEIF(IC!$L$40:$L$64, "=2008", IC!CA$40:CA$64))</f>
        <v>#N/A</v>
      </c>
      <c r="BQ46" s="428" t="e">
        <f>IF(ISERROR(AVERAGEIF(IC!$L$40:$L$64, "=2008", IC!CB$40:CB$64)), NA(), AVERAGEIF(IC!$L$40:$L$64, "=2008", IC!CB$40:CB$64))</f>
        <v>#N/A</v>
      </c>
      <c r="BR46" s="428" t="e">
        <f>IF(ISERROR(AVERAGEIF(IC!$L$40:$L$64, "=2008", IC!CC$40:CC$64)), NA(), AVERAGEIF(IC!$L$40:$L$64, "=2008", IC!CC$40:CC$64))</f>
        <v>#N/A</v>
      </c>
      <c r="BS46" s="428" t="e">
        <f>IF(ISERROR(AVERAGEIF(IC!$L$40:$L$64, "=2008", IC!CD$40:CD$64)), NA(), AVERAGEIF(IC!$L$40:$L$64, "=2008", IC!CD$40:CD$64))</f>
        <v>#N/A</v>
      </c>
      <c r="BT46" s="428" t="e">
        <f>IF(ISERROR(AVERAGEIF(IC!$L$40:$L$64, "=2008", IC!CE$40:CE$64)), NA(), AVERAGEIF(IC!$L$40:$L$64, "=2008", IC!CE$40:CE$64))</f>
        <v>#N/A</v>
      </c>
      <c r="BU46" s="428" t="e">
        <f>IF(ISERROR(AVERAGEIF(IC!$L$40:$L$64, "=2008", IC!CF$40:CF$64)), NA(), AVERAGEIF(IC!$L$40:$L$64, "=2008", IC!CF$40:CF$64))</f>
        <v>#N/A</v>
      </c>
      <c r="BV46" s="428" t="e">
        <f>IF(ISERROR(AVERAGEIF(IC!$L$40:$L$64, "=2008", IC!CG$40:CG$64)), NA(), AVERAGEIF(IC!$L$40:$L$64, "=2008", IC!CG$40:CG$64))</f>
        <v>#N/A</v>
      </c>
      <c r="BW46" s="428" t="e">
        <f>IF(ISERROR(AVERAGEIF(IC!$L$40:$L$64, "=2008", IC!CH$40:CH$64)), NA(), AVERAGEIF(IC!$L$40:$L$64, "=2008", IC!CH$40:CH$64))</f>
        <v>#N/A</v>
      </c>
      <c r="BX46" s="428" t="e">
        <f>IF(ISERROR(AVERAGEIF(IC!$L$40:$L$64, "=2008", IC!CI$40:CI$64)), NA(), AVERAGEIF(IC!$L$40:$L$64, "=2008", IC!CI$40:CI$64))</f>
        <v>#N/A</v>
      </c>
      <c r="BY46" s="428" t="e">
        <f>IF(ISERROR(AVERAGEIF(IC!$L$40:$L$64, "=2008", IC!CJ$40:CJ$64)), NA(), AVERAGEIF(IC!$L$40:$L$64, "=2008", IC!CJ$40:CJ$64))</f>
        <v>#N/A</v>
      </c>
      <c r="BZ46" s="428" t="e">
        <f>IF(ISERROR(AVERAGEIF(IC!$L$40:$L$64, "=2008", IC!CK$40:CK$64)), NA(), AVERAGEIF(IC!$L$40:$L$64, "=2008", IC!CK$40:CK$64))</f>
        <v>#N/A</v>
      </c>
    </row>
    <row r="47" spans="1:78">
      <c r="A47" s="774"/>
      <c r="B47" s="434">
        <v>2009</v>
      </c>
      <c r="C47" s="428" t="e">
        <f>IF(ISERROR(AVERAGEIF(IC!$L$40:$L$64, "=2009", IC!M$40:M$64)), NA(), AVERAGEIF(IC!$L$40:$L$64, "=2009", IC!M$40:M$64))</f>
        <v>#N/A</v>
      </c>
      <c r="D47" s="428" t="e">
        <f>IF(ISERROR(AVERAGEIF(IC!$L$40:$L$64, "=2009", IC!N$40:N$64)), NA(), AVERAGEIF(IC!$L$40:$L$64, "=2009", IC!N$40:N$64))</f>
        <v>#N/A</v>
      </c>
      <c r="E47" s="428" t="e">
        <f>IF(ISERROR(AVERAGEIF(IC!$L$40:$L$64, "=2009", IC!O$40:O$64)), NA(), AVERAGEIF(IC!$L$40:$L$64, "=2009", IC!O$40:O$64))</f>
        <v>#N/A</v>
      </c>
      <c r="F47" s="428" t="e">
        <f>IF(ISERROR(AVERAGEIF(IC!$L$40:$L$64, "=2009", IC!P$40:P$64)), NA(), AVERAGEIF(IC!$L$40:$L$64, "=2009", IC!P$40:P$64))</f>
        <v>#N/A</v>
      </c>
      <c r="G47" s="428" t="e">
        <f>IF(ISERROR(AVERAGEIF(IC!$L$40:$L$64, "=2009", IC!Q$40:Q$64)), NA(), AVERAGEIF(IC!$L$40:$L$64, "=2009", IC!Q$40:Q$64))</f>
        <v>#N/A</v>
      </c>
      <c r="H47" s="428" t="e">
        <f>IF(ISERROR(AVERAGEIF(IC!$L$40:$L$64, "=2009", IC!R$40:R$64)), NA(), AVERAGEIF(IC!$L$40:$L$64, "=2009", IC!R$40:R$64))</f>
        <v>#N/A</v>
      </c>
      <c r="I47" s="428" t="e">
        <f>IF(ISERROR(AVERAGEIF(IC!$L$40:$L$64, "=2009", IC!S$40:S$64)), NA(), AVERAGEIF(IC!$L$40:$L$64, "=2009", IC!S$40:S$64))</f>
        <v>#N/A</v>
      </c>
      <c r="J47" s="428" t="e">
        <f>IF(ISERROR(AVERAGEIF(IC!$L$40:$L$64, "=2009", IC!T$40:T$64)), NA(), AVERAGEIF(IC!$L$40:$L$64, "=2009", IC!T$40:T$64))</f>
        <v>#N/A</v>
      </c>
      <c r="K47" s="428" t="e">
        <f>IF(ISERROR(AVERAGEIF(IC!$L$40:$L$64, "=2009", IC!U$40:U$64)), NA(), AVERAGEIF(IC!$L$40:$L$64, "=2009", IC!U$40:U$64))</f>
        <v>#N/A</v>
      </c>
      <c r="L47" s="428" t="e">
        <f>IF(ISERROR(AVERAGEIF(IC!$L$40:$L$64, "=2009", IC!V$40:V$64)), NA(), AVERAGEIF(IC!$L$40:$L$64, "=2009", IC!V$40:V$64))</f>
        <v>#N/A</v>
      </c>
      <c r="M47" s="428" t="e">
        <f>IF(ISERROR(AVERAGEIF(IC!$L$40:$L$64, "=2009", IC!W$40:W$64)), NA(), AVERAGEIF(IC!$L$40:$L$64, "=2009", IC!W$40:W$64))</f>
        <v>#N/A</v>
      </c>
      <c r="N47" s="428" t="e">
        <f>IF(ISERROR(AVERAGEIF(IC!$L$40:$L$64, "=2009", IC!X$40:X$64)), NA(), AVERAGEIF(IC!$L$40:$L$64, "=2009", IC!X$40:X$64))</f>
        <v>#N/A</v>
      </c>
      <c r="O47" s="428" t="e">
        <f>IF(ISERROR(AVERAGEIF(IC!$L$40:$L$64, "=2009", IC!Y$40:Y$64)), NA(), AVERAGEIF(IC!$L$40:$L$64, "=2009", IC!Y$40:Y$64))</f>
        <v>#N/A</v>
      </c>
      <c r="P47" s="428" t="e">
        <f>IF(ISERROR(AVERAGEIF(IC!$L$40:$L$64, "=2009", IC!Z$40:Z$64)), NA(), AVERAGEIF(IC!$L$40:$L$64, "=2009", IC!Z$40:Z$64))</f>
        <v>#N/A</v>
      </c>
      <c r="Q47" s="428" t="e">
        <f>IF(ISERROR(AVERAGEIF(IC!$L$40:$L$64, "=2009", IC!AA$40:AA$64)), NA(), AVERAGEIF(IC!$L$40:$L$64, "=2009", IC!AA$40:AA$64))</f>
        <v>#N/A</v>
      </c>
      <c r="R47" s="428" t="e">
        <f>IF(ISERROR(AVERAGEIF(IC!$L$40:$L$64, "=2009", IC!AB$40:AB$64)), NA(), AVERAGEIF(IC!$L$40:$L$64, "=2009", IC!AB$40:AB$64))</f>
        <v>#N/A</v>
      </c>
      <c r="S47" s="428" t="e">
        <f>IF(ISERROR(AVERAGEIF(IC!$L$40:$L$64, "=2009", IC!AC$40:AC$64)), NA(), AVERAGEIF(IC!$L$40:$L$64, "=2009", IC!AC$40:AC$64))</f>
        <v>#N/A</v>
      </c>
      <c r="T47" s="428" t="e">
        <f>IF(ISERROR(AVERAGEIF(IC!$L$40:$L$64, "=2009", IC!AD$40:AD$64)), NA(), AVERAGEIF(IC!$L$40:$L$64, "=2009", IC!AD$40:AD$64))</f>
        <v>#N/A</v>
      </c>
      <c r="U47" s="428" t="e">
        <f>IF(ISERROR(AVERAGEIF(IC!$L$40:$L$64, "=2009", IC!AE$40:AE$64)), NA(), AVERAGEIF(IC!$L$40:$L$64, "=2009", IC!AE$40:AE$64))</f>
        <v>#N/A</v>
      </c>
      <c r="V47" s="428" t="e">
        <f>IF(ISERROR(AVERAGEIF(IC!$L$40:$L$64, "=2009", IC!AF$40:AF$64)), NA(), AVERAGEIF(IC!$L$40:$L$64, "=2009", IC!AF$40:AF$64))</f>
        <v>#N/A</v>
      </c>
      <c r="W47" s="428" t="e">
        <f>IF(ISERROR(AVERAGEIF(IC!$L$40:$L$64, "=2009", IC!AG$40:AG$64)), NA(), AVERAGEIF(IC!$L$40:$L$64, "=2009", IC!AG$40:AG$64))</f>
        <v>#N/A</v>
      </c>
      <c r="X47" s="428" t="e">
        <f>IF(ISERROR(AVERAGEIF(IC!$L$40:$L$64, "=2009", IC!AH$40:AH$64)), NA(), AVERAGEIF(IC!$L$40:$L$64, "=2009", IC!AH$40:AH$64))</f>
        <v>#N/A</v>
      </c>
      <c r="Y47" s="428" t="e">
        <f>IF(ISERROR(AVERAGEIF(IC!$L$40:$L$64, "=2009", IC!AI$40:AI$64)), NA(), AVERAGEIF(IC!$L$40:$L$64, "=2009", IC!AI$40:AI$64))</f>
        <v>#N/A</v>
      </c>
      <c r="Z47" s="428" t="e">
        <f>IF(ISERROR(AVERAGEIF(IC!$L$40:$L$64, "=2009", IC!AJ$40:AJ$64)), NA(), AVERAGEIF(IC!$L$40:$L$64, "=2009", IC!AJ$40:AJ$64))</f>
        <v>#N/A</v>
      </c>
      <c r="AA47" s="428" t="e">
        <f>IF(ISERROR(AVERAGEIF(IC!$L$40:$L$64, "=2009", IC!AK$40:AK$64)), NA(), AVERAGEIF(IC!$L$40:$L$64, "=2009", IC!AK$40:AK$64))</f>
        <v>#N/A</v>
      </c>
      <c r="AB47" s="428" t="e">
        <f>IF(ISERROR(AVERAGEIF(IC!$L$40:$L$64, "=2009", IC!AL$40:AL$64)), NA(), AVERAGEIF(IC!$L$40:$L$64, "=2009", IC!AL$40:AL$64))</f>
        <v>#N/A</v>
      </c>
      <c r="AC47" s="428" t="e">
        <f>IF(ISERROR(AVERAGEIF(IC!$L$40:$L$64, "=2009", IC!AM$40:AM$64)), NA(), AVERAGEIF(IC!$L$40:$L$64, "=2009", IC!AM$40:AM$64))</f>
        <v>#N/A</v>
      </c>
      <c r="AD47" s="428" t="e">
        <f>IF(ISERROR(AVERAGEIF(IC!$L$40:$L$64, "=2009", IC!AN$40:AN$64)), NA(), AVERAGEIF(IC!$L$40:$L$64, "=2009", IC!AN$40:AN$64))</f>
        <v>#N/A</v>
      </c>
      <c r="AE47" s="428" t="e">
        <f>IF(ISERROR(AVERAGEIF(IC!$L$40:$L$64, "=2009", IC!AO$40:AO$64)), NA(), AVERAGEIF(IC!$L$40:$L$64, "=2009", IC!AO$40:AO$64))</f>
        <v>#N/A</v>
      </c>
      <c r="AF47" s="428" t="e">
        <f>IF(ISERROR(AVERAGEIF(IC!$L$40:$L$64, "=2009", IC!AP$40:AP$64)), NA(), AVERAGEIF(IC!$L$40:$L$64, "=2009", IC!AP$40:AP$64))</f>
        <v>#N/A</v>
      </c>
      <c r="AG47" s="428" t="e">
        <f>IF(ISERROR(AVERAGEIF(IC!$L$40:$L$64, "=2009", IC!AQ$40:AQ$64)), NA(), AVERAGEIF(IC!$L$40:$L$64, "=2009", IC!AQ$40:AQ$64))</f>
        <v>#N/A</v>
      </c>
      <c r="AH47" s="428" t="e">
        <f>IF(ISERROR(AVERAGEIF(IC!$L$40:$L$64, "=2009", IC!AR$40:AR$64)), NA(), AVERAGEIF(IC!$L$40:$L$64, "=2009", IC!AR$40:AR$64))</f>
        <v>#N/A</v>
      </c>
      <c r="AI47" s="428" t="e">
        <f>IF(ISERROR(AVERAGEIF(IC!$L$40:$L$64, "=2009", IC!AS$40:AS$64)), NA(), AVERAGEIF(IC!$L$40:$L$64, "=2009", IC!AS$40:AS$64))</f>
        <v>#N/A</v>
      </c>
      <c r="AJ47" s="428" t="e">
        <f>IF(ISERROR(AVERAGEIF(IC!$L$40:$L$64, "=2009", IC!AT$40:AT$64)), NA(), AVERAGEIF(IC!$L$40:$L$64, "=2009", IC!AT$40:AT$64))</f>
        <v>#N/A</v>
      </c>
      <c r="AK47" s="428" t="e">
        <f>IF(ISERROR(AVERAGEIF(IC!$L$40:$L$64, "=2009", IC!AU$40:AU$64)), NA(), AVERAGEIF(IC!$L$40:$L$64, "=2009", IC!AU$40:AU$64))</f>
        <v>#N/A</v>
      </c>
      <c r="AL47" s="428" t="e">
        <f>IF(ISERROR(AVERAGEIF(IC!$L$40:$L$64, "=2009", IC!AV$40:AV$64)), NA(), AVERAGEIF(IC!$L$40:$L$64, "=2009", IC!AV$40:AV$64))</f>
        <v>#N/A</v>
      </c>
      <c r="AM47" s="428" t="e">
        <f>IF(ISERROR(AVERAGEIF(IC!$L$40:$L$64, "=2009", IC!AW$40:AW$64)), NA(), AVERAGEIF(IC!$L$40:$L$64, "=2009", IC!AW$40:AW$64))</f>
        <v>#N/A</v>
      </c>
      <c r="AN47" s="428" t="e">
        <f>IF(ISERROR(AVERAGEIF(IC!$L$40:$L$64, "=2009", IC!AX$40:AX$64)), NA(), AVERAGEIF(IC!$L$40:$L$64, "=2009", IC!AX$40:AX$64))</f>
        <v>#N/A</v>
      </c>
      <c r="AO47" s="428" t="e">
        <f>IF(ISERROR(AVERAGEIF(IC!$L$40:$L$64, "=2009", IC!AY$40:AY$64)), NA(), AVERAGEIF(IC!$L$40:$L$64, "=2009", IC!AY$40:AY$64))</f>
        <v>#N/A</v>
      </c>
      <c r="AP47" s="428" t="e">
        <f>IF(ISERROR(AVERAGEIF(IC!$L$40:$L$64, "=2009", IC!AZ$40:AZ$64)), NA(), AVERAGEIF(IC!$L$40:$L$64, "=2009", IC!AZ$40:AZ$64))</f>
        <v>#N/A</v>
      </c>
      <c r="AQ47" s="428" t="e">
        <f>IF(ISERROR(AVERAGEIF(IC!$L$40:$L$64, "=2009", IC!BA$40:BA$64)), NA(), AVERAGEIF(IC!$L$40:$L$64, "=2009", IC!BA$40:BA$64))</f>
        <v>#N/A</v>
      </c>
      <c r="AR47" s="428" t="e">
        <f>IF(ISERROR(AVERAGEIF(IC!$L$40:$L$64, "=2009", IC!BB$40:BB$64)), NA(), AVERAGEIF(IC!$L$40:$L$64, "=2009", IC!BB$40:BB$64))</f>
        <v>#N/A</v>
      </c>
      <c r="AS47" s="428" t="e">
        <f>IF(ISERROR(AVERAGEIF(IC!$L$40:$L$64, "=2009", IC!BC$40:BC$64)), NA(), AVERAGEIF(IC!$L$40:$L$64, "=2009", IC!BC$40:BC$64))</f>
        <v>#N/A</v>
      </c>
      <c r="AT47" s="428" t="e">
        <f>IF(ISERROR(AVERAGEIF(IC!$L$40:$L$64, "=2009", IC!BD$40:BD$64)), NA(), AVERAGEIF(IC!$L$40:$L$64, "=2009", IC!BD$40:BD$64))</f>
        <v>#N/A</v>
      </c>
      <c r="AU47" s="428" t="e">
        <f>IF(ISERROR(AVERAGEIF(IC!$L$40:$L$64, "=2009", IC!BE$40:BE$64)), NA(), AVERAGEIF(IC!$L$40:$L$64, "=2009", IC!BE$40:BE$64))</f>
        <v>#N/A</v>
      </c>
      <c r="AV47" s="428" t="e">
        <f>IF(ISERROR(AVERAGEIF(IC!$L$40:$L$64, "=2009", IC!BF$40:BF$64)), NA(), AVERAGEIF(IC!$L$40:$L$64, "=2009", IC!BF$40:BF$64))</f>
        <v>#N/A</v>
      </c>
      <c r="AW47" s="428" t="e">
        <f>IF(ISERROR(AVERAGEIF(IC!$L$40:$L$64, "=2009", IC!BG$40:BG$64)), NA(), AVERAGEIF(IC!$L$40:$L$64, "=2009", IC!BG$40:BG$64))</f>
        <v>#N/A</v>
      </c>
      <c r="AX47" s="428" t="e">
        <f>IF(ISERROR(AVERAGEIF(IC!$L$40:$L$64, "=2009", IC!BH$40:BH$64)), NA(), AVERAGEIF(IC!$L$40:$L$64, "=2009", IC!BH$40:BH$64))</f>
        <v>#N/A</v>
      </c>
      <c r="AY47" s="428" t="e">
        <f>IF(ISERROR(AVERAGEIF(IC!$L$40:$L$64, "=2009", IC!BI$40:BI$64)), NA(), AVERAGEIF(IC!$L$40:$L$64, "=2009", IC!BI$40:BI$64))</f>
        <v>#N/A</v>
      </c>
      <c r="AZ47" s="428" t="e">
        <f>IF(ISERROR(AVERAGEIF(IC!$L$40:$L$64, "=2009", IC!BJ$40:BJ$64)), NA(), AVERAGEIF(IC!$L$40:$L$64, "=2009", IC!BJ$40:BJ$64))</f>
        <v>#N/A</v>
      </c>
      <c r="BA47" s="428" t="e">
        <f>IF(ISERROR(AVERAGEIF(IC!$L$40:$L$64, "=2009", IC!BK$40:BK$64)), NA(), AVERAGEIF(IC!$L$40:$L$64, "=2009", IC!BK$40:BK$64))</f>
        <v>#N/A</v>
      </c>
      <c r="BB47" s="428" t="e">
        <f>IF(ISERROR(AVERAGEIF(IC!$L$40:$L$64, "=2009", IC!BL$40:BL$64)), NA(), AVERAGEIF(IC!$L$40:$L$64, "=2009", IC!BL$40:BL$64))</f>
        <v>#N/A</v>
      </c>
      <c r="BC47" s="428" t="e">
        <f>IF(ISERROR(AVERAGEIF(IC!$L$40:$L$64, "=2009", IC!BM$40:BM$64)), NA(), AVERAGEIF(IC!$L$40:$L$64, "=2009", IC!BM$40:BM$64))</f>
        <v>#N/A</v>
      </c>
      <c r="BD47" s="428" t="e">
        <f>IF(ISERROR(AVERAGEIF(IC!$L$40:$L$64, "=2009", IC!BO$40:BO$64)), NA(), AVERAGEIF(IC!$L$40:$L$64, "=2009", IC!BO$40:BO$64))</f>
        <v>#N/A</v>
      </c>
      <c r="BE47" s="428" t="e">
        <f>IF(ISERROR(AVERAGEIF(IC!$L$40:$L$64, "=2009", IC!BP$40:BP$64)), NA(), AVERAGEIF(IC!$L$40:$L$64, "=2009", IC!BP$40:BP$64))</f>
        <v>#N/A</v>
      </c>
      <c r="BF47" s="428" t="e">
        <f>IF(ISERROR(AVERAGEIF(IC!$L$40:$L$64, "=2009", IC!BQ$40:BQ$64)), NA(), AVERAGEIF(IC!$L$40:$L$64, "=2009", IC!BQ$40:BQ$64))</f>
        <v>#N/A</v>
      </c>
      <c r="BG47" s="428" t="e">
        <f>IF(ISERROR(AVERAGEIF(IC!$L$40:$L$64, "=2009", IC!BR$40:BR$64)), NA(), AVERAGEIF(IC!$L$40:$L$64, "=2009", IC!BR$40:BR$64))</f>
        <v>#N/A</v>
      </c>
      <c r="BH47" s="428" t="e">
        <f>IF(ISERROR(AVERAGEIF(IC!$L$40:$L$64, "=2009", IC!BS$40:BS$64)), NA(), AVERAGEIF(IC!$L$40:$L$64, "=2009", IC!BS$40:BS$64))</f>
        <v>#N/A</v>
      </c>
      <c r="BI47" s="428" t="e">
        <f>IF(ISERROR(AVERAGEIF(IC!$L$40:$L$64, "=2009", IC!BT$40:BT$64)), NA(), AVERAGEIF(IC!$L$40:$L$64, "=2009", IC!BT$40:BT$64))</f>
        <v>#N/A</v>
      </c>
      <c r="BJ47" s="428" t="e">
        <f>IF(ISERROR(AVERAGEIF(IC!$L$40:$L$64, "=2009", IC!BU$40:BU$64)), NA(), AVERAGEIF(IC!$L$40:$L$64, "=2009", IC!BU$40:BU$64))</f>
        <v>#N/A</v>
      </c>
      <c r="BK47" s="428" t="e">
        <f>IF(ISERROR(AVERAGEIF(IC!$L$40:$L$64, "=2009", IC!BV$40:BV$64)), NA(), AVERAGEIF(IC!$L$40:$L$64, "=2009", IC!BV$40:BV$64))</f>
        <v>#N/A</v>
      </c>
      <c r="BL47" s="428" t="e">
        <f>IF(ISERROR(AVERAGEIF(IC!$L$40:$L$64, "=2009", IC!BW$40:BW$64)), NA(), AVERAGEIF(IC!$L$40:$L$64, "=2009", IC!BW$40:BW$64))</f>
        <v>#N/A</v>
      </c>
      <c r="BM47" s="428" t="e">
        <f>IF(ISERROR(AVERAGEIF(IC!$L$40:$L$64, "=2009", IC!BX$40:BX$64)), NA(), AVERAGEIF(IC!$L$40:$L$64, "=2009", IC!BX$40:BX$64))</f>
        <v>#N/A</v>
      </c>
      <c r="BN47" s="428" t="e">
        <f>IF(ISERROR(AVERAGEIF(IC!$L$40:$L$64, "=2009", IC!BY$40:BY$64)), NA(), AVERAGEIF(IC!$L$40:$L$64, "=2009", IC!BY$40:BY$64))</f>
        <v>#N/A</v>
      </c>
      <c r="BO47" s="428" t="e">
        <f>IF(ISERROR(AVERAGEIF(IC!$L$40:$L$64, "=2009", IC!BZ$40:BZ$64)), NA(), AVERAGEIF(IC!$L$40:$L$64, "=2009", IC!BZ$40:BZ$64))</f>
        <v>#N/A</v>
      </c>
      <c r="BP47" s="428" t="e">
        <f>IF(ISERROR(AVERAGEIF(IC!$L$40:$L$64, "=2009", IC!CA$40:CA$64)), NA(), AVERAGEIF(IC!$L$40:$L$64, "=2009", IC!CA$40:CA$64))</f>
        <v>#N/A</v>
      </c>
      <c r="BQ47" s="428" t="e">
        <f>IF(ISERROR(AVERAGEIF(IC!$L$40:$L$64, "=2009", IC!CB$40:CB$64)), NA(), AVERAGEIF(IC!$L$40:$L$64, "=2009", IC!CB$40:CB$64))</f>
        <v>#N/A</v>
      </c>
      <c r="BR47" s="428" t="e">
        <f>IF(ISERROR(AVERAGEIF(IC!$L$40:$L$64, "=2009", IC!CC$40:CC$64)), NA(), AVERAGEIF(IC!$L$40:$L$64, "=2009", IC!CC$40:CC$64))</f>
        <v>#N/A</v>
      </c>
      <c r="BS47" s="428" t="e">
        <f>IF(ISERROR(AVERAGEIF(IC!$L$40:$L$64, "=2009", IC!CD$40:CD$64)), NA(), AVERAGEIF(IC!$L$40:$L$64, "=2009", IC!CD$40:CD$64))</f>
        <v>#N/A</v>
      </c>
      <c r="BT47" s="428" t="e">
        <f>IF(ISERROR(AVERAGEIF(IC!$L$40:$L$64, "=2009", IC!CE$40:CE$64)), NA(), AVERAGEIF(IC!$L$40:$L$64, "=2009", IC!CE$40:CE$64))</f>
        <v>#N/A</v>
      </c>
      <c r="BU47" s="428" t="e">
        <f>IF(ISERROR(AVERAGEIF(IC!$L$40:$L$64, "=2009", IC!CF$40:CF$64)), NA(), AVERAGEIF(IC!$L$40:$L$64, "=2009", IC!CF$40:CF$64))</f>
        <v>#N/A</v>
      </c>
      <c r="BV47" s="428" t="e">
        <f>IF(ISERROR(AVERAGEIF(IC!$L$40:$L$64, "=2009", IC!CG$40:CG$64)), NA(), AVERAGEIF(IC!$L$40:$L$64, "=2009", IC!CG$40:CG$64))</f>
        <v>#N/A</v>
      </c>
      <c r="BW47" s="428" t="e">
        <f>IF(ISERROR(AVERAGEIF(IC!$L$40:$L$64, "=2009", IC!CH$40:CH$64)), NA(), AVERAGEIF(IC!$L$40:$L$64, "=2009", IC!CH$40:CH$64))</f>
        <v>#N/A</v>
      </c>
      <c r="BX47" s="428" t="e">
        <f>IF(ISERROR(AVERAGEIF(IC!$L$40:$L$64, "=2009", IC!CI$40:CI$64)), NA(), AVERAGEIF(IC!$L$40:$L$64, "=2009", IC!CI$40:CI$64))</f>
        <v>#N/A</v>
      </c>
      <c r="BY47" s="428" t="e">
        <f>IF(ISERROR(AVERAGEIF(IC!$L$40:$L$64, "=2009", IC!CJ$40:CJ$64)), NA(), AVERAGEIF(IC!$L$40:$L$64, "=2009", IC!CJ$40:CJ$64))</f>
        <v>#N/A</v>
      </c>
      <c r="BZ47" s="428" t="e">
        <f>IF(ISERROR(AVERAGEIF(IC!$L$40:$L$64, "=2009", IC!CK$40:CK$64)), NA(), AVERAGEIF(IC!$L$40:$L$64, "=2009", IC!CK$40:CK$64))</f>
        <v>#N/A</v>
      </c>
    </row>
    <row r="48" spans="1:78">
      <c r="A48" s="774"/>
      <c r="B48" s="434">
        <v>2010</v>
      </c>
      <c r="C48" s="428" t="e">
        <f>IF(ISERROR(AVERAGEIF(IC!$L$40:$L$64, "=2010", IC!M$40:M$64)), NA(), AVERAGEIF(IC!$L$40:$L$64, "=2010", IC!M$40:M$64))</f>
        <v>#N/A</v>
      </c>
      <c r="D48" s="428" t="e">
        <f>IF(ISERROR(AVERAGEIF(IC!$L$40:$L$64, "=2010", IC!N$40:N$64)), NA(), AVERAGEIF(IC!$L$40:$L$64, "=2010", IC!N$40:N$64))</f>
        <v>#N/A</v>
      </c>
      <c r="E48" s="428" t="e">
        <f>IF(ISERROR(AVERAGEIF(IC!$L$40:$L$64, "=2010", IC!O$40:O$64)), NA(), AVERAGEIF(IC!$L$40:$L$64, "=2010", IC!O$40:O$64))</f>
        <v>#N/A</v>
      </c>
      <c r="F48" s="428" t="e">
        <f>IF(ISERROR(AVERAGEIF(IC!$L$40:$L$64, "=2010", IC!P$40:P$64)), NA(), AVERAGEIF(IC!$L$40:$L$64, "=2010", IC!P$40:P$64))</f>
        <v>#N/A</v>
      </c>
      <c r="G48" s="428" t="e">
        <f>IF(ISERROR(AVERAGEIF(IC!$L$40:$L$64, "=2010", IC!Q$40:Q$64)), NA(), AVERAGEIF(IC!$L$40:$L$64, "=2010", IC!Q$40:Q$64))</f>
        <v>#N/A</v>
      </c>
      <c r="H48" s="428" t="e">
        <f>IF(ISERROR(AVERAGEIF(IC!$L$40:$L$64, "=2010", IC!R$40:R$64)), NA(), AVERAGEIF(IC!$L$40:$L$64, "=2010", IC!R$40:R$64))</f>
        <v>#N/A</v>
      </c>
      <c r="I48" s="428" t="e">
        <f>IF(ISERROR(AVERAGEIF(IC!$L$40:$L$64, "=2010", IC!S$40:S$64)), NA(), AVERAGEIF(IC!$L$40:$L$64, "=2010", IC!S$40:S$64))</f>
        <v>#N/A</v>
      </c>
      <c r="J48" s="428" t="e">
        <f>IF(ISERROR(AVERAGEIF(IC!$L$40:$L$64, "=2010", IC!T$40:T$64)), NA(), AVERAGEIF(IC!$L$40:$L$64, "=2010", IC!T$40:T$64))</f>
        <v>#N/A</v>
      </c>
      <c r="K48" s="428" t="e">
        <f>IF(ISERROR(AVERAGEIF(IC!$L$40:$L$64, "=2010", IC!U$40:U$64)), NA(), AVERAGEIF(IC!$L$40:$L$64, "=2010", IC!U$40:U$64))</f>
        <v>#N/A</v>
      </c>
      <c r="L48" s="428" t="e">
        <f>IF(ISERROR(AVERAGEIF(IC!$L$40:$L$64, "=2010", IC!V$40:V$64)), NA(), AVERAGEIF(IC!$L$40:$L$64, "=2010", IC!V$40:V$64))</f>
        <v>#N/A</v>
      </c>
      <c r="M48" s="428" t="e">
        <f>IF(ISERROR(AVERAGEIF(IC!$L$40:$L$64, "=2010", IC!W$40:W$64)), NA(), AVERAGEIF(IC!$L$40:$L$64, "=2010", IC!W$40:W$64))</f>
        <v>#N/A</v>
      </c>
      <c r="N48" s="428" t="e">
        <f>IF(ISERROR(AVERAGEIF(IC!$L$40:$L$64, "=2010", IC!X$40:X$64)), NA(), AVERAGEIF(IC!$L$40:$L$64, "=2010", IC!X$40:X$64))</f>
        <v>#N/A</v>
      </c>
      <c r="O48" s="428" t="e">
        <f>IF(ISERROR(AVERAGEIF(IC!$L$40:$L$64, "=2010", IC!Y$40:Y$64)), NA(), AVERAGEIF(IC!$L$40:$L$64, "=2010", IC!Y$40:Y$64))</f>
        <v>#N/A</v>
      </c>
      <c r="P48" s="428" t="e">
        <f>IF(ISERROR(AVERAGEIF(IC!$L$40:$L$64, "=2010", IC!Z$40:Z$64)), NA(), AVERAGEIF(IC!$L$40:$L$64, "=2010", IC!Z$40:Z$64))</f>
        <v>#N/A</v>
      </c>
      <c r="Q48" s="428" t="e">
        <f>IF(ISERROR(AVERAGEIF(IC!$L$40:$L$64, "=2010", IC!AA$40:AA$64)), NA(), AVERAGEIF(IC!$L$40:$L$64, "=2010", IC!AA$40:AA$64))</f>
        <v>#N/A</v>
      </c>
      <c r="R48" s="428" t="e">
        <f>IF(ISERROR(AVERAGEIF(IC!$L$40:$L$64, "=2010", IC!AB$40:AB$64)), NA(), AVERAGEIF(IC!$L$40:$L$64, "=2010", IC!AB$40:AB$64))</f>
        <v>#N/A</v>
      </c>
      <c r="S48" s="428" t="e">
        <f>IF(ISERROR(AVERAGEIF(IC!$L$40:$L$64, "=2010", IC!AC$40:AC$64)), NA(), AVERAGEIF(IC!$L$40:$L$64, "=2010", IC!AC$40:AC$64))</f>
        <v>#N/A</v>
      </c>
      <c r="T48" s="428" t="e">
        <f>IF(ISERROR(AVERAGEIF(IC!$L$40:$L$64, "=2010", IC!AD$40:AD$64)), NA(), AVERAGEIF(IC!$L$40:$L$64, "=2010", IC!AD$40:AD$64))</f>
        <v>#N/A</v>
      </c>
      <c r="U48" s="428" t="e">
        <f>IF(ISERROR(AVERAGEIF(IC!$L$40:$L$64, "=2010", IC!AE$40:AE$64)), NA(), AVERAGEIF(IC!$L$40:$L$64, "=2010", IC!AE$40:AE$64))</f>
        <v>#N/A</v>
      </c>
      <c r="V48" s="428" t="e">
        <f>IF(ISERROR(AVERAGEIF(IC!$L$40:$L$64, "=2010", IC!AF$40:AF$64)), NA(), AVERAGEIF(IC!$L$40:$L$64, "=2010", IC!AF$40:AF$64))</f>
        <v>#N/A</v>
      </c>
      <c r="W48" s="428" t="e">
        <f>IF(ISERROR(AVERAGEIF(IC!$L$40:$L$64, "=2010", IC!AG$40:AG$64)), NA(), AVERAGEIF(IC!$L$40:$L$64, "=2010", IC!AG$40:AG$64))</f>
        <v>#N/A</v>
      </c>
      <c r="X48" s="428" t="e">
        <f>IF(ISERROR(AVERAGEIF(IC!$L$40:$L$64, "=2010", IC!AH$40:AH$64)), NA(), AVERAGEIF(IC!$L$40:$L$64, "=2010", IC!AH$40:AH$64))</f>
        <v>#N/A</v>
      </c>
      <c r="Y48" s="428" t="e">
        <f>IF(ISERROR(AVERAGEIF(IC!$L$40:$L$64, "=2010", IC!AI$40:AI$64)), NA(), AVERAGEIF(IC!$L$40:$L$64, "=2010", IC!AI$40:AI$64))</f>
        <v>#N/A</v>
      </c>
      <c r="Z48" s="428" t="e">
        <f>IF(ISERROR(AVERAGEIF(IC!$L$40:$L$64, "=2010", IC!AJ$40:AJ$64)), NA(), AVERAGEIF(IC!$L$40:$L$64, "=2010", IC!AJ$40:AJ$64))</f>
        <v>#N/A</v>
      </c>
      <c r="AA48" s="428" t="e">
        <f>IF(ISERROR(AVERAGEIF(IC!$L$40:$L$64, "=2010", IC!AK$40:AK$64)), NA(), AVERAGEIF(IC!$L$40:$L$64, "=2010", IC!AK$40:AK$64))</f>
        <v>#N/A</v>
      </c>
      <c r="AB48" s="428" t="e">
        <f>IF(ISERROR(AVERAGEIF(IC!$L$40:$L$64, "=2010", IC!AL$40:AL$64)), NA(), AVERAGEIF(IC!$L$40:$L$64, "=2010", IC!AL$40:AL$64))</f>
        <v>#N/A</v>
      </c>
      <c r="AC48" s="428" t="e">
        <f>IF(ISERROR(AVERAGEIF(IC!$L$40:$L$64, "=2010", IC!AM$40:AM$64)), NA(), AVERAGEIF(IC!$L$40:$L$64, "=2010", IC!AM$40:AM$64))</f>
        <v>#N/A</v>
      </c>
      <c r="AD48" s="428" t="e">
        <f>IF(ISERROR(AVERAGEIF(IC!$L$40:$L$64, "=2010", IC!AN$40:AN$64)), NA(), AVERAGEIF(IC!$L$40:$L$64, "=2010", IC!AN$40:AN$64))</f>
        <v>#N/A</v>
      </c>
      <c r="AE48" s="428" t="e">
        <f>IF(ISERROR(AVERAGEIF(IC!$L$40:$L$64, "=2010", IC!AO$40:AO$64)), NA(), AVERAGEIF(IC!$L$40:$L$64, "=2010", IC!AO$40:AO$64))</f>
        <v>#N/A</v>
      </c>
      <c r="AF48" s="428" t="e">
        <f>IF(ISERROR(AVERAGEIF(IC!$L$40:$L$64, "=2010", IC!AP$40:AP$64)), NA(), AVERAGEIF(IC!$L$40:$L$64, "=2010", IC!AP$40:AP$64))</f>
        <v>#N/A</v>
      </c>
      <c r="AG48" s="428" t="e">
        <f>IF(ISERROR(AVERAGEIF(IC!$L$40:$L$64, "=2010", IC!AQ$40:AQ$64)), NA(), AVERAGEIF(IC!$L$40:$L$64, "=2010", IC!AQ$40:AQ$64))</f>
        <v>#N/A</v>
      </c>
      <c r="AH48" s="428" t="e">
        <f>IF(ISERROR(AVERAGEIF(IC!$L$40:$L$64, "=2010", IC!AR$40:AR$64)), NA(), AVERAGEIF(IC!$L$40:$L$64, "=2010", IC!AR$40:AR$64))</f>
        <v>#N/A</v>
      </c>
      <c r="AI48" s="428" t="e">
        <f>IF(ISERROR(AVERAGEIF(IC!$L$40:$L$64, "=2010", IC!AS$40:AS$64)), NA(), AVERAGEIF(IC!$L$40:$L$64, "=2010", IC!AS$40:AS$64))</f>
        <v>#N/A</v>
      </c>
      <c r="AJ48" s="428" t="e">
        <f>IF(ISERROR(AVERAGEIF(IC!$L$40:$L$64, "=2010", IC!AT$40:AT$64)), NA(), AVERAGEIF(IC!$L$40:$L$64, "=2010", IC!AT$40:AT$64))</f>
        <v>#N/A</v>
      </c>
      <c r="AK48" s="428" t="e">
        <f>IF(ISERROR(AVERAGEIF(IC!$L$40:$L$64, "=2010", IC!AU$40:AU$64)), NA(), AVERAGEIF(IC!$L$40:$L$64, "=2010", IC!AU$40:AU$64))</f>
        <v>#N/A</v>
      </c>
      <c r="AL48" s="428" t="e">
        <f>IF(ISERROR(AVERAGEIF(IC!$L$40:$L$64, "=2010", IC!AV$40:AV$64)), NA(), AVERAGEIF(IC!$L$40:$L$64, "=2010", IC!AV$40:AV$64))</f>
        <v>#N/A</v>
      </c>
      <c r="AM48" s="428" t="e">
        <f>IF(ISERROR(AVERAGEIF(IC!$L$40:$L$64, "=2010", IC!AW$40:AW$64)), NA(), AVERAGEIF(IC!$L$40:$L$64, "=2010", IC!AW$40:AW$64))</f>
        <v>#N/A</v>
      </c>
      <c r="AN48" s="428" t="e">
        <f>IF(ISERROR(AVERAGEIF(IC!$L$40:$L$64, "=2010", IC!AX$40:AX$64)), NA(), AVERAGEIF(IC!$L$40:$L$64, "=2010", IC!AX$40:AX$64))</f>
        <v>#N/A</v>
      </c>
      <c r="AO48" s="428" t="e">
        <f>IF(ISERROR(AVERAGEIF(IC!$L$40:$L$64, "=2010", IC!AY$40:AY$64)), NA(), AVERAGEIF(IC!$L$40:$L$64, "=2010", IC!AY$40:AY$64))</f>
        <v>#N/A</v>
      </c>
      <c r="AP48" s="428" t="e">
        <f>IF(ISERROR(AVERAGEIF(IC!$L$40:$L$64, "=2010", IC!AZ$40:AZ$64)), NA(), AVERAGEIF(IC!$L$40:$L$64, "=2010", IC!AZ$40:AZ$64))</f>
        <v>#N/A</v>
      </c>
      <c r="AQ48" s="428" t="e">
        <f>IF(ISERROR(AVERAGEIF(IC!$L$40:$L$64, "=2010", IC!BA$40:BA$64)), NA(), AVERAGEIF(IC!$L$40:$L$64, "=2010", IC!BA$40:BA$64))</f>
        <v>#N/A</v>
      </c>
      <c r="AR48" s="428" t="e">
        <f>IF(ISERROR(AVERAGEIF(IC!$L$40:$L$64, "=2010", IC!BB$40:BB$64)), NA(), AVERAGEIF(IC!$L$40:$L$64, "=2010", IC!BB$40:BB$64))</f>
        <v>#N/A</v>
      </c>
      <c r="AS48" s="428" t="e">
        <f>IF(ISERROR(AVERAGEIF(IC!$L$40:$L$64, "=2010", IC!BC$40:BC$64)), NA(), AVERAGEIF(IC!$L$40:$L$64, "=2010", IC!BC$40:BC$64))</f>
        <v>#N/A</v>
      </c>
      <c r="AT48" s="428" t="e">
        <f>IF(ISERROR(AVERAGEIF(IC!$L$40:$L$64, "=2010", IC!BD$40:BD$64)), NA(), AVERAGEIF(IC!$L$40:$L$64, "=2010", IC!BD$40:BD$64))</f>
        <v>#N/A</v>
      </c>
      <c r="AU48" s="428" t="e">
        <f>IF(ISERROR(AVERAGEIF(IC!$L$40:$L$64, "=2010", IC!BE$40:BE$64)), NA(), AVERAGEIF(IC!$L$40:$L$64, "=2010", IC!BE$40:BE$64))</f>
        <v>#N/A</v>
      </c>
      <c r="AV48" s="428" t="e">
        <f>IF(ISERROR(AVERAGEIF(IC!$L$40:$L$64, "=2010", IC!BF$40:BF$64)), NA(), AVERAGEIF(IC!$L$40:$L$64, "=2010", IC!BF$40:BF$64))</f>
        <v>#N/A</v>
      </c>
      <c r="AW48" s="428" t="e">
        <f>IF(ISERROR(AVERAGEIF(IC!$L$40:$L$64, "=2010", IC!BG$40:BG$64)), NA(), AVERAGEIF(IC!$L$40:$L$64, "=2010", IC!BG$40:BG$64))</f>
        <v>#N/A</v>
      </c>
      <c r="AX48" s="428" t="e">
        <f>IF(ISERROR(AVERAGEIF(IC!$L$40:$L$64, "=2010", IC!BH$40:BH$64)), NA(), AVERAGEIF(IC!$L$40:$L$64, "=2010", IC!BH$40:BH$64))</f>
        <v>#N/A</v>
      </c>
      <c r="AY48" s="428" t="e">
        <f>IF(ISERROR(AVERAGEIF(IC!$L$40:$L$64, "=2010", IC!BI$40:BI$64)), NA(), AVERAGEIF(IC!$L$40:$L$64, "=2010", IC!BI$40:BI$64))</f>
        <v>#N/A</v>
      </c>
      <c r="AZ48" s="428" t="e">
        <f>IF(ISERROR(AVERAGEIF(IC!$L$40:$L$64, "=2010", IC!BJ$40:BJ$64)), NA(), AVERAGEIF(IC!$L$40:$L$64, "=2010", IC!BJ$40:BJ$64))</f>
        <v>#N/A</v>
      </c>
      <c r="BA48" s="428" t="e">
        <f>IF(ISERROR(AVERAGEIF(IC!$L$40:$L$64, "=2010", IC!BK$40:BK$64)), NA(), AVERAGEIF(IC!$L$40:$L$64, "=2010", IC!BK$40:BK$64))</f>
        <v>#N/A</v>
      </c>
      <c r="BB48" s="428" t="e">
        <f>IF(ISERROR(AVERAGEIF(IC!$L$40:$L$64, "=2010", IC!BL$40:BL$64)), NA(), AVERAGEIF(IC!$L$40:$L$64, "=2010", IC!BL$40:BL$64))</f>
        <v>#N/A</v>
      </c>
      <c r="BC48" s="428" t="e">
        <f>IF(ISERROR(AVERAGEIF(IC!$L$40:$L$64, "=2010", IC!BM$40:BM$64)), NA(), AVERAGEIF(IC!$L$40:$L$64, "=2010", IC!BM$40:BM$64))</f>
        <v>#N/A</v>
      </c>
      <c r="BD48" s="428" t="e">
        <f>IF(ISERROR(AVERAGEIF(IC!$L$40:$L$64, "=2010", IC!BO$40:BO$64)), NA(), AVERAGEIF(IC!$L$40:$L$64, "=2010", IC!BO$40:BO$64))</f>
        <v>#N/A</v>
      </c>
      <c r="BE48" s="428" t="e">
        <f>IF(ISERROR(AVERAGEIF(IC!$L$40:$L$64, "=2010", IC!BP$40:BP$64)), NA(), AVERAGEIF(IC!$L$40:$L$64, "=2010", IC!BP$40:BP$64))</f>
        <v>#N/A</v>
      </c>
      <c r="BF48" s="428" t="e">
        <f>IF(ISERROR(AVERAGEIF(IC!$L$40:$L$64, "=2010", IC!BQ$40:BQ$64)), NA(), AVERAGEIF(IC!$L$40:$L$64, "=2010", IC!BQ$40:BQ$64))</f>
        <v>#N/A</v>
      </c>
      <c r="BG48" s="428" t="e">
        <f>IF(ISERROR(AVERAGEIF(IC!$L$40:$L$64, "=2010", IC!BR$40:BR$64)), NA(), AVERAGEIF(IC!$L$40:$L$64, "=2010", IC!BR$40:BR$64))</f>
        <v>#N/A</v>
      </c>
      <c r="BH48" s="428" t="e">
        <f>IF(ISERROR(AVERAGEIF(IC!$L$40:$L$64, "=2010", IC!BS$40:BS$64)), NA(), AVERAGEIF(IC!$L$40:$L$64, "=2010", IC!BS$40:BS$64))</f>
        <v>#N/A</v>
      </c>
      <c r="BI48" s="428" t="e">
        <f>IF(ISERROR(AVERAGEIF(IC!$L$40:$L$64, "=2010", IC!BT$40:BT$64)), NA(), AVERAGEIF(IC!$L$40:$L$64, "=2010", IC!BT$40:BT$64))</f>
        <v>#N/A</v>
      </c>
      <c r="BJ48" s="428" t="e">
        <f>IF(ISERROR(AVERAGEIF(IC!$L$40:$L$64, "=2010", IC!BU$40:BU$64)), NA(), AVERAGEIF(IC!$L$40:$L$64, "=2010", IC!BU$40:BU$64))</f>
        <v>#N/A</v>
      </c>
      <c r="BK48" s="428" t="e">
        <f>IF(ISERROR(AVERAGEIF(IC!$L$40:$L$64, "=2010", IC!BV$40:BV$64)), NA(), AVERAGEIF(IC!$L$40:$L$64, "=2010", IC!BV$40:BV$64))</f>
        <v>#N/A</v>
      </c>
      <c r="BL48" s="428" t="e">
        <f>IF(ISERROR(AVERAGEIF(IC!$L$40:$L$64, "=2010", IC!BW$40:BW$64)), NA(), AVERAGEIF(IC!$L$40:$L$64, "=2010", IC!BW$40:BW$64))</f>
        <v>#N/A</v>
      </c>
      <c r="BM48" s="428" t="e">
        <f>IF(ISERROR(AVERAGEIF(IC!$L$40:$L$64, "=2010", IC!BX$40:BX$64)), NA(), AVERAGEIF(IC!$L$40:$L$64, "=2010", IC!BX$40:BX$64))</f>
        <v>#N/A</v>
      </c>
      <c r="BN48" s="428" t="e">
        <f>IF(ISERROR(AVERAGEIF(IC!$L$40:$L$64, "=2010", IC!BY$40:BY$64)), NA(), AVERAGEIF(IC!$L$40:$L$64, "=2010", IC!BY$40:BY$64))</f>
        <v>#N/A</v>
      </c>
      <c r="BO48" s="428" t="e">
        <f>IF(ISERROR(AVERAGEIF(IC!$L$40:$L$64, "=2010", IC!BZ$40:BZ$64)), NA(), AVERAGEIF(IC!$L$40:$L$64, "=2010", IC!BZ$40:BZ$64))</f>
        <v>#N/A</v>
      </c>
      <c r="BP48" s="428" t="e">
        <f>IF(ISERROR(AVERAGEIF(IC!$L$40:$L$64, "=2010", IC!CA$40:CA$64)), NA(), AVERAGEIF(IC!$L$40:$L$64, "=2010", IC!CA$40:CA$64))</f>
        <v>#N/A</v>
      </c>
      <c r="BQ48" s="428" t="e">
        <f>IF(ISERROR(AVERAGEIF(IC!$L$40:$L$64, "=2010", IC!CB$40:CB$64)), NA(), AVERAGEIF(IC!$L$40:$L$64, "=2010", IC!CB$40:CB$64))</f>
        <v>#N/A</v>
      </c>
      <c r="BR48" s="428" t="e">
        <f>IF(ISERROR(AVERAGEIF(IC!$L$40:$L$64, "=2010", IC!CC$40:CC$64)), NA(), AVERAGEIF(IC!$L$40:$L$64, "=2010", IC!CC$40:CC$64))</f>
        <v>#N/A</v>
      </c>
      <c r="BS48" s="428" t="e">
        <f>IF(ISERROR(AVERAGEIF(IC!$L$40:$L$64, "=2010", IC!CD$40:CD$64)), NA(), AVERAGEIF(IC!$L$40:$L$64, "=2010", IC!CD$40:CD$64))</f>
        <v>#N/A</v>
      </c>
      <c r="BT48" s="428" t="e">
        <f>IF(ISERROR(AVERAGEIF(IC!$L$40:$L$64, "=2010", IC!CE$40:CE$64)), NA(), AVERAGEIF(IC!$L$40:$L$64, "=2010", IC!CE$40:CE$64))</f>
        <v>#N/A</v>
      </c>
      <c r="BU48" s="428" t="e">
        <f>IF(ISERROR(AVERAGEIF(IC!$L$40:$L$64, "=2010", IC!CF$40:CF$64)), NA(), AVERAGEIF(IC!$L$40:$L$64, "=2010", IC!CF$40:CF$64))</f>
        <v>#N/A</v>
      </c>
      <c r="BV48" s="428" t="e">
        <f>IF(ISERROR(AVERAGEIF(IC!$L$40:$L$64, "=2010", IC!CG$40:CG$64)), NA(), AVERAGEIF(IC!$L$40:$L$64, "=2010", IC!CG$40:CG$64))</f>
        <v>#N/A</v>
      </c>
      <c r="BW48" s="428" t="e">
        <f>IF(ISERROR(AVERAGEIF(IC!$L$40:$L$64, "=2010", IC!CH$40:CH$64)), NA(), AVERAGEIF(IC!$L$40:$L$64, "=2010", IC!CH$40:CH$64))</f>
        <v>#N/A</v>
      </c>
      <c r="BX48" s="428" t="e">
        <f>IF(ISERROR(AVERAGEIF(IC!$L$40:$L$64, "=2010", IC!CI$40:CI$64)), NA(), AVERAGEIF(IC!$L$40:$L$64, "=2010", IC!CI$40:CI$64))</f>
        <v>#N/A</v>
      </c>
      <c r="BY48" s="428" t="e">
        <f>IF(ISERROR(AVERAGEIF(IC!$L$40:$L$64, "=2010", IC!CJ$40:CJ$64)), NA(), AVERAGEIF(IC!$L$40:$L$64, "=2010", IC!CJ$40:CJ$64))</f>
        <v>#N/A</v>
      </c>
      <c r="BZ48" s="428" t="e">
        <f>IF(ISERROR(AVERAGEIF(IC!$L$40:$L$64, "=2010", IC!CK$40:CK$64)), NA(), AVERAGEIF(IC!$L$40:$L$64, "=2010", IC!CK$40:CK$64))</f>
        <v>#N/A</v>
      </c>
    </row>
    <row r="49" spans="1:78">
      <c r="A49" s="774"/>
      <c r="B49" s="434">
        <v>2011</v>
      </c>
      <c r="C49" s="428" t="e">
        <f>IF(ISERROR(AVERAGEIF(IC!$L$40:$L$64, "=2011", IC!M$40:M$64)), NA(), AVERAGEIF(IC!$L$40:$L$64, "=2011", IC!M$40:M$64))</f>
        <v>#N/A</v>
      </c>
      <c r="D49" s="428" t="e">
        <f>IF(ISERROR(AVERAGEIF(IC!$L$40:$L$64, "=2011", IC!N$40:N$64)), NA(), AVERAGEIF(IC!$L$40:$L$64, "=2011", IC!N$40:N$64))</f>
        <v>#N/A</v>
      </c>
      <c r="E49" s="428" t="e">
        <f>IF(ISERROR(AVERAGEIF(IC!$L$40:$L$64, "=2011", IC!O$40:O$64)), NA(), AVERAGEIF(IC!$L$40:$L$64, "=2011", IC!O$40:O$64))</f>
        <v>#N/A</v>
      </c>
      <c r="F49" s="428" t="e">
        <f>IF(ISERROR(AVERAGEIF(IC!$L$40:$L$64, "=2011", IC!P$40:P$64)), NA(), AVERAGEIF(IC!$L$40:$L$64, "=2011", IC!P$40:P$64))</f>
        <v>#N/A</v>
      </c>
      <c r="G49" s="428" t="e">
        <f>IF(ISERROR(AVERAGEIF(IC!$L$40:$L$64, "=2011", IC!Q$40:Q$64)), NA(), AVERAGEIF(IC!$L$40:$L$64, "=2011", IC!Q$40:Q$64))</f>
        <v>#N/A</v>
      </c>
      <c r="H49" s="428" t="e">
        <f>IF(ISERROR(AVERAGEIF(IC!$L$40:$L$64, "=2011", IC!R$40:R$64)), NA(), AVERAGEIF(IC!$L$40:$L$64, "=2011", IC!R$40:R$64))</f>
        <v>#N/A</v>
      </c>
      <c r="I49" s="428" t="e">
        <f>IF(ISERROR(AVERAGEIF(IC!$L$40:$L$64, "=2011", IC!S$40:S$64)), NA(), AVERAGEIF(IC!$L$40:$L$64, "=2011", IC!S$40:S$64))</f>
        <v>#N/A</v>
      </c>
      <c r="J49" s="428" t="e">
        <f>IF(ISERROR(AVERAGEIF(IC!$L$40:$L$64, "=2011", IC!T$40:T$64)), NA(), AVERAGEIF(IC!$L$40:$L$64, "=2011", IC!T$40:T$64))</f>
        <v>#N/A</v>
      </c>
      <c r="K49" s="428" t="e">
        <f>IF(ISERROR(AVERAGEIF(IC!$L$40:$L$64, "=2011", IC!U$40:U$64)), NA(), AVERAGEIF(IC!$L$40:$L$64, "=2011", IC!U$40:U$64))</f>
        <v>#N/A</v>
      </c>
      <c r="L49" s="428" t="e">
        <f>IF(ISERROR(AVERAGEIF(IC!$L$40:$L$64, "=2011", IC!V$40:V$64)), NA(), AVERAGEIF(IC!$L$40:$L$64, "=2011", IC!V$40:V$64))</f>
        <v>#N/A</v>
      </c>
      <c r="M49" s="428" t="e">
        <f>IF(ISERROR(AVERAGEIF(IC!$L$40:$L$64, "=2011", IC!W$40:W$64)), NA(), AVERAGEIF(IC!$L$40:$L$64, "=2011", IC!W$40:W$64))</f>
        <v>#N/A</v>
      </c>
      <c r="N49" s="428" t="e">
        <f>IF(ISERROR(AVERAGEIF(IC!$L$40:$L$64, "=2011", IC!X$40:X$64)), NA(), AVERAGEIF(IC!$L$40:$L$64, "=2011", IC!X$40:X$64))</f>
        <v>#N/A</v>
      </c>
      <c r="O49" s="428" t="e">
        <f>IF(ISERROR(AVERAGEIF(IC!$L$40:$L$64, "=2011", IC!Y$40:Y$64)), NA(), AVERAGEIF(IC!$L$40:$L$64, "=2011", IC!Y$40:Y$64))</f>
        <v>#N/A</v>
      </c>
      <c r="P49" s="428" t="e">
        <f>IF(ISERROR(AVERAGEIF(IC!$L$40:$L$64, "=2011", IC!Z$40:Z$64)), NA(), AVERAGEIF(IC!$L$40:$L$64, "=2011", IC!Z$40:Z$64))</f>
        <v>#N/A</v>
      </c>
      <c r="Q49" s="428" t="e">
        <f>IF(ISERROR(AVERAGEIF(IC!$L$40:$L$64, "=2011", IC!AA$40:AA$64)), NA(), AVERAGEIF(IC!$L$40:$L$64, "=2011", IC!AA$40:AA$64))</f>
        <v>#N/A</v>
      </c>
      <c r="R49" s="428" t="e">
        <f>IF(ISERROR(AVERAGEIF(IC!$L$40:$L$64, "=2011", IC!AB$40:AB$64)), NA(), AVERAGEIF(IC!$L$40:$L$64, "=2011", IC!AB$40:AB$64))</f>
        <v>#N/A</v>
      </c>
      <c r="S49" s="428" t="e">
        <f>IF(ISERROR(AVERAGEIF(IC!$L$40:$L$64, "=2011", IC!AC$40:AC$64)), NA(), AVERAGEIF(IC!$L$40:$L$64, "=2011", IC!AC$40:AC$64))</f>
        <v>#N/A</v>
      </c>
      <c r="T49" s="428" t="e">
        <f>IF(ISERROR(AVERAGEIF(IC!$L$40:$L$64, "=2011", IC!AD$40:AD$64)), NA(), AVERAGEIF(IC!$L$40:$L$64, "=2011", IC!AD$40:AD$64))</f>
        <v>#N/A</v>
      </c>
      <c r="U49" s="428" t="e">
        <f>IF(ISERROR(AVERAGEIF(IC!$L$40:$L$64, "=2011", IC!AE$40:AE$64)), NA(), AVERAGEIF(IC!$L$40:$L$64, "=2011", IC!AE$40:AE$64))</f>
        <v>#N/A</v>
      </c>
      <c r="V49" s="428" t="e">
        <f>IF(ISERROR(AVERAGEIF(IC!$L$40:$L$64, "=2011", IC!AF$40:AF$64)), NA(), AVERAGEIF(IC!$L$40:$L$64, "=2011", IC!AF$40:AF$64))</f>
        <v>#N/A</v>
      </c>
      <c r="W49" s="428" t="e">
        <f>IF(ISERROR(AVERAGEIF(IC!$L$40:$L$64, "=2011", IC!AG$40:AG$64)), NA(), AVERAGEIF(IC!$L$40:$L$64, "=2011", IC!AG$40:AG$64))</f>
        <v>#N/A</v>
      </c>
      <c r="X49" s="428" t="e">
        <f>IF(ISERROR(AVERAGEIF(IC!$L$40:$L$64, "=2011", IC!AH$40:AH$64)), NA(), AVERAGEIF(IC!$L$40:$L$64, "=2011", IC!AH$40:AH$64))</f>
        <v>#N/A</v>
      </c>
      <c r="Y49" s="428" t="e">
        <f>IF(ISERROR(AVERAGEIF(IC!$L$40:$L$64, "=2011", IC!AI$40:AI$64)), NA(), AVERAGEIF(IC!$L$40:$L$64, "=2011", IC!AI$40:AI$64))</f>
        <v>#N/A</v>
      </c>
      <c r="Z49" s="428" t="e">
        <f>IF(ISERROR(AVERAGEIF(IC!$L$40:$L$64, "=2011", IC!AJ$40:AJ$64)), NA(), AVERAGEIF(IC!$L$40:$L$64, "=2011", IC!AJ$40:AJ$64))</f>
        <v>#N/A</v>
      </c>
      <c r="AA49" s="428" t="e">
        <f>IF(ISERROR(AVERAGEIF(IC!$L$40:$L$64, "=2011", IC!AK$40:AK$64)), NA(), AVERAGEIF(IC!$L$40:$L$64, "=2011", IC!AK$40:AK$64))</f>
        <v>#N/A</v>
      </c>
      <c r="AB49" s="428" t="e">
        <f>IF(ISERROR(AVERAGEIF(IC!$L$40:$L$64, "=2011", IC!AL$40:AL$64)), NA(), AVERAGEIF(IC!$L$40:$L$64, "=2011", IC!AL$40:AL$64))</f>
        <v>#N/A</v>
      </c>
      <c r="AC49" s="428" t="e">
        <f>IF(ISERROR(AVERAGEIF(IC!$L$40:$L$64, "=2011", IC!AM$40:AM$64)), NA(), AVERAGEIF(IC!$L$40:$L$64, "=2011", IC!AM$40:AM$64))</f>
        <v>#N/A</v>
      </c>
      <c r="AD49" s="428" t="e">
        <f>IF(ISERROR(AVERAGEIF(IC!$L$40:$L$64, "=2011", IC!AN$40:AN$64)), NA(), AVERAGEIF(IC!$L$40:$L$64, "=2011", IC!AN$40:AN$64))</f>
        <v>#N/A</v>
      </c>
      <c r="AE49" s="428" t="e">
        <f>IF(ISERROR(AVERAGEIF(IC!$L$40:$L$64, "=2011", IC!AO$40:AO$64)), NA(), AVERAGEIF(IC!$L$40:$L$64, "=2011", IC!AO$40:AO$64))</f>
        <v>#N/A</v>
      </c>
      <c r="AF49" s="428" t="e">
        <f>IF(ISERROR(AVERAGEIF(IC!$L$40:$L$64, "=2011", IC!AP$40:AP$64)), NA(), AVERAGEIF(IC!$L$40:$L$64, "=2011", IC!AP$40:AP$64))</f>
        <v>#N/A</v>
      </c>
      <c r="AG49" s="428" t="e">
        <f>IF(ISERROR(AVERAGEIF(IC!$L$40:$L$64, "=2011", IC!AQ$40:AQ$64)), NA(), AVERAGEIF(IC!$L$40:$L$64, "=2011", IC!AQ$40:AQ$64))</f>
        <v>#N/A</v>
      </c>
      <c r="AH49" s="428" t="e">
        <f>IF(ISERROR(AVERAGEIF(IC!$L$40:$L$64, "=2011", IC!AR$40:AR$64)), NA(), AVERAGEIF(IC!$L$40:$L$64, "=2011", IC!AR$40:AR$64))</f>
        <v>#N/A</v>
      </c>
      <c r="AI49" s="428" t="e">
        <f>IF(ISERROR(AVERAGEIF(IC!$L$40:$L$64, "=2011", IC!AS$40:AS$64)), NA(), AVERAGEIF(IC!$L$40:$L$64, "=2011", IC!AS$40:AS$64))</f>
        <v>#N/A</v>
      </c>
      <c r="AJ49" s="428" t="e">
        <f>IF(ISERROR(AVERAGEIF(IC!$L$40:$L$64, "=2011", IC!AT$40:AT$64)), NA(), AVERAGEIF(IC!$L$40:$L$64, "=2011", IC!AT$40:AT$64))</f>
        <v>#N/A</v>
      </c>
      <c r="AK49" s="428" t="e">
        <f>IF(ISERROR(AVERAGEIF(IC!$L$40:$L$64, "=2011", IC!AU$40:AU$64)), NA(), AVERAGEIF(IC!$L$40:$L$64, "=2011", IC!AU$40:AU$64))</f>
        <v>#N/A</v>
      </c>
      <c r="AL49" s="428" t="e">
        <f>IF(ISERROR(AVERAGEIF(IC!$L$40:$L$64, "=2011", IC!AV$40:AV$64)), NA(), AVERAGEIF(IC!$L$40:$L$64, "=2011", IC!AV$40:AV$64))</f>
        <v>#N/A</v>
      </c>
      <c r="AM49" s="428" t="e">
        <f>IF(ISERROR(AVERAGEIF(IC!$L$40:$L$64, "=2011", IC!AW$40:AW$64)), NA(), AVERAGEIF(IC!$L$40:$L$64, "=2011", IC!AW$40:AW$64))</f>
        <v>#N/A</v>
      </c>
      <c r="AN49" s="428" t="e">
        <f>IF(ISERROR(AVERAGEIF(IC!$L$40:$L$64, "=2011", IC!AX$40:AX$64)), NA(), AVERAGEIF(IC!$L$40:$L$64, "=2011", IC!AX$40:AX$64))</f>
        <v>#N/A</v>
      </c>
      <c r="AO49" s="428" t="e">
        <f>IF(ISERROR(AVERAGEIF(IC!$L$40:$L$64, "=2011", IC!AY$40:AY$64)), NA(), AVERAGEIF(IC!$L$40:$L$64, "=2011", IC!AY$40:AY$64))</f>
        <v>#N/A</v>
      </c>
      <c r="AP49" s="428" t="e">
        <f>IF(ISERROR(AVERAGEIF(IC!$L$40:$L$64, "=2011", IC!AZ$40:AZ$64)), NA(), AVERAGEIF(IC!$L$40:$L$64, "=2011", IC!AZ$40:AZ$64))</f>
        <v>#N/A</v>
      </c>
      <c r="AQ49" s="428" t="e">
        <f>IF(ISERROR(AVERAGEIF(IC!$L$40:$L$64, "=2011", IC!BA$40:BA$64)), NA(), AVERAGEIF(IC!$L$40:$L$64, "=2011", IC!BA$40:BA$64))</f>
        <v>#N/A</v>
      </c>
      <c r="AR49" s="428" t="e">
        <f>IF(ISERROR(AVERAGEIF(IC!$L$40:$L$64, "=2011", IC!BB$40:BB$64)), NA(), AVERAGEIF(IC!$L$40:$L$64, "=2011", IC!BB$40:BB$64))</f>
        <v>#N/A</v>
      </c>
      <c r="AS49" s="428" t="e">
        <f>IF(ISERROR(AVERAGEIF(IC!$L$40:$L$64, "=2011", IC!BC$40:BC$64)), NA(), AVERAGEIF(IC!$L$40:$L$64, "=2011", IC!BC$40:BC$64))</f>
        <v>#N/A</v>
      </c>
      <c r="AT49" s="428" t="e">
        <f>IF(ISERROR(AVERAGEIF(IC!$L$40:$L$64, "=2011", IC!BD$40:BD$64)), NA(), AVERAGEIF(IC!$L$40:$L$64, "=2011", IC!BD$40:BD$64))</f>
        <v>#N/A</v>
      </c>
      <c r="AU49" s="428" t="e">
        <f>IF(ISERROR(AVERAGEIF(IC!$L$40:$L$64, "=2011", IC!BE$40:BE$64)), NA(), AVERAGEIF(IC!$L$40:$L$64, "=2011", IC!BE$40:BE$64))</f>
        <v>#N/A</v>
      </c>
      <c r="AV49" s="428" t="e">
        <f>IF(ISERROR(AVERAGEIF(IC!$L$40:$L$64, "=2011", IC!BF$40:BF$64)), NA(), AVERAGEIF(IC!$L$40:$L$64, "=2011", IC!BF$40:BF$64))</f>
        <v>#N/A</v>
      </c>
      <c r="AW49" s="428" t="e">
        <f>IF(ISERROR(AVERAGEIF(IC!$L$40:$L$64, "=2011", IC!BG$40:BG$64)), NA(), AVERAGEIF(IC!$L$40:$L$64, "=2011", IC!BG$40:BG$64))</f>
        <v>#N/A</v>
      </c>
      <c r="AX49" s="428" t="e">
        <f>IF(ISERROR(AVERAGEIF(IC!$L$40:$L$64, "=2011", IC!BH$40:BH$64)), NA(), AVERAGEIF(IC!$L$40:$L$64, "=2011", IC!BH$40:BH$64))</f>
        <v>#N/A</v>
      </c>
      <c r="AY49" s="428" t="e">
        <f>IF(ISERROR(AVERAGEIF(IC!$L$40:$L$64, "=2011", IC!BI$40:BI$64)), NA(), AVERAGEIF(IC!$L$40:$L$64, "=2011", IC!BI$40:BI$64))</f>
        <v>#N/A</v>
      </c>
      <c r="AZ49" s="428" t="e">
        <f>IF(ISERROR(AVERAGEIF(IC!$L$40:$L$64, "=2011", IC!BJ$40:BJ$64)), NA(), AVERAGEIF(IC!$L$40:$L$64, "=2011", IC!BJ$40:BJ$64))</f>
        <v>#N/A</v>
      </c>
      <c r="BA49" s="428" t="e">
        <f>IF(ISERROR(AVERAGEIF(IC!$L$40:$L$64, "=2011", IC!BK$40:BK$64)), NA(), AVERAGEIF(IC!$L$40:$L$64, "=2011", IC!BK$40:BK$64))</f>
        <v>#N/A</v>
      </c>
      <c r="BB49" s="428" t="e">
        <f>IF(ISERROR(AVERAGEIF(IC!$L$40:$L$64, "=2011", IC!BL$40:BL$64)), NA(), AVERAGEIF(IC!$L$40:$L$64, "=2011", IC!BL$40:BL$64))</f>
        <v>#N/A</v>
      </c>
      <c r="BC49" s="428" t="e">
        <f>IF(ISERROR(AVERAGEIF(IC!$L$40:$L$64, "=2011", IC!BM$40:BM$64)), NA(), AVERAGEIF(IC!$L$40:$L$64, "=2011", IC!BM$40:BM$64))</f>
        <v>#N/A</v>
      </c>
      <c r="BD49" s="428" t="e">
        <f>IF(ISERROR(AVERAGEIF(IC!$L$40:$L$64, "=2011", IC!BO$40:BO$64)), NA(), AVERAGEIF(IC!$L$40:$L$64, "=2011", IC!BO$40:BO$64))</f>
        <v>#N/A</v>
      </c>
      <c r="BE49" s="428" t="e">
        <f>IF(ISERROR(AVERAGEIF(IC!$L$40:$L$64, "=2011", IC!BP$40:BP$64)), NA(), AVERAGEIF(IC!$L$40:$L$64, "=2011", IC!BP$40:BP$64))</f>
        <v>#N/A</v>
      </c>
      <c r="BF49" s="428" t="e">
        <f>IF(ISERROR(AVERAGEIF(IC!$L$40:$L$64, "=2011", IC!BQ$40:BQ$64)), NA(), AVERAGEIF(IC!$L$40:$L$64, "=2011", IC!BQ$40:BQ$64))</f>
        <v>#N/A</v>
      </c>
      <c r="BG49" s="428" t="e">
        <f>IF(ISERROR(AVERAGEIF(IC!$L$40:$L$64, "=2011", IC!BR$40:BR$64)), NA(), AVERAGEIF(IC!$L$40:$L$64, "=2011", IC!BR$40:BR$64))</f>
        <v>#N/A</v>
      </c>
      <c r="BH49" s="428" t="e">
        <f>IF(ISERROR(AVERAGEIF(IC!$L$40:$L$64, "=2011", IC!BS$40:BS$64)), NA(), AVERAGEIF(IC!$L$40:$L$64, "=2011", IC!BS$40:BS$64))</f>
        <v>#N/A</v>
      </c>
      <c r="BI49" s="428" t="e">
        <f>IF(ISERROR(AVERAGEIF(IC!$L$40:$L$64, "=2011", IC!BT$40:BT$64)), NA(), AVERAGEIF(IC!$L$40:$L$64, "=2011", IC!BT$40:BT$64))</f>
        <v>#N/A</v>
      </c>
      <c r="BJ49" s="428" t="e">
        <f>IF(ISERROR(AVERAGEIF(IC!$L$40:$L$64, "=2011", IC!BU$40:BU$64)), NA(), AVERAGEIF(IC!$L$40:$L$64, "=2011", IC!BU$40:BU$64))</f>
        <v>#N/A</v>
      </c>
      <c r="BK49" s="428" t="e">
        <f>IF(ISERROR(AVERAGEIF(IC!$L$40:$L$64, "=2011", IC!BV$40:BV$64)), NA(), AVERAGEIF(IC!$L$40:$L$64, "=2011", IC!BV$40:BV$64))</f>
        <v>#N/A</v>
      </c>
      <c r="BL49" s="428" t="e">
        <f>IF(ISERROR(AVERAGEIF(IC!$L$40:$L$64, "=2011", IC!BW$40:BW$64)), NA(), AVERAGEIF(IC!$L$40:$L$64, "=2011", IC!BW$40:BW$64))</f>
        <v>#N/A</v>
      </c>
      <c r="BM49" s="428" t="e">
        <f>IF(ISERROR(AVERAGEIF(IC!$L$40:$L$64, "=2011", IC!BX$40:BX$64)), NA(), AVERAGEIF(IC!$L$40:$L$64, "=2011", IC!BX$40:BX$64))</f>
        <v>#N/A</v>
      </c>
      <c r="BN49" s="428" t="e">
        <f>IF(ISERROR(AVERAGEIF(IC!$L$40:$L$64, "=2011", IC!BY$40:BY$64)), NA(), AVERAGEIF(IC!$L$40:$L$64, "=2011", IC!BY$40:BY$64))</f>
        <v>#N/A</v>
      </c>
      <c r="BO49" s="428" t="e">
        <f>IF(ISERROR(AVERAGEIF(IC!$L$40:$L$64, "=2011", IC!BZ$40:BZ$64)), NA(), AVERAGEIF(IC!$L$40:$L$64, "=2011", IC!BZ$40:BZ$64))</f>
        <v>#N/A</v>
      </c>
      <c r="BP49" s="428" t="e">
        <f>IF(ISERROR(AVERAGEIF(IC!$L$40:$L$64, "=2011", IC!CA$40:CA$64)), NA(), AVERAGEIF(IC!$L$40:$L$64, "=2011", IC!CA$40:CA$64))</f>
        <v>#N/A</v>
      </c>
      <c r="BQ49" s="428" t="e">
        <f>IF(ISERROR(AVERAGEIF(IC!$L$40:$L$64, "=2011", IC!CB$40:CB$64)), NA(), AVERAGEIF(IC!$L$40:$L$64, "=2011", IC!CB$40:CB$64))</f>
        <v>#N/A</v>
      </c>
      <c r="BR49" s="428" t="e">
        <f>IF(ISERROR(AVERAGEIF(IC!$L$40:$L$64, "=2011", IC!CC$40:CC$64)), NA(), AVERAGEIF(IC!$L$40:$L$64, "=2011", IC!CC$40:CC$64))</f>
        <v>#N/A</v>
      </c>
      <c r="BS49" s="428" t="e">
        <f>IF(ISERROR(AVERAGEIF(IC!$L$40:$L$64, "=2011", IC!CD$40:CD$64)), NA(), AVERAGEIF(IC!$L$40:$L$64, "=2011", IC!CD$40:CD$64))</f>
        <v>#N/A</v>
      </c>
      <c r="BT49" s="428" t="e">
        <f>IF(ISERROR(AVERAGEIF(IC!$L$40:$L$64, "=2011", IC!CE$40:CE$64)), NA(), AVERAGEIF(IC!$L$40:$L$64, "=2011", IC!CE$40:CE$64))</f>
        <v>#N/A</v>
      </c>
      <c r="BU49" s="428" t="e">
        <f>IF(ISERROR(AVERAGEIF(IC!$L$40:$L$64, "=2011", IC!CF$40:CF$64)), NA(), AVERAGEIF(IC!$L$40:$L$64, "=2011", IC!CF$40:CF$64))</f>
        <v>#N/A</v>
      </c>
      <c r="BV49" s="428" t="e">
        <f>IF(ISERROR(AVERAGEIF(IC!$L$40:$L$64, "=2011", IC!CG$40:CG$64)), NA(), AVERAGEIF(IC!$L$40:$L$64, "=2011", IC!CG$40:CG$64))</f>
        <v>#N/A</v>
      </c>
      <c r="BW49" s="428" t="e">
        <f>IF(ISERROR(AVERAGEIF(IC!$L$40:$L$64, "=2011", IC!CH$40:CH$64)), NA(), AVERAGEIF(IC!$L$40:$L$64, "=2011", IC!CH$40:CH$64))</f>
        <v>#N/A</v>
      </c>
      <c r="BX49" s="428" t="e">
        <f>IF(ISERROR(AVERAGEIF(IC!$L$40:$L$64, "=2011", IC!CI$40:CI$64)), NA(), AVERAGEIF(IC!$L$40:$L$64, "=2011", IC!CI$40:CI$64))</f>
        <v>#N/A</v>
      </c>
      <c r="BY49" s="428" t="e">
        <f>IF(ISERROR(AVERAGEIF(IC!$L$40:$L$64, "=2011", IC!CJ$40:CJ$64)), NA(), AVERAGEIF(IC!$L$40:$L$64, "=2011", IC!CJ$40:CJ$64))</f>
        <v>#N/A</v>
      </c>
      <c r="BZ49" s="428" t="e">
        <f>IF(ISERROR(AVERAGEIF(IC!$L$40:$L$64, "=2011", IC!CK$40:CK$64)), NA(), AVERAGEIF(IC!$L$40:$L$64, "=2011", IC!CK$40:CK$64))</f>
        <v>#N/A</v>
      </c>
    </row>
    <row r="50" spans="1:78">
      <c r="A50" s="774"/>
      <c r="B50" s="434">
        <v>2012</v>
      </c>
      <c r="C50" s="428" t="e">
        <f>IF(ISERROR(AVERAGEIF(IC!$L$40:$L$64, "=2012", IC!M$40:M$64)), NA(), AVERAGEIF(IC!$L$40:$L$64, "=2012", IC!M$40:M$64))</f>
        <v>#N/A</v>
      </c>
      <c r="D50" s="428" t="e">
        <f>IF(ISERROR(AVERAGEIF(IC!$L$40:$L$64, "=2012", IC!N$40:N$64)), NA(), AVERAGEIF(IC!$L$40:$L$64, "=2012", IC!N$40:N$64))</f>
        <v>#N/A</v>
      </c>
      <c r="E50" s="428" t="e">
        <f>IF(ISERROR(AVERAGEIF(IC!$L$40:$L$64, "=2012", IC!O$40:O$64)), NA(), AVERAGEIF(IC!$L$40:$L$64, "=2012", IC!O$40:O$64))</f>
        <v>#N/A</v>
      </c>
      <c r="F50" s="428" t="e">
        <f>IF(ISERROR(AVERAGEIF(IC!$L$40:$L$64, "=2012", IC!P$40:P$64)), NA(), AVERAGEIF(IC!$L$40:$L$64, "=2012", IC!P$40:P$64))</f>
        <v>#N/A</v>
      </c>
      <c r="G50" s="428" t="e">
        <f>IF(ISERROR(AVERAGEIF(IC!$L$40:$L$64, "=2012", IC!Q$40:Q$64)), NA(), AVERAGEIF(IC!$L$40:$L$64, "=2012", IC!Q$40:Q$64))</f>
        <v>#N/A</v>
      </c>
      <c r="H50" s="428" t="e">
        <f>IF(ISERROR(AVERAGEIF(IC!$L$40:$L$64, "=2012", IC!R$40:R$64)), NA(), AVERAGEIF(IC!$L$40:$L$64, "=2012", IC!R$40:R$64))</f>
        <v>#N/A</v>
      </c>
      <c r="I50" s="428" t="e">
        <f>IF(ISERROR(AVERAGEIF(IC!$L$40:$L$64, "=2012", IC!S$40:S$64)), NA(), AVERAGEIF(IC!$L$40:$L$64, "=2012", IC!S$40:S$64))</f>
        <v>#N/A</v>
      </c>
      <c r="J50" s="428" t="e">
        <f>IF(ISERROR(AVERAGEIF(IC!$L$40:$L$64, "=2012", IC!T$40:T$64)), NA(), AVERAGEIF(IC!$L$40:$L$64, "=2012", IC!T$40:T$64))</f>
        <v>#N/A</v>
      </c>
      <c r="K50" s="428" t="e">
        <f>IF(ISERROR(AVERAGEIF(IC!$L$40:$L$64, "=2012", IC!U$40:U$64)), NA(), AVERAGEIF(IC!$L$40:$L$64, "=2012", IC!U$40:U$64))</f>
        <v>#N/A</v>
      </c>
      <c r="L50" s="428" t="e">
        <f>IF(ISERROR(AVERAGEIF(IC!$L$40:$L$64, "=2012", IC!V$40:V$64)), NA(), AVERAGEIF(IC!$L$40:$L$64, "=2012", IC!V$40:V$64))</f>
        <v>#N/A</v>
      </c>
      <c r="M50" s="428" t="e">
        <f>IF(ISERROR(AVERAGEIF(IC!$L$40:$L$64, "=2012", IC!W$40:W$64)), NA(), AVERAGEIF(IC!$L$40:$L$64, "=2012", IC!W$40:W$64))</f>
        <v>#N/A</v>
      </c>
      <c r="N50" s="428" t="e">
        <f>IF(ISERROR(AVERAGEIF(IC!$L$40:$L$64, "=2012", IC!X$40:X$64)), NA(), AVERAGEIF(IC!$L$40:$L$64, "=2012", IC!X$40:X$64))</f>
        <v>#N/A</v>
      </c>
      <c r="O50" s="428" t="e">
        <f>IF(ISERROR(AVERAGEIF(IC!$L$40:$L$64, "=2012", IC!Y$40:Y$64)), NA(), AVERAGEIF(IC!$L$40:$L$64, "=2012", IC!Y$40:Y$64))</f>
        <v>#N/A</v>
      </c>
      <c r="P50" s="428" t="e">
        <f>IF(ISERROR(AVERAGEIF(IC!$L$40:$L$64, "=2012", IC!Z$40:Z$64)), NA(), AVERAGEIF(IC!$L$40:$L$64, "=2012", IC!Z$40:Z$64))</f>
        <v>#N/A</v>
      </c>
      <c r="Q50" s="428" t="e">
        <f>IF(ISERROR(AVERAGEIF(IC!$L$40:$L$64, "=2012", IC!AA$40:AA$64)), NA(), AVERAGEIF(IC!$L$40:$L$64, "=2012", IC!AA$40:AA$64))</f>
        <v>#N/A</v>
      </c>
      <c r="R50" s="428" t="e">
        <f>IF(ISERROR(AVERAGEIF(IC!$L$40:$L$64, "=2012", IC!AB$40:AB$64)), NA(), AVERAGEIF(IC!$L$40:$L$64, "=2012", IC!AB$40:AB$64))</f>
        <v>#N/A</v>
      </c>
      <c r="S50" s="428" t="e">
        <f>IF(ISERROR(AVERAGEIF(IC!$L$40:$L$64, "=2012", IC!AC$40:AC$64)), NA(), AVERAGEIF(IC!$L$40:$L$64, "=2012", IC!AC$40:AC$64))</f>
        <v>#N/A</v>
      </c>
      <c r="T50" s="428" t="e">
        <f>IF(ISERROR(AVERAGEIF(IC!$L$40:$L$64, "=2012", IC!AD$40:AD$64)), NA(), AVERAGEIF(IC!$L$40:$L$64, "=2012", IC!AD$40:AD$64))</f>
        <v>#N/A</v>
      </c>
      <c r="U50" s="428" t="e">
        <f>IF(ISERROR(AVERAGEIF(IC!$L$40:$L$64, "=2012", IC!AE$40:AE$64)), NA(), AVERAGEIF(IC!$L$40:$L$64, "=2012", IC!AE$40:AE$64))</f>
        <v>#N/A</v>
      </c>
      <c r="V50" s="428" t="e">
        <f>IF(ISERROR(AVERAGEIF(IC!$L$40:$L$64, "=2012", IC!AF$40:AF$64)), NA(), AVERAGEIF(IC!$L$40:$L$64, "=2012", IC!AF$40:AF$64))</f>
        <v>#N/A</v>
      </c>
      <c r="W50" s="428" t="e">
        <f>IF(ISERROR(AVERAGEIF(IC!$L$40:$L$64, "=2012", IC!AG$40:AG$64)), NA(), AVERAGEIF(IC!$L$40:$L$64, "=2012", IC!AG$40:AG$64))</f>
        <v>#N/A</v>
      </c>
      <c r="X50" s="428" t="e">
        <f>IF(ISERROR(AVERAGEIF(IC!$L$40:$L$64, "=2012", IC!AH$40:AH$64)), NA(), AVERAGEIF(IC!$L$40:$L$64, "=2012", IC!AH$40:AH$64))</f>
        <v>#N/A</v>
      </c>
      <c r="Y50" s="428" t="e">
        <f>IF(ISERROR(AVERAGEIF(IC!$L$40:$L$64, "=2012", IC!AI$40:AI$64)), NA(), AVERAGEIF(IC!$L$40:$L$64, "=2012", IC!AI$40:AI$64))</f>
        <v>#N/A</v>
      </c>
      <c r="Z50" s="428" t="e">
        <f>IF(ISERROR(AVERAGEIF(IC!$L$40:$L$64, "=2012", IC!AJ$40:AJ$64)), NA(), AVERAGEIF(IC!$L$40:$L$64, "=2012", IC!AJ$40:AJ$64))</f>
        <v>#N/A</v>
      </c>
      <c r="AA50" s="428" t="e">
        <f>IF(ISERROR(AVERAGEIF(IC!$L$40:$L$64, "=2012", IC!AK$40:AK$64)), NA(), AVERAGEIF(IC!$L$40:$L$64, "=2012", IC!AK$40:AK$64))</f>
        <v>#N/A</v>
      </c>
      <c r="AB50" s="428" t="e">
        <f>IF(ISERROR(AVERAGEIF(IC!$L$40:$L$64, "=2012", IC!AL$40:AL$64)), NA(), AVERAGEIF(IC!$L$40:$L$64, "=2012", IC!AL$40:AL$64))</f>
        <v>#N/A</v>
      </c>
      <c r="AC50" s="428" t="e">
        <f>IF(ISERROR(AVERAGEIF(IC!$L$40:$L$64, "=2012", IC!AM$40:AM$64)), NA(), AVERAGEIF(IC!$L$40:$L$64, "=2012", IC!AM$40:AM$64))</f>
        <v>#N/A</v>
      </c>
      <c r="AD50" s="428" t="e">
        <f>IF(ISERROR(AVERAGEIF(IC!$L$40:$L$64, "=2012", IC!AN$40:AN$64)), NA(), AVERAGEIF(IC!$L$40:$L$64, "=2012", IC!AN$40:AN$64))</f>
        <v>#N/A</v>
      </c>
      <c r="AE50" s="428" t="e">
        <f>IF(ISERROR(AVERAGEIF(IC!$L$40:$L$64, "=2012", IC!AO$40:AO$64)), NA(), AVERAGEIF(IC!$L$40:$L$64, "=2012", IC!AO$40:AO$64))</f>
        <v>#N/A</v>
      </c>
      <c r="AF50" s="428" t="e">
        <f>IF(ISERROR(AVERAGEIF(IC!$L$40:$L$64, "=2012", IC!AP$40:AP$64)), NA(), AVERAGEIF(IC!$L$40:$L$64, "=2012", IC!AP$40:AP$64))</f>
        <v>#N/A</v>
      </c>
      <c r="AG50" s="428" t="e">
        <f>IF(ISERROR(AVERAGEIF(IC!$L$40:$L$64, "=2012", IC!AQ$40:AQ$64)), NA(), AVERAGEIF(IC!$L$40:$L$64, "=2012", IC!AQ$40:AQ$64))</f>
        <v>#N/A</v>
      </c>
      <c r="AH50" s="428" t="e">
        <f>IF(ISERROR(AVERAGEIF(IC!$L$40:$L$64, "=2012", IC!AR$40:AR$64)), NA(), AVERAGEIF(IC!$L$40:$L$64, "=2012", IC!AR$40:AR$64))</f>
        <v>#N/A</v>
      </c>
      <c r="AI50" s="428" t="e">
        <f>IF(ISERROR(AVERAGEIF(IC!$L$40:$L$64, "=2012", IC!AS$40:AS$64)), NA(), AVERAGEIF(IC!$L$40:$L$64, "=2012", IC!AS$40:AS$64))</f>
        <v>#N/A</v>
      </c>
      <c r="AJ50" s="428" t="e">
        <f>IF(ISERROR(AVERAGEIF(IC!$L$40:$L$64, "=2012", IC!AT$40:AT$64)), NA(), AVERAGEIF(IC!$L$40:$L$64, "=2012", IC!AT$40:AT$64))</f>
        <v>#N/A</v>
      </c>
      <c r="AK50" s="428" t="e">
        <f>IF(ISERROR(AVERAGEIF(IC!$L$40:$L$64, "=2012", IC!AU$40:AU$64)), NA(), AVERAGEIF(IC!$L$40:$L$64, "=2012", IC!AU$40:AU$64))</f>
        <v>#N/A</v>
      </c>
      <c r="AL50" s="428" t="e">
        <f>IF(ISERROR(AVERAGEIF(IC!$L$40:$L$64, "=2012", IC!AV$40:AV$64)), NA(), AVERAGEIF(IC!$L$40:$L$64, "=2012", IC!AV$40:AV$64))</f>
        <v>#N/A</v>
      </c>
      <c r="AM50" s="428" t="e">
        <f>IF(ISERROR(AVERAGEIF(IC!$L$40:$L$64, "=2012", IC!AW$40:AW$64)), NA(), AVERAGEIF(IC!$L$40:$L$64, "=2012", IC!AW$40:AW$64))</f>
        <v>#N/A</v>
      </c>
      <c r="AN50" s="428" t="e">
        <f>IF(ISERROR(AVERAGEIF(IC!$L$40:$L$64, "=2012", IC!AX$40:AX$64)), NA(), AVERAGEIF(IC!$L$40:$L$64, "=2012", IC!AX$40:AX$64))</f>
        <v>#N/A</v>
      </c>
      <c r="AO50" s="428" t="e">
        <f>IF(ISERROR(AVERAGEIF(IC!$L$40:$L$64, "=2012", IC!AY$40:AY$64)), NA(), AVERAGEIF(IC!$L$40:$L$64, "=2012", IC!AY$40:AY$64))</f>
        <v>#N/A</v>
      </c>
      <c r="AP50" s="428" t="e">
        <f>IF(ISERROR(AVERAGEIF(IC!$L$40:$L$64, "=2012", IC!AZ$40:AZ$64)), NA(), AVERAGEIF(IC!$L$40:$L$64, "=2012", IC!AZ$40:AZ$64))</f>
        <v>#N/A</v>
      </c>
      <c r="AQ50" s="428" t="e">
        <f>IF(ISERROR(AVERAGEIF(IC!$L$40:$L$64, "=2012", IC!BA$40:BA$64)), NA(), AVERAGEIF(IC!$L$40:$L$64, "=2012", IC!BA$40:BA$64))</f>
        <v>#N/A</v>
      </c>
      <c r="AR50" s="428" t="e">
        <f>IF(ISERROR(AVERAGEIF(IC!$L$40:$L$64, "=2012", IC!BB$40:BB$64)), NA(), AVERAGEIF(IC!$L$40:$L$64, "=2012", IC!BB$40:BB$64))</f>
        <v>#N/A</v>
      </c>
      <c r="AS50" s="428" t="e">
        <f>IF(ISERROR(AVERAGEIF(IC!$L$40:$L$64, "=2012", IC!BC$40:BC$64)), NA(), AVERAGEIF(IC!$L$40:$L$64, "=2012", IC!BC$40:BC$64))</f>
        <v>#N/A</v>
      </c>
      <c r="AT50" s="428" t="e">
        <f>IF(ISERROR(AVERAGEIF(IC!$L$40:$L$64, "=2012", IC!BD$40:BD$64)), NA(), AVERAGEIF(IC!$L$40:$L$64, "=2012", IC!BD$40:BD$64))</f>
        <v>#N/A</v>
      </c>
      <c r="AU50" s="428" t="e">
        <f>IF(ISERROR(AVERAGEIF(IC!$L$40:$L$64, "=2012", IC!BE$40:BE$64)), NA(), AVERAGEIF(IC!$L$40:$L$64, "=2012", IC!BE$40:BE$64))</f>
        <v>#N/A</v>
      </c>
      <c r="AV50" s="428" t="e">
        <f>IF(ISERROR(AVERAGEIF(IC!$L$40:$L$64, "=2012", IC!BF$40:BF$64)), NA(), AVERAGEIF(IC!$L$40:$L$64, "=2012", IC!BF$40:BF$64))</f>
        <v>#N/A</v>
      </c>
      <c r="AW50" s="428" t="e">
        <f>IF(ISERROR(AVERAGEIF(IC!$L$40:$L$64, "=2012", IC!BG$40:BG$64)), NA(), AVERAGEIF(IC!$L$40:$L$64, "=2012", IC!BG$40:BG$64))</f>
        <v>#N/A</v>
      </c>
      <c r="AX50" s="428" t="e">
        <f>IF(ISERROR(AVERAGEIF(IC!$L$40:$L$64, "=2012", IC!BH$40:BH$64)), NA(), AVERAGEIF(IC!$L$40:$L$64, "=2012", IC!BH$40:BH$64))</f>
        <v>#N/A</v>
      </c>
      <c r="AY50" s="428" t="e">
        <f>IF(ISERROR(AVERAGEIF(IC!$L$40:$L$64, "=2012", IC!BI$40:BI$64)), NA(), AVERAGEIF(IC!$L$40:$L$64, "=2012", IC!BI$40:BI$64))</f>
        <v>#N/A</v>
      </c>
      <c r="AZ50" s="428" t="e">
        <f>IF(ISERROR(AVERAGEIF(IC!$L$40:$L$64, "=2012", IC!BJ$40:BJ$64)), NA(), AVERAGEIF(IC!$L$40:$L$64, "=2012", IC!BJ$40:BJ$64))</f>
        <v>#N/A</v>
      </c>
      <c r="BA50" s="428" t="e">
        <f>IF(ISERROR(AVERAGEIF(IC!$L$40:$L$64, "=2012", IC!BK$40:BK$64)), NA(), AVERAGEIF(IC!$L$40:$L$64, "=2012", IC!BK$40:BK$64))</f>
        <v>#N/A</v>
      </c>
      <c r="BB50" s="428" t="e">
        <f>IF(ISERROR(AVERAGEIF(IC!$L$40:$L$64, "=2012", IC!BL$40:BL$64)), NA(), AVERAGEIF(IC!$L$40:$L$64, "=2012", IC!BL$40:BL$64))</f>
        <v>#N/A</v>
      </c>
      <c r="BC50" s="428" t="e">
        <f>IF(ISERROR(AVERAGEIF(IC!$L$40:$L$64, "=2012", IC!BM$40:BM$64)), NA(), AVERAGEIF(IC!$L$40:$L$64, "=2012", IC!BM$40:BM$64))</f>
        <v>#N/A</v>
      </c>
      <c r="BD50" s="428" t="e">
        <f>IF(ISERROR(AVERAGEIF(IC!$L$40:$L$64, "=2012", IC!BO$40:BO$64)), NA(), AVERAGEIF(IC!$L$40:$L$64, "=2012", IC!BO$40:BO$64))</f>
        <v>#N/A</v>
      </c>
      <c r="BE50" s="428" t="e">
        <f>IF(ISERROR(AVERAGEIF(IC!$L$40:$L$64, "=2012", IC!BP$40:BP$64)), NA(), AVERAGEIF(IC!$L$40:$L$64, "=2012", IC!BP$40:BP$64))</f>
        <v>#N/A</v>
      </c>
      <c r="BF50" s="428" t="e">
        <f>IF(ISERROR(AVERAGEIF(IC!$L$40:$L$64, "=2012", IC!BQ$40:BQ$64)), NA(), AVERAGEIF(IC!$L$40:$L$64, "=2012", IC!BQ$40:BQ$64))</f>
        <v>#N/A</v>
      </c>
      <c r="BG50" s="428" t="e">
        <f>IF(ISERROR(AVERAGEIF(IC!$L$40:$L$64, "=2012", IC!BR$40:BR$64)), NA(), AVERAGEIF(IC!$L$40:$L$64, "=2012", IC!BR$40:BR$64))</f>
        <v>#N/A</v>
      </c>
      <c r="BH50" s="428" t="e">
        <f>IF(ISERROR(AVERAGEIF(IC!$L$40:$L$64, "=2012", IC!BS$40:BS$64)), NA(), AVERAGEIF(IC!$L$40:$L$64, "=2012", IC!BS$40:BS$64))</f>
        <v>#N/A</v>
      </c>
      <c r="BI50" s="428" t="e">
        <f>IF(ISERROR(AVERAGEIF(IC!$L$40:$L$64, "=2012", IC!BT$40:BT$64)), NA(), AVERAGEIF(IC!$L$40:$L$64, "=2012", IC!BT$40:BT$64))</f>
        <v>#N/A</v>
      </c>
      <c r="BJ50" s="428" t="e">
        <f>IF(ISERROR(AVERAGEIF(IC!$L$40:$L$64, "=2012", IC!BU$40:BU$64)), NA(), AVERAGEIF(IC!$L$40:$L$64, "=2012", IC!BU$40:BU$64))</f>
        <v>#N/A</v>
      </c>
      <c r="BK50" s="428" t="e">
        <f>IF(ISERROR(AVERAGEIF(IC!$L$40:$L$64, "=2012", IC!BV$40:BV$64)), NA(), AVERAGEIF(IC!$L$40:$L$64, "=2012", IC!BV$40:BV$64))</f>
        <v>#N/A</v>
      </c>
      <c r="BL50" s="428" t="e">
        <f>IF(ISERROR(AVERAGEIF(IC!$L$40:$L$64, "=2012", IC!BW$40:BW$64)), NA(), AVERAGEIF(IC!$L$40:$L$64, "=2012", IC!BW$40:BW$64))</f>
        <v>#N/A</v>
      </c>
      <c r="BM50" s="428" t="e">
        <f>IF(ISERROR(AVERAGEIF(IC!$L$40:$L$64, "=2012", IC!BX$40:BX$64)), NA(), AVERAGEIF(IC!$L$40:$L$64, "=2012", IC!BX$40:BX$64))</f>
        <v>#N/A</v>
      </c>
      <c r="BN50" s="428" t="e">
        <f>IF(ISERROR(AVERAGEIF(IC!$L$40:$L$64, "=2012", IC!BY$40:BY$64)), NA(), AVERAGEIF(IC!$L$40:$L$64, "=2012", IC!BY$40:BY$64))</f>
        <v>#N/A</v>
      </c>
      <c r="BO50" s="428" t="e">
        <f>IF(ISERROR(AVERAGEIF(IC!$L$40:$L$64, "=2012", IC!BZ$40:BZ$64)), NA(), AVERAGEIF(IC!$L$40:$L$64, "=2012", IC!BZ$40:BZ$64))</f>
        <v>#N/A</v>
      </c>
      <c r="BP50" s="428" t="e">
        <f>IF(ISERROR(AVERAGEIF(IC!$L$40:$L$64, "=2012", IC!CA$40:CA$64)), NA(), AVERAGEIF(IC!$L$40:$L$64, "=2012", IC!CA$40:CA$64))</f>
        <v>#N/A</v>
      </c>
      <c r="BQ50" s="428" t="e">
        <f>IF(ISERROR(AVERAGEIF(IC!$L$40:$L$64, "=2012", IC!CB$40:CB$64)), NA(), AVERAGEIF(IC!$L$40:$L$64, "=2012", IC!CB$40:CB$64))</f>
        <v>#N/A</v>
      </c>
      <c r="BR50" s="428" t="e">
        <f>IF(ISERROR(AVERAGEIF(IC!$L$40:$L$64, "=2012", IC!CC$40:CC$64)), NA(), AVERAGEIF(IC!$L$40:$L$64, "=2012", IC!CC$40:CC$64))</f>
        <v>#N/A</v>
      </c>
      <c r="BS50" s="428" t="e">
        <f>IF(ISERROR(AVERAGEIF(IC!$L$40:$L$64, "=2012", IC!CD$40:CD$64)), NA(), AVERAGEIF(IC!$L$40:$L$64, "=2012", IC!CD$40:CD$64))</f>
        <v>#N/A</v>
      </c>
      <c r="BT50" s="428" t="e">
        <f>IF(ISERROR(AVERAGEIF(IC!$L$40:$L$64, "=2012", IC!CE$40:CE$64)), NA(), AVERAGEIF(IC!$L$40:$L$64, "=2012", IC!CE$40:CE$64))</f>
        <v>#N/A</v>
      </c>
      <c r="BU50" s="428" t="e">
        <f>IF(ISERROR(AVERAGEIF(IC!$L$40:$L$64, "=2012", IC!CF$40:CF$64)), NA(), AVERAGEIF(IC!$L$40:$L$64, "=2012", IC!CF$40:CF$64))</f>
        <v>#N/A</v>
      </c>
      <c r="BV50" s="428" t="e">
        <f>IF(ISERROR(AVERAGEIF(IC!$L$40:$L$64, "=2012", IC!CG$40:CG$64)), NA(), AVERAGEIF(IC!$L$40:$L$64, "=2012", IC!CG$40:CG$64))</f>
        <v>#N/A</v>
      </c>
      <c r="BW50" s="428" t="e">
        <f>IF(ISERROR(AVERAGEIF(IC!$L$40:$L$64, "=2012", IC!CH$40:CH$64)), NA(), AVERAGEIF(IC!$L$40:$L$64, "=2012", IC!CH$40:CH$64))</f>
        <v>#N/A</v>
      </c>
      <c r="BX50" s="428" t="e">
        <f>IF(ISERROR(AVERAGEIF(IC!$L$40:$L$64, "=2012", IC!CI$40:CI$64)), NA(), AVERAGEIF(IC!$L$40:$L$64, "=2012", IC!CI$40:CI$64))</f>
        <v>#N/A</v>
      </c>
      <c r="BY50" s="428" t="e">
        <f>IF(ISERROR(AVERAGEIF(IC!$L$40:$L$64, "=2012", IC!CJ$40:CJ$64)), NA(), AVERAGEIF(IC!$L$40:$L$64, "=2012", IC!CJ$40:CJ$64))</f>
        <v>#N/A</v>
      </c>
      <c r="BZ50" s="428" t="e">
        <f>IF(ISERROR(AVERAGEIF(IC!$L$40:$L$64, "=2012", IC!CK$40:CK$64)), NA(), AVERAGEIF(IC!$L$40:$L$64, "=2012", IC!CK$40:CK$64))</f>
        <v>#N/A</v>
      </c>
    </row>
    <row r="51" spans="1:78">
      <c r="A51" s="774"/>
      <c r="B51" s="434">
        <v>2013</v>
      </c>
      <c r="C51" s="428" t="e">
        <f>IF(ISERROR(AVERAGEIF(IC!$L$40:$L$64, "=2013", IC!M$40:M$64)), NA(), AVERAGEIF(IC!$L$40:$L$64, "=2013", IC!M$40:M$64))</f>
        <v>#N/A</v>
      </c>
      <c r="D51" s="428" t="e">
        <f>IF(ISERROR(AVERAGEIF(IC!$L$40:$L$64, "=2013", IC!N$40:N$64)), NA(), AVERAGEIF(IC!$L$40:$L$64, "=2013", IC!N$40:N$64))</f>
        <v>#N/A</v>
      </c>
      <c r="E51" s="428" t="e">
        <f>IF(ISERROR(AVERAGEIF(IC!$L$40:$L$64, "=2013", IC!O$40:O$64)), NA(), AVERAGEIF(IC!$L$40:$L$64, "=2013", IC!O$40:O$64))</f>
        <v>#N/A</v>
      </c>
      <c r="F51" s="428" t="e">
        <f>IF(ISERROR(AVERAGEIF(IC!$L$40:$L$64, "=2013", IC!P$40:P$64)), NA(), AVERAGEIF(IC!$L$40:$L$64, "=2013", IC!P$40:P$64))</f>
        <v>#N/A</v>
      </c>
      <c r="G51" s="428" t="e">
        <f>IF(ISERROR(AVERAGEIF(IC!$L$40:$L$64, "=2013", IC!Q$40:Q$64)), NA(), AVERAGEIF(IC!$L$40:$L$64, "=2013", IC!Q$40:Q$64))</f>
        <v>#N/A</v>
      </c>
      <c r="H51" s="428" t="e">
        <f>IF(ISERROR(AVERAGEIF(IC!$L$40:$L$64, "=2013", IC!R$40:R$64)), NA(), AVERAGEIF(IC!$L$40:$L$64, "=2013", IC!R$40:R$64))</f>
        <v>#N/A</v>
      </c>
      <c r="I51" s="428" t="e">
        <f>IF(ISERROR(AVERAGEIF(IC!$L$40:$L$64, "=2013", IC!S$40:S$64)), NA(), AVERAGEIF(IC!$L$40:$L$64, "=2013", IC!S$40:S$64))</f>
        <v>#N/A</v>
      </c>
      <c r="J51" s="428" t="e">
        <f>IF(ISERROR(AVERAGEIF(IC!$L$40:$L$64, "=2013", IC!T$40:T$64)), NA(), AVERAGEIF(IC!$L$40:$L$64, "=2013", IC!T$40:T$64))</f>
        <v>#N/A</v>
      </c>
      <c r="K51" s="428" t="e">
        <f>IF(ISERROR(AVERAGEIF(IC!$L$40:$L$64, "=2013", IC!U$40:U$64)), NA(), AVERAGEIF(IC!$L$40:$L$64, "=2013", IC!U$40:U$64))</f>
        <v>#N/A</v>
      </c>
      <c r="L51" s="428" t="e">
        <f>IF(ISERROR(AVERAGEIF(IC!$L$40:$L$64, "=2013", IC!V$40:V$64)), NA(), AVERAGEIF(IC!$L$40:$L$64, "=2013", IC!V$40:V$64))</f>
        <v>#N/A</v>
      </c>
      <c r="M51" s="428" t="e">
        <f>IF(ISERROR(AVERAGEIF(IC!$L$40:$L$64, "=2013", IC!W$40:W$64)), NA(), AVERAGEIF(IC!$L$40:$L$64, "=2013", IC!W$40:W$64))</f>
        <v>#N/A</v>
      </c>
      <c r="N51" s="428" t="e">
        <f>IF(ISERROR(AVERAGEIF(IC!$L$40:$L$64, "=2013", IC!X$40:X$64)), NA(), AVERAGEIF(IC!$L$40:$L$64, "=2013", IC!X$40:X$64))</f>
        <v>#N/A</v>
      </c>
      <c r="O51" s="428" t="e">
        <f>IF(ISERROR(AVERAGEIF(IC!$L$40:$L$64, "=2013", IC!Y$40:Y$64)), NA(), AVERAGEIF(IC!$L$40:$L$64, "=2013", IC!Y$40:Y$64))</f>
        <v>#N/A</v>
      </c>
      <c r="P51" s="428" t="e">
        <f>IF(ISERROR(AVERAGEIF(IC!$L$40:$L$64, "=2013", IC!Z$40:Z$64)), NA(), AVERAGEIF(IC!$L$40:$L$64, "=2013", IC!Z$40:Z$64))</f>
        <v>#N/A</v>
      </c>
      <c r="Q51" s="428" t="e">
        <f>IF(ISERROR(AVERAGEIF(IC!$L$40:$L$64, "=2013", IC!AA$40:AA$64)), NA(), AVERAGEIF(IC!$L$40:$L$64, "=2013", IC!AA$40:AA$64))</f>
        <v>#N/A</v>
      </c>
      <c r="R51" s="428" t="e">
        <f>IF(ISERROR(AVERAGEIF(IC!$L$40:$L$64, "=2013", IC!AB$40:AB$64)), NA(), AVERAGEIF(IC!$L$40:$L$64, "=2013", IC!AB$40:AB$64))</f>
        <v>#N/A</v>
      </c>
      <c r="S51" s="428" t="e">
        <f>IF(ISERROR(AVERAGEIF(IC!$L$40:$L$64, "=2013", IC!AC$40:AC$64)), NA(), AVERAGEIF(IC!$L$40:$L$64, "=2013", IC!AC$40:AC$64))</f>
        <v>#N/A</v>
      </c>
      <c r="T51" s="428" t="e">
        <f>IF(ISERROR(AVERAGEIF(IC!$L$40:$L$64, "=2013", IC!AD$40:AD$64)), NA(), AVERAGEIF(IC!$L$40:$L$64, "=2013", IC!AD$40:AD$64))</f>
        <v>#N/A</v>
      </c>
      <c r="U51" s="428" t="e">
        <f>IF(ISERROR(AVERAGEIF(IC!$L$40:$L$64, "=2013", IC!AE$40:AE$64)), NA(), AVERAGEIF(IC!$L$40:$L$64, "=2013", IC!AE$40:AE$64))</f>
        <v>#N/A</v>
      </c>
      <c r="V51" s="428" t="e">
        <f>IF(ISERROR(AVERAGEIF(IC!$L$40:$L$64, "=2013", IC!AF$40:AF$64)), NA(), AVERAGEIF(IC!$L$40:$L$64, "=2013", IC!AF$40:AF$64))</f>
        <v>#N/A</v>
      </c>
      <c r="W51" s="428" t="e">
        <f>IF(ISERROR(AVERAGEIF(IC!$L$40:$L$64, "=2013", IC!AG$40:AG$64)), NA(), AVERAGEIF(IC!$L$40:$L$64, "=2013", IC!AG$40:AG$64))</f>
        <v>#N/A</v>
      </c>
      <c r="X51" s="428" t="e">
        <f>IF(ISERROR(AVERAGEIF(IC!$L$40:$L$64, "=2013", IC!AH$40:AH$64)), NA(), AVERAGEIF(IC!$L$40:$L$64, "=2013", IC!AH$40:AH$64))</f>
        <v>#N/A</v>
      </c>
      <c r="Y51" s="428" t="e">
        <f>IF(ISERROR(AVERAGEIF(IC!$L$40:$L$64, "=2013", IC!AI$40:AI$64)), NA(), AVERAGEIF(IC!$L$40:$L$64, "=2013", IC!AI$40:AI$64))</f>
        <v>#N/A</v>
      </c>
      <c r="Z51" s="428" t="e">
        <f>IF(ISERROR(AVERAGEIF(IC!$L$40:$L$64, "=2013", IC!AJ$40:AJ$64)), NA(), AVERAGEIF(IC!$L$40:$L$64, "=2013", IC!AJ$40:AJ$64))</f>
        <v>#N/A</v>
      </c>
      <c r="AA51" s="428" t="e">
        <f>IF(ISERROR(AVERAGEIF(IC!$L$40:$L$64, "=2013", IC!AK$40:AK$64)), NA(), AVERAGEIF(IC!$L$40:$L$64, "=2013", IC!AK$40:AK$64))</f>
        <v>#N/A</v>
      </c>
      <c r="AB51" s="428" t="e">
        <f>IF(ISERROR(AVERAGEIF(IC!$L$40:$L$64, "=2013", IC!AL$40:AL$64)), NA(), AVERAGEIF(IC!$L$40:$L$64, "=2013", IC!AL$40:AL$64))</f>
        <v>#N/A</v>
      </c>
      <c r="AC51" s="428">
        <f>IF(ISERROR(AVERAGEIF(IC!$L$40:$L$64, "=2013", IC!AM$40:AM$64)), NA(), AVERAGEIF(IC!$L$40:$L$64, "=2013", IC!AM$40:AM$64))</f>
        <v>3.5</v>
      </c>
      <c r="AD51" s="428">
        <f>IF(ISERROR(AVERAGEIF(IC!$L$40:$L$64, "=2013", IC!AN$40:AN$64)), NA(), AVERAGEIF(IC!$L$40:$L$64, "=2013", IC!AN$40:AN$64))</f>
        <v>3.1</v>
      </c>
      <c r="AE51" s="428" t="e">
        <f>IF(ISERROR(AVERAGEIF(IC!$L$40:$L$64, "=2013", IC!AO$40:AO$64)), NA(), AVERAGEIF(IC!$L$40:$L$64, "=2013", IC!AO$40:AO$64))</f>
        <v>#N/A</v>
      </c>
      <c r="AF51" s="428">
        <f>IF(ISERROR(AVERAGEIF(IC!$L$40:$L$64, "=2013", IC!AP$40:AP$64)), NA(), AVERAGEIF(IC!$L$40:$L$64, "=2013", IC!AP$40:AP$64))</f>
        <v>3.5</v>
      </c>
      <c r="AG51" s="428">
        <f>IF(ISERROR(AVERAGEIF(IC!$L$40:$L$64, "=2013", IC!AQ$40:AQ$64)), NA(), AVERAGEIF(IC!$L$40:$L$64, "=2013", IC!AQ$40:AQ$64))</f>
        <v>10.85</v>
      </c>
      <c r="AH51" s="428" t="e">
        <f>IF(ISERROR(AVERAGEIF(IC!$L$40:$L$64, "=2013", IC!AR$40:AR$64)), NA(), AVERAGEIF(IC!$L$40:$L$64, "=2013", IC!AR$40:AR$64))</f>
        <v>#N/A</v>
      </c>
      <c r="AI51" s="428">
        <f>IF(ISERROR(AVERAGEIF(IC!$L$40:$L$64, "=2013", IC!AS$40:AS$64)), NA(), AVERAGEIF(IC!$L$40:$L$64, "=2013", IC!AS$40:AS$64))</f>
        <v>1.9</v>
      </c>
      <c r="AJ51" s="428">
        <f>IF(ISERROR(AVERAGEIF(IC!$L$40:$L$64, "=2013", IC!AT$40:AT$64)), NA(), AVERAGEIF(IC!$L$40:$L$64, "=2013", IC!AT$40:AT$64))</f>
        <v>3.6</v>
      </c>
      <c r="AK51" s="428" t="e">
        <f>IF(ISERROR(AVERAGEIF(IC!$L$40:$L$64, "=2013", IC!AU$40:AU$64)), NA(), AVERAGEIF(IC!$L$40:$L$64, "=2013", IC!AU$40:AU$64))</f>
        <v>#N/A</v>
      </c>
      <c r="AL51" s="428" t="e">
        <f>IF(ISERROR(AVERAGEIF(IC!$L$40:$L$64, "=2013", IC!AV$40:AV$64)), NA(), AVERAGEIF(IC!$L$40:$L$64, "=2013", IC!AV$40:AV$64))</f>
        <v>#N/A</v>
      </c>
      <c r="AM51" s="428" t="e">
        <f>IF(ISERROR(AVERAGEIF(IC!$L$40:$L$64, "=2013", IC!AW$40:AW$64)), NA(), AVERAGEIF(IC!$L$40:$L$64, "=2013", IC!AW$40:AW$64))</f>
        <v>#N/A</v>
      </c>
      <c r="AN51" s="428" t="e">
        <f>IF(ISERROR(AVERAGEIF(IC!$L$40:$L$64, "=2013", IC!AX$40:AX$64)), NA(), AVERAGEIF(IC!$L$40:$L$64, "=2013", IC!AX$40:AX$64))</f>
        <v>#N/A</v>
      </c>
      <c r="AO51" s="428" t="e">
        <f>IF(ISERROR(AVERAGEIF(IC!$L$40:$L$64, "=2013", IC!AY$40:AY$64)), NA(), AVERAGEIF(IC!$L$40:$L$64, "=2013", IC!AY$40:AY$64))</f>
        <v>#N/A</v>
      </c>
      <c r="AP51" s="428">
        <f>IF(ISERROR(AVERAGEIF(IC!$L$40:$L$64, "=2013", IC!AZ$40:AZ$64)), NA(), AVERAGEIF(IC!$L$40:$L$64, "=2013", IC!AZ$40:AZ$64))</f>
        <v>1.9</v>
      </c>
      <c r="AQ51" s="428" t="e">
        <f>IF(ISERROR(AVERAGEIF(IC!$L$40:$L$64, "=2013", IC!BA$40:BA$64)), NA(), AVERAGEIF(IC!$L$40:$L$64, "=2013", IC!BA$40:BA$64))</f>
        <v>#N/A</v>
      </c>
      <c r="AR51" s="428" t="e">
        <f>IF(ISERROR(AVERAGEIF(IC!$L$40:$L$64, "=2013", IC!BB$40:BB$64)), NA(), AVERAGEIF(IC!$L$40:$L$64, "=2013", IC!BB$40:BB$64))</f>
        <v>#N/A</v>
      </c>
      <c r="AS51" s="428" t="e">
        <f>IF(ISERROR(AVERAGEIF(IC!$L$40:$L$64, "=2013", IC!BC$40:BC$64)), NA(), AVERAGEIF(IC!$L$40:$L$64, "=2013", IC!BC$40:BC$64))</f>
        <v>#N/A</v>
      </c>
      <c r="AT51" s="428" t="e">
        <f>IF(ISERROR(AVERAGEIF(IC!$L$40:$L$64, "=2013", IC!BD$40:BD$64)), NA(), AVERAGEIF(IC!$L$40:$L$64, "=2013", IC!BD$40:BD$64))</f>
        <v>#N/A</v>
      </c>
      <c r="AU51" s="428" t="e">
        <f>IF(ISERROR(AVERAGEIF(IC!$L$40:$L$64, "=2013", IC!BE$40:BE$64)), NA(), AVERAGEIF(IC!$L$40:$L$64, "=2013", IC!BE$40:BE$64))</f>
        <v>#N/A</v>
      </c>
      <c r="AV51" s="428" t="e">
        <f>IF(ISERROR(AVERAGEIF(IC!$L$40:$L$64, "=2013", IC!BF$40:BF$64)), NA(), AVERAGEIF(IC!$L$40:$L$64, "=2013", IC!BF$40:BF$64))</f>
        <v>#N/A</v>
      </c>
      <c r="AW51" s="428" t="e">
        <f>IF(ISERROR(AVERAGEIF(IC!$L$40:$L$64, "=2013", IC!BG$40:BG$64)), NA(), AVERAGEIF(IC!$L$40:$L$64, "=2013", IC!BG$40:BG$64))</f>
        <v>#N/A</v>
      </c>
      <c r="AX51" s="428" t="e">
        <f>IF(ISERROR(AVERAGEIF(IC!$L$40:$L$64, "=2013", IC!BH$40:BH$64)), NA(), AVERAGEIF(IC!$L$40:$L$64, "=2013", IC!BH$40:BH$64))</f>
        <v>#N/A</v>
      </c>
      <c r="AY51" s="428" t="e">
        <f>IF(ISERROR(AVERAGEIF(IC!$L$40:$L$64, "=2013", IC!BI$40:BI$64)), NA(), AVERAGEIF(IC!$L$40:$L$64, "=2013", IC!BI$40:BI$64))</f>
        <v>#N/A</v>
      </c>
      <c r="AZ51" s="428" t="e">
        <f>IF(ISERROR(AVERAGEIF(IC!$L$40:$L$64, "=2013", IC!BJ$40:BJ$64)), NA(), AVERAGEIF(IC!$L$40:$L$64, "=2013", IC!BJ$40:BJ$64))</f>
        <v>#N/A</v>
      </c>
      <c r="BA51" s="428" t="e">
        <f>IF(ISERROR(AVERAGEIF(IC!$L$40:$L$64, "=2013", IC!BK$40:BK$64)), NA(), AVERAGEIF(IC!$L$40:$L$64, "=2013", IC!BK$40:BK$64))</f>
        <v>#N/A</v>
      </c>
      <c r="BB51" s="428">
        <f>IF(ISERROR(AVERAGEIF(IC!$L$40:$L$64, "=2013", IC!BL$40:BL$64)), NA(), AVERAGEIF(IC!$L$40:$L$64, "=2013", IC!BL$40:BL$64))</f>
        <v>5.6999999999999995E-2</v>
      </c>
      <c r="BC51" s="428" t="e">
        <f>IF(ISERROR(AVERAGEIF(IC!$L$40:$L$64, "=2013", IC!BM$40:BM$64)), NA(), AVERAGEIF(IC!$L$40:$L$64, "=2013", IC!BM$40:BM$64))</f>
        <v>#N/A</v>
      </c>
      <c r="BD51" s="428">
        <f>IF(ISERROR(AVERAGEIF(IC!$L$40:$L$64, "=2013", IC!BO$40:BO$64)), NA(), AVERAGEIF(IC!$L$40:$L$64, "=2013", IC!BO$40:BO$64))</f>
        <v>13157.894736842107</v>
      </c>
      <c r="BE51" s="428" t="e">
        <f>IF(ISERROR(AVERAGEIF(IC!$L$40:$L$64, "=2013", IC!BP$40:BP$64)), NA(), AVERAGEIF(IC!$L$40:$L$64, "=2013", IC!BP$40:BP$64))</f>
        <v>#N/A</v>
      </c>
      <c r="BF51" s="428">
        <f>IF(ISERROR(AVERAGEIF(IC!$L$40:$L$64, "=2013", IC!BQ$40:BQ$64)), NA(), AVERAGEIF(IC!$L$40:$L$64, "=2013", IC!BQ$40:BQ$64))</f>
        <v>32</v>
      </c>
      <c r="BG51" s="428">
        <f>IF(ISERROR(AVERAGEIF(IC!$L$40:$L$64, "=2013", IC!BR$40:BR$64)), NA(), AVERAGEIF(IC!$L$40:$L$64, "=2013", IC!BR$40:BR$64))</f>
        <v>120</v>
      </c>
      <c r="BH51" s="428" t="e">
        <f>IF(ISERROR(AVERAGEIF(IC!$L$40:$L$64, "=2013", IC!BS$40:BS$64)), NA(), AVERAGEIF(IC!$L$40:$L$64, "=2013", IC!BS$40:BS$64))</f>
        <v>#N/A</v>
      </c>
      <c r="BI51" s="428" t="e">
        <f>IF(ISERROR(AVERAGEIF(IC!$L$40:$L$64, "=2013", IC!BT$40:BT$64)), NA(), AVERAGEIF(IC!$L$40:$L$64, "=2013", IC!BT$40:BT$64))</f>
        <v>#N/A</v>
      </c>
      <c r="BJ51" s="428" t="e">
        <f>IF(ISERROR(AVERAGEIF(IC!$L$40:$L$64, "=2013", IC!BU$40:BU$64)), NA(), AVERAGEIF(IC!$L$40:$L$64, "=2013", IC!BU$40:BU$64))</f>
        <v>#N/A</v>
      </c>
      <c r="BK51" s="428" t="e">
        <f>IF(ISERROR(AVERAGEIF(IC!$L$40:$L$64, "=2013", IC!BV$40:BV$64)), NA(), AVERAGEIF(IC!$L$40:$L$64, "=2013", IC!BV$40:BV$64))</f>
        <v>#N/A</v>
      </c>
      <c r="BL51" s="428" t="e">
        <f>IF(ISERROR(AVERAGEIF(IC!$L$40:$L$64, "=2013", IC!BW$40:BW$64)), NA(), AVERAGEIF(IC!$L$40:$L$64, "=2013", IC!BW$40:BW$64))</f>
        <v>#N/A</v>
      </c>
      <c r="BM51" s="428" t="e">
        <f>IF(ISERROR(AVERAGEIF(IC!$L$40:$L$64, "=2013", IC!BX$40:BX$64)), NA(), AVERAGEIF(IC!$L$40:$L$64, "=2013", IC!BX$40:BX$64))</f>
        <v>#N/A</v>
      </c>
      <c r="BN51" s="428" t="e">
        <f>IF(ISERROR(AVERAGEIF(IC!$L$40:$L$64, "=2013", IC!BY$40:BY$64)), NA(), AVERAGEIF(IC!$L$40:$L$64, "=2013", IC!BY$40:BY$64))</f>
        <v>#N/A</v>
      </c>
      <c r="BO51" s="428" t="e">
        <f>IF(ISERROR(AVERAGEIF(IC!$L$40:$L$64, "=2013", IC!BZ$40:BZ$64)), NA(), AVERAGEIF(IC!$L$40:$L$64, "=2013", IC!BZ$40:BZ$64))</f>
        <v>#N/A</v>
      </c>
      <c r="BP51" s="428" t="e">
        <f>IF(ISERROR(AVERAGEIF(IC!$L$40:$L$64, "=2013", IC!CA$40:CA$64)), NA(), AVERAGEIF(IC!$L$40:$L$64, "=2013", IC!CA$40:CA$64))</f>
        <v>#N/A</v>
      </c>
      <c r="BQ51" s="428" t="e">
        <f>IF(ISERROR(AVERAGEIF(IC!$L$40:$L$64, "=2013", IC!CB$40:CB$64)), NA(), AVERAGEIF(IC!$L$40:$L$64, "=2013", IC!CB$40:CB$64))</f>
        <v>#N/A</v>
      </c>
      <c r="BR51" s="428" t="e">
        <f>IF(ISERROR(AVERAGEIF(IC!$L$40:$L$64, "=2013", IC!CC$40:CC$64)), NA(), AVERAGEIF(IC!$L$40:$L$64, "=2013", IC!CC$40:CC$64))</f>
        <v>#N/A</v>
      </c>
      <c r="BS51" s="428" t="e">
        <f>IF(ISERROR(AVERAGEIF(IC!$L$40:$L$64, "=2013", IC!CD$40:CD$64)), NA(), AVERAGEIF(IC!$L$40:$L$64, "=2013", IC!CD$40:CD$64))</f>
        <v>#N/A</v>
      </c>
      <c r="BT51" s="428" t="e">
        <f>IF(ISERROR(AVERAGEIF(IC!$L$40:$L$64, "=2013", IC!CE$40:CE$64)), NA(), AVERAGEIF(IC!$L$40:$L$64, "=2013", IC!CE$40:CE$64))</f>
        <v>#N/A</v>
      </c>
      <c r="BU51" s="428" t="e">
        <f>IF(ISERROR(AVERAGEIF(IC!$L$40:$L$64, "=2013", IC!CF$40:CF$64)), NA(), AVERAGEIF(IC!$L$40:$L$64, "=2013", IC!CF$40:CF$64))</f>
        <v>#N/A</v>
      </c>
      <c r="BV51" s="428" t="e">
        <f>IF(ISERROR(AVERAGEIF(IC!$L$40:$L$64, "=2013", IC!CG$40:CG$64)), NA(), AVERAGEIF(IC!$L$40:$L$64, "=2013", IC!CG$40:CG$64))</f>
        <v>#N/A</v>
      </c>
      <c r="BW51" s="428" t="e">
        <f>IF(ISERROR(AVERAGEIF(IC!$L$40:$L$64, "=2013", IC!CH$40:CH$64)), NA(), AVERAGEIF(IC!$L$40:$L$64, "=2013", IC!CH$40:CH$64))</f>
        <v>#N/A</v>
      </c>
      <c r="BX51" s="428" t="e">
        <f>IF(ISERROR(AVERAGEIF(IC!$L$40:$L$64, "=2013", IC!CI$40:CI$64)), NA(), AVERAGEIF(IC!$L$40:$L$64, "=2013", IC!CI$40:CI$64))</f>
        <v>#N/A</v>
      </c>
      <c r="BY51" s="428" t="e">
        <f>IF(ISERROR(AVERAGEIF(IC!$L$40:$L$64, "=2013", IC!CJ$40:CJ$64)), NA(), AVERAGEIF(IC!$L$40:$L$64, "=2013", IC!CJ$40:CJ$64))</f>
        <v>#N/A</v>
      </c>
      <c r="BZ51" s="428" t="e">
        <f>IF(ISERROR(AVERAGEIF(IC!$L$40:$L$64, "=2013", IC!CK$40:CK$64)), NA(), AVERAGEIF(IC!$L$40:$L$64, "=2013", IC!CK$40:CK$64))</f>
        <v>#N/A</v>
      </c>
    </row>
    <row r="52" spans="1:78">
      <c r="A52" s="774"/>
      <c r="B52" s="434">
        <v>2014</v>
      </c>
      <c r="C52" s="428" t="e">
        <f>IF(ISERROR(AVERAGEIF(IC!$L$40:$L$64, "=2014", IC!M$40:M$64)), NA(), AVERAGEIF(IC!$L$40:$L$64, "=2014", IC!M$40:M$64))</f>
        <v>#N/A</v>
      </c>
      <c r="D52" s="428" t="e">
        <f>IF(ISERROR(AVERAGEIF(IC!$L$40:$L$64, "=2014", IC!N$40:N$64)), NA(), AVERAGEIF(IC!$L$40:$L$64, "=2014", IC!N$40:N$64))</f>
        <v>#N/A</v>
      </c>
      <c r="E52" s="428" t="e">
        <f>IF(ISERROR(AVERAGEIF(IC!$L$40:$L$64, "=2014", IC!O$40:O$64)), NA(), AVERAGEIF(IC!$L$40:$L$64, "=2014", IC!O$40:O$64))</f>
        <v>#N/A</v>
      </c>
      <c r="F52" s="428" t="e">
        <f>IF(ISERROR(AVERAGEIF(IC!$L$40:$L$64, "=2014", IC!P$40:P$64)), NA(), AVERAGEIF(IC!$L$40:$L$64, "=2014", IC!P$40:P$64))</f>
        <v>#N/A</v>
      </c>
      <c r="G52" s="428" t="e">
        <f>IF(ISERROR(AVERAGEIF(IC!$L$40:$L$64, "=2014", IC!Q$40:Q$64)), NA(), AVERAGEIF(IC!$L$40:$L$64, "=2014", IC!Q$40:Q$64))</f>
        <v>#N/A</v>
      </c>
      <c r="H52" s="428" t="e">
        <f>IF(ISERROR(AVERAGEIF(IC!$L$40:$L$64, "=2014", IC!R$40:R$64)), NA(), AVERAGEIF(IC!$L$40:$L$64, "=2014", IC!R$40:R$64))</f>
        <v>#N/A</v>
      </c>
      <c r="I52" s="428">
        <f>IF(ISERROR(AVERAGEIF(IC!$L$40:$L$64, "=2014", IC!S$40:S$64)), NA(), AVERAGEIF(IC!$L$40:$L$64, "=2014", IC!S$40:S$64))</f>
        <v>3</v>
      </c>
      <c r="J52" s="428">
        <f>IF(ISERROR(AVERAGEIF(IC!$L$40:$L$64, "=2014", IC!T$40:T$64)), NA(), AVERAGEIF(IC!$L$40:$L$64, "=2014", IC!T$40:T$64))</f>
        <v>1</v>
      </c>
      <c r="K52" s="428" t="e">
        <f>IF(ISERROR(AVERAGEIF(IC!$L$40:$L$64, "=2014", IC!U$40:U$64)), NA(), AVERAGEIF(IC!$L$40:$L$64, "=2014", IC!U$40:U$64))</f>
        <v>#N/A</v>
      </c>
      <c r="L52" s="428">
        <f>IF(ISERROR(AVERAGEIF(IC!$L$40:$L$64, "=2014", IC!V$40:V$64)), NA(), AVERAGEIF(IC!$L$40:$L$64, "=2014", IC!V$40:V$64))</f>
        <v>16.666666666666668</v>
      </c>
      <c r="M52" s="428" t="e">
        <f>IF(ISERROR(AVERAGEIF(IC!$L$40:$L$64, "=2014", IC!W$40:W$64)), NA(), AVERAGEIF(IC!$L$40:$L$64, "=2014", IC!W$40:W$64))</f>
        <v>#N/A</v>
      </c>
      <c r="N52" s="428" t="e">
        <f>IF(ISERROR(AVERAGEIF(IC!$L$40:$L$64, "=2014", IC!X$40:X$64)), NA(), AVERAGEIF(IC!$L$40:$L$64, "=2014", IC!X$40:X$64))</f>
        <v>#N/A</v>
      </c>
      <c r="O52" s="428" t="e">
        <f>IF(ISERROR(AVERAGEIF(IC!$L$40:$L$64, "=2014", IC!Y$40:Y$64)), NA(), AVERAGEIF(IC!$L$40:$L$64, "=2014", IC!Y$40:Y$64))</f>
        <v>#N/A</v>
      </c>
      <c r="P52" s="428" t="e">
        <f>IF(ISERROR(AVERAGEIF(IC!$L$40:$L$64, "=2014", IC!Z$40:Z$64)), NA(), AVERAGEIF(IC!$L$40:$L$64, "=2014", IC!Z$40:Z$64))</f>
        <v>#N/A</v>
      </c>
      <c r="Q52" s="428" t="e">
        <f>IF(ISERROR(AVERAGEIF(IC!$L$40:$L$64, "=2014", IC!AA$40:AA$64)), NA(), AVERAGEIF(IC!$L$40:$L$64, "=2014", IC!AA$40:AA$64))</f>
        <v>#N/A</v>
      </c>
      <c r="R52" s="428" t="e">
        <f>IF(ISERROR(AVERAGEIF(IC!$L$40:$L$64, "=2014", IC!AB$40:AB$64)), NA(), AVERAGEIF(IC!$L$40:$L$64, "=2014", IC!AB$40:AB$64))</f>
        <v>#N/A</v>
      </c>
      <c r="S52" s="428" t="e">
        <f>IF(ISERROR(AVERAGEIF(IC!$L$40:$L$64, "=2014", IC!AC$40:AC$64)), NA(), AVERAGEIF(IC!$L$40:$L$64, "=2014", IC!AC$40:AC$64))</f>
        <v>#N/A</v>
      </c>
      <c r="T52" s="428" t="e">
        <f>IF(ISERROR(AVERAGEIF(IC!$L$40:$L$64, "=2014", IC!AD$40:AD$64)), NA(), AVERAGEIF(IC!$L$40:$L$64, "=2014", IC!AD$40:AD$64))</f>
        <v>#N/A</v>
      </c>
      <c r="U52" s="428" t="e">
        <f>IF(ISERROR(AVERAGEIF(IC!$L$40:$L$64, "=2014", IC!AE$40:AE$64)), NA(), AVERAGEIF(IC!$L$40:$L$64, "=2014", IC!AE$40:AE$64))</f>
        <v>#N/A</v>
      </c>
      <c r="V52" s="428" t="e">
        <f>IF(ISERROR(AVERAGEIF(IC!$L$40:$L$64, "=2014", IC!AF$40:AF$64)), NA(), AVERAGEIF(IC!$L$40:$L$64, "=2014", IC!AF$40:AF$64))</f>
        <v>#N/A</v>
      </c>
      <c r="W52" s="428" t="e">
        <f>IF(ISERROR(AVERAGEIF(IC!$L$40:$L$64, "=2014", IC!AG$40:AG$64)), NA(), AVERAGEIF(IC!$L$40:$L$64, "=2014", IC!AG$40:AG$64))</f>
        <v>#N/A</v>
      </c>
      <c r="X52" s="428" t="e">
        <f>IF(ISERROR(AVERAGEIF(IC!$L$40:$L$64, "=2014", IC!AH$40:AH$64)), NA(), AVERAGEIF(IC!$L$40:$L$64, "=2014", IC!AH$40:AH$64))</f>
        <v>#N/A</v>
      </c>
      <c r="Y52" s="428" t="e">
        <f>IF(ISERROR(AVERAGEIF(IC!$L$40:$L$64, "=2014", IC!AI$40:AI$64)), NA(), AVERAGEIF(IC!$L$40:$L$64, "=2014", IC!AI$40:AI$64))</f>
        <v>#N/A</v>
      </c>
      <c r="Z52" s="428">
        <f>IF(ISERROR(AVERAGEIF(IC!$L$40:$L$64, "=2014", IC!AJ$40:AJ$64)), NA(), AVERAGEIF(IC!$L$40:$L$64, "=2014", IC!AJ$40:AJ$64))</f>
        <v>0</v>
      </c>
      <c r="AA52" s="428" t="e">
        <f>IF(ISERROR(AVERAGEIF(IC!$L$40:$L$64, "=2014", IC!AK$40:AK$64)), NA(), AVERAGEIF(IC!$L$40:$L$64, "=2014", IC!AK$40:AK$64))</f>
        <v>#N/A</v>
      </c>
      <c r="AB52" s="428" t="e">
        <f>IF(ISERROR(AVERAGEIF(IC!$L$40:$L$64, "=2014", IC!AL$40:AL$64)), NA(), AVERAGEIF(IC!$L$40:$L$64, "=2014", IC!AL$40:AL$64))</f>
        <v>#N/A</v>
      </c>
      <c r="AC52" s="428">
        <f>IF(ISERROR(AVERAGEIF(IC!$L$40:$L$64, "=2014", IC!AM$40:AM$64)), NA(), AVERAGEIF(IC!$L$40:$L$64, "=2014", IC!AM$40:AM$64))</f>
        <v>2.625</v>
      </c>
      <c r="AD52" s="428">
        <f>IF(ISERROR(AVERAGEIF(IC!$L$40:$L$64, "=2014", IC!AN$40:AN$64)), NA(), AVERAGEIF(IC!$L$40:$L$64, "=2014", IC!AN$40:AN$64))</f>
        <v>2.1124999999999998</v>
      </c>
      <c r="AE52" s="428" t="e">
        <f>IF(ISERROR(AVERAGEIF(IC!$L$40:$L$64, "=2014", IC!AO$40:AO$64)), NA(), AVERAGEIF(IC!$L$40:$L$64, "=2014", IC!AO$40:AO$64))</f>
        <v>#N/A</v>
      </c>
      <c r="AF52" s="428">
        <f>IF(ISERROR(AVERAGEIF(IC!$L$40:$L$64, "=2014", IC!AP$40:AP$64)), NA(), AVERAGEIF(IC!$L$40:$L$64, "=2014", IC!AP$40:AP$64))</f>
        <v>2.625</v>
      </c>
      <c r="AG52" s="428">
        <f>IF(ISERROR(AVERAGEIF(IC!$L$40:$L$64, "=2014", IC!AQ$40:AQ$64)), NA(), AVERAGEIF(IC!$L$40:$L$64, "=2014", IC!AQ$40:AQ$64))</f>
        <v>6.1312500000000005</v>
      </c>
      <c r="AH52" s="428" t="e">
        <f>IF(ISERROR(AVERAGEIF(IC!$L$40:$L$64, "=2014", IC!AR$40:AR$64)), NA(), AVERAGEIF(IC!$L$40:$L$64, "=2014", IC!AR$40:AR$64))</f>
        <v>#N/A</v>
      </c>
      <c r="AI52" s="428">
        <f>IF(ISERROR(AVERAGEIF(IC!$L$40:$L$64, "=2014", IC!AS$40:AS$64)), NA(), AVERAGEIF(IC!$L$40:$L$64, "=2014", IC!AS$40:AS$64))</f>
        <v>1.88</v>
      </c>
      <c r="AJ52" s="428">
        <f>IF(ISERROR(AVERAGEIF(IC!$L$40:$L$64, "=2014", IC!AT$40:AT$64)), NA(), AVERAGEIF(IC!$L$40:$L$64, "=2014", IC!AT$40:AT$64))</f>
        <v>4.0750000000000002</v>
      </c>
      <c r="AK52" s="428" t="e">
        <f>IF(ISERROR(AVERAGEIF(IC!$L$40:$L$64, "=2014", IC!AU$40:AU$64)), NA(), AVERAGEIF(IC!$L$40:$L$64, "=2014", IC!AU$40:AU$64))</f>
        <v>#N/A</v>
      </c>
      <c r="AL52" s="428" t="e">
        <f>IF(ISERROR(AVERAGEIF(IC!$L$40:$L$64, "=2014", IC!AV$40:AV$64)), NA(), AVERAGEIF(IC!$L$40:$L$64, "=2014", IC!AV$40:AV$64))</f>
        <v>#N/A</v>
      </c>
      <c r="AM52" s="428" t="e">
        <f>IF(ISERROR(AVERAGEIF(IC!$L$40:$L$64, "=2014", IC!AW$40:AW$64)), NA(), AVERAGEIF(IC!$L$40:$L$64, "=2014", IC!AW$40:AW$64))</f>
        <v>#N/A</v>
      </c>
      <c r="AN52" s="428" t="e">
        <f>IF(ISERROR(AVERAGEIF(IC!$L$40:$L$64, "=2014", IC!AX$40:AX$64)), NA(), AVERAGEIF(IC!$L$40:$L$64, "=2014", IC!AX$40:AX$64))</f>
        <v>#N/A</v>
      </c>
      <c r="AO52" s="428" t="e">
        <f>IF(ISERROR(AVERAGEIF(IC!$L$40:$L$64, "=2014", IC!AY$40:AY$64)), NA(), AVERAGEIF(IC!$L$40:$L$64, "=2014", IC!AY$40:AY$64))</f>
        <v>#N/A</v>
      </c>
      <c r="AP52" s="428">
        <f>IF(ISERROR(AVERAGEIF(IC!$L$40:$L$64, "=2014", IC!AZ$40:AZ$64)), NA(), AVERAGEIF(IC!$L$40:$L$64, "=2014", IC!AZ$40:AZ$64))</f>
        <v>3.4509249999999998</v>
      </c>
      <c r="AQ52" s="428">
        <f>IF(ISERROR(AVERAGEIF(IC!$L$40:$L$64, "=2014", IC!BA$40:BA$64)), NA(), AVERAGEIF(IC!$L$40:$L$64, "=2014", IC!BA$40:BA$64))</f>
        <v>10</v>
      </c>
      <c r="AR52" s="428">
        <f>IF(ISERROR(AVERAGEIF(IC!$L$40:$L$64, "=2014", IC!BB$40:BB$64)), NA(), AVERAGEIF(IC!$L$40:$L$64, "=2014", IC!BB$40:BB$64))</f>
        <v>1.2666666666666666</v>
      </c>
      <c r="AS52" s="428">
        <f>IF(ISERROR(AVERAGEIF(IC!$L$40:$L$64, "=2014", IC!BC$40:BC$64)), NA(), AVERAGEIF(IC!$L$40:$L$64, "=2014", IC!BC$40:BC$64))</f>
        <v>1</v>
      </c>
      <c r="AT52" s="428" t="e">
        <f>IF(ISERROR(AVERAGEIF(IC!$L$40:$L$64, "=2014", IC!BD$40:BD$64)), NA(), AVERAGEIF(IC!$L$40:$L$64, "=2014", IC!BD$40:BD$64))</f>
        <v>#N/A</v>
      </c>
      <c r="AU52" s="428" t="e">
        <f>IF(ISERROR(AVERAGEIF(IC!$L$40:$L$64, "=2014", IC!BE$40:BE$64)), NA(), AVERAGEIF(IC!$L$40:$L$64, "=2014", IC!BE$40:BE$64))</f>
        <v>#N/A</v>
      </c>
      <c r="AV52" s="428" t="e">
        <f>IF(ISERROR(AVERAGEIF(IC!$L$40:$L$64, "=2014", IC!BF$40:BF$64)), NA(), AVERAGEIF(IC!$L$40:$L$64, "=2014", IC!BF$40:BF$64))</f>
        <v>#N/A</v>
      </c>
      <c r="AW52" s="428" t="e">
        <f>IF(ISERROR(AVERAGEIF(IC!$L$40:$L$64, "=2014", IC!BG$40:BG$64)), NA(), AVERAGEIF(IC!$L$40:$L$64, "=2014", IC!BG$40:BG$64))</f>
        <v>#N/A</v>
      </c>
      <c r="AX52" s="428" t="e">
        <f>IF(ISERROR(AVERAGEIF(IC!$L$40:$L$64, "=2014", IC!BH$40:BH$64)), NA(), AVERAGEIF(IC!$L$40:$L$64, "=2014", IC!BH$40:BH$64))</f>
        <v>#N/A</v>
      </c>
      <c r="AY52" s="428" t="e">
        <f>IF(ISERROR(AVERAGEIF(IC!$L$40:$L$64, "=2014", IC!BI$40:BI$64)), NA(), AVERAGEIF(IC!$L$40:$L$64, "=2014", IC!BI$40:BI$64))</f>
        <v>#N/A</v>
      </c>
      <c r="AZ52" s="428" t="e">
        <f>IF(ISERROR(AVERAGEIF(IC!$L$40:$L$64, "=2014", IC!BJ$40:BJ$64)), NA(), AVERAGEIF(IC!$L$40:$L$64, "=2014", IC!BJ$40:BJ$64))</f>
        <v>#N/A</v>
      </c>
      <c r="BA52" s="428" t="e">
        <f>IF(ISERROR(AVERAGEIF(IC!$L$40:$L$64, "=2014", IC!BK$40:BK$64)), NA(), AVERAGEIF(IC!$L$40:$L$64, "=2014", IC!BK$40:BK$64))</f>
        <v>#N/A</v>
      </c>
      <c r="BB52" s="428">
        <f>IF(ISERROR(AVERAGEIF(IC!$L$40:$L$64, "=2014", IC!BL$40:BL$64)), NA(), AVERAGEIF(IC!$L$40:$L$64, "=2014", IC!BL$40:BL$64))</f>
        <v>0.10634925000000001</v>
      </c>
      <c r="BC52" s="428" t="e">
        <f>IF(ISERROR(AVERAGEIF(IC!$L$40:$L$64, "=2014", IC!BM$40:BM$64)), NA(), AVERAGEIF(IC!$L$40:$L$64, "=2014", IC!BM$40:BM$64))</f>
        <v>#N/A</v>
      </c>
      <c r="BD52" s="428">
        <f>IF(ISERROR(AVERAGEIF(IC!$L$40:$L$64, "=2014", IC!BO$40:BO$64)), NA(), AVERAGEIF(IC!$L$40:$L$64, "=2014", IC!BO$40:BO$64))</f>
        <v>1693561.9673639508</v>
      </c>
      <c r="BE52" s="428" t="e">
        <f>IF(ISERROR(AVERAGEIF(IC!$L$40:$L$64, "=2014", IC!BP$40:BP$64)), NA(), AVERAGEIF(IC!$L$40:$L$64, "=2014", IC!BP$40:BP$64))</f>
        <v>#N/A</v>
      </c>
      <c r="BF52" s="428" t="e">
        <f>IF(ISERROR(AVERAGEIF(IC!$L$40:$L$64, "=2014", IC!BQ$40:BQ$64)), NA(), AVERAGEIF(IC!$L$40:$L$64, "=2014", IC!BQ$40:BQ$64))</f>
        <v>#N/A</v>
      </c>
      <c r="BG52" s="428" t="e">
        <f>IF(ISERROR(AVERAGEIF(IC!$L$40:$L$64, "=2014", IC!BR$40:BR$64)), NA(), AVERAGEIF(IC!$L$40:$L$64, "=2014", IC!BR$40:BR$64))</f>
        <v>#N/A</v>
      </c>
      <c r="BH52" s="428" t="e">
        <f>IF(ISERROR(AVERAGEIF(IC!$L$40:$L$64, "=2014", IC!BS$40:BS$64)), NA(), AVERAGEIF(IC!$L$40:$L$64, "=2014", IC!BS$40:BS$64))</f>
        <v>#N/A</v>
      </c>
      <c r="BI52" s="428" t="e">
        <f>IF(ISERROR(AVERAGEIF(IC!$L$40:$L$64, "=2014", IC!BT$40:BT$64)), NA(), AVERAGEIF(IC!$L$40:$L$64, "=2014", IC!BT$40:BT$64))</f>
        <v>#N/A</v>
      </c>
      <c r="BJ52" s="428" t="e">
        <f>IF(ISERROR(AVERAGEIF(IC!$L$40:$L$64, "=2014", IC!BU$40:BU$64)), NA(), AVERAGEIF(IC!$L$40:$L$64, "=2014", IC!BU$40:BU$64))</f>
        <v>#N/A</v>
      </c>
      <c r="BK52" s="428" t="e">
        <f>IF(ISERROR(AVERAGEIF(IC!$L$40:$L$64, "=2014", IC!BV$40:BV$64)), NA(), AVERAGEIF(IC!$L$40:$L$64, "=2014", IC!BV$40:BV$64))</f>
        <v>#N/A</v>
      </c>
      <c r="BL52" s="428" t="e">
        <f>IF(ISERROR(AVERAGEIF(IC!$L$40:$L$64, "=2014", IC!BW$40:BW$64)), NA(), AVERAGEIF(IC!$L$40:$L$64, "=2014", IC!BW$40:BW$64))</f>
        <v>#N/A</v>
      </c>
      <c r="BM52" s="428" t="e">
        <f>IF(ISERROR(AVERAGEIF(IC!$L$40:$L$64, "=2014", IC!BX$40:BX$64)), NA(), AVERAGEIF(IC!$L$40:$L$64, "=2014", IC!BX$40:BX$64))</f>
        <v>#N/A</v>
      </c>
      <c r="BN52" s="428" t="e">
        <f>IF(ISERROR(AVERAGEIF(IC!$L$40:$L$64, "=2014", IC!BY$40:BY$64)), NA(), AVERAGEIF(IC!$L$40:$L$64, "=2014", IC!BY$40:BY$64))</f>
        <v>#N/A</v>
      </c>
      <c r="BO52" s="428" t="e">
        <f>IF(ISERROR(AVERAGEIF(IC!$L$40:$L$64, "=2014", IC!BZ$40:BZ$64)), NA(), AVERAGEIF(IC!$L$40:$L$64, "=2014", IC!BZ$40:BZ$64))</f>
        <v>#N/A</v>
      </c>
      <c r="BP52" s="428" t="e">
        <f>IF(ISERROR(AVERAGEIF(IC!$L$40:$L$64, "=2014", IC!CA$40:CA$64)), NA(), AVERAGEIF(IC!$L$40:$L$64, "=2014", IC!CA$40:CA$64))</f>
        <v>#N/A</v>
      </c>
      <c r="BQ52" s="428" t="e">
        <f>IF(ISERROR(AVERAGEIF(IC!$L$40:$L$64, "=2014", IC!CB$40:CB$64)), NA(), AVERAGEIF(IC!$L$40:$L$64, "=2014", IC!CB$40:CB$64))</f>
        <v>#N/A</v>
      </c>
      <c r="BR52" s="428" t="e">
        <f>IF(ISERROR(AVERAGEIF(IC!$L$40:$L$64, "=2014", IC!CC$40:CC$64)), NA(), AVERAGEIF(IC!$L$40:$L$64, "=2014", IC!CC$40:CC$64))</f>
        <v>#N/A</v>
      </c>
      <c r="BS52" s="428" t="e">
        <f>IF(ISERROR(AVERAGEIF(IC!$L$40:$L$64, "=2014", IC!CD$40:CD$64)), NA(), AVERAGEIF(IC!$L$40:$L$64, "=2014", IC!CD$40:CD$64))</f>
        <v>#N/A</v>
      </c>
      <c r="BT52" s="428" t="e">
        <f>IF(ISERROR(AVERAGEIF(IC!$L$40:$L$64, "=2014", IC!CE$40:CE$64)), NA(), AVERAGEIF(IC!$L$40:$L$64, "=2014", IC!CE$40:CE$64))</f>
        <v>#N/A</v>
      </c>
      <c r="BU52" s="428" t="e">
        <f>IF(ISERROR(AVERAGEIF(IC!$L$40:$L$64, "=2014", IC!CF$40:CF$64)), NA(), AVERAGEIF(IC!$L$40:$L$64, "=2014", IC!CF$40:CF$64))</f>
        <v>#N/A</v>
      </c>
      <c r="BV52" s="428" t="e">
        <f>IF(ISERROR(AVERAGEIF(IC!$L$40:$L$64, "=2014", IC!CG$40:CG$64)), NA(), AVERAGEIF(IC!$L$40:$L$64, "=2014", IC!CG$40:CG$64))</f>
        <v>#N/A</v>
      </c>
      <c r="BW52" s="428" t="e">
        <f>IF(ISERROR(AVERAGEIF(IC!$L$40:$L$64, "=2014", IC!CH$40:CH$64)), NA(), AVERAGEIF(IC!$L$40:$L$64, "=2014", IC!CH$40:CH$64))</f>
        <v>#N/A</v>
      </c>
      <c r="BX52" s="428" t="e">
        <f>IF(ISERROR(AVERAGEIF(IC!$L$40:$L$64, "=2014", IC!CI$40:CI$64)), NA(), AVERAGEIF(IC!$L$40:$L$64, "=2014", IC!CI$40:CI$64))</f>
        <v>#N/A</v>
      </c>
      <c r="BY52" s="428" t="e">
        <f>IF(ISERROR(AVERAGEIF(IC!$L$40:$L$64, "=2014", IC!CJ$40:CJ$64)), NA(), AVERAGEIF(IC!$L$40:$L$64, "=2014", IC!CJ$40:CJ$64))</f>
        <v>#N/A</v>
      </c>
      <c r="BZ52" s="428" t="e">
        <f>IF(ISERROR(AVERAGEIF(IC!$L$40:$L$64, "=2014", IC!CK$40:CK$64)), NA(), AVERAGEIF(IC!$L$40:$L$64, "=2014", IC!CK$40:CK$64))</f>
        <v>#N/A</v>
      </c>
    </row>
    <row r="53" spans="1:78">
      <c r="A53" s="774"/>
      <c r="B53" s="434">
        <v>2015</v>
      </c>
      <c r="C53" s="428" t="e">
        <f>IF(ISERROR(AVERAGEIF(IC!$L$40:$L$64, "=2015", IC!M$40:M$64)), NA(), AVERAGEIF(IC!$L$40:$L$64, "=2015", IC!M$40:M$64))</f>
        <v>#N/A</v>
      </c>
      <c r="D53" s="428" t="e">
        <f>IF(ISERROR(AVERAGEIF(IC!$L$40:$L$64, "=2015", IC!N$40:N$64)), NA(), AVERAGEIF(IC!$L$40:$L$64, "=2015", IC!N$40:N$64))</f>
        <v>#N/A</v>
      </c>
      <c r="E53" s="428" t="e">
        <f>IF(ISERROR(AVERAGEIF(IC!$L$40:$L$64, "=2015", IC!O$40:O$64)), NA(), AVERAGEIF(IC!$L$40:$L$64, "=2015", IC!O$40:O$64))</f>
        <v>#N/A</v>
      </c>
      <c r="F53" s="428" t="e">
        <f>IF(ISERROR(AVERAGEIF(IC!$L$40:$L$64, "=2015", IC!P$40:P$64)), NA(), AVERAGEIF(IC!$L$40:$L$64, "=2015", IC!P$40:P$64))</f>
        <v>#N/A</v>
      </c>
      <c r="G53" s="428" t="e">
        <f>IF(ISERROR(AVERAGEIF(IC!$L$40:$L$64, "=2015", IC!Q$40:Q$64)), NA(), AVERAGEIF(IC!$L$40:$L$64, "=2015", IC!Q$40:Q$64))</f>
        <v>#N/A</v>
      </c>
      <c r="H53" s="428" t="e">
        <f>IF(ISERROR(AVERAGEIF(IC!$L$40:$L$64, "=2015", IC!R$40:R$64)), NA(), AVERAGEIF(IC!$L$40:$L$64, "=2015", IC!R$40:R$64))</f>
        <v>#N/A</v>
      </c>
      <c r="I53" s="428">
        <f>IF(ISERROR(AVERAGEIF(IC!$L$40:$L$64, "=2015", IC!S$40:S$64)), NA(), AVERAGEIF(IC!$L$40:$L$64, "=2015", IC!S$40:S$64))</f>
        <v>3.5</v>
      </c>
      <c r="J53" s="428">
        <f>IF(ISERROR(AVERAGEIF(IC!$L$40:$L$64, "=2015", IC!T$40:T$64)), NA(), AVERAGEIF(IC!$L$40:$L$64, "=2015", IC!T$40:T$64))</f>
        <v>1</v>
      </c>
      <c r="K53" s="428" t="e">
        <f>IF(ISERROR(AVERAGEIF(IC!$L$40:$L$64, "=2015", IC!U$40:U$64)), NA(), AVERAGEIF(IC!$L$40:$L$64, "=2015", IC!U$40:U$64))</f>
        <v>#N/A</v>
      </c>
      <c r="L53" s="428">
        <f>IF(ISERROR(AVERAGEIF(IC!$L$40:$L$64, "=2015", IC!V$40:V$64)), NA(), AVERAGEIF(IC!$L$40:$L$64, "=2015", IC!V$40:V$64))</f>
        <v>16.5</v>
      </c>
      <c r="M53" s="428" t="e">
        <f>IF(ISERROR(AVERAGEIF(IC!$L$40:$L$64, "=2015", IC!W$40:W$64)), NA(), AVERAGEIF(IC!$L$40:$L$64, "=2015", IC!W$40:W$64))</f>
        <v>#N/A</v>
      </c>
      <c r="N53" s="428" t="e">
        <f>IF(ISERROR(AVERAGEIF(IC!$L$40:$L$64, "=2015", IC!X$40:X$64)), NA(), AVERAGEIF(IC!$L$40:$L$64, "=2015", IC!X$40:X$64))</f>
        <v>#N/A</v>
      </c>
      <c r="O53" s="428" t="e">
        <f>IF(ISERROR(AVERAGEIF(IC!$L$40:$L$64, "=2015", IC!Y$40:Y$64)), NA(), AVERAGEIF(IC!$L$40:$L$64, "=2015", IC!Y$40:Y$64))</f>
        <v>#N/A</v>
      </c>
      <c r="P53" s="428" t="e">
        <f>IF(ISERROR(AVERAGEIF(IC!$L$40:$L$64, "=2015", IC!Z$40:Z$64)), NA(), AVERAGEIF(IC!$L$40:$L$64, "=2015", IC!Z$40:Z$64))</f>
        <v>#N/A</v>
      </c>
      <c r="Q53" s="428" t="e">
        <f>IF(ISERROR(AVERAGEIF(IC!$L$40:$L$64, "=2015", IC!AA$40:AA$64)), NA(), AVERAGEIF(IC!$L$40:$L$64, "=2015", IC!AA$40:AA$64))</f>
        <v>#N/A</v>
      </c>
      <c r="R53" s="428" t="e">
        <f>IF(ISERROR(AVERAGEIF(IC!$L$40:$L$64, "=2015", IC!AB$40:AB$64)), NA(), AVERAGEIF(IC!$L$40:$L$64, "=2015", IC!AB$40:AB$64))</f>
        <v>#N/A</v>
      </c>
      <c r="S53" s="428" t="e">
        <f>IF(ISERROR(AVERAGEIF(IC!$L$40:$L$64, "=2015", IC!AC$40:AC$64)), NA(), AVERAGEIF(IC!$L$40:$L$64, "=2015", IC!AC$40:AC$64))</f>
        <v>#N/A</v>
      </c>
      <c r="T53" s="428" t="e">
        <f>IF(ISERROR(AVERAGEIF(IC!$L$40:$L$64, "=2015", IC!AD$40:AD$64)), NA(), AVERAGEIF(IC!$L$40:$L$64, "=2015", IC!AD$40:AD$64))</f>
        <v>#N/A</v>
      </c>
      <c r="U53" s="428" t="e">
        <f>IF(ISERROR(AVERAGEIF(IC!$L$40:$L$64, "=2015", IC!AE$40:AE$64)), NA(), AVERAGEIF(IC!$L$40:$L$64, "=2015", IC!AE$40:AE$64))</f>
        <v>#N/A</v>
      </c>
      <c r="V53" s="428" t="e">
        <f>IF(ISERROR(AVERAGEIF(IC!$L$40:$L$64, "=2015", IC!AF$40:AF$64)), NA(), AVERAGEIF(IC!$L$40:$L$64, "=2015", IC!AF$40:AF$64))</f>
        <v>#N/A</v>
      </c>
      <c r="W53" s="428" t="e">
        <f>IF(ISERROR(AVERAGEIF(IC!$L$40:$L$64, "=2015", IC!AG$40:AG$64)), NA(), AVERAGEIF(IC!$L$40:$L$64, "=2015", IC!AG$40:AG$64))</f>
        <v>#N/A</v>
      </c>
      <c r="X53" s="428" t="e">
        <f>IF(ISERROR(AVERAGEIF(IC!$L$40:$L$64, "=2015", IC!AH$40:AH$64)), NA(), AVERAGEIF(IC!$L$40:$L$64, "=2015", IC!AH$40:AH$64))</f>
        <v>#N/A</v>
      </c>
      <c r="Y53" s="428" t="e">
        <f>IF(ISERROR(AVERAGEIF(IC!$L$40:$L$64, "=2015", IC!AI$40:AI$64)), NA(), AVERAGEIF(IC!$L$40:$L$64, "=2015", IC!AI$40:AI$64))</f>
        <v>#N/A</v>
      </c>
      <c r="Z53" s="428">
        <f>IF(ISERROR(AVERAGEIF(IC!$L$40:$L$64, "=2015", IC!AJ$40:AJ$64)), NA(), AVERAGEIF(IC!$L$40:$L$64, "=2015", IC!AJ$40:AJ$64))</f>
        <v>0</v>
      </c>
      <c r="AA53" s="428" t="e">
        <f>IF(ISERROR(AVERAGEIF(IC!$L$40:$L$64, "=2015", IC!AK$40:AK$64)), NA(), AVERAGEIF(IC!$L$40:$L$64, "=2015", IC!AK$40:AK$64))</f>
        <v>#N/A</v>
      </c>
      <c r="AB53" s="428" t="e">
        <f>IF(ISERROR(AVERAGEIF(IC!$L$40:$L$64, "=2015", IC!AL$40:AL$64)), NA(), AVERAGEIF(IC!$L$40:$L$64, "=2015", IC!AL$40:AL$64))</f>
        <v>#N/A</v>
      </c>
      <c r="AC53" s="428">
        <f>IF(ISERROR(AVERAGEIF(IC!$L$40:$L$64, "=2015", IC!AM$40:AM$64)), NA(), AVERAGEIF(IC!$L$40:$L$64, "=2015", IC!AM$40:AM$64))</f>
        <v>2.5</v>
      </c>
      <c r="AD53" s="428">
        <f>IF(ISERROR(AVERAGEIF(IC!$L$40:$L$64, "=2015", IC!AN$40:AN$64)), NA(), AVERAGEIF(IC!$L$40:$L$64, "=2015", IC!AN$40:AN$64))</f>
        <v>2.5</v>
      </c>
      <c r="AE53" s="428" t="e">
        <f>IF(ISERROR(AVERAGEIF(IC!$L$40:$L$64, "=2015", IC!AO$40:AO$64)), NA(), AVERAGEIF(IC!$L$40:$L$64, "=2015", IC!AO$40:AO$64))</f>
        <v>#N/A</v>
      </c>
      <c r="AF53" s="428">
        <f>IF(ISERROR(AVERAGEIF(IC!$L$40:$L$64, "=2015", IC!AP$40:AP$64)), NA(), AVERAGEIF(IC!$L$40:$L$64, "=2015", IC!AP$40:AP$64))</f>
        <v>2.5</v>
      </c>
      <c r="AG53" s="428">
        <f>IF(ISERROR(AVERAGEIF(IC!$L$40:$L$64, "=2015", IC!AQ$40:AQ$64)), NA(), AVERAGEIF(IC!$L$40:$L$64, "=2015", IC!AQ$40:AQ$64))</f>
        <v>6.5</v>
      </c>
      <c r="AH53" s="428" t="e">
        <f>IF(ISERROR(AVERAGEIF(IC!$L$40:$L$64, "=2015", IC!AR$40:AR$64)), NA(), AVERAGEIF(IC!$L$40:$L$64, "=2015", IC!AR$40:AR$64))</f>
        <v>#N/A</v>
      </c>
      <c r="AI53" s="428">
        <f>IF(ISERROR(AVERAGEIF(IC!$L$40:$L$64, "=2015", IC!AS$40:AS$64)), NA(), AVERAGEIF(IC!$L$40:$L$64, "=2015", IC!AS$40:AS$64))</f>
        <v>2.355</v>
      </c>
      <c r="AJ53" s="428">
        <f>IF(ISERROR(AVERAGEIF(IC!$L$40:$L$64, "=2015", IC!AT$40:AT$64)), NA(), AVERAGEIF(IC!$L$40:$L$64, "=2015", IC!AT$40:AT$64))</f>
        <v>3.55</v>
      </c>
      <c r="AK53" s="428" t="e">
        <f>IF(ISERROR(AVERAGEIF(IC!$L$40:$L$64, "=2015", IC!AU$40:AU$64)), NA(), AVERAGEIF(IC!$L$40:$L$64, "=2015", IC!AU$40:AU$64))</f>
        <v>#N/A</v>
      </c>
      <c r="AL53" s="428" t="e">
        <f>IF(ISERROR(AVERAGEIF(IC!$L$40:$L$64, "=2015", IC!AV$40:AV$64)), NA(), AVERAGEIF(IC!$L$40:$L$64, "=2015", IC!AV$40:AV$64))</f>
        <v>#N/A</v>
      </c>
      <c r="AM53" s="428" t="e">
        <f>IF(ISERROR(AVERAGEIF(IC!$L$40:$L$64, "=2015", IC!AW$40:AW$64)), NA(), AVERAGEIF(IC!$L$40:$L$64, "=2015", IC!AW$40:AW$64))</f>
        <v>#N/A</v>
      </c>
      <c r="AN53" s="428" t="e">
        <f>IF(ISERROR(AVERAGEIF(IC!$L$40:$L$64, "=2015", IC!AX$40:AX$64)), NA(), AVERAGEIF(IC!$L$40:$L$64, "=2015", IC!AX$40:AX$64))</f>
        <v>#N/A</v>
      </c>
      <c r="AO53" s="428" t="e">
        <f>IF(ISERROR(AVERAGEIF(IC!$L$40:$L$64, "=2015", IC!AY$40:AY$64)), NA(), AVERAGEIF(IC!$L$40:$L$64, "=2015", IC!AY$40:AY$64))</f>
        <v>#N/A</v>
      </c>
      <c r="AP53" s="428">
        <f>IF(ISERROR(AVERAGEIF(IC!$L$40:$L$64, "=2015", IC!AZ$40:AZ$64)), NA(), AVERAGEIF(IC!$L$40:$L$64, "=2015", IC!AZ$40:AZ$64))</f>
        <v>3.2250000000000001</v>
      </c>
      <c r="AQ53" s="428" t="e">
        <f>IF(ISERROR(AVERAGEIF(IC!$L$40:$L$64, "=2015", IC!BA$40:BA$64)), NA(), AVERAGEIF(IC!$L$40:$L$64, "=2015", IC!BA$40:BA$64))</f>
        <v>#N/A</v>
      </c>
      <c r="AR53" s="428">
        <f>IF(ISERROR(AVERAGEIF(IC!$L$40:$L$64, "=2015", IC!BB$40:BB$64)), NA(), AVERAGEIF(IC!$L$40:$L$64, "=2015", IC!BB$40:BB$64))</f>
        <v>35.700000000000003</v>
      </c>
      <c r="AS53" s="428">
        <f>IF(ISERROR(AVERAGEIF(IC!$L$40:$L$64, "=2015", IC!BC$40:BC$64)), NA(), AVERAGEIF(IC!$L$40:$L$64, "=2015", IC!BC$40:BC$64))</f>
        <v>0.5</v>
      </c>
      <c r="AT53" s="428" t="e">
        <f>IF(ISERROR(AVERAGEIF(IC!$L$40:$L$64, "=2015", IC!BD$40:BD$64)), NA(), AVERAGEIF(IC!$L$40:$L$64, "=2015", IC!BD$40:BD$64))</f>
        <v>#N/A</v>
      </c>
      <c r="AU53" s="428" t="e">
        <f>IF(ISERROR(AVERAGEIF(IC!$L$40:$L$64, "=2015", IC!BE$40:BE$64)), NA(), AVERAGEIF(IC!$L$40:$L$64, "=2015", IC!BE$40:BE$64))</f>
        <v>#N/A</v>
      </c>
      <c r="AV53" s="428" t="e">
        <f>IF(ISERROR(AVERAGEIF(IC!$L$40:$L$64, "=2015", IC!BF$40:BF$64)), NA(), AVERAGEIF(IC!$L$40:$L$64, "=2015", IC!BF$40:BF$64))</f>
        <v>#N/A</v>
      </c>
      <c r="AW53" s="428" t="e">
        <f>IF(ISERROR(AVERAGEIF(IC!$L$40:$L$64, "=2015", IC!BG$40:BG$64)), NA(), AVERAGEIF(IC!$L$40:$L$64, "=2015", IC!BG$40:BG$64))</f>
        <v>#N/A</v>
      </c>
      <c r="AX53" s="428" t="e">
        <f>IF(ISERROR(AVERAGEIF(IC!$L$40:$L$64, "=2015", IC!BH$40:BH$64)), NA(), AVERAGEIF(IC!$L$40:$L$64, "=2015", IC!BH$40:BH$64))</f>
        <v>#N/A</v>
      </c>
      <c r="AY53" s="428" t="e">
        <f>IF(ISERROR(AVERAGEIF(IC!$L$40:$L$64, "=2015", IC!BI$40:BI$64)), NA(), AVERAGEIF(IC!$L$40:$L$64, "=2015", IC!BI$40:BI$64))</f>
        <v>#N/A</v>
      </c>
      <c r="AZ53" s="428" t="e">
        <f>IF(ISERROR(AVERAGEIF(IC!$L$40:$L$64, "=2015", IC!BJ$40:BJ$64)), NA(), AVERAGEIF(IC!$L$40:$L$64, "=2015", IC!BJ$40:BJ$64))</f>
        <v>#N/A</v>
      </c>
      <c r="BA53" s="428" t="e">
        <f>IF(ISERROR(AVERAGEIF(IC!$L$40:$L$64, "=2015", IC!BK$40:BK$64)), NA(), AVERAGEIF(IC!$L$40:$L$64, "=2015", IC!BK$40:BK$64))</f>
        <v>#N/A</v>
      </c>
      <c r="BB53" s="428">
        <f>IF(ISERROR(AVERAGEIF(IC!$L$40:$L$64, "=2015", IC!BL$40:BL$64)), NA(), AVERAGEIF(IC!$L$40:$L$64, "=2015", IC!BL$40:BL$64))</f>
        <v>0.20277899999999999</v>
      </c>
      <c r="BC53" s="428" t="e">
        <f>IF(ISERROR(AVERAGEIF(IC!$L$40:$L$64, "=2015", IC!BM$40:BM$64)), NA(), AVERAGEIF(IC!$L$40:$L$64, "=2015", IC!BM$40:BM$64))</f>
        <v>#N/A</v>
      </c>
      <c r="BD53" s="428">
        <f>IF(ISERROR(AVERAGEIF(IC!$L$40:$L$64, "=2015", IC!BO$40:BO$64)), NA(), AVERAGEIF(IC!$L$40:$L$64, "=2015", IC!BO$40:BO$64))</f>
        <v>3803.1567579596835</v>
      </c>
      <c r="BE53" s="428" t="e">
        <f>IF(ISERROR(AVERAGEIF(IC!$L$40:$L$64, "=2015", IC!BP$40:BP$64)), NA(), AVERAGEIF(IC!$L$40:$L$64, "=2015", IC!BP$40:BP$64))</f>
        <v>#N/A</v>
      </c>
      <c r="BF53" s="428" t="e">
        <f>IF(ISERROR(AVERAGEIF(IC!$L$40:$L$64, "=2015", IC!BQ$40:BQ$64)), NA(), AVERAGEIF(IC!$L$40:$L$64, "=2015", IC!BQ$40:BQ$64))</f>
        <v>#N/A</v>
      </c>
      <c r="BG53" s="428" t="e">
        <f>IF(ISERROR(AVERAGEIF(IC!$L$40:$L$64, "=2015", IC!BR$40:BR$64)), NA(), AVERAGEIF(IC!$L$40:$L$64, "=2015", IC!BR$40:BR$64))</f>
        <v>#N/A</v>
      </c>
      <c r="BH53" s="428" t="e">
        <f>IF(ISERROR(AVERAGEIF(IC!$L$40:$L$64, "=2015", IC!BS$40:BS$64)), NA(), AVERAGEIF(IC!$L$40:$L$64, "=2015", IC!BS$40:BS$64))</f>
        <v>#N/A</v>
      </c>
      <c r="BI53" s="428" t="e">
        <f>IF(ISERROR(AVERAGEIF(IC!$L$40:$L$64, "=2015", IC!BT$40:BT$64)), NA(), AVERAGEIF(IC!$L$40:$L$64, "=2015", IC!BT$40:BT$64))</f>
        <v>#N/A</v>
      </c>
      <c r="BJ53" s="428" t="e">
        <f>IF(ISERROR(AVERAGEIF(IC!$L$40:$L$64, "=2015", IC!BU$40:BU$64)), NA(), AVERAGEIF(IC!$L$40:$L$64, "=2015", IC!BU$40:BU$64))</f>
        <v>#N/A</v>
      </c>
      <c r="BK53" s="428" t="e">
        <f>IF(ISERROR(AVERAGEIF(IC!$L$40:$L$64, "=2015", IC!BV$40:BV$64)), NA(), AVERAGEIF(IC!$L$40:$L$64, "=2015", IC!BV$40:BV$64))</f>
        <v>#N/A</v>
      </c>
      <c r="BL53" s="428" t="e">
        <f>IF(ISERROR(AVERAGEIF(IC!$L$40:$L$64, "=2015", IC!BW$40:BW$64)), NA(), AVERAGEIF(IC!$L$40:$L$64, "=2015", IC!BW$40:BW$64))</f>
        <v>#N/A</v>
      </c>
      <c r="BM53" s="428" t="e">
        <f>IF(ISERROR(AVERAGEIF(IC!$L$40:$L$64, "=2015", IC!BX$40:BX$64)), NA(), AVERAGEIF(IC!$L$40:$L$64, "=2015", IC!BX$40:BX$64))</f>
        <v>#N/A</v>
      </c>
      <c r="BN53" s="428" t="e">
        <f>IF(ISERROR(AVERAGEIF(IC!$L$40:$L$64, "=2015", IC!BY$40:BY$64)), NA(), AVERAGEIF(IC!$L$40:$L$64, "=2015", IC!BY$40:BY$64))</f>
        <v>#N/A</v>
      </c>
      <c r="BO53" s="428" t="e">
        <f>IF(ISERROR(AVERAGEIF(IC!$L$40:$L$64, "=2015", IC!BZ$40:BZ$64)), NA(), AVERAGEIF(IC!$L$40:$L$64, "=2015", IC!BZ$40:BZ$64))</f>
        <v>#N/A</v>
      </c>
      <c r="BP53" s="428" t="e">
        <f>IF(ISERROR(AVERAGEIF(IC!$L$40:$L$64, "=2015", IC!CA$40:CA$64)), NA(), AVERAGEIF(IC!$L$40:$L$64, "=2015", IC!CA$40:CA$64))</f>
        <v>#N/A</v>
      </c>
      <c r="BQ53" s="428" t="e">
        <f>IF(ISERROR(AVERAGEIF(IC!$L$40:$L$64, "=2015", IC!CB$40:CB$64)), NA(), AVERAGEIF(IC!$L$40:$L$64, "=2015", IC!CB$40:CB$64))</f>
        <v>#N/A</v>
      </c>
      <c r="BR53" s="428" t="e">
        <f>IF(ISERROR(AVERAGEIF(IC!$L$40:$L$64, "=2015", IC!CC$40:CC$64)), NA(), AVERAGEIF(IC!$L$40:$L$64, "=2015", IC!CC$40:CC$64))</f>
        <v>#N/A</v>
      </c>
      <c r="BS53" s="428" t="e">
        <f>IF(ISERROR(AVERAGEIF(IC!$L$40:$L$64, "=2015", IC!CD$40:CD$64)), NA(), AVERAGEIF(IC!$L$40:$L$64, "=2015", IC!CD$40:CD$64))</f>
        <v>#N/A</v>
      </c>
      <c r="BT53" s="428" t="e">
        <f>IF(ISERROR(AVERAGEIF(IC!$L$40:$L$64, "=2015", IC!CE$40:CE$64)), NA(), AVERAGEIF(IC!$L$40:$L$64, "=2015", IC!CE$40:CE$64))</f>
        <v>#N/A</v>
      </c>
      <c r="BU53" s="428" t="e">
        <f>IF(ISERROR(AVERAGEIF(IC!$L$40:$L$64, "=2015", IC!CF$40:CF$64)), NA(), AVERAGEIF(IC!$L$40:$L$64, "=2015", IC!CF$40:CF$64))</f>
        <v>#N/A</v>
      </c>
      <c r="BV53" s="428" t="e">
        <f>IF(ISERROR(AVERAGEIF(IC!$L$40:$L$64, "=2015", IC!CG$40:CG$64)), NA(), AVERAGEIF(IC!$L$40:$L$64, "=2015", IC!CG$40:CG$64))</f>
        <v>#N/A</v>
      </c>
      <c r="BW53" s="428" t="e">
        <f>IF(ISERROR(AVERAGEIF(IC!$L$40:$L$64, "=2015", IC!CH$40:CH$64)), NA(), AVERAGEIF(IC!$L$40:$L$64, "=2015", IC!CH$40:CH$64))</f>
        <v>#N/A</v>
      </c>
      <c r="BX53" s="428" t="e">
        <f>IF(ISERROR(AVERAGEIF(IC!$L$40:$L$64, "=2015", IC!CI$40:CI$64)), NA(), AVERAGEIF(IC!$L$40:$L$64, "=2015", IC!CI$40:CI$64))</f>
        <v>#N/A</v>
      </c>
      <c r="BY53" s="428" t="e">
        <f>IF(ISERROR(AVERAGEIF(IC!$L$40:$L$64, "=2015", IC!CJ$40:CJ$64)), NA(), AVERAGEIF(IC!$L$40:$L$64, "=2015", IC!CJ$40:CJ$64))</f>
        <v>#N/A</v>
      </c>
      <c r="BZ53" s="428" t="e">
        <f>IF(ISERROR(AVERAGEIF(IC!$L$40:$L$64, "=2015", IC!CK$40:CK$64)), NA(), AVERAGEIF(IC!$L$40:$L$64, "=2015", IC!CK$40:CK$64))</f>
        <v>#N/A</v>
      </c>
    </row>
    <row r="54" spans="1:78">
      <c r="A54" s="774"/>
      <c r="B54" s="434">
        <v>2016</v>
      </c>
      <c r="C54" s="428" t="e">
        <f>IF(ISERROR(AVERAGEIF(IC!$L$40:$L$64, "=2016", IC!M$40:M$64)), NA(), AVERAGEIF(IC!$L$40:$L$64, "=2016", IC!M$40:M$64))</f>
        <v>#N/A</v>
      </c>
      <c r="D54" s="428" t="e">
        <f>IF(ISERROR(AVERAGEIF(IC!$L$40:$L$64, "=2016", IC!N$40:N$64)), NA(), AVERAGEIF(IC!$L$40:$L$64, "=2016", IC!N$40:N$64))</f>
        <v>#N/A</v>
      </c>
      <c r="E54" s="428" t="e">
        <f>IF(ISERROR(AVERAGEIF(IC!$L$40:$L$64, "=2016", IC!O$40:O$64)), NA(), AVERAGEIF(IC!$L$40:$L$64, "=2016", IC!O$40:O$64))</f>
        <v>#N/A</v>
      </c>
      <c r="F54" s="428" t="e">
        <f>IF(ISERROR(AVERAGEIF(IC!$L$40:$L$64, "=2016", IC!P$40:P$64)), NA(), AVERAGEIF(IC!$L$40:$L$64, "=2016", IC!P$40:P$64))</f>
        <v>#N/A</v>
      </c>
      <c r="G54" s="428" t="e">
        <f>IF(ISERROR(AVERAGEIF(IC!$L$40:$L$64, "=2016", IC!Q$40:Q$64)), NA(), AVERAGEIF(IC!$L$40:$L$64, "=2016", IC!Q$40:Q$64))</f>
        <v>#N/A</v>
      </c>
      <c r="H54" s="428" t="e">
        <f>IF(ISERROR(AVERAGEIF(IC!$L$40:$L$64, "=2016", IC!R$40:R$64)), NA(), AVERAGEIF(IC!$L$40:$L$64, "=2016", IC!R$40:R$64))</f>
        <v>#N/A</v>
      </c>
      <c r="I54" s="428">
        <f>IF(ISERROR(AVERAGEIF(IC!$L$40:$L$64, "=2016", IC!S$40:S$64)), NA(), AVERAGEIF(IC!$L$40:$L$64, "=2016", IC!S$40:S$64))</f>
        <v>1.6</v>
      </c>
      <c r="J54" s="428">
        <f>IF(ISERROR(AVERAGEIF(IC!$L$40:$L$64, "=2016", IC!T$40:T$64)), NA(), AVERAGEIF(IC!$L$40:$L$64, "=2016", IC!T$40:T$64))</f>
        <v>1</v>
      </c>
      <c r="K54" s="428" t="e">
        <f>IF(ISERROR(AVERAGEIF(IC!$L$40:$L$64, "=2016", IC!U$40:U$64)), NA(), AVERAGEIF(IC!$L$40:$L$64, "=2016", IC!U$40:U$64))</f>
        <v>#N/A</v>
      </c>
      <c r="L54" s="428">
        <f>IF(ISERROR(AVERAGEIF(IC!$L$40:$L$64, "=2016", IC!V$40:V$64)), NA(), AVERAGEIF(IC!$L$40:$L$64, "=2016", IC!V$40:V$64))</f>
        <v>14.2</v>
      </c>
      <c r="M54" s="428">
        <f>IF(ISERROR(AVERAGEIF(IC!$L$40:$L$64, "=2016", IC!W$40:W$64)), NA(), AVERAGEIF(IC!$L$40:$L$64, "=2016", IC!W$40:W$64))</f>
        <v>13.666666666666666</v>
      </c>
      <c r="N54" s="428">
        <f>IF(ISERROR(AVERAGEIF(IC!$L$40:$L$64, "=2016", IC!X$40:X$64)), NA(), AVERAGEIF(IC!$L$40:$L$64, "=2016", IC!X$40:X$64))</f>
        <v>12.666666666666666</v>
      </c>
      <c r="O54" s="428">
        <f>IF(ISERROR(AVERAGEIF(IC!$L$40:$L$64, "=2016", IC!Y$40:Y$64)), NA(), AVERAGEIF(IC!$L$40:$L$64, "=2016", IC!Y$40:Y$64))</f>
        <v>11.666666666666666</v>
      </c>
      <c r="P54" s="428">
        <f>IF(ISERROR(AVERAGEIF(IC!$L$40:$L$64, "=2016", IC!Z$40:Z$64)), NA(), AVERAGEIF(IC!$L$40:$L$64, "=2016", IC!Z$40:Z$64))</f>
        <v>11</v>
      </c>
      <c r="Q54" s="428">
        <f>IF(ISERROR(AVERAGEIF(IC!$L$40:$L$64, "=2016", IC!AA$40:AA$64)), NA(), AVERAGEIF(IC!$L$40:$L$64, "=2016", IC!AA$40:AA$64))</f>
        <v>10</v>
      </c>
      <c r="R54" s="428">
        <f>IF(ISERROR(AVERAGEIF(IC!$L$40:$L$64, "=2016", IC!AB$40:AB$64)), NA(), AVERAGEIF(IC!$L$40:$L$64, "=2016", IC!AB$40:AB$64))</f>
        <v>8</v>
      </c>
      <c r="S54" s="428" t="e">
        <f>IF(ISERROR(AVERAGEIF(IC!$L$40:$L$64, "=2016", IC!AC$40:AC$64)), NA(), AVERAGEIF(IC!$L$40:$L$64, "=2016", IC!AC$40:AC$64))</f>
        <v>#N/A</v>
      </c>
      <c r="T54" s="428">
        <f>IF(ISERROR(AVERAGEIF(IC!$L$40:$L$64, "=2016", IC!AD$40:AD$64)), NA(), AVERAGEIF(IC!$L$40:$L$64, "=2016", IC!AD$40:AD$64))</f>
        <v>1</v>
      </c>
      <c r="U54" s="428">
        <f>IF(ISERROR(AVERAGEIF(IC!$L$40:$L$64, "=2016", IC!AE$40:AE$64)), NA(), AVERAGEIF(IC!$L$40:$L$64, "=2016", IC!AE$40:AE$64))</f>
        <v>1</v>
      </c>
      <c r="V54" s="428" t="e">
        <f>IF(ISERROR(AVERAGEIF(IC!$L$40:$L$64, "=2016", IC!AF$40:AF$64)), NA(), AVERAGEIF(IC!$L$40:$L$64, "=2016", IC!AF$40:AF$64))</f>
        <v>#N/A</v>
      </c>
      <c r="W54" s="428" t="e">
        <f>IF(ISERROR(AVERAGEIF(IC!$L$40:$L$64, "=2016", IC!AG$40:AG$64)), NA(), AVERAGEIF(IC!$L$40:$L$64, "=2016", IC!AG$40:AG$64))</f>
        <v>#N/A</v>
      </c>
      <c r="X54" s="428" t="e">
        <f>IF(ISERROR(AVERAGEIF(IC!$L$40:$L$64, "=2016", IC!AH$40:AH$64)), NA(), AVERAGEIF(IC!$L$40:$L$64, "=2016", IC!AH$40:AH$64))</f>
        <v>#N/A</v>
      </c>
      <c r="Y54" s="428" t="e">
        <f>IF(ISERROR(AVERAGEIF(IC!$L$40:$L$64, "=2016", IC!AI$40:AI$64)), NA(), AVERAGEIF(IC!$L$40:$L$64, "=2016", IC!AI$40:AI$64))</f>
        <v>#N/A</v>
      </c>
      <c r="Z54" s="428">
        <f>IF(ISERROR(AVERAGEIF(IC!$L$40:$L$64, "=2016", IC!AJ$40:AJ$64)), NA(), AVERAGEIF(IC!$L$40:$L$64, "=2016", IC!AJ$40:AJ$64))</f>
        <v>0</v>
      </c>
      <c r="AA54" s="428" t="e">
        <f>IF(ISERROR(AVERAGEIF(IC!$L$40:$L$64, "=2016", IC!AK$40:AK$64)), NA(), AVERAGEIF(IC!$L$40:$L$64, "=2016", IC!AK$40:AK$64))</f>
        <v>#N/A</v>
      </c>
      <c r="AB54" s="428" t="e">
        <f>IF(ISERROR(AVERAGEIF(IC!$L$40:$L$64, "=2016", IC!AL$40:AL$64)), NA(), AVERAGEIF(IC!$L$40:$L$64, "=2016", IC!AL$40:AL$64))</f>
        <v>#N/A</v>
      </c>
      <c r="AC54" s="428">
        <f>IF(ISERROR(AVERAGEIF(IC!$L$40:$L$64, "=2016", IC!AM$40:AM$64)), NA(), AVERAGEIF(IC!$L$40:$L$64, "=2016", IC!AM$40:AM$64))</f>
        <v>2.52</v>
      </c>
      <c r="AD54" s="428">
        <f>IF(ISERROR(AVERAGEIF(IC!$L$40:$L$64, "=2016", IC!AN$40:AN$64)), NA(), AVERAGEIF(IC!$L$40:$L$64, "=2016", IC!AN$40:AN$64))</f>
        <v>2.44</v>
      </c>
      <c r="AE54" s="428" t="e">
        <f>IF(ISERROR(AVERAGEIF(IC!$L$40:$L$64, "=2016", IC!AO$40:AO$64)), NA(), AVERAGEIF(IC!$L$40:$L$64, "=2016", IC!AO$40:AO$64))</f>
        <v>#N/A</v>
      </c>
      <c r="AF54" s="428">
        <f>IF(ISERROR(AVERAGEIF(IC!$L$40:$L$64, "=2016", IC!AP$40:AP$64)), NA(), AVERAGEIF(IC!$L$40:$L$64, "=2016", IC!AP$40:AP$64))</f>
        <v>2.52</v>
      </c>
      <c r="AG54" s="428">
        <f>IF(ISERROR(AVERAGEIF(IC!$L$40:$L$64, "=2016", IC!AQ$40:AQ$64)), NA(), AVERAGEIF(IC!$L$40:$L$64, "=2016", IC!AQ$40:AQ$64))</f>
        <v>6.2320000000000002</v>
      </c>
      <c r="AH54" s="428" t="e">
        <f>IF(ISERROR(AVERAGEIF(IC!$L$40:$L$64, "=2016", IC!AR$40:AR$64)), NA(), AVERAGEIF(IC!$L$40:$L$64, "=2016", IC!AR$40:AR$64))</f>
        <v>#N/A</v>
      </c>
      <c r="AI54" s="428">
        <f>IF(ISERROR(AVERAGEIF(IC!$L$40:$L$64, "=2016", IC!AS$40:AS$64)), NA(), AVERAGEIF(IC!$L$40:$L$64, "=2016", IC!AS$40:AS$64))</f>
        <v>2.0200000000000005</v>
      </c>
      <c r="AJ54" s="428">
        <f>IF(ISERROR(AVERAGEIF(IC!$L$40:$L$64, "=2016", IC!AT$40:AT$64)), NA(), AVERAGEIF(IC!$L$40:$L$64, "=2016", IC!AT$40:AT$64))</f>
        <v>3.9</v>
      </c>
      <c r="AK54" s="428" t="e">
        <f>IF(ISERROR(AVERAGEIF(IC!$L$40:$L$64, "=2016", IC!AU$40:AU$64)), NA(), AVERAGEIF(IC!$L$40:$L$64, "=2016", IC!AU$40:AU$64))</f>
        <v>#N/A</v>
      </c>
      <c r="AL54" s="428" t="e">
        <f>IF(ISERROR(AVERAGEIF(IC!$L$40:$L$64, "=2016", IC!AV$40:AV$64)), NA(), AVERAGEIF(IC!$L$40:$L$64, "=2016", IC!AV$40:AV$64))</f>
        <v>#N/A</v>
      </c>
      <c r="AM54" s="428" t="e">
        <f>IF(ISERROR(AVERAGEIF(IC!$L$40:$L$64, "=2016", IC!AW$40:AW$64)), NA(), AVERAGEIF(IC!$L$40:$L$64, "=2016", IC!AW$40:AW$64))</f>
        <v>#N/A</v>
      </c>
      <c r="AN54" s="428" t="e">
        <f>IF(ISERROR(AVERAGEIF(IC!$L$40:$L$64, "=2016", IC!AX$40:AX$64)), NA(), AVERAGEIF(IC!$L$40:$L$64, "=2016", IC!AX$40:AX$64))</f>
        <v>#N/A</v>
      </c>
      <c r="AO54" s="428" t="e">
        <f>IF(ISERROR(AVERAGEIF(IC!$L$40:$L$64, "=2016", IC!AY$40:AY$64)), NA(), AVERAGEIF(IC!$L$40:$L$64, "=2016", IC!AY$40:AY$64))</f>
        <v>#N/A</v>
      </c>
      <c r="AP54" s="428">
        <f>IF(ISERROR(AVERAGEIF(IC!$L$40:$L$64, "=2016", IC!AZ$40:AZ$64)), NA(), AVERAGEIF(IC!$L$40:$L$64, "=2016", IC!AZ$40:AZ$64))</f>
        <v>2.4460000000000002</v>
      </c>
      <c r="AQ54" s="428" t="e">
        <f>IF(ISERROR(AVERAGEIF(IC!$L$40:$L$64, "=2016", IC!BA$40:BA$64)), NA(), AVERAGEIF(IC!$L$40:$L$64, "=2016", IC!BA$40:BA$64))</f>
        <v>#N/A</v>
      </c>
      <c r="AR54" s="428">
        <f>IF(ISERROR(AVERAGEIF(IC!$L$40:$L$64, "=2016", IC!BB$40:BB$64)), NA(), AVERAGEIF(IC!$L$40:$L$64, "=2016", IC!BB$40:BB$64))</f>
        <v>2.9</v>
      </c>
      <c r="AS54" s="428" t="e">
        <f>IF(ISERROR(AVERAGEIF(IC!$L$40:$L$64, "=2016", IC!BC$40:BC$64)), NA(), AVERAGEIF(IC!$L$40:$L$64, "=2016", IC!BC$40:BC$64))</f>
        <v>#N/A</v>
      </c>
      <c r="AT54" s="428" t="e">
        <f>IF(ISERROR(AVERAGEIF(IC!$L$40:$L$64, "=2016", IC!BD$40:BD$64)), NA(), AVERAGEIF(IC!$L$40:$L$64, "=2016", IC!BD$40:BD$64))</f>
        <v>#N/A</v>
      </c>
      <c r="AU54" s="428" t="e">
        <f>IF(ISERROR(AVERAGEIF(IC!$L$40:$L$64, "=2016", IC!BE$40:BE$64)), NA(), AVERAGEIF(IC!$L$40:$L$64, "=2016", IC!BE$40:BE$64))</f>
        <v>#N/A</v>
      </c>
      <c r="AV54" s="428" t="e">
        <f>IF(ISERROR(AVERAGEIF(IC!$L$40:$L$64, "=2016", IC!BF$40:BF$64)), NA(), AVERAGEIF(IC!$L$40:$L$64, "=2016", IC!BF$40:BF$64))</f>
        <v>#N/A</v>
      </c>
      <c r="AW54" s="428" t="e">
        <f>IF(ISERROR(AVERAGEIF(IC!$L$40:$L$64, "=2016", IC!BG$40:BG$64)), NA(), AVERAGEIF(IC!$L$40:$L$64, "=2016", IC!BG$40:BG$64))</f>
        <v>#N/A</v>
      </c>
      <c r="AX54" s="428" t="e">
        <f>IF(ISERROR(AVERAGEIF(IC!$L$40:$L$64, "=2016", IC!BH$40:BH$64)), NA(), AVERAGEIF(IC!$L$40:$L$64, "=2016", IC!BH$40:BH$64))</f>
        <v>#N/A</v>
      </c>
      <c r="AY54" s="428" t="e">
        <f>IF(ISERROR(AVERAGEIF(IC!$L$40:$L$64, "=2016", IC!BI$40:BI$64)), NA(), AVERAGEIF(IC!$L$40:$L$64, "=2016", IC!BI$40:BI$64))</f>
        <v>#N/A</v>
      </c>
      <c r="AZ54" s="428" t="e">
        <f>IF(ISERROR(AVERAGEIF(IC!$L$40:$L$64, "=2016", IC!BJ$40:BJ$64)), NA(), AVERAGEIF(IC!$L$40:$L$64, "=2016", IC!BJ$40:BJ$64))</f>
        <v>#N/A</v>
      </c>
      <c r="BA54" s="428" t="e">
        <f>IF(ISERROR(AVERAGEIF(IC!$L$40:$L$64, "=2016", IC!BK$40:BK$64)), NA(), AVERAGEIF(IC!$L$40:$L$64, "=2016", IC!BK$40:BK$64))</f>
        <v>#N/A</v>
      </c>
      <c r="BB54" s="428">
        <f>IF(ISERROR(AVERAGEIF(IC!$L$40:$L$64, "=2016", IC!BL$40:BL$64)), NA(), AVERAGEIF(IC!$L$40:$L$64, "=2016", IC!BL$40:BL$64))</f>
        <v>8.0270400000000006E-2</v>
      </c>
      <c r="BC54" s="428" t="e">
        <f>IF(ISERROR(AVERAGEIF(IC!$L$40:$L$64, "=2016", IC!BM$40:BM$64)), NA(), AVERAGEIF(IC!$L$40:$L$64, "=2016", IC!BM$40:BM$64))</f>
        <v>#N/A</v>
      </c>
      <c r="BD54" s="428">
        <f>IF(ISERROR(AVERAGEIF(IC!$L$40:$L$64, "=2016", IC!BO$40:BO$64)), NA(), AVERAGEIF(IC!$L$40:$L$64, "=2016", IC!BO$40:BO$64))</f>
        <v>524278.34020238149</v>
      </c>
      <c r="BE54" s="428" t="e">
        <f>IF(ISERROR(AVERAGEIF(IC!$L$40:$L$64, "=2016", IC!BP$40:BP$64)), NA(), AVERAGEIF(IC!$L$40:$L$64, "=2016", IC!BP$40:BP$64))</f>
        <v>#N/A</v>
      </c>
      <c r="BF54" s="428" t="e">
        <f>IF(ISERROR(AVERAGEIF(IC!$L$40:$L$64, "=2016", IC!BQ$40:BQ$64)), NA(), AVERAGEIF(IC!$L$40:$L$64, "=2016", IC!BQ$40:BQ$64))</f>
        <v>#N/A</v>
      </c>
      <c r="BG54" s="428" t="e">
        <f>IF(ISERROR(AVERAGEIF(IC!$L$40:$L$64, "=2016", IC!BR$40:BR$64)), NA(), AVERAGEIF(IC!$L$40:$L$64, "=2016", IC!BR$40:BR$64))</f>
        <v>#N/A</v>
      </c>
      <c r="BH54" s="428" t="e">
        <f>IF(ISERROR(AVERAGEIF(IC!$L$40:$L$64, "=2016", IC!BS$40:BS$64)), NA(), AVERAGEIF(IC!$L$40:$L$64, "=2016", IC!BS$40:BS$64))</f>
        <v>#N/A</v>
      </c>
      <c r="BI54" s="428" t="e">
        <f>IF(ISERROR(AVERAGEIF(IC!$L$40:$L$64, "=2016", IC!BT$40:BT$64)), NA(), AVERAGEIF(IC!$L$40:$L$64, "=2016", IC!BT$40:BT$64))</f>
        <v>#N/A</v>
      </c>
      <c r="BJ54" s="428" t="e">
        <f>IF(ISERROR(AVERAGEIF(IC!$L$40:$L$64, "=2016", IC!BU$40:BU$64)), NA(), AVERAGEIF(IC!$L$40:$L$64, "=2016", IC!BU$40:BU$64))</f>
        <v>#N/A</v>
      </c>
      <c r="BK54" s="428" t="e">
        <f>IF(ISERROR(AVERAGEIF(IC!$L$40:$L$64, "=2016", IC!BV$40:BV$64)), NA(), AVERAGEIF(IC!$L$40:$L$64, "=2016", IC!BV$40:BV$64))</f>
        <v>#N/A</v>
      </c>
      <c r="BL54" s="428" t="e">
        <f>IF(ISERROR(AVERAGEIF(IC!$L$40:$L$64, "=2016", IC!BW$40:BW$64)), NA(), AVERAGEIF(IC!$L$40:$L$64, "=2016", IC!BW$40:BW$64))</f>
        <v>#N/A</v>
      </c>
      <c r="BM54" s="428" t="e">
        <f>IF(ISERROR(AVERAGEIF(IC!$L$40:$L$64, "=2016", IC!BX$40:BX$64)), NA(), AVERAGEIF(IC!$L$40:$L$64, "=2016", IC!BX$40:BX$64))</f>
        <v>#N/A</v>
      </c>
      <c r="BN54" s="428" t="e">
        <f>IF(ISERROR(AVERAGEIF(IC!$L$40:$L$64, "=2016", IC!BY$40:BY$64)), NA(), AVERAGEIF(IC!$L$40:$L$64, "=2016", IC!BY$40:BY$64))</f>
        <v>#N/A</v>
      </c>
      <c r="BO54" s="428" t="e">
        <f>IF(ISERROR(AVERAGEIF(IC!$L$40:$L$64, "=2016", IC!BZ$40:BZ$64)), NA(), AVERAGEIF(IC!$L$40:$L$64, "=2016", IC!BZ$40:BZ$64))</f>
        <v>#N/A</v>
      </c>
      <c r="BP54" s="428" t="e">
        <f>IF(ISERROR(AVERAGEIF(IC!$L$40:$L$64, "=2016", IC!CA$40:CA$64)), NA(), AVERAGEIF(IC!$L$40:$L$64, "=2016", IC!CA$40:CA$64))</f>
        <v>#N/A</v>
      </c>
      <c r="BQ54" s="428" t="e">
        <f>IF(ISERROR(AVERAGEIF(IC!$L$40:$L$64, "=2016", IC!CB$40:CB$64)), NA(), AVERAGEIF(IC!$L$40:$L$64, "=2016", IC!CB$40:CB$64))</f>
        <v>#N/A</v>
      </c>
      <c r="BR54" s="428" t="e">
        <f>IF(ISERROR(AVERAGEIF(IC!$L$40:$L$64, "=2016", IC!CC$40:CC$64)), NA(), AVERAGEIF(IC!$L$40:$L$64, "=2016", IC!CC$40:CC$64))</f>
        <v>#N/A</v>
      </c>
      <c r="BS54" s="428" t="e">
        <f>IF(ISERROR(AVERAGEIF(IC!$L$40:$L$64, "=2016", IC!CD$40:CD$64)), NA(), AVERAGEIF(IC!$L$40:$L$64, "=2016", IC!CD$40:CD$64))</f>
        <v>#N/A</v>
      </c>
      <c r="BT54" s="428" t="e">
        <f>IF(ISERROR(AVERAGEIF(IC!$L$40:$L$64, "=2016", IC!CE$40:CE$64)), NA(), AVERAGEIF(IC!$L$40:$L$64, "=2016", IC!CE$40:CE$64))</f>
        <v>#N/A</v>
      </c>
      <c r="BU54" s="428" t="e">
        <f>IF(ISERROR(AVERAGEIF(IC!$L$40:$L$64, "=2016", IC!CF$40:CF$64)), NA(), AVERAGEIF(IC!$L$40:$L$64, "=2016", IC!CF$40:CF$64))</f>
        <v>#N/A</v>
      </c>
      <c r="BV54" s="428" t="e">
        <f>IF(ISERROR(AVERAGEIF(IC!$L$40:$L$64, "=2016", IC!CG$40:CG$64)), NA(), AVERAGEIF(IC!$L$40:$L$64, "=2016", IC!CG$40:CG$64))</f>
        <v>#N/A</v>
      </c>
      <c r="BW54" s="428" t="e">
        <f>IF(ISERROR(AVERAGEIF(IC!$L$40:$L$64, "=2016", IC!CH$40:CH$64)), NA(), AVERAGEIF(IC!$L$40:$L$64, "=2016", IC!CH$40:CH$64))</f>
        <v>#N/A</v>
      </c>
      <c r="BX54" s="428" t="e">
        <f>IF(ISERROR(AVERAGEIF(IC!$L$40:$L$64, "=2016", IC!CI$40:CI$64)), NA(), AVERAGEIF(IC!$L$40:$L$64, "=2016", IC!CI$40:CI$64))</f>
        <v>#N/A</v>
      </c>
      <c r="BY54" s="428" t="e">
        <f>IF(ISERROR(AVERAGEIF(IC!$L$40:$L$64, "=2016", IC!CJ$40:CJ$64)), NA(), AVERAGEIF(IC!$L$40:$L$64, "=2016", IC!CJ$40:CJ$64))</f>
        <v>#N/A</v>
      </c>
      <c r="BZ54" s="428">
        <f>IF(ISERROR(AVERAGEIF(IC!$L$40:$L$64, "=2016", IC!CK$40:CK$64)), NA(), AVERAGEIF(IC!$L$40:$L$64, "=2016", IC!CK$40:CK$64))</f>
        <v>18000</v>
      </c>
    </row>
    <row r="55" spans="1:78" s="431" customFormat="1" ht="15" thickBot="1">
      <c r="A55" s="777"/>
      <c r="B55" s="435">
        <v>2017</v>
      </c>
      <c r="C55" s="431" t="e">
        <f>IF(ISERROR(AVERAGEIF(IC!$L$40:$L$64, "=2017", IC!M$40:M$64)), NA(), AVERAGEIF(IC!$L$40:$L$64, "=2017", IC!M$40:M$64))</f>
        <v>#N/A</v>
      </c>
      <c r="D55" s="431" t="e">
        <f>IF(ISERROR(AVERAGEIF(IC!$L$40:$L$64, "=2017", IC!N$40:N$64)), NA(), AVERAGEIF(IC!$L$40:$L$64, "=2017", IC!N$40:N$64))</f>
        <v>#N/A</v>
      </c>
      <c r="E55" s="431" t="e">
        <f>IF(ISERROR(AVERAGEIF(IC!$L$40:$L$64, "=2017", IC!O$40:O$64)), NA(), AVERAGEIF(IC!$L$40:$L$64, "=2017", IC!O$40:O$64))</f>
        <v>#N/A</v>
      </c>
      <c r="F55" s="431" t="e">
        <f>IF(ISERROR(AVERAGEIF(IC!$L$40:$L$64, "=2017", IC!P$40:P$64)), NA(), AVERAGEIF(IC!$L$40:$L$64, "=2017", IC!P$40:P$64))</f>
        <v>#N/A</v>
      </c>
      <c r="G55" s="431" t="e">
        <f>IF(ISERROR(AVERAGEIF(IC!$L$40:$L$64, "=2017", IC!Q$40:Q$64)), NA(), AVERAGEIF(IC!$L$40:$L$64, "=2017", IC!Q$40:Q$64))</f>
        <v>#N/A</v>
      </c>
      <c r="H55" s="431" t="e">
        <f>IF(ISERROR(AVERAGEIF(IC!$L$40:$L$64, "=2017", IC!R$40:R$64)), NA(), AVERAGEIF(IC!$L$40:$L$64, "=2017", IC!R$40:R$64))</f>
        <v>#N/A</v>
      </c>
      <c r="I55" s="431" t="e">
        <f>IF(ISERROR(AVERAGEIF(IC!$L$40:$L$64, "=2017", IC!S$40:S$64)), NA(), AVERAGEIF(IC!$L$40:$L$64, "=2017", IC!S$40:S$64))</f>
        <v>#N/A</v>
      </c>
      <c r="J55" s="431" t="e">
        <f>IF(ISERROR(AVERAGEIF(IC!$L$40:$L$64, "=2017", IC!T$40:T$64)), NA(), AVERAGEIF(IC!$L$40:$L$64, "=2017", IC!T$40:T$64))</f>
        <v>#N/A</v>
      </c>
      <c r="K55" s="431" t="e">
        <f>IF(ISERROR(AVERAGEIF(IC!$L$40:$L$64, "=2017", IC!U$40:U$64)), NA(), AVERAGEIF(IC!$L$40:$L$64, "=2017", IC!U$40:U$64))</f>
        <v>#N/A</v>
      </c>
      <c r="L55" s="431" t="e">
        <f>IF(ISERROR(AVERAGEIF(IC!$L$40:$L$64, "=2017", IC!V$40:V$64)), NA(), AVERAGEIF(IC!$L$40:$L$64, "=2017", IC!V$40:V$64))</f>
        <v>#N/A</v>
      </c>
      <c r="M55" s="431" t="e">
        <f>IF(ISERROR(AVERAGEIF(IC!$L$40:$L$64, "=2017", IC!W$40:W$64)), NA(), AVERAGEIF(IC!$L$40:$L$64, "=2017", IC!W$40:W$64))</f>
        <v>#N/A</v>
      </c>
      <c r="N55" s="431" t="e">
        <f>IF(ISERROR(AVERAGEIF(IC!$L$40:$L$64, "=2017", IC!X$40:X$64)), NA(), AVERAGEIF(IC!$L$40:$L$64, "=2017", IC!X$40:X$64))</f>
        <v>#N/A</v>
      </c>
      <c r="O55" s="431" t="e">
        <f>IF(ISERROR(AVERAGEIF(IC!$L$40:$L$64, "=2017", IC!Y$40:Y$64)), NA(), AVERAGEIF(IC!$L$40:$L$64, "=2017", IC!Y$40:Y$64))</f>
        <v>#N/A</v>
      </c>
      <c r="P55" s="431" t="e">
        <f>IF(ISERROR(AVERAGEIF(IC!$L$40:$L$64, "=2017", IC!Z$40:Z$64)), NA(), AVERAGEIF(IC!$L$40:$L$64, "=2017", IC!Z$40:Z$64))</f>
        <v>#N/A</v>
      </c>
      <c r="Q55" s="431" t="e">
        <f>IF(ISERROR(AVERAGEIF(IC!$L$40:$L$64, "=2017", IC!AA$40:AA$64)), NA(), AVERAGEIF(IC!$L$40:$L$64, "=2017", IC!AA$40:AA$64))</f>
        <v>#N/A</v>
      </c>
      <c r="R55" s="431" t="e">
        <f>IF(ISERROR(AVERAGEIF(IC!$L$40:$L$64, "=2017", IC!AB$40:AB$64)), NA(), AVERAGEIF(IC!$L$40:$L$64, "=2017", IC!AB$40:AB$64))</f>
        <v>#N/A</v>
      </c>
      <c r="S55" s="431" t="e">
        <f>IF(ISERROR(AVERAGEIF(IC!$L$40:$L$64, "=2017", IC!AC$40:AC$64)), NA(), AVERAGEIF(IC!$L$40:$L$64, "=2017", IC!AC$40:AC$64))</f>
        <v>#N/A</v>
      </c>
      <c r="T55" s="431" t="e">
        <f>IF(ISERROR(AVERAGEIF(IC!$L$40:$L$64, "=2017", IC!AD$40:AD$64)), NA(), AVERAGEIF(IC!$L$40:$L$64, "=2017", IC!AD$40:AD$64))</f>
        <v>#N/A</v>
      </c>
      <c r="U55" s="431" t="e">
        <f>IF(ISERROR(AVERAGEIF(IC!$L$40:$L$64, "=2017", IC!AE$40:AE$64)), NA(), AVERAGEIF(IC!$L$40:$L$64, "=2017", IC!AE$40:AE$64))</f>
        <v>#N/A</v>
      </c>
      <c r="V55" s="431" t="e">
        <f>IF(ISERROR(AVERAGEIF(IC!$L$40:$L$64, "=2017", IC!AF$40:AF$64)), NA(), AVERAGEIF(IC!$L$40:$L$64, "=2017", IC!AF$40:AF$64))</f>
        <v>#N/A</v>
      </c>
      <c r="W55" s="431" t="e">
        <f>IF(ISERROR(AVERAGEIF(IC!$L$40:$L$64, "=2017", IC!AG$40:AG$64)), NA(), AVERAGEIF(IC!$L$40:$L$64, "=2017", IC!AG$40:AG$64))</f>
        <v>#N/A</v>
      </c>
      <c r="X55" s="431" t="e">
        <f>IF(ISERROR(AVERAGEIF(IC!$L$40:$L$64, "=2017", IC!AH$40:AH$64)), NA(), AVERAGEIF(IC!$L$40:$L$64, "=2017", IC!AH$40:AH$64))</f>
        <v>#N/A</v>
      </c>
      <c r="Y55" s="431" t="e">
        <f>IF(ISERROR(AVERAGEIF(IC!$L$40:$L$64, "=2017", IC!AI$40:AI$64)), NA(), AVERAGEIF(IC!$L$40:$L$64, "=2017", IC!AI$40:AI$64))</f>
        <v>#N/A</v>
      </c>
      <c r="Z55" s="431" t="e">
        <f>IF(ISERROR(AVERAGEIF(IC!$L$40:$L$64, "=2017", IC!AJ$40:AJ$64)), NA(), AVERAGEIF(IC!$L$40:$L$64, "=2017", IC!AJ$40:AJ$64))</f>
        <v>#N/A</v>
      </c>
      <c r="AA55" s="431" t="e">
        <f>IF(ISERROR(AVERAGEIF(IC!$L$40:$L$64, "=2017", IC!AK$40:AK$64)), NA(), AVERAGEIF(IC!$L$40:$L$64, "=2017", IC!AK$40:AK$64))</f>
        <v>#N/A</v>
      </c>
      <c r="AB55" s="431" t="e">
        <f>IF(ISERROR(AVERAGEIF(IC!$L$40:$L$64, "=2017", IC!AL$40:AL$64)), NA(), AVERAGEIF(IC!$L$40:$L$64, "=2017", IC!AL$40:AL$64))</f>
        <v>#N/A</v>
      </c>
      <c r="AC55" s="431" t="e">
        <f>IF(ISERROR(AVERAGEIF(IC!$L$40:$L$64, "=2017", IC!AM$40:AM$64)), NA(), AVERAGEIF(IC!$L$40:$L$64, "=2017", IC!AM$40:AM$64))</f>
        <v>#N/A</v>
      </c>
      <c r="AD55" s="431" t="e">
        <f>IF(ISERROR(AVERAGEIF(IC!$L$40:$L$64, "=2017", IC!AN$40:AN$64)), NA(), AVERAGEIF(IC!$L$40:$L$64, "=2017", IC!AN$40:AN$64))</f>
        <v>#N/A</v>
      </c>
      <c r="AE55" s="431" t="e">
        <f>IF(ISERROR(AVERAGEIF(IC!$L$40:$L$64, "=2017", IC!AO$40:AO$64)), NA(), AVERAGEIF(IC!$L$40:$L$64, "=2017", IC!AO$40:AO$64))</f>
        <v>#N/A</v>
      </c>
      <c r="AF55" s="431" t="e">
        <f>IF(ISERROR(AVERAGEIF(IC!$L$40:$L$64, "=2017", IC!AP$40:AP$64)), NA(), AVERAGEIF(IC!$L$40:$L$64, "=2017", IC!AP$40:AP$64))</f>
        <v>#N/A</v>
      </c>
      <c r="AG55" s="431" t="e">
        <f>IF(ISERROR(AVERAGEIF(IC!$L$40:$L$64, "=2017", IC!AQ$40:AQ$64)), NA(), AVERAGEIF(IC!$L$40:$L$64, "=2017", IC!AQ$40:AQ$64))</f>
        <v>#N/A</v>
      </c>
      <c r="AH55" s="431" t="e">
        <f>IF(ISERROR(AVERAGEIF(IC!$L$40:$L$64, "=2017", IC!AR$40:AR$64)), NA(), AVERAGEIF(IC!$L$40:$L$64, "=2017", IC!AR$40:AR$64))</f>
        <v>#N/A</v>
      </c>
      <c r="AI55" s="431" t="e">
        <f>IF(ISERROR(AVERAGEIF(IC!$L$40:$L$64, "=2017", IC!AS$40:AS$64)), NA(), AVERAGEIF(IC!$L$40:$L$64, "=2017", IC!AS$40:AS$64))</f>
        <v>#N/A</v>
      </c>
      <c r="AJ55" s="431" t="e">
        <f>IF(ISERROR(AVERAGEIF(IC!$L$40:$L$64, "=2017", IC!AT$40:AT$64)), NA(), AVERAGEIF(IC!$L$40:$L$64, "=2017", IC!AT$40:AT$64))</f>
        <v>#N/A</v>
      </c>
      <c r="AK55" s="431" t="e">
        <f>IF(ISERROR(AVERAGEIF(IC!$L$40:$L$64, "=2017", IC!AU$40:AU$64)), NA(), AVERAGEIF(IC!$L$40:$L$64, "=2017", IC!AU$40:AU$64))</f>
        <v>#N/A</v>
      </c>
      <c r="AL55" s="431" t="e">
        <f>IF(ISERROR(AVERAGEIF(IC!$L$40:$L$64, "=2017", IC!AV$40:AV$64)), NA(), AVERAGEIF(IC!$L$40:$L$64, "=2017", IC!AV$40:AV$64))</f>
        <v>#N/A</v>
      </c>
      <c r="AM55" s="431" t="e">
        <f>IF(ISERROR(AVERAGEIF(IC!$L$40:$L$64, "=2017", IC!AW$40:AW$64)), NA(), AVERAGEIF(IC!$L$40:$L$64, "=2017", IC!AW$40:AW$64))</f>
        <v>#N/A</v>
      </c>
      <c r="AN55" s="431" t="e">
        <f>IF(ISERROR(AVERAGEIF(IC!$L$40:$L$64, "=2017", IC!AX$40:AX$64)), NA(), AVERAGEIF(IC!$L$40:$L$64, "=2017", IC!AX$40:AX$64))</f>
        <v>#N/A</v>
      </c>
      <c r="AO55" s="431" t="e">
        <f>IF(ISERROR(AVERAGEIF(IC!$L$40:$L$64, "=2017", IC!AY$40:AY$64)), NA(), AVERAGEIF(IC!$L$40:$L$64, "=2017", IC!AY$40:AY$64))</f>
        <v>#N/A</v>
      </c>
      <c r="AP55" s="431" t="e">
        <f>IF(ISERROR(AVERAGEIF(IC!$L$40:$L$64, "=2017", IC!AZ$40:AZ$64)), NA(), AVERAGEIF(IC!$L$40:$L$64, "=2017", IC!AZ$40:AZ$64))</f>
        <v>#N/A</v>
      </c>
      <c r="AQ55" s="431" t="e">
        <f>IF(ISERROR(AVERAGEIF(IC!$L$40:$L$64, "=2017", IC!BA$40:BA$64)), NA(), AVERAGEIF(IC!$L$40:$L$64, "=2017", IC!BA$40:BA$64))</f>
        <v>#N/A</v>
      </c>
      <c r="AR55" s="431" t="e">
        <f>IF(ISERROR(AVERAGEIF(IC!$L$40:$L$64, "=2017", IC!BB$40:BB$64)), NA(), AVERAGEIF(IC!$L$40:$L$64, "=2017", IC!BB$40:BB$64))</f>
        <v>#N/A</v>
      </c>
      <c r="AS55" s="431" t="e">
        <f>IF(ISERROR(AVERAGEIF(IC!$L$40:$L$64, "=2017", IC!BC$40:BC$64)), NA(), AVERAGEIF(IC!$L$40:$L$64, "=2017", IC!BC$40:BC$64))</f>
        <v>#N/A</v>
      </c>
      <c r="AT55" s="431" t="e">
        <f>IF(ISERROR(AVERAGEIF(IC!$L$40:$L$64, "=2017", IC!BD$40:BD$64)), NA(), AVERAGEIF(IC!$L$40:$L$64, "=2017", IC!BD$40:BD$64))</f>
        <v>#N/A</v>
      </c>
      <c r="AU55" s="431" t="e">
        <f>IF(ISERROR(AVERAGEIF(IC!$L$40:$L$64, "=2017", IC!BE$40:BE$64)), NA(), AVERAGEIF(IC!$L$40:$L$64, "=2017", IC!BE$40:BE$64))</f>
        <v>#N/A</v>
      </c>
      <c r="AV55" s="431" t="e">
        <f>IF(ISERROR(AVERAGEIF(IC!$L$40:$L$64, "=2017", IC!BF$40:BF$64)), NA(), AVERAGEIF(IC!$L$40:$L$64, "=2017", IC!BF$40:BF$64))</f>
        <v>#N/A</v>
      </c>
      <c r="AW55" s="431" t="e">
        <f>IF(ISERROR(AVERAGEIF(IC!$L$40:$L$64, "=2017", IC!BG$40:BG$64)), NA(), AVERAGEIF(IC!$L$40:$L$64, "=2017", IC!BG$40:BG$64))</f>
        <v>#N/A</v>
      </c>
      <c r="AX55" s="431" t="e">
        <f>IF(ISERROR(AVERAGEIF(IC!$L$40:$L$64, "=2017", IC!BH$40:BH$64)), NA(), AVERAGEIF(IC!$L$40:$L$64, "=2017", IC!BH$40:BH$64))</f>
        <v>#N/A</v>
      </c>
      <c r="AY55" s="431" t="e">
        <f>IF(ISERROR(AVERAGEIF(IC!$L$40:$L$64, "=2017", IC!BI$40:BI$64)), NA(), AVERAGEIF(IC!$L$40:$L$64, "=2017", IC!BI$40:BI$64))</f>
        <v>#N/A</v>
      </c>
      <c r="AZ55" s="431" t="e">
        <f>IF(ISERROR(AVERAGEIF(IC!$L$40:$L$64, "=2017", IC!BJ$40:BJ$64)), NA(), AVERAGEIF(IC!$L$40:$L$64, "=2017", IC!BJ$40:BJ$64))</f>
        <v>#N/A</v>
      </c>
      <c r="BA55" s="431" t="e">
        <f>IF(ISERROR(AVERAGEIF(IC!$L$40:$L$64, "=2017", IC!BK$40:BK$64)), NA(), AVERAGEIF(IC!$L$40:$L$64, "=2017", IC!BK$40:BK$64))</f>
        <v>#N/A</v>
      </c>
      <c r="BB55" s="431" t="e">
        <f>IF(ISERROR(AVERAGEIF(IC!$L$40:$L$64, "=2017", IC!BL$40:BL$64)), NA(), AVERAGEIF(IC!$L$40:$L$64, "=2017", IC!BL$40:BL$64))</f>
        <v>#N/A</v>
      </c>
      <c r="BC55" s="431" t="e">
        <f>IF(ISERROR(AVERAGEIF(IC!$L$40:$L$64, "=2017", IC!BM$40:BM$64)), NA(), AVERAGEIF(IC!$L$40:$L$64, "=2017", IC!BM$40:BM$64))</f>
        <v>#N/A</v>
      </c>
      <c r="BD55" s="431" t="e">
        <f>IF(ISERROR(AVERAGEIF(IC!$L$40:$L$64, "=2017", IC!BO$40:BO$64)), NA(), AVERAGEIF(IC!$L$40:$L$64, "=2017", IC!BO$40:BO$64))</f>
        <v>#N/A</v>
      </c>
      <c r="BE55" s="431" t="e">
        <f>IF(ISERROR(AVERAGEIF(IC!$L$40:$L$64, "=2017", IC!BP$40:BP$64)), NA(), AVERAGEIF(IC!$L$40:$L$64, "=2017", IC!BP$40:BP$64))</f>
        <v>#N/A</v>
      </c>
      <c r="BF55" s="431" t="e">
        <f>IF(ISERROR(AVERAGEIF(IC!$L$40:$L$64, "=2017", IC!BQ$40:BQ$64)), NA(), AVERAGEIF(IC!$L$40:$L$64, "=2017", IC!BQ$40:BQ$64))</f>
        <v>#N/A</v>
      </c>
      <c r="BG55" s="431" t="e">
        <f>IF(ISERROR(AVERAGEIF(IC!$L$40:$L$64, "=2017", IC!BR$40:BR$64)), NA(), AVERAGEIF(IC!$L$40:$L$64, "=2017", IC!BR$40:BR$64))</f>
        <v>#N/A</v>
      </c>
      <c r="BH55" s="431" t="e">
        <f>IF(ISERROR(AVERAGEIF(IC!$L$40:$L$64, "=2017", IC!BS$40:BS$64)), NA(), AVERAGEIF(IC!$L$40:$L$64, "=2017", IC!BS$40:BS$64))</f>
        <v>#N/A</v>
      </c>
      <c r="BI55" s="431" t="e">
        <f>IF(ISERROR(AVERAGEIF(IC!$L$40:$L$64, "=2017", IC!BT$40:BT$64)), NA(), AVERAGEIF(IC!$L$40:$L$64, "=2017", IC!BT$40:BT$64))</f>
        <v>#N/A</v>
      </c>
      <c r="BJ55" s="431" t="e">
        <f>IF(ISERROR(AVERAGEIF(IC!$L$40:$L$64, "=2017", IC!BU$40:BU$64)), NA(), AVERAGEIF(IC!$L$40:$L$64, "=2017", IC!BU$40:BU$64))</f>
        <v>#N/A</v>
      </c>
      <c r="BK55" s="431" t="e">
        <f>IF(ISERROR(AVERAGEIF(IC!$L$40:$L$64, "=2017", IC!BV$40:BV$64)), NA(), AVERAGEIF(IC!$L$40:$L$64, "=2017", IC!BV$40:BV$64))</f>
        <v>#N/A</v>
      </c>
      <c r="BL55" s="431" t="e">
        <f>IF(ISERROR(AVERAGEIF(IC!$L$40:$L$64, "=2017", IC!BW$40:BW$64)), NA(), AVERAGEIF(IC!$L$40:$L$64, "=2017", IC!BW$40:BW$64))</f>
        <v>#N/A</v>
      </c>
      <c r="BM55" s="431" t="e">
        <f>IF(ISERROR(AVERAGEIF(IC!$L$40:$L$64, "=2017", IC!BX$40:BX$64)), NA(), AVERAGEIF(IC!$L$40:$L$64, "=2017", IC!BX$40:BX$64))</f>
        <v>#N/A</v>
      </c>
      <c r="BN55" s="431" t="e">
        <f>IF(ISERROR(AVERAGEIF(IC!$L$40:$L$64, "=2017", IC!BY$40:BY$64)), NA(), AVERAGEIF(IC!$L$40:$L$64, "=2017", IC!BY$40:BY$64))</f>
        <v>#N/A</v>
      </c>
      <c r="BO55" s="431" t="e">
        <f>IF(ISERROR(AVERAGEIF(IC!$L$40:$L$64, "=2017", IC!BZ$40:BZ$64)), NA(), AVERAGEIF(IC!$L$40:$L$64, "=2017", IC!BZ$40:BZ$64))</f>
        <v>#N/A</v>
      </c>
      <c r="BP55" s="431" t="e">
        <f>IF(ISERROR(AVERAGEIF(IC!$L$40:$L$64, "=2017", IC!CA$40:CA$64)), NA(), AVERAGEIF(IC!$L$40:$L$64, "=2017", IC!CA$40:CA$64))</f>
        <v>#N/A</v>
      </c>
      <c r="BQ55" s="431" t="e">
        <f>IF(ISERROR(AVERAGEIF(IC!$L$40:$L$64, "=2017", IC!CB$40:CB$64)), NA(), AVERAGEIF(IC!$L$40:$L$64, "=2017", IC!CB$40:CB$64))</f>
        <v>#N/A</v>
      </c>
      <c r="BR55" s="431" t="e">
        <f>IF(ISERROR(AVERAGEIF(IC!$L$40:$L$64, "=2017", IC!CC$40:CC$64)), NA(), AVERAGEIF(IC!$L$40:$L$64, "=2017", IC!CC$40:CC$64))</f>
        <v>#N/A</v>
      </c>
      <c r="BS55" s="431" t="e">
        <f>IF(ISERROR(AVERAGEIF(IC!$L$40:$L$64, "=2017", IC!CD$40:CD$64)), NA(), AVERAGEIF(IC!$L$40:$L$64, "=2017", IC!CD$40:CD$64))</f>
        <v>#N/A</v>
      </c>
      <c r="BT55" s="431" t="e">
        <f>IF(ISERROR(AVERAGEIF(IC!$L$40:$L$64, "=2017", IC!CE$40:CE$64)), NA(), AVERAGEIF(IC!$L$40:$L$64, "=2017", IC!CE$40:CE$64))</f>
        <v>#N/A</v>
      </c>
      <c r="BU55" s="431" t="e">
        <f>IF(ISERROR(AVERAGEIF(IC!$L$40:$L$64, "=2017", IC!CF$40:CF$64)), NA(), AVERAGEIF(IC!$L$40:$L$64, "=2017", IC!CF$40:CF$64))</f>
        <v>#N/A</v>
      </c>
      <c r="BV55" s="431" t="e">
        <f>IF(ISERROR(AVERAGEIF(IC!$L$40:$L$64, "=2017", IC!CG$40:CG$64)), NA(), AVERAGEIF(IC!$L$40:$L$64, "=2017", IC!CG$40:CG$64))</f>
        <v>#N/A</v>
      </c>
      <c r="BW55" s="431" t="e">
        <f>IF(ISERROR(AVERAGEIF(IC!$L$40:$L$64, "=2017", IC!CH$40:CH$64)), NA(), AVERAGEIF(IC!$L$40:$L$64, "=2017", IC!CH$40:CH$64))</f>
        <v>#N/A</v>
      </c>
      <c r="BX55" s="431" t="e">
        <f>IF(ISERROR(AVERAGEIF(IC!$L$40:$L$64, "=2017", IC!CI$40:CI$64)), NA(), AVERAGEIF(IC!$L$40:$L$64, "=2017", IC!CI$40:CI$64))</f>
        <v>#N/A</v>
      </c>
      <c r="BY55" s="431" t="e">
        <f>IF(ISERROR(AVERAGEIF(IC!$L$40:$L$64, "=2017", IC!CJ$40:CJ$64)), NA(), AVERAGEIF(IC!$L$40:$L$64, "=2017", IC!CJ$40:CJ$64))</f>
        <v>#N/A</v>
      </c>
      <c r="BZ55" s="431" t="e">
        <f>IF(ISERROR(AVERAGEIF(IC!$L$40:$L$64, "=2017", IC!CK$40:CK$64)), NA(), AVERAGEIF(IC!$L$40:$L$64, "=2017", IC!CK$40:CK$64))</f>
        <v>#N/A</v>
      </c>
    </row>
  </sheetData>
  <mergeCells count="39">
    <mergeCell ref="BX30:BZ30"/>
    <mergeCell ref="A32:A43"/>
    <mergeCell ref="A44:A55"/>
    <mergeCell ref="C30:AA30"/>
    <mergeCell ref="AC30:AH30"/>
    <mergeCell ref="BE30:BO30"/>
    <mergeCell ref="BP30:BQ30"/>
    <mergeCell ref="BR30:BW30"/>
    <mergeCell ref="A15:A26"/>
    <mergeCell ref="FB1:FF1"/>
    <mergeCell ref="FG1:FK1"/>
    <mergeCell ref="FL1:FP1"/>
    <mergeCell ref="FQ1:FS1"/>
    <mergeCell ref="EM1:EQ1"/>
    <mergeCell ref="ER1:EV1"/>
    <mergeCell ref="EW1:FA1"/>
    <mergeCell ref="CY1:DC1"/>
    <mergeCell ref="DD1:DH1"/>
    <mergeCell ref="DI1:DM1"/>
    <mergeCell ref="DN1:DR1"/>
    <mergeCell ref="DS1:DW1"/>
    <mergeCell ref="A3:A14"/>
    <mergeCell ref="C1:E1"/>
    <mergeCell ref="FT1:GW1"/>
    <mergeCell ref="F1:L1"/>
    <mergeCell ref="M1:W1"/>
    <mergeCell ref="AD1:AN1"/>
    <mergeCell ref="AO1:AP1"/>
    <mergeCell ref="AQ1:AW1"/>
    <mergeCell ref="AX1:AZ1"/>
    <mergeCell ref="BC1:BG1"/>
    <mergeCell ref="BH1:BL1"/>
    <mergeCell ref="BM1:BW1"/>
    <mergeCell ref="BX1:CH1"/>
    <mergeCell ref="CI1:CS1"/>
    <mergeCell ref="CT1:CX1"/>
    <mergeCell ref="DX1:EB1"/>
    <mergeCell ref="EC1:EG1"/>
    <mergeCell ref="EH1:EL1"/>
  </mergeCells>
  <hyperlinks>
    <hyperlink ref="X2" display="Pwr (W),_x000a_Duty Cycl"/>
  </hyperlink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B2140"/>
  <sheetViews>
    <sheetView tabSelected="1" topLeftCell="AF143" zoomScaleNormal="100" workbookViewId="0">
      <selection activeCell="AV155" sqref="AV155"/>
    </sheetView>
  </sheetViews>
  <sheetFormatPr defaultColWidth="9" defaultRowHeight="14.4"/>
  <cols>
    <col min="1" max="1" width="6.6640625" style="80" customWidth="1"/>
    <col min="2" max="2" width="7.44140625" style="80" bestFit="1" customWidth="1"/>
    <col min="3" max="3" width="6.6640625" style="80" bestFit="1" customWidth="1"/>
    <col min="4" max="4" width="7" style="140" customWidth="1"/>
    <col min="5" max="5" width="5.88671875" style="80" customWidth="1"/>
    <col min="6" max="6" width="7.5546875" style="140" customWidth="1"/>
    <col min="7" max="7" width="8" style="80" bestFit="1" customWidth="1"/>
    <col min="8" max="8" width="7.6640625" style="139" bestFit="1" customWidth="1"/>
    <col min="9" max="9" width="5.33203125" style="80" bestFit="1" customWidth="1"/>
    <col min="10" max="10" width="7.33203125" style="139" customWidth="1"/>
    <col min="11" max="19" width="9" style="80"/>
    <col min="20" max="20" width="26.33203125" style="80" customWidth="1"/>
    <col min="21" max="16384" width="9" style="80"/>
  </cols>
  <sheetData>
    <row r="1" spans="1:19" ht="15" thickBot="1">
      <c r="A1" s="778" t="s">
        <v>401</v>
      </c>
      <c r="B1" s="780"/>
      <c r="C1" s="799" t="s">
        <v>400</v>
      </c>
      <c r="D1" s="799"/>
      <c r="E1" s="800" t="s">
        <v>946</v>
      </c>
      <c r="F1" s="800"/>
      <c r="G1" s="799" t="s">
        <v>948</v>
      </c>
      <c r="H1" s="799"/>
      <c r="I1" s="800" t="s">
        <v>947</v>
      </c>
      <c r="J1" s="800"/>
    </row>
    <row r="2" spans="1:19" ht="21.6" thickBot="1">
      <c r="A2" s="141" t="s">
        <v>887</v>
      </c>
      <c r="B2" s="142" t="s">
        <v>243</v>
      </c>
      <c r="C2" s="143" t="s">
        <v>397</v>
      </c>
      <c r="D2" s="144" t="s">
        <v>945</v>
      </c>
      <c r="E2" s="145" t="s">
        <v>397</v>
      </c>
      <c r="F2" s="146" t="s">
        <v>945</v>
      </c>
      <c r="G2" s="147" t="s">
        <v>397</v>
      </c>
      <c r="H2" s="148" t="s">
        <v>945</v>
      </c>
      <c r="I2" s="145" t="s">
        <v>397</v>
      </c>
      <c r="J2" s="258" t="s">
        <v>945</v>
      </c>
      <c r="L2" s="165"/>
      <c r="M2" s="164"/>
      <c r="N2" s="164"/>
      <c r="O2" s="781" t="s">
        <v>892</v>
      </c>
      <c r="P2" s="781"/>
      <c r="Q2" s="781"/>
      <c r="R2" s="781"/>
      <c r="S2" s="781"/>
    </row>
    <row r="3" spans="1:19">
      <c r="A3" s="149">
        <f>0.9999999999*B3</f>
        <v>0</v>
      </c>
      <c r="B3" s="150">
        <v>0</v>
      </c>
      <c r="C3" s="150">
        <f t="array" ref="C3:C31">FREQUENCY(Discrete!J3:J20,Hists!A4:A31)</f>
        <v>0</v>
      </c>
      <c r="D3" s="151">
        <f>C3*100/C32</f>
        <v>0</v>
      </c>
      <c r="E3" s="150">
        <f t="array" ref="E3:E31">FREQUENCY(Discrete!J21:J78,Hists!A4:A31)</f>
        <v>0</v>
      </c>
      <c r="F3" s="151">
        <f>E4*100/E32</f>
        <v>0</v>
      </c>
      <c r="G3" s="150">
        <f t="array" ref="G3:G31">FREQUENCY(IC!J3:J39,Hists!A4:A31)</f>
        <v>2</v>
      </c>
      <c r="H3" s="151">
        <f>G3*100/G32</f>
        <v>11.764705882352942</v>
      </c>
      <c r="I3" s="150">
        <f t="array" ref="I3:I31">FREQUENCY(IC!J40:J64,Hists!A4:A31)</f>
        <v>1</v>
      </c>
      <c r="J3" s="262">
        <f>I3*100/I32</f>
        <v>10</v>
      </c>
    </row>
    <row r="4" spans="1:19">
      <c r="A4" s="152">
        <f>0.9999999999*B4</f>
        <v>0.99999999989999999</v>
      </c>
      <c r="B4" s="153">
        <v>1</v>
      </c>
      <c r="C4" s="153">
        <v>0</v>
      </c>
      <c r="D4" s="154">
        <f>C4*100/C32</f>
        <v>0</v>
      </c>
      <c r="E4" s="153">
        <v>0</v>
      </c>
      <c r="F4" s="154">
        <f>E4*100/E32</f>
        <v>0</v>
      </c>
      <c r="G4" s="153">
        <v>4</v>
      </c>
      <c r="H4" s="154">
        <f>G4*100/G32</f>
        <v>23.529411764705884</v>
      </c>
      <c r="I4" s="153">
        <v>3</v>
      </c>
      <c r="J4" s="266">
        <f>I4*100/I32</f>
        <v>30</v>
      </c>
    </row>
    <row r="5" spans="1:19">
      <c r="A5" s="263">
        <f t="shared" ref="A5:A30" si="0">0.9999999999*B5</f>
        <v>1.9999999998</v>
      </c>
      <c r="B5" s="264">
        <v>2</v>
      </c>
      <c r="C5" s="155">
        <v>0</v>
      </c>
      <c r="D5" s="156">
        <f>C5*100/C32</f>
        <v>0</v>
      </c>
      <c r="E5" s="155">
        <v>0</v>
      </c>
      <c r="F5" s="156">
        <f>E5*100/E32</f>
        <v>0</v>
      </c>
      <c r="G5" s="155">
        <v>5</v>
      </c>
      <c r="H5" s="156">
        <f>G5*100/G32</f>
        <v>29.411764705882351</v>
      </c>
      <c r="I5" s="155">
        <v>2</v>
      </c>
      <c r="J5" s="270">
        <f>I5*100/I32</f>
        <v>20</v>
      </c>
    </row>
    <row r="6" spans="1:19">
      <c r="A6" s="263">
        <f t="shared" si="0"/>
        <v>2.9999999997</v>
      </c>
      <c r="B6" s="264">
        <v>3</v>
      </c>
      <c r="C6" s="153">
        <v>0</v>
      </c>
      <c r="D6" s="154">
        <f>C6*100/C32</f>
        <v>0</v>
      </c>
      <c r="E6" s="153">
        <v>0</v>
      </c>
      <c r="F6" s="154">
        <f>E6*100/E32</f>
        <v>0</v>
      </c>
      <c r="G6" s="153">
        <v>2</v>
      </c>
      <c r="H6" s="154">
        <f>G6*100/G32</f>
        <v>11.764705882352942</v>
      </c>
      <c r="I6" s="153">
        <v>1</v>
      </c>
      <c r="J6" s="266">
        <f>I6*100/I32</f>
        <v>10</v>
      </c>
    </row>
    <row r="7" spans="1:19">
      <c r="A7" s="263">
        <f t="shared" si="0"/>
        <v>3.9999999996</v>
      </c>
      <c r="B7" s="264">
        <v>4</v>
      </c>
      <c r="C7" s="155">
        <v>0</v>
      </c>
      <c r="D7" s="156">
        <f>C7*100/C32</f>
        <v>0</v>
      </c>
      <c r="E7" s="155">
        <v>0</v>
      </c>
      <c r="F7" s="156">
        <f>E7*100/E32</f>
        <v>0</v>
      </c>
      <c r="G7" s="155">
        <v>0</v>
      </c>
      <c r="H7" s="156">
        <f>G7*100/G32</f>
        <v>0</v>
      </c>
      <c r="I7" s="155">
        <v>1</v>
      </c>
      <c r="J7" s="270">
        <f>I7*100/I32</f>
        <v>10</v>
      </c>
    </row>
    <row r="8" spans="1:19">
      <c r="A8" s="263">
        <f t="shared" si="0"/>
        <v>4.9999999995</v>
      </c>
      <c r="B8" s="264">
        <v>5</v>
      </c>
      <c r="C8" s="153">
        <v>0</v>
      </c>
      <c r="D8" s="154">
        <f>C8*100/C32</f>
        <v>0</v>
      </c>
      <c r="E8" s="153">
        <v>0</v>
      </c>
      <c r="F8" s="154">
        <f>E8*100/E32</f>
        <v>0</v>
      </c>
      <c r="G8" s="153">
        <v>1</v>
      </c>
      <c r="H8" s="154">
        <f>G8*100/G32</f>
        <v>5.882352941176471</v>
      </c>
      <c r="I8" s="153">
        <v>1</v>
      </c>
      <c r="J8" s="266">
        <f>I8*100/I32</f>
        <v>10</v>
      </c>
    </row>
    <row r="9" spans="1:19">
      <c r="A9" s="263">
        <f t="shared" si="0"/>
        <v>5.9999999994</v>
      </c>
      <c r="B9" s="264">
        <v>6</v>
      </c>
      <c r="C9" s="155">
        <v>0</v>
      </c>
      <c r="D9" s="156">
        <f>C9*100/C32</f>
        <v>0</v>
      </c>
      <c r="E9" s="155">
        <v>0</v>
      </c>
      <c r="F9" s="156">
        <f>E9*100/E32</f>
        <v>0</v>
      </c>
      <c r="G9" s="155">
        <v>0</v>
      </c>
      <c r="H9" s="156">
        <f>G9*100/G32</f>
        <v>0</v>
      </c>
      <c r="I9" s="155">
        <v>0</v>
      </c>
      <c r="J9" s="270">
        <f>I9*100/I32</f>
        <v>0</v>
      </c>
    </row>
    <row r="10" spans="1:19">
      <c r="A10" s="263">
        <f t="shared" si="0"/>
        <v>6.9999999992999999</v>
      </c>
      <c r="B10" s="264">
        <v>7</v>
      </c>
      <c r="C10" s="153">
        <v>0</v>
      </c>
      <c r="D10" s="154">
        <f>C10*100/C32</f>
        <v>0</v>
      </c>
      <c r="E10" s="153">
        <v>0</v>
      </c>
      <c r="F10" s="154">
        <f>E10*100/E32</f>
        <v>0</v>
      </c>
      <c r="G10" s="153">
        <v>1</v>
      </c>
      <c r="H10" s="154">
        <f>G10*100/G32</f>
        <v>5.882352941176471</v>
      </c>
      <c r="I10" s="153">
        <v>0</v>
      </c>
      <c r="J10" s="266">
        <f>I10*100/I32</f>
        <v>0</v>
      </c>
    </row>
    <row r="11" spans="1:19">
      <c r="A11" s="263">
        <f t="shared" si="0"/>
        <v>7.9999999991999999</v>
      </c>
      <c r="B11" s="264">
        <v>8</v>
      </c>
      <c r="C11" s="155">
        <v>0</v>
      </c>
      <c r="D11" s="156">
        <f>C11*100/C32</f>
        <v>0</v>
      </c>
      <c r="E11" s="155">
        <v>0</v>
      </c>
      <c r="F11" s="156">
        <f>E11*100/E32</f>
        <v>0</v>
      </c>
      <c r="G11" s="155">
        <v>0</v>
      </c>
      <c r="H11" s="156">
        <f>G11*100/G32</f>
        <v>0</v>
      </c>
      <c r="I11" s="155">
        <v>0</v>
      </c>
      <c r="J11" s="270">
        <f>I11*100/I32</f>
        <v>0</v>
      </c>
    </row>
    <row r="12" spans="1:19">
      <c r="A12" s="263">
        <f t="shared" si="0"/>
        <v>8.9999999990999999</v>
      </c>
      <c r="B12" s="264">
        <v>9</v>
      </c>
      <c r="C12" s="153">
        <v>0</v>
      </c>
      <c r="D12" s="154">
        <f>C12*100/C32</f>
        <v>0</v>
      </c>
      <c r="E12" s="153">
        <v>0</v>
      </c>
      <c r="F12" s="154">
        <f>E12*100/E32</f>
        <v>0</v>
      </c>
      <c r="G12" s="153">
        <v>0</v>
      </c>
      <c r="H12" s="154">
        <f>G12*100/G32</f>
        <v>0</v>
      </c>
      <c r="I12" s="153">
        <v>0</v>
      </c>
      <c r="J12" s="266">
        <f>I12*100/I32</f>
        <v>0</v>
      </c>
    </row>
    <row r="13" spans="1:19">
      <c r="A13" s="263">
        <f t="shared" si="0"/>
        <v>9.9999999989999999</v>
      </c>
      <c r="B13" s="264">
        <v>10</v>
      </c>
      <c r="C13" s="155">
        <v>1</v>
      </c>
      <c r="D13" s="156">
        <f>C13*100/C32</f>
        <v>5.882352941176471</v>
      </c>
      <c r="E13" s="155">
        <v>6</v>
      </c>
      <c r="F13" s="156">
        <f>E13*100/E32</f>
        <v>20.689655172413794</v>
      </c>
      <c r="G13" s="155">
        <v>1</v>
      </c>
      <c r="H13" s="156">
        <f>G13*100/G32</f>
        <v>5.882352941176471</v>
      </c>
      <c r="I13" s="155">
        <v>0</v>
      </c>
      <c r="J13" s="270">
        <f>I13*100/I32</f>
        <v>0</v>
      </c>
    </row>
    <row r="14" spans="1:19">
      <c r="A14" s="263">
        <f t="shared" si="0"/>
        <v>19.999999998</v>
      </c>
      <c r="B14" s="264">
        <v>20</v>
      </c>
      <c r="C14" s="153">
        <v>0</v>
      </c>
      <c r="D14" s="154">
        <f>C14*100/C32</f>
        <v>0</v>
      </c>
      <c r="E14" s="153">
        <v>4</v>
      </c>
      <c r="F14" s="154">
        <f>E14*100/E32</f>
        <v>13.793103448275861</v>
      </c>
      <c r="G14" s="153">
        <v>1</v>
      </c>
      <c r="H14" s="154">
        <f>G14*100/G32</f>
        <v>5.882352941176471</v>
      </c>
      <c r="I14" s="153">
        <v>1</v>
      </c>
      <c r="J14" s="266">
        <f>I14*100/I32</f>
        <v>10</v>
      </c>
    </row>
    <row r="15" spans="1:19">
      <c r="A15" s="263">
        <f t="shared" si="0"/>
        <v>29.999999997</v>
      </c>
      <c r="B15" s="264">
        <v>30</v>
      </c>
      <c r="C15" s="155">
        <v>0</v>
      </c>
      <c r="D15" s="156">
        <f>C15*100/C32</f>
        <v>0</v>
      </c>
      <c r="E15" s="155">
        <v>6</v>
      </c>
      <c r="F15" s="156">
        <f>E15*100/E32</f>
        <v>20.689655172413794</v>
      </c>
      <c r="G15" s="155">
        <v>0</v>
      </c>
      <c r="H15" s="156">
        <f>G15*100/G32</f>
        <v>0</v>
      </c>
      <c r="I15" s="155">
        <v>0</v>
      </c>
      <c r="J15" s="270">
        <f>I15*100/I32</f>
        <v>0</v>
      </c>
    </row>
    <row r="16" spans="1:19">
      <c r="A16" s="263">
        <f t="shared" si="0"/>
        <v>39.999999996</v>
      </c>
      <c r="B16" s="264">
        <v>40</v>
      </c>
      <c r="C16" s="153">
        <v>0</v>
      </c>
      <c r="D16" s="154">
        <f>C16*100/C32</f>
        <v>0</v>
      </c>
      <c r="E16" s="153">
        <v>0</v>
      </c>
      <c r="F16" s="154">
        <f>E16*100/E32</f>
        <v>0</v>
      </c>
      <c r="G16" s="153">
        <v>0</v>
      </c>
      <c r="H16" s="154">
        <f>G16*100/G32</f>
        <v>0</v>
      </c>
      <c r="I16" s="153">
        <v>0</v>
      </c>
      <c r="J16" s="266">
        <f>I16*100/I32</f>
        <v>0</v>
      </c>
    </row>
    <row r="17" spans="1:21">
      <c r="A17" s="263">
        <f t="shared" si="0"/>
        <v>49.999999994999996</v>
      </c>
      <c r="B17" s="264">
        <v>50</v>
      </c>
      <c r="C17" s="155">
        <v>0</v>
      </c>
      <c r="D17" s="156">
        <f>C17*100/C32</f>
        <v>0</v>
      </c>
      <c r="E17" s="155">
        <v>3</v>
      </c>
      <c r="F17" s="156">
        <f>E17*100/E32</f>
        <v>10.344827586206897</v>
      </c>
      <c r="G17" s="155">
        <v>0</v>
      </c>
      <c r="H17" s="156">
        <f>G17*100/G32</f>
        <v>0</v>
      </c>
      <c r="I17" s="155">
        <v>0</v>
      </c>
      <c r="J17" s="270">
        <f>I17*100/I32</f>
        <v>0</v>
      </c>
    </row>
    <row r="18" spans="1:21">
      <c r="A18" s="263">
        <f t="shared" si="0"/>
        <v>59.999999994</v>
      </c>
      <c r="B18" s="264">
        <v>60</v>
      </c>
      <c r="C18" s="153">
        <v>0</v>
      </c>
      <c r="D18" s="154">
        <f>C18*100/C32</f>
        <v>0</v>
      </c>
      <c r="E18" s="153">
        <v>0</v>
      </c>
      <c r="F18" s="154">
        <f>E18*100/E32</f>
        <v>0</v>
      </c>
      <c r="G18" s="153">
        <v>0</v>
      </c>
      <c r="H18" s="154">
        <f>G18*100/G32</f>
        <v>0</v>
      </c>
      <c r="I18" s="153">
        <v>0</v>
      </c>
      <c r="J18" s="266">
        <f>I18*100/I32</f>
        <v>0</v>
      </c>
    </row>
    <row r="19" spans="1:21">
      <c r="A19" s="263">
        <f t="shared" si="0"/>
        <v>69.999999993000003</v>
      </c>
      <c r="B19" s="264">
        <v>70</v>
      </c>
      <c r="C19" s="155">
        <v>0</v>
      </c>
      <c r="D19" s="156">
        <f>C19*100/C32</f>
        <v>0</v>
      </c>
      <c r="E19" s="155">
        <v>1</v>
      </c>
      <c r="F19" s="156">
        <f>E19*100/E32</f>
        <v>3.4482758620689653</v>
      </c>
      <c r="G19" s="155">
        <v>0</v>
      </c>
      <c r="H19" s="156">
        <f>G19*100/G32</f>
        <v>0</v>
      </c>
      <c r="I19" s="155">
        <v>0</v>
      </c>
      <c r="J19" s="270">
        <f>I19*100/I32</f>
        <v>0</v>
      </c>
    </row>
    <row r="20" spans="1:21">
      <c r="A20" s="263">
        <f t="shared" si="0"/>
        <v>79.999999991999999</v>
      </c>
      <c r="B20" s="264">
        <v>80</v>
      </c>
      <c r="C20" s="153">
        <v>0</v>
      </c>
      <c r="D20" s="154">
        <f>C20*100/C32</f>
        <v>0</v>
      </c>
      <c r="E20" s="153">
        <v>0</v>
      </c>
      <c r="F20" s="154">
        <f>E20*100/E32</f>
        <v>0</v>
      </c>
      <c r="G20" s="153">
        <v>0</v>
      </c>
      <c r="H20" s="154">
        <f>G20*100/G32</f>
        <v>0</v>
      </c>
      <c r="I20" s="153">
        <v>0</v>
      </c>
      <c r="J20" s="266">
        <f>I20*100/I32</f>
        <v>0</v>
      </c>
    </row>
    <row r="21" spans="1:21">
      <c r="A21" s="263">
        <f t="shared" si="0"/>
        <v>89.999999990999996</v>
      </c>
      <c r="B21" s="264">
        <v>90</v>
      </c>
      <c r="C21" s="155">
        <v>2</v>
      </c>
      <c r="D21" s="156">
        <f>C21*100/C32</f>
        <v>11.764705882352942</v>
      </c>
      <c r="E21" s="155">
        <v>1</v>
      </c>
      <c r="F21" s="156">
        <f>E21*100/E32</f>
        <v>3.4482758620689653</v>
      </c>
      <c r="G21" s="155">
        <v>0</v>
      </c>
      <c r="H21" s="156">
        <f>G21*100/G32</f>
        <v>0</v>
      </c>
      <c r="I21" s="155">
        <v>0</v>
      </c>
      <c r="J21" s="270">
        <f>I21*100/I32</f>
        <v>0</v>
      </c>
    </row>
    <row r="22" spans="1:21">
      <c r="A22" s="263">
        <f t="shared" si="0"/>
        <v>99.999999989999992</v>
      </c>
      <c r="B22" s="264">
        <v>100</v>
      </c>
      <c r="C22" s="153">
        <v>6</v>
      </c>
      <c r="D22" s="154">
        <f>C22*100/C32</f>
        <v>35.294117647058826</v>
      </c>
      <c r="E22" s="153">
        <v>4</v>
      </c>
      <c r="F22" s="154">
        <f>E22*100/E32</f>
        <v>13.793103448275861</v>
      </c>
      <c r="G22" s="153">
        <v>0</v>
      </c>
      <c r="H22" s="154">
        <f>G22*100/G32</f>
        <v>0</v>
      </c>
      <c r="I22" s="153">
        <v>0</v>
      </c>
      <c r="J22" s="266">
        <f>I22*100/I32</f>
        <v>0</v>
      </c>
    </row>
    <row r="23" spans="1:21">
      <c r="A23" s="263">
        <f t="shared" si="0"/>
        <v>199.99999997999998</v>
      </c>
      <c r="B23" s="264">
        <v>200</v>
      </c>
      <c r="C23" s="155">
        <v>1</v>
      </c>
      <c r="D23" s="156">
        <f>C23*100/C32</f>
        <v>5.882352941176471</v>
      </c>
      <c r="E23" s="155">
        <v>1</v>
      </c>
      <c r="F23" s="156">
        <f>E23*100/E32</f>
        <v>3.4482758620689653</v>
      </c>
      <c r="G23" s="155">
        <v>0</v>
      </c>
      <c r="H23" s="156">
        <f>G23*100/G32</f>
        <v>0</v>
      </c>
      <c r="I23" s="155">
        <v>0</v>
      </c>
      <c r="J23" s="270">
        <f>I23*100/I32</f>
        <v>0</v>
      </c>
    </row>
    <row r="24" spans="1:21">
      <c r="A24" s="263">
        <f t="shared" si="0"/>
        <v>299.99999996999998</v>
      </c>
      <c r="B24" s="264">
        <v>300</v>
      </c>
      <c r="C24" s="153">
        <v>2</v>
      </c>
      <c r="D24" s="154">
        <f>C24*100/C32</f>
        <v>11.764705882352942</v>
      </c>
      <c r="E24" s="153">
        <v>1</v>
      </c>
      <c r="F24" s="154">
        <f>E24*100/E32</f>
        <v>3.4482758620689653</v>
      </c>
      <c r="G24" s="153">
        <v>0</v>
      </c>
      <c r="H24" s="154">
        <f>G24*100/G32</f>
        <v>0</v>
      </c>
      <c r="I24" s="153">
        <v>0</v>
      </c>
      <c r="J24" s="266">
        <f>I24*100/I32</f>
        <v>0</v>
      </c>
    </row>
    <row r="25" spans="1:21">
      <c r="A25" s="263">
        <f t="shared" si="0"/>
        <v>399.99999995999997</v>
      </c>
      <c r="B25" s="264">
        <v>400</v>
      </c>
      <c r="C25" s="155">
        <v>4</v>
      </c>
      <c r="D25" s="157">
        <f>C25*100/C32</f>
        <v>23.529411764705884</v>
      </c>
      <c r="E25" s="158">
        <v>1</v>
      </c>
      <c r="F25" s="157">
        <f>E25*100/E32</f>
        <v>3.4482758620689653</v>
      </c>
      <c r="G25" s="158">
        <v>0</v>
      </c>
      <c r="H25" s="157">
        <f>G25*100/G32</f>
        <v>0</v>
      </c>
      <c r="I25" s="158">
        <v>0</v>
      </c>
      <c r="J25" s="273">
        <f>I25*100/I32</f>
        <v>0</v>
      </c>
    </row>
    <row r="26" spans="1:21">
      <c r="A26" s="263">
        <f t="shared" si="0"/>
        <v>499.99999995000002</v>
      </c>
      <c r="B26" s="264">
        <v>500</v>
      </c>
      <c r="C26" s="155">
        <v>1</v>
      </c>
      <c r="D26" s="157">
        <f>C26*100/C32</f>
        <v>5.882352941176471</v>
      </c>
      <c r="E26" s="158">
        <v>0</v>
      </c>
      <c r="F26" s="157">
        <f>E26*100/E32</f>
        <v>0</v>
      </c>
      <c r="G26" s="158">
        <v>0</v>
      </c>
      <c r="H26" s="157">
        <f>G26*100/G32</f>
        <v>0</v>
      </c>
      <c r="I26" s="158">
        <v>0</v>
      </c>
      <c r="J26" s="273">
        <f>I26*100/I32</f>
        <v>0</v>
      </c>
    </row>
    <row r="27" spans="1:21">
      <c r="A27" s="263">
        <f t="shared" si="0"/>
        <v>599.99999993999995</v>
      </c>
      <c r="B27" s="264">
        <v>600</v>
      </c>
      <c r="C27" s="155">
        <v>0</v>
      </c>
      <c r="D27" s="157">
        <f>C27*100/C32</f>
        <v>0</v>
      </c>
      <c r="E27" s="158">
        <v>0</v>
      </c>
      <c r="F27" s="157">
        <f>E27*100/E32</f>
        <v>0</v>
      </c>
      <c r="G27" s="158">
        <v>0</v>
      </c>
      <c r="H27" s="157">
        <f>G27*100/G32</f>
        <v>0</v>
      </c>
      <c r="I27" s="158">
        <v>0</v>
      </c>
      <c r="J27" s="273">
        <f>I27*100/I32</f>
        <v>0</v>
      </c>
      <c r="T27" s="80" t="s">
        <v>430</v>
      </c>
      <c r="U27" s="189">
        <f>AVERAGE(Discrete!J3:J20)</f>
        <v>253.47871835294117</v>
      </c>
    </row>
    <row r="28" spans="1:21">
      <c r="A28" s="263">
        <f t="shared" si="0"/>
        <v>699.99999992999994</v>
      </c>
      <c r="B28" s="264">
        <v>700</v>
      </c>
      <c r="C28" s="155">
        <v>0</v>
      </c>
      <c r="D28" s="157">
        <f>C28*100/C32</f>
        <v>0</v>
      </c>
      <c r="E28" s="158">
        <v>0</v>
      </c>
      <c r="F28" s="157">
        <f>E28*100/E32</f>
        <v>0</v>
      </c>
      <c r="G28" s="158">
        <v>0</v>
      </c>
      <c r="H28" s="157">
        <f>G28*100/G32</f>
        <v>0</v>
      </c>
      <c r="I28" s="158">
        <v>0</v>
      </c>
      <c r="J28" s="273">
        <f>I28*100/I32</f>
        <v>0</v>
      </c>
      <c r="T28" s="80" t="s">
        <v>431</v>
      </c>
      <c r="U28" s="189">
        <f>AVERAGE(Discrete!J21:J78)</f>
        <v>285.08706059310339</v>
      </c>
    </row>
    <row r="29" spans="1:21">
      <c r="A29" s="263">
        <f t="shared" si="0"/>
        <v>799.99999991999994</v>
      </c>
      <c r="B29" s="264">
        <v>800</v>
      </c>
      <c r="C29" s="155">
        <v>0</v>
      </c>
      <c r="D29" s="157">
        <f>C29*100/C32</f>
        <v>0</v>
      </c>
      <c r="E29" s="158">
        <v>0</v>
      </c>
      <c r="F29" s="157">
        <f>E29*100/E32</f>
        <v>0</v>
      </c>
      <c r="G29" s="158">
        <v>0</v>
      </c>
      <c r="H29" s="157">
        <f>G29*100/G32</f>
        <v>0</v>
      </c>
      <c r="I29" s="158">
        <v>0</v>
      </c>
      <c r="J29" s="273">
        <f>I29*100/I32</f>
        <v>0</v>
      </c>
      <c r="T29" s="80" t="s">
        <v>432</v>
      </c>
      <c r="U29" s="139">
        <f>AVERAGE(IC!J3:J39)</f>
        <v>4.6423529411764717</v>
      </c>
    </row>
    <row r="30" spans="1:21">
      <c r="A30" s="263">
        <f t="shared" si="0"/>
        <v>899.99999991000004</v>
      </c>
      <c r="B30" s="264">
        <v>900</v>
      </c>
      <c r="C30" s="155">
        <v>0</v>
      </c>
      <c r="D30" s="157">
        <f>C30*100/C32</f>
        <v>0</v>
      </c>
      <c r="E30" s="158">
        <v>0</v>
      </c>
      <c r="F30" s="157">
        <f>E30*100/E32</f>
        <v>0</v>
      </c>
      <c r="G30" s="158">
        <v>0</v>
      </c>
      <c r="H30" s="157">
        <f>G30*100/G32</f>
        <v>0</v>
      </c>
      <c r="I30" s="158">
        <v>0</v>
      </c>
      <c r="J30" s="273">
        <f>I30*100/I32</f>
        <v>0</v>
      </c>
      <c r="T30" s="80" t="s">
        <v>433</v>
      </c>
      <c r="U30" s="139">
        <f>AVERAGE(IC!J40:J64)</f>
        <v>4.9999999999999991</v>
      </c>
    </row>
    <row r="31" spans="1:21" ht="15" thickBot="1">
      <c r="A31" s="159">
        <f>0.9999999999*B31</f>
        <v>999.99999990000003</v>
      </c>
      <c r="B31" s="160">
        <v>1000</v>
      </c>
      <c r="C31" s="160">
        <v>0</v>
      </c>
      <c r="D31" s="157">
        <f>C31*100/C32</f>
        <v>0</v>
      </c>
      <c r="E31" s="158">
        <v>1</v>
      </c>
      <c r="F31" s="157">
        <f>E31*100/E32</f>
        <v>3.4482758620689653</v>
      </c>
      <c r="G31" s="158">
        <v>0</v>
      </c>
      <c r="H31" s="157">
        <f>G31*100/G32</f>
        <v>0</v>
      </c>
      <c r="I31" s="158">
        <v>0</v>
      </c>
      <c r="J31" s="276">
        <f>I31*100/I32</f>
        <v>0</v>
      </c>
    </row>
    <row r="32" spans="1:21" ht="15" thickBot="1">
      <c r="A32" s="806" t="s">
        <v>396</v>
      </c>
      <c r="B32" s="806"/>
      <c r="C32" s="161">
        <f>SUM(C3:C31)</f>
        <v>17</v>
      </c>
      <c r="D32" s="163">
        <f>SUM(D4:D31)</f>
        <v>100</v>
      </c>
      <c r="E32" s="162">
        <f t="shared" ref="E32:J32" si="1">SUM(E3:E31)</f>
        <v>29</v>
      </c>
      <c r="F32" s="163">
        <f t="shared" si="1"/>
        <v>100.00000000000001</v>
      </c>
      <c r="G32" s="162">
        <f t="shared" si="1"/>
        <v>17</v>
      </c>
      <c r="H32" s="163">
        <f t="shared" si="1"/>
        <v>99.999999999999972</v>
      </c>
      <c r="I32" s="162">
        <f t="shared" si="1"/>
        <v>10</v>
      </c>
      <c r="J32" s="279">
        <f t="shared" si="1"/>
        <v>100</v>
      </c>
    </row>
    <row r="33" spans="1:21" ht="26.4" thickBot="1">
      <c r="A33" s="778">
        <f>C32+E32+G32+I32</f>
        <v>73</v>
      </c>
      <c r="B33" s="779"/>
      <c r="C33" s="779"/>
      <c r="D33" s="779"/>
      <c r="E33" s="779"/>
      <c r="F33" s="779"/>
      <c r="G33" s="779"/>
      <c r="H33" s="779"/>
      <c r="I33" s="779"/>
      <c r="J33" s="780"/>
      <c r="L33" s="167"/>
      <c r="M33" s="167"/>
      <c r="N33" s="167"/>
      <c r="O33" s="167"/>
      <c r="P33" s="167"/>
      <c r="Q33" s="167"/>
      <c r="R33" s="167"/>
    </row>
    <row r="34" spans="1:21" ht="25.8">
      <c r="K34" s="474"/>
      <c r="L34" s="167"/>
      <c r="M34" s="167"/>
      <c r="N34" s="167"/>
      <c r="O34" s="167"/>
      <c r="P34" s="167"/>
      <c r="Q34" s="167"/>
      <c r="R34" s="167"/>
    </row>
    <row r="35" spans="1:21">
      <c r="A35" s="166"/>
      <c r="B35" s="166"/>
      <c r="C35" s="166"/>
      <c r="D35" s="166"/>
      <c r="E35" s="166"/>
      <c r="F35" s="166"/>
      <c r="G35" s="166"/>
      <c r="H35" s="166"/>
      <c r="I35" s="166"/>
      <c r="J35" s="310"/>
      <c r="K35" s="166"/>
      <c r="L35" s="166"/>
      <c r="M35" s="166"/>
      <c r="N35" s="166"/>
      <c r="O35" s="166"/>
      <c r="P35" s="166"/>
      <c r="Q35" s="166"/>
      <c r="R35" s="166"/>
      <c r="S35" s="166"/>
      <c r="T35" s="166"/>
      <c r="U35" s="166"/>
    </row>
    <row r="36" spans="1:21">
      <c r="A36" s="166"/>
      <c r="B36" s="166"/>
      <c r="C36" s="166"/>
      <c r="D36" s="166"/>
      <c r="E36" s="166"/>
      <c r="F36" s="166"/>
      <c r="G36" s="166"/>
      <c r="H36" s="166"/>
      <c r="I36" s="166"/>
      <c r="J36" s="310"/>
      <c r="K36" s="166"/>
      <c r="L36" s="166"/>
      <c r="M36" s="166"/>
      <c r="N36" s="166"/>
      <c r="O36" s="166"/>
      <c r="P36" s="166"/>
      <c r="Q36" s="166"/>
      <c r="R36" s="166"/>
      <c r="S36" s="166"/>
      <c r="T36" s="166"/>
      <c r="U36" s="166"/>
    </row>
    <row r="48" spans="1:21" ht="15" thickBot="1"/>
    <row r="49" spans="1:19" ht="15" thickBot="1">
      <c r="A49" s="778" t="s">
        <v>402</v>
      </c>
      <c r="B49" s="780"/>
      <c r="C49" s="799" t="s">
        <v>400</v>
      </c>
      <c r="D49" s="799"/>
      <c r="E49" s="800" t="s">
        <v>946</v>
      </c>
      <c r="F49" s="800"/>
      <c r="G49" s="799" t="s">
        <v>948</v>
      </c>
      <c r="H49" s="799"/>
      <c r="I49" s="800" t="s">
        <v>947</v>
      </c>
      <c r="J49" s="800"/>
    </row>
    <row r="50" spans="1:19" ht="15" thickBot="1">
      <c r="A50" s="141" t="s">
        <v>887</v>
      </c>
      <c r="B50" s="142" t="s">
        <v>243</v>
      </c>
      <c r="C50" s="143" t="s">
        <v>397</v>
      </c>
      <c r="D50" s="144" t="s">
        <v>945</v>
      </c>
      <c r="E50" s="145" t="s">
        <v>397</v>
      </c>
      <c r="F50" s="146" t="s">
        <v>945</v>
      </c>
      <c r="G50" s="147" t="s">
        <v>397</v>
      </c>
      <c r="H50" s="148" t="s">
        <v>945</v>
      </c>
      <c r="I50" s="145" t="s">
        <v>397</v>
      </c>
      <c r="J50" s="258" t="s">
        <v>945</v>
      </c>
      <c r="O50" s="781" t="s">
        <v>893</v>
      </c>
      <c r="P50" s="781"/>
      <c r="Q50" s="781"/>
      <c r="R50" s="781"/>
      <c r="S50" s="781"/>
    </row>
    <row r="51" spans="1:19">
      <c r="A51" s="149">
        <f>0.9999999999*B51</f>
        <v>0</v>
      </c>
      <c r="B51" s="150">
        <v>0</v>
      </c>
      <c r="C51" s="150">
        <f t="array" ref="C51:C79">FREQUENCY(Discrete!AW3:AW20,Hists!A52:A79)</f>
        <v>0</v>
      </c>
      <c r="D51" s="151">
        <f>C51*100/C80</f>
        <v>0</v>
      </c>
      <c r="E51" s="150">
        <f t="array" ref="E51:E79">FREQUENCY(Discrete!AW21:AW78,Hists!A52:A79)</f>
        <v>0</v>
      </c>
      <c r="F51" s="151">
        <f>E51*100/E80</f>
        <v>0</v>
      </c>
      <c r="G51" s="150">
        <f t="array" ref="G51:G79">FREQUENCY(IC!BT3:BT39,Hists!A52:A79)</f>
        <v>0</v>
      </c>
      <c r="H51" s="151">
        <f>G51*100/G80</f>
        <v>0</v>
      </c>
      <c r="I51" s="150">
        <f t="array" ref="I51:I79">FREQUENCY(IC!BT40:BT64,Hists!A52:A79)</f>
        <v>0</v>
      </c>
      <c r="J51" s="262">
        <f>I51*100/I80</f>
        <v>0</v>
      </c>
    </row>
    <row r="52" spans="1:19">
      <c r="A52" s="152">
        <f>0.9999999999*B52</f>
        <v>0.99999999989999999</v>
      </c>
      <c r="B52" s="153">
        <v>1</v>
      </c>
      <c r="C52" s="153">
        <v>0</v>
      </c>
      <c r="D52" s="154">
        <f>C52*100/C80</f>
        <v>0</v>
      </c>
      <c r="E52" s="153">
        <v>0</v>
      </c>
      <c r="F52" s="154">
        <f>E52*100/E80</f>
        <v>0</v>
      </c>
      <c r="G52" s="153">
        <v>0</v>
      </c>
      <c r="H52" s="154">
        <f>G52*100/G80</f>
        <v>0</v>
      </c>
      <c r="I52" s="153">
        <v>0</v>
      </c>
      <c r="J52" s="266">
        <f>I52*100/I80</f>
        <v>0</v>
      </c>
    </row>
    <row r="53" spans="1:19">
      <c r="A53" s="263">
        <f t="shared" ref="A53:A78" si="2">0.9999999999*B53</f>
        <v>1.9999999998</v>
      </c>
      <c r="B53" s="155">
        <v>2</v>
      </c>
      <c r="C53" s="155">
        <v>0</v>
      </c>
      <c r="D53" s="156">
        <f>C53*100/C80</f>
        <v>0</v>
      </c>
      <c r="E53" s="155">
        <v>2</v>
      </c>
      <c r="F53" s="156">
        <f>E53*100/E80</f>
        <v>9.9999999999500009</v>
      </c>
      <c r="G53" s="155">
        <v>1</v>
      </c>
      <c r="H53" s="156">
        <f>G53*100/G80</f>
        <v>6.2499999999609379</v>
      </c>
      <c r="I53" s="155">
        <v>0</v>
      </c>
      <c r="J53" s="270">
        <f>I53*100/I80</f>
        <v>0</v>
      </c>
    </row>
    <row r="54" spans="1:19">
      <c r="A54" s="263">
        <f t="shared" si="2"/>
        <v>2.9999999997</v>
      </c>
      <c r="B54" s="153">
        <v>3</v>
      </c>
      <c r="C54" s="153">
        <v>0</v>
      </c>
      <c r="D54" s="154">
        <f>C54*100/C80</f>
        <v>0</v>
      </c>
      <c r="E54" s="153">
        <v>0</v>
      </c>
      <c r="F54" s="154">
        <f>E54*100/E80</f>
        <v>0</v>
      </c>
      <c r="G54" s="153">
        <v>0</v>
      </c>
      <c r="H54" s="154">
        <f>G54*100/G80</f>
        <v>0</v>
      </c>
      <c r="I54" s="153">
        <v>0</v>
      </c>
      <c r="J54" s="266">
        <f>I54*100/I80</f>
        <v>0</v>
      </c>
    </row>
    <row r="55" spans="1:19">
      <c r="A55" s="263">
        <f t="shared" si="2"/>
        <v>3.9999999996</v>
      </c>
      <c r="B55" s="155">
        <v>4</v>
      </c>
      <c r="C55" s="155">
        <v>0</v>
      </c>
      <c r="D55" s="156">
        <f>C55*100/C80</f>
        <v>0</v>
      </c>
      <c r="E55" s="155">
        <v>1</v>
      </c>
      <c r="F55" s="156">
        <f>E55*100/E80</f>
        <v>4.9999999999750004</v>
      </c>
      <c r="G55" s="155">
        <v>5</v>
      </c>
      <c r="H55" s="156">
        <f>G55*100/G80</f>
        <v>31.24999999980469</v>
      </c>
      <c r="I55" s="155">
        <v>0</v>
      </c>
      <c r="J55" s="270">
        <f>I55*100/I80</f>
        <v>0</v>
      </c>
    </row>
    <row r="56" spans="1:19">
      <c r="A56" s="263">
        <f t="shared" si="2"/>
        <v>4.9999999995</v>
      </c>
      <c r="B56" s="153">
        <v>5</v>
      </c>
      <c r="C56" s="153">
        <v>0</v>
      </c>
      <c r="D56" s="154">
        <f>C56*100/C80</f>
        <v>0</v>
      </c>
      <c r="E56" s="153">
        <v>0</v>
      </c>
      <c r="F56" s="154">
        <f>E56*100/E80</f>
        <v>0</v>
      </c>
      <c r="G56" s="153">
        <v>0</v>
      </c>
      <c r="H56" s="154">
        <f>G56*100/G80</f>
        <v>0</v>
      </c>
      <c r="I56" s="153">
        <v>0</v>
      </c>
      <c r="J56" s="266">
        <f>I56*100/I80</f>
        <v>0</v>
      </c>
    </row>
    <row r="57" spans="1:19">
      <c r="A57" s="263">
        <f t="shared" si="2"/>
        <v>5.9999999994</v>
      </c>
      <c r="B57" s="155">
        <v>6</v>
      </c>
      <c r="C57" s="155">
        <v>0</v>
      </c>
      <c r="D57" s="156">
        <f>C57*100/C80</f>
        <v>0</v>
      </c>
      <c r="E57" s="155">
        <v>0</v>
      </c>
      <c r="F57" s="156">
        <f>E57*100/E80</f>
        <v>0</v>
      </c>
      <c r="G57" s="155">
        <v>0</v>
      </c>
      <c r="H57" s="156">
        <f>G57*100/G80</f>
        <v>0</v>
      </c>
      <c r="I57" s="155">
        <v>0</v>
      </c>
      <c r="J57" s="270">
        <f>I57*100/I80</f>
        <v>0</v>
      </c>
    </row>
    <row r="58" spans="1:19">
      <c r="A58" s="263">
        <f t="shared" si="2"/>
        <v>6.9999999992999999</v>
      </c>
      <c r="B58" s="153">
        <v>7</v>
      </c>
      <c r="C58" s="153">
        <v>0</v>
      </c>
      <c r="D58" s="154">
        <f>C58*100/C80</f>
        <v>0</v>
      </c>
      <c r="E58" s="153">
        <v>0</v>
      </c>
      <c r="F58" s="154">
        <f>E58*100/E80</f>
        <v>0</v>
      </c>
      <c r="G58" s="153">
        <v>0</v>
      </c>
      <c r="H58" s="154">
        <f>G58*100/G80</f>
        <v>0</v>
      </c>
      <c r="I58" s="153">
        <v>0</v>
      </c>
      <c r="J58" s="266">
        <f>I58*100/I80</f>
        <v>0</v>
      </c>
    </row>
    <row r="59" spans="1:19">
      <c r="A59" s="263">
        <f t="shared" si="2"/>
        <v>7.9999999991999999</v>
      </c>
      <c r="B59" s="155">
        <v>8</v>
      </c>
      <c r="C59" s="155">
        <v>0</v>
      </c>
      <c r="D59" s="156">
        <f>C59*100/C80</f>
        <v>0</v>
      </c>
      <c r="E59" s="155">
        <v>5</v>
      </c>
      <c r="F59" s="156">
        <f>E59*100/E80</f>
        <v>24.999999999875001</v>
      </c>
      <c r="G59" s="155">
        <v>1</v>
      </c>
      <c r="H59" s="156">
        <f>G59*100/G80</f>
        <v>6.2499999999609379</v>
      </c>
      <c r="I59" s="155">
        <v>0</v>
      </c>
      <c r="J59" s="270">
        <f>I59*100/I80</f>
        <v>0</v>
      </c>
    </row>
    <row r="60" spans="1:19">
      <c r="A60" s="263">
        <f t="shared" si="2"/>
        <v>8.9999999990999999</v>
      </c>
      <c r="B60" s="153">
        <v>9</v>
      </c>
      <c r="C60" s="153">
        <v>0</v>
      </c>
      <c r="D60" s="154">
        <f>C60*100/C80</f>
        <v>0</v>
      </c>
      <c r="E60" s="153">
        <v>0</v>
      </c>
      <c r="F60" s="154">
        <f>E60*100/E80</f>
        <v>0</v>
      </c>
      <c r="G60" s="153">
        <v>0</v>
      </c>
      <c r="H60" s="154">
        <f>G60*100/G80</f>
        <v>0</v>
      </c>
      <c r="I60" s="153">
        <v>0</v>
      </c>
      <c r="J60" s="266">
        <f>I60*100/I80</f>
        <v>0</v>
      </c>
    </row>
    <row r="61" spans="1:19">
      <c r="A61" s="263">
        <f t="shared" si="2"/>
        <v>9.9999999989999999</v>
      </c>
      <c r="B61" s="155">
        <v>10</v>
      </c>
      <c r="C61" s="155">
        <v>1</v>
      </c>
      <c r="D61" s="156">
        <f>C61*100/C80</f>
        <v>49.999999997499998</v>
      </c>
      <c r="E61" s="155">
        <v>1</v>
      </c>
      <c r="F61" s="156">
        <f>E61*100/E80</f>
        <v>4.9999999999750004</v>
      </c>
      <c r="G61" s="155">
        <v>0</v>
      </c>
      <c r="H61" s="156">
        <f>G61*100/G80</f>
        <v>0</v>
      </c>
      <c r="I61" s="155">
        <v>0</v>
      </c>
      <c r="J61" s="270">
        <f>I61*100/I80</f>
        <v>0</v>
      </c>
    </row>
    <row r="62" spans="1:19">
      <c r="A62" s="263">
        <f t="shared" si="2"/>
        <v>19.999999998</v>
      </c>
      <c r="B62" s="153">
        <v>20</v>
      </c>
      <c r="C62" s="153">
        <v>0</v>
      </c>
      <c r="D62" s="154">
        <f>C62*100/C80</f>
        <v>0</v>
      </c>
      <c r="E62" s="153">
        <v>0</v>
      </c>
      <c r="F62" s="154">
        <f>E62*100/E80</f>
        <v>0</v>
      </c>
      <c r="G62" s="153">
        <v>2</v>
      </c>
      <c r="H62" s="154">
        <f>G62*100/G80</f>
        <v>12.499999999921876</v>
      </c>
      <c r="I62" s="153">
        <v>0</v>
      </c>
      <c r="J62" s="266">
        <f>I62*100/I80</f>
        <v>0</v>
      </c>
    </row>
    <row r="63" spans="1:19">
      <c r="A63" s="263">
        <f t="shared" si="2"/>
        <v>29.999999997</v>
      </c>
      <c r="B63" s="155">
        <v>30</v>
      </c>
      <c r="C63" s="155">
        <v>0</v>
      </c>
      <c r="D63" s="156">
        <f>C63*100/C80</f>
        <v>0</v>
      </c>
      <c r="E63" s="155">
        <v>1</v>
      </c>
      <c r="F63" s="156">
        <f>E63*100/E80</f>
        <v>4.9999999999750004</v>
      </c>
      <c r="G63" s="155">
        <v>5</v>
      </c>
      <c r="H63" s="156">
        <f>G63*100/G80</f>
        <v>31.24999999980469</v>
      </c>
      <c r="I63" s="155">
        <v>0</v>
      </c>
      <c r="J63" s="270">
        <f>I63*100/I80</f>
        <v>0</v>
      </c>
    </row>
    <row r="64" spans="1:19">
      <c r="A64" s="263">
        <f t="shared" si="2"/>
        <v>39.999999996</v>
      </c>
      <c r="B64" s="153">
        <v>40</v>
      </c>
      <c r="C64" s="153">
        <v>0</v>
      </c>
      <c r="D64" s="154">
        <f>C64*100/C80</f>
        <v>0</v>
      </c>
      <c r="E64" s="153">
        <v>1</v>
      </c>
      <c r="F64" s="154">
        <f>E64*100/E80</f>
        <v>4.9999999999750004</v>
      </c>
      <c r="G64" s="153">
        <v>0</v>
      </c>
      <c r="H64" s="154">
        <f>G64*100/G80</f>
        <v>0</v>
      </c>
      <c r="I64" s="153">
        <v>0</v>
      </c>
      <c r="J64" s="266">
        <f>I64*100/I80</f>
        <v>0</v>
      </c>
    </row>
    <row r="65" spans="1:10">
      <c r="A65" s="263">
        <f t="shared" si="2"/>
        <v>49.999999994999996</v>
      </c>
      <c r="B65" s="155">
        <v>50</v>
      </c>
      <c r="C65" s="155">
        <v>0</v>
      </c>
      <c r="D65" s="156">
        <f>C65*100/C80</f>
        <v>0</v>
      </c>
      <c r="E65" s="155">
        <v>0</v>
      </c>
      <c r="F65" s="156">
        <f>E65*100/E80</f>
        <v>0</v>
      </c>
      <c r="G65" s="155">
        <v>0</v>
      </c>
      <c r="H65" s="156">
        <f>G65*100/G80</f>
        <v>0</v>
      </c>
      <c r="I65" s="155">
        <v>0</v>
      </c>
      <c r="J65" s="270">
        <f>I65*100/I80</f>
        <v>0</v>
      </c>
    </row>
    <row r="66" spans="1:10">
      <c r="A66" s="263">
        <f t="shared" si="2"/>
        <v>59.999999994</v>
      </c>
      <c r="B66" s="153">
        <v>60</v>
      </c>
      <c r="C66" s="153">
        <v>0</v>
      </c>
      <c r="D66" s="154">
        <f>C66*100/C80</f>
        <v>0</v>
      </c>
      <c r="E66" s="153">
        <v>1</v>
      </c>
      <c r="F66" s="154">
        <f>E66*100/E80</f>
        <v>4.9999999999750004</v>
      </c>
      <c r="G66" s="153">
        <v>0</v>
      </c>
      <c r="H66" s="154">
        <f>G66*100/G80</f>
        <v>0</v>
      </c>
      <c r="I66" s="153">
        <v>1</v>
      </c>
      <c r="J66" s="266">
        <f>I66*100/I80</f>
        <v>49.999999997499998</v>
      </c>
    </row>
    <row r="67" spans="1:10">
      <c r="A67" s="263">
        <f t="shared" si="2"/>
        <v>69.999999993000003</v>
      </c>
      <c r="B67" s="155">
        <v>70</v>
      </c>
      <c r="C67" s="155">
        <v>0</v>
      </c>
      <c r="D67" s="156">
        <f>C67*100/C80</f>
        <v>0</v>
      </c>
      <c r="E67" s="155">
        <v>0</v>
      </c>
      <c r="F67" s="156">
        <f>E67*100/E80</f>
        <v>0</v>
      </c>
      <c r="G67" s="155">
        <v>0</v>
      </c>
      <c r="H67" s="156">
        <f>G67*100/G80</f>
        <v>0</v>
      </c>
      <c r="I67" s="155">
        <v>0</v>
      </c>
      <c r="J67" s="270">
        <f>I67*100/I80</f>
        <v>0</v>
      </c>
    </row>
    <row r="68" spans="1:10">
      <c r="A68" s="263">
        <f t="shared" si="2"/>
        <v>79.999999991999999</v>
      </c>
      <c r="B68" s="153">
        <v>80</v>
      </c>
      <c r="C68" s="153">
        <v>0</v>
      </c>
      <c r="D68" s="154">
        <f>C68*100/C80</f>
        <v>0</v>
      </c>
      <c r="E68" s="153">
        <v>1</v>
      </c>
      <c r="F68" s="154">
        <f>E68*100/E80</f>
        <v>4.9999999999750004</v>
      </c>
      <c r="G68" s="153">
        <v>0</v>
      </c>
      <c r="H68" s="154">
        <f>G68*100/G80</f>
        <v>0</v>
      </c>
      <c r="I68" s="153">
        <v>0</v>
      </c>
      <c r="J68" s="266">
        <f>I68*100/I80</f>
        <v>0</v>
      </c>
    </row>
    <row r="69" spans="1:10">
      <c r="A69" s="263">
        <f t="shared" si="2"/>
        <v>89.999999990999996</v>
      </c>
      <c r="B69" s="155">
        <v>90</v>
      </c>
      <c r="C69" s="155">
        <v>0</v>
      </c>
      <c r="D69" s="156">
        <f>C69*100/C80</f>
        <v>0</v>
      </c>
      <c r="E69" s="155">
        <v>0</v>
      </c>
      <c r="F69" s="156">
        <f>E69*100/E80</f>
        <v>0</v>
      </c>
      <c r="G69" s="155">
        <v>0</v>
      </c>
      <c r="H69" s="156">
        <f>G69*100/G80</f>
        <v>0</v>
      </c>
      <c r="I69" s="155">
        <v>0</v>
      </c>
      <c r="J69" s="270">
        <f>I69*100/I80</f>
        <v>0</v>
      </c>
    </row>
    <row r="70" spans="1:10">
      <c r="A70" s="263">
        <f t="shared" si="2"/>
        <v>99.999999989999992</v>
      </c>
      <c r="B70" s="153">
        <v>100</v>
      </c>
      <c r="C70" s="153">
        <v>0</v>
      </c>
      <c r="D70" s="154">
        <f>C70*100/C80</f>
        <v>0</v>
      </c>
      <c r="E70" s="153">
        <v>1</v>
      </c>
      <c r="F70" s="154">
        <f>E70*100/E80</f>
        <v>4.9999999999750004</v>
      </c>
      <c r="G70" s="153">
        <v>0</v>
      </c>
      <c r="H70" s="154">
        <f>G70*100/G80</f>
        <v>0</v>
      </c>
      <c r="I70" s="153">
        <v>0</v>
      </c>
      <c r="J70" s="266">
        <f>I70*100/I80</f>
        <v>0</v>
      </c>
    </row>
    <row r="71" spans="1:10">
      <c r="A71" s="263">
        <f t="shared" si="2"/>
        <v>199.99999997999998</v>
      </c>
      <c r="B71" s="155">
        <v>200</v>
      </c>
      <c r="C71" s="155">
        <v>0</v>
      </c>
      <c r="D71" s="156">
        <f>C71*100/C80</f>
        <v>0</v>
      </c>
      <c r="E71" s="155">
        <v>3</v>
      </c>
      <c r="F71" s="156">
        <f>E71*100/E80</f>
        <v>14.999999999925002</v>
      </c>
      <c r="G71" s="155">
        <v>0</v>
      </c>
      <c r="H71" s="156">
        <f>G71*100/G80</f>
        <v>0</v>
      </c>
      <c r="I71" s="155">
        <v>0</v>
      </c>
      <c r="J71" s="270">
        <f>I71*100/I80</f>
        <v>0</v>
      </c>
    </row>
    <row r="72" spans="1:10">
      <c r="A72" s="263">
        <f t="shared" si="2"/>
        <v>299.99999996999998</v>
      </c>
      <c r="B72" s="153">
        <v>300</v>
      </c>
      <c r="C72" s="153">
        <v>0</v>
      </c>
      <c r="D72" s="154">
        <f>C72*100/C80</f>
        <v>0</v>
      </c>
      <c r="E72" s="153">
        <v>0</v>
      </c>
      <c r="F72" s="154">
        <f>E72*100/E80</f>
        <v>0</v>
      </c>
      <c r="G72" s="153">
        <v>0</v>
      </c>
      <c r="H72" s="154">
        <f>G72*100/G80</f>
        <v>0</v>
      </c>
      <c r="I72" s="153">
        <v>0</v>
      </c>
      <c r="J72" s="266">
        <f>I72*100/I80</f>
        <v>0</v>
      </c>
    </row>
    <row r="73" spans="1:10">
      <c r="A73" s="263">
        <f t="shared" si="2"/>
        <v>399.99999995999997</v>
      </c>
      <c r="B73" s="155">
        <v>400</v>
      </c>
      <c r="C73" s="155">
        <v>0</v>
      </c>
      <c r="D73" s="157">
        <f>C73*100/C80</f>
        <v>0</v>
      </c>
      <c r="E73" s="158">
        <v>0</v>
      </c>
      <c r="F73" s="157">
        <f>E73*100/E80</f>
        <v>0</v>
      </c>
      <c r="G73" s="158">
        <v>0</v>
      </c>
      <c r="H73" s="157">
        <f>G73*100/G80</f>
        <v>0</v>
      </c>
      <c r="I73" s="158">
        <v>0</v>
      </c>
      <c r="J73" s="273">
        <f>I73*100/I80</f>
        <v>0</v>
      </c>
    </row>
    <row r="74" spans="1:10">
      <c r="A74" s="263">
        <f t="shared" si="2"/>
        <v>499.99999995000002</v>
      </c>
      <c r="B74" s="155">
        <v>500</v>
      </c>
      <c r="C74" s="155">
        <v>1</v>
      </c>
      <c r="D74" s="168">
        <f>C74*100/C80</f>
        <v>49.999999997499998</v>
      </c>
      <c r="E74" s="158">
        <v>1</v>
      </c>
      <c r="F74" s="157">
        <f>E74*100/E80</f>
        <v>4.9999999999750004</v>
      </c>
      <c r="G74" s="158">
        <v>2</v>
      </c>
      <c r="H74" s="157">
        <f>G74*100/G80</f>
        <v>12.499999999921876</v>
      </c>
      <c r="I74" s="158">
        <v>1</v>
      </c>
      <c r="J74" s="273">
        <f>I74*100/I80</f>
        <v>49.999999997499998</v>
      </c>
    </row>
    <row r="75" spans="1:10">
      <c r="A75" s="263">
        <f t="shared" si="2"/>
        <v>599.99999993999995</v>
      </c>
      <c r="B75" s="155">
        <v>600</v>
      </c>
      <c r="C75" s="155">
        <v>0</v>
      </c>
      <c r="D75" s="157">
        <f>C75*100/C80</f>
        <v>0</v>
      </c>
      <c r="E75" s="158">
        <v>0</v>
      </c>
      <c r="F75" s="157">
        <f>E75*100/E80</f>
        <v>0</v>
      </c>
      <c r="G75" s="158">
        <v>0</v>
      </c>
      <c r="H75" s="157">
        <f>G75*100/G80</f>
        <v>0</v>
      </c>
      <c r="I75" s="158">
        <v>0</v>
      </c>
      <c r="J75" s="273">
        <f>I75*100/I80</f>
        <v>0</v>
      </c>
    </row>
    <row r="76" spans="1:10">
      <c r="A76" s="263">
        <f t="shared" si="2"/>
        <v>699.99999992999994</v>
      </c>
      <c r="B76" s="155">
        <v>700</v>
      </c>
      <c r="C76" s="155">
        <v>0</v>
      </c>
      <c r="D76" s="157">
        <f>C76*100/C80</f>
        <v>0</v>
      </c>
      <c r="E76" s="158">
        <v>0</v>
      </c>
      <c r="F76" s="157">
        <f>E76*100/E80</f>
        <v>0</v>
      </c>
      <c r="G76" s="158">
        <v>0</v>
      </c>
      <c r="H76" s="157">
        <f>G76*100/G80</f>
        <v>0</v>
      </c>
      <c r="I76" s="158">
        <v>0</v>
      </c>
      <c r="J76" s="273">
        <f>I76*100/I80</f>
        <v>0</v>
      </c>
    </row>
    <row r="77" spans="1:10">
      <c r="A77" s="263">
        <f>0.9999999999*B77</f>
        <v>799.99999991999994</v>
      </c>
      <c r="B77" s="155">
        <v>800</v>
      </c>
      <c r="C77" s="155">
        <v>0</v>
      </c>
      <c r="D77" s="157">
        <f>C77*100/C80</f>
        <v>0</v>
      </c>
      <c r="E77" s="158">
        <v>0</v>
      </c>
      <c r="F77" s="157">
        <f>E77*100/E80</f>
        <v>0</v>
      </c>
      <c r="G77" s="158">
        <v>0</v>
      </c>
      <c r="H77" s="157">
        <f>G77*100/G80</f>
        <v>0</v>
      </c>
      <c r="I77" s="158">
        <v>0</v>
      </c>
      <c r="J77" s="273">
        <f>I77*100/I80</f>
        <v>0</v>
      </c>
    </row>
    <row r="78" spans="1:10">
      <c r="A78" s="263">
        <f t="shared" si="2"/>
        <v>899.99999991000004</v>
      </c>
      <c r="B78" s="155">
        <v>900</v>
      </c>
      <c r="C78" s="155">
        <v>0</v>
      </c>
      <c r="D78" s="157">
        <f>C78*100/C80</f>
        <v>0</v>
      </c>
      <c r="E78" s="158">
        <v>0</v>
      </c>
      <c r="F78" s="157">
        <f>E78*100/E80</f>
        <v>0</v>
      </c>
      <c r="G78" s="158">
        <v>0</v>
      </c>
      <c r="H78" s="157">
        <f>G78*100/G80</f>
        <v>0</v>
      </c>
      <c r="I78" s="158">
        <v>0</v>
      </c>
      <c r="J78" s="273">
        <f>I78*100/I80</f>
        <v>0</v>
      </c>
    </row>
    <row r="79" spans="1:10" ht="15" thickBot="1">
      <c r="A79" s="159">
        <f>0.9999999999*1000</f>
        <v>999.99999990000003</v>
      </c>
      <c r="B79" s="160">
        <v>1000</v>
      </c>
      <c r="C79" s="160">
        <v>0</v>
      </c>
      <c r="D79" s="157">
        <f>C79*100/C80</f>
        <v>0</v>
      </c>
      <c r="E79" s="158">
        <v>2</v>
      </c>
      <c r="F79" s="157">
        <f>E79*100/E80</f>
        <v>9.9999999999500009</v>
      </c>
      <c r="G79" s="158">
        <v>0</v>
      </c>
      <c r="H79" s="157">
        <f>G79*100/G80</f>
        <v>0</v>
      </c>
      <c r="I79" s="158">
        <v>0</v>
      </c>
      <c r="J79" s="276">
        <f>I79*100/I80</f>
        <v>0</v>
      </c>
    </row>
    <row r="80" spans="1:10" ht="15" thickBot="1">
      <c r="A80" s="806" t="s">
        <v>396</v>
      </c>
      <c r="B80" s="806"/>
      <c r="C80" s="161">
        <f>SUM(C51:C79)+0.0000000001</f>
        <v>2.0000000001</v>
      </c>
      <c r="D80" s="163">
        <f>SUM(D52:D79)</f>
        <v>99.999999994999996</v>
      </c>
      <c r="E80" s="162">
        <f>SUM(E51:E79)+0.0000000001</f>
        <v>20.000000000099998</v>
      </c>
      <c r="F80" s="163">
        <f>SUM(F51:F79)</f>
        <v>99.999999999500019</v>
      </c>
      <c r="G80" s="162">
        <f>SUM(G51:G79)+0.0000000001</f>
        <v>16.000000000099998</v>
      </c>
      <c r="H80" s="163">
        <f>SUM(H51:H79)</f>
        <v>99.999999999375007</v>
      </c>
      <c r="I80" s="162">
        <f>SUM(I51:I79)+0.0000000001</f>
        <v>2.0000000001</v>
      </c>
      <c r="J80" s="279">
        <f>SUM(J51:J79)</f>
        <v>99.999999994999996</v>
      </c>
    </row>
    <row r="81" spans="1:11" ht="15" thickBot="1">
      <c r="A81" s="778">
        <f>C80+E80+G80+I80</f>
        <v>40.000000000399993</v>
      </c>
      <c r="B81" s="779"/>
      <c r="C81" s="779"/>
      <c r="D81" s="779"/>
      <c r="E81" s="779"/>
      <c r="F81" s="779"/>
      <c r="G81" s="779"/>
      <c r="H81" s="779"/>
      <c r="I81" s="779"/>
      <c r="J81" s="780"/>
    </row>
    <row r="82" spans="1:11">
      <c r="K82" s="474"/>
    </row>
    <row r="98" spans="1:19" ht="15" thickBot="1"/>
    <row r="99" spans="1:19" ht="15" thickBot="1">
      <c r="A99" s="798" t="s">
        <v>530</v>
      </c>
      <c r="B99" s="780"/>
      <c r="C99" s="799" t="s">
        <v>400</v>
      </c>
      <c r="D99" s="799"/>
      <c r="E99" s="800" t="s">
        <v>946</v>
      </c>
      <c r="F99" s="800"/>
      <c r="G99" s="799" t="s">
        <v>948</v>
      </c>
      <c r="H99" s="799"/>
      <c r="I99" s="800" t="s">
        <v>947</v>
      </c>
      <c r="J99" s="800"/>
    </row>
    <row r="100" spans="1:19" ht="15" thickBot="1">
      <c r="A100" s="141" t="s">
        <v>887</v>
      </c>
      <c r="B100" s="142" t="s">
        <v>243</v>
      </c>
      <c r="C100" s="143" t="s">
        <v>397</v>
      </c>
      <c r="D100" s="144" t="s">
        <v>945</v>
      </c>
      <c r="E100" s="145" t="s">
        <v>397</v>
      </c>
      <c r="F100" s="146" t="s">
        <v>945</v>
      </c>
      <c r="G100" s="147" t="s">
        <v>397</v>
      </c>
      <c r="H100" s="148" t="s">
        <v>945</v>
      </c>
      <c r="I100" s="145" t="s">
        <v>397</v>
      </c>
      <c r="J100" s="258" t="s">
        <v>945</v>
      </c>
    </row>
    <row r="101" spans="1:19">
      <c r="A101" s="259">
        <f>0.9999999999*B101</f>
        <v>0</v>
      </c>
      <c r="B101" s="260">
        <v>0</v>
      </c>
      <c r="C101" s="150">
        <f t="array" ref="C101:C129">FREQUENCY(Discrete!AX3:AX20,Hists!A102:A129)</f>
        <v>0</v>
      </c>
      <c r="D101" s="151">
        <f>C101*100/C130</f>
        <v>0</v>
      </c>
      <c r="E101" s="150">
        <f t="array" ref="E101:E129">FREQUENCY(Discrete!AX21:AX78,Hists!A102:A129)</f>
        <v>0</v>
      </c>
      <c r="F101" s="151">
        <f>E101*100/E130</f>
        <v>0</v>
      </c>
      <c r="G101" s="150">
        <f t="array" ref="G101:G129">FREQUENCY(IC!BU3:BU39,Hists!A102:A129)</f>
        <v>0</v>
      </c>
      <c r="H101" s="151">
        <f>G101*100/G130</f>
        <v>0</v>
      </c>
      <c r="I101" s="150">
        <f t="array" ref="I101:I129">FREQUENCY(IC!BU40:BU64,Hists!A102:A129)</f>
        <v>0</v>
      </c>
      <c r="J101" s="262">
        <f>I101*100/I130</f>
        <v>0</v>
      </c>
    </row>
    <row r="102" spans="1:19">
      <c r="A102" s="263">
        <f>0.9999999999*B102</f>
        <v>9.9999999989999999</v>
      </c>
      <c r="B102" s="264">
        <v>10</v>
      </c>
      <c r="C102" s="153">
        <v>0</v>
      </c>
      <c r="D102" s="154">
        <f>C102*100/C130</f>
        <v>0</v>
      </c>
      <c r="E102" s="153">
        <v>0</v>
      </c>
      <c r="F102" s="154">
        <f>E102*100/E130</f>
        <v>0</v>
      </c>
      <c r="G102" s="153">
        <v>0</v>
      </c>
      <c r="H102" s="154">
        <f>G102*100/G130</f>
        <v>0</v>
      </c>
      <c r="I102" s="153">
        <v>0</v>
      </c>
      <c r="J102" s="266">
        <f>I102*100/I130</f>
        <v>0</v>
      </c>
      <c r="O102" s="781" t="s">
        <v>894</v>
      </c>
      <c r="P102" s="781"/>
      <c r="Q102" s="781"/>
      <c r="R102" s="781"/>
      <c r="S102" s="781"/>
    </row>
    <row r="103" spans="1:19">
      <c r="A103" s="263">
        <f t="shared" ref="A103:A128" si="3">0.9999999999*B103</f>
        <v>19.999999998</v>
      </c>
      <c r="B103" s="268">
        <v>20</v>
      </c>
      <c r="C103" s="155">
        <v>0</v>
      </c>
      <c r="D103" s="156">
        <f>C103*100/C130</f>
        <v>0</v>
      </c>
      <c r="E103" s="155">
        <v>0</v>
      </c>
      <c r="F103" s="156">
        <f>E103*100/E130</f>
        <v>0</v>
      </c>
      <c r="G103" s="155">
        <v>0</v>
      </c>
      <c r="H103" s="156">
        <f>G103*100/G130</f>
        <v>0</v>
      </c>
      <c r="I103" s="155">
        <v>0</v>
      </c>
      <c r="J103" s="270">
        <f>I103*100/I130</f>
        <v>0</v>
      </c>
    </row>
    <row r="104" spans="1:19">
      <c r="A104" s="263">
        <f t="shared" si="3"/>
        <v>29.999999997</v>
      </c>
      <c r="B104" s="264">
        <v>30</v>
      </c>
      <c r="C104" s="153">
        <v>0</v>
      </c>
      <c r="D104" s="154">
        <f>C104*100/C130</f>
        <v>0</v>
      </c>
      <c r="E104" s="153">
        <v>3</v>
      </c>
      <c r="F104" s="154">
        <f>E104*100/E130</f>
        <v>12.499999999947917</v>
      </c>
      <c r="G104" s="153">
        <v>5</v>
      </c>
      <c r="H104" s="154">
        <f>G104*100/G130</f>
        <v>31.24999999980469</v>
      </c>
      <c r="I104" s="153">
        <v>0</v>
      </c>
      <c r="J104" s="266">
        <f>I104*100/I130</f>
        <v>0</v>
      </c>
    </row>
    <row r="105" spans="1:19">
      <c r="A105" s="263">
        <f t="shared" si="3"/>
        <v>39.999999996</v>
      </c>
      <c r="B105" s="268">
        <v>40</v>
      </c>
      <c r="C105" s="155">
        <v>0</v>
      </c>
      <c r="D105" s="156">
        <f>C105*100/C130</f>
        <v>0</v>
      </c>
      <c r="E105" s="155">
        <v>1</v>
      </c>
      <c r="F105" s="156">
        <f>E105*100/E130</f>
        <v>4.1666666666493057</v>
      </c>
      <c r="G105" s="155">
        <v>0</v>
      </c>
      <c r="H105" s="156">
        <f>G105*100/G130</f>
        <v>0</v>
      </c>
      <c r="I105" s="155">
        <v>0</v>
      </c>
      <c r="J105" s="270">
        <f>I105*100/I130</f>
        <v>0</v>
      </c>
    </row>
    <row r="106" spans="1:19">
      <c r="A106" s="263">
        <f t="shared" si="3"/>
        <v>49.999999994999996</v>
      </c>
      <c r="B106" s="264">
        <v>50</v>
      </c>
      <c r="C106" s="153">
        <v>0</v>
      </c>
      <c r="D106" s="154">
        <f>C106*100/C130</f>
        <v>0</v>
      </c>
      <c r="E106" s="153">
        <v>0</v>
      </c>
      <c r="F106" s="154">
        <f>E106*100/E130</f>
        <v>0</v>
      </c>
      <c r="G106" s="153">
        <v>0</v>
      </c>
      <c r="H106" s="154">
        <f>G106*100/G130</f>
        <v>0</v>
      </c>
      <c r="I106" s="153">
        <v>0</v>
      </c>
      <c r="J106" s="266">
        <f>I106*100/I130</f>
        <v>0</v>
      </c>
    </row>
    <row r="107" spans="1:19">
      <c r="A107" s="263">
        <f t="shared" si="3"/>
        <v>59.999999994</v>
      </c>
      <c r="B107" s="268">
        <v>60</v>
      </c>
      <c r="C107" s="155">
        <v>0</v>
      </c>
      <c r="D107" s="156">
        <f>C107*100/C130</f>
        <v>0</v>
      </c>
      <c r="E107" s="155">
        <v>0</v>
      </c>
      <c r="F107" s="156">
        <f>E107*100/E130</f>
        <v>0</v>
      </c>
      <c r="G107" s="155">
        <v>2</v>
      </c>
      <c r="H107" s="156">
        <f>G107*100/G130</f>
        <v>12.499999999921876</v>
      </c>
      <c r="I107" s="155">
        <v>0</v>
      </c>
      <c r="J107" s="270">
        <f>I107*100/I130</f>
        <v>0</v>
      </c>
    </row>
    <row r="108" spans="1:19">
      <c r="A108" s="263">
        <f t="shared" si="3"/>
        <v>69.999999993000003</v>
      </c>
      <c r="B108" s="264">
        <v>70</v>
      </c>
      <c r="C108" s="153">
        <v>0</v>
      </c>
      <c r="D108" s="154">
        <f>C108*100/C130</f>
        <v>0</v>
      </c>
      <c r="E108" s="153">
        <v>0</v>
      </c>
      <c r="F108" s="154">
        <f>E108*100/E130</f>
        <v>0</v>
      </c>
      <c r="G108" s="153">
        <v>0</v>
      </c>
      <c r="H108" s="154">
        <f>G108*100/G130</f>
        <v>0</v>
      </c>
      <c r="I108" s="153">
        <v>0</v>
      </c>
      <c r="J108" s="266">
        <f>I108*100/I130</f>
        <v>0</v>
      </c>
    </row>
    <row r="109" spans="1:19">
      <c r="A109" s="263">
        <f t="shared" si="3"/>
        <v>79.999999991999999</v>
      </c>
      <c r="B109" s="268">
        <v>80</v>
      </c>
      <c r="C109" s="155">
        <v>0</v>
      </c>
      <c r="D109" s="156">
        <f>C109*100/C130</f>
        <v>0</v>
      </c>
      <c r="E109" s="155">
        <v>0</v>
      </c>
      <c r="F109" s="156">
        <f>E109*100/E130</f>
        <v>0</v>
      </c>
      <c r="G109" s="155">
        <v>0</v>
      </c>
      <c r="H109" s="156">
        <f>G109*100/G130</f>
        <v>0</v>
      </c>
      <c r="I109" s="155">
        <v>0</v>
      </c>
      <c r="J109" s="270">
        <f>I109*100/I130</f>
        <v>0</v>
      </c>
    </row>
    <row r="110" spans="1:19">
      <c r="A110" s="263">
        <f t="shared" si="3"/>
        <v>89.999999990999996</v>
      </c>
      <c r="B110" s="264">
        <v>90</v>
      </c>
      <c r="C110" s="153">
        <v>0</v>
      </c>
      <c r="D110" s="154">
        <f>C110*100/C130</f>
        <v>0</v>
      </c>
      <c r="E110" s="153">
        <v>1</v>
      </c>
      <c r="F110" s="154">
        <f>E110*100/E130</f>
        <v>4.1666666666493057</v>
      </c>
      <c r="G110" s="153">
        <v>0</v>
      </c>
      <c r="H110" s="154">
        <f>G110*100/G130</f>
        <v>0</v>
      </c>
      <c r="I110" s="153">
        <v>0</v>
      </c>
      <c r="J110" s="266">
        <f>I110*100/I130</f>
        <v>0</v>
      </c>
    </row>
    <row r="111" spans="1:19">
      <c r="A111" s="263">
        <f t="shared" si="3"/>
        <v>99.999999989999992</v>
      </c>
      <c r="B111" s="268">
        <v>100</v>
      </c>
      <c r="C111" s="155">
        <v>0</v>
      </c>
      <c r="D111" s="156">
        <f>C111*100/C130</f>
        <v>0</v>
      </c>
      <c r="E111" s="155">
        <v>6</v>
      </c>
      <c r="F111" s="156">
        <f>E111*100/E130</f>
        <v>24.999999999895834</v>
      </c>
      <c r="G111" s="155">
        <v>5</v>
      </c>
      <c r="H111" s="156">
        <f>G111*100/G130</f>
        <v>31.24999999980469</v>
      </c>
      <c r="I111" s="155">
        <v>0</v>
      </c>
      <c r="J111" s="270">
        <f>I111*100/I130</f>
        <v>0</v>
      </c>
    </row>
    <row r="112" spans="1:19">
      <c r="A112" s="263">
        <f t="shared" si="3"/>
        <v>199.99999997999998</v>
      </c>
      <c r="B112" s="264">
        <v>200</v>
      </c>
      <c r="C112" s="153">
        <v>1</v>
      </c>
      <c r="D112" s="154">
        <f>C112*100/C130</f>
        <v>49.999999997499998</v>
      </c>
      <c r="E112" s="153">
        <v>2</v>
      </c>
      <c r="F112" s="154">
        <f>E112*100/E130</f>
        <v>8.3333333332986115</v>
      </c>
      <c r="G112" s="153">
        <v>3</v>
      </c>
      <c r="H112" s="154">
        <f>G112*100/G130</f>
        <v>18.749999999882814</v>
      </c>
      <c r="I112" s="153">
        <v>0</v>
      </c>
      <c r="J112" s="266">
        <f>I112*100/I130</f>
        <v>0</v>
      </c>
    </row>
    <row r="113" spans="1:10">
      <c r="A113" s="263">
        <f t="shared" si="3"/>
        <v>299.99999996999998</v>
      </c>
      <c r="B113" s="268">
        <v>300</v>
      </c>
      <c r="C113" s="155">
        <v>0</v>
      </c>
      <c r="D113" s="156">
        <f>C113*100/C130</f>
        <v>0</v>
      </c>
      <c r="E113" s="155">
        <v>1</v>
      </c>
      <c r="F113" s="156">
        <f>E113*100/E130</f>
        <v>4.1666666666493057</v>
      </c>
      <c r="G113" s="155">
        <v>0</v>
      </c>
      <c r="H113" s="156">
        <f>G113*100/G130</f>
        <v>0</v>
      </c>
      <c r="I113" s="155">
        <v>0</v>
      </c>
      <c r="J113" s="270">
        <f>I113*100/I130</f>
        <v>0</v>
      </c>
    </row>
    <row r="114" spans="1:10">
      <c r="A114" s="263">
        <f t="shared" si="3"/>
        <v>399.99999995999997</v>
      </c>
      <c r="B114" s="264">
        <v>400</v>
      </c>
      <c r="C114" s="153">
        <v>0</v>
      </c>
      <c r="D114" s="154">
        <f>C114*100/C130</f>
        <v>0</v>
      </c>
      <c r="E114" s="153">
        <v>0</v>
      </c>
      <c r="F114" s="154">
        <f>E114*100/E130</f>
        <v>0</v>
      </c>
      <c r="G114" s="153">
        <v>0</v>
      </c>
      <c r="H114" s="154">
        <f>G114*100/G130</f>
        <v>0</v>
      </c>
      <c r="I114" s="153">
        <v>0</v>
      </c>
      <c r="J114" s="266">
        <f>I114*100/I130</f>
        <v>0</v>
      </c>
    </row>
    <row r="115" spans="1:10">
      <c r="A115" s="263">
        <f t="shared" si="3"/>
        <v>499.99999995000002</v>
      </c>
      <c r="B115" s="268">
        <v>500</v>
      </c>
      <c r="C115" s="155">
        <v>0</v>
      </c>
      <c r="D115" s="156">
        <f>C115*100/C130</f>
        <v>0</v>
      </c>
      <c r="E115" s="155">
        <v>0</v>
      </c>
      <c r="F115" s="156">
        <f>E115*100/E130</f>
        <v>0</v>
      </c>
      <c r="G115" s="155">
        <v>0</v>
      </c>
      <c r="H115" s="156">
        <f>G115*100/G130</f>
        <v>0</v>
      </c>
      <c r="I115" s="155">
        <v>0</v>
      </c>
      <c r="J115" s="270">
        <f>I115*100/I130</f>
        <v>0</v>
      </c>
    </row>
    <row r="116" spans="1:10">
      <c r="A116" s="263">
        <f t="shared" si="3"/>
        <v>599.99999993999995</v>
      </c>
      <c r="B116" s="264">
        <v>600</v>
      </c>
      <c r="C116" s="153">
        <v>0</v>
      </c>
      <c r="D116" s="154">
        <f>C116*100/C130</f>
        <v>0</v>
      </c>
      <c r="E116" s="153">
        <v>0</v>
      </c>
      <c r="F116" s="154">
        <f>E116*100/E130</f>
        <v>0</v>
      </c>
      <c r="G116" s="153">
        <v>0</v>
      </c>
      <c r="H116" s="154">
        <f>G116*100/G130</f>
        <v>0</v>
      </c>
      <c r="I116" s="153">
        <v>0</v>
      </c>
      <c r="J116" s="266">
        <f>I116*100/I130</f>
        <v>0</v>
      </c>
    </row>
    <row r="117" spans="1:10">
      <c r="A117" s="263">
        <f t="shared" si="3"/>
        <v>699.99999992999994</v>
      </c>
      <c r="B117" s="268">
        <v>700</v>
      </c>
      <c r="C117" s="155">
        <v>0</v>
      </c>
      <c r="D117" s="156">
        <f>C117*100/C130</f>
        <v>0</v>
      </c>
      <c r="E117" s="155">
        <v>0</v>
      </c>
      <c r="F117" s="156">
        <f>E117*100/E130</f>
        <v>0</v>
      </c>
      <c r="G117" s="155">
        <v>0</v>
      </c>
      <c r="H117" s="156">
        <f>G117*100/G130</f>
        <v>0</v>
      </c>
      <c r="I117" s="155">
        <v>0</v>
      </c>
      <c r="J117" s="270">
        <f>I117*100/I130</f>
        <v>0</v>
      </c>
    </row>
    <row r="118" spans="1:10">
      <c r="A118" s="263">
        <f t="shared" si="3"/>
        <v>799.99999991999994</v>
      </c>
      <c r="B118" s="264">
        <v>800</v>
      </c>
      <c r="C118" s="153">
        <v>0</v>
      </c>
      <c r="D118" s="154">
        <f>C118*100/C130</f>
        <v>0</v>
      </c>
      <c r="E118" s="153">
        <v>0</v>
      </c>
      <c r="F118" s="154">
        <f>E118*100/E130</f>
        <v>0</v>
      </c>
      <c r="G118" s="153">
        <v>0</v>
      </c>
      <c r="H118" s="154">
        <f>G118*100/G130</f>
        <v>0</v>
      </c>
      <c r="I118" s="153">
        <v>0</v>
      </c>
      <c r="J118" s="266">
        <f>I118*100/I130</f>
        <v>0</v>
      </c>
    </row>
    <row r="119" spans="1:10">
      <c r="A119" s="263">
        <f t="shared" si="3"/>
        <v>899.99999991000004</v>
      </c>
      <c r="B119" s="268">
        <v>900</v>
      </c>
      <c r="C119" s="155">
        <v>0</v>
      </c>
      <c r="D119" s="156">
        <f>C119*100/C130</f>
        <v>0</v>
      </c>
      <c r="E119" s="155">
        <v>0</v>
      </c>
      <c r="F119" s="156">
        <f>E119*100/E130</f>
        <v>0</v>
      </c>
      <c r="G119" s="155">
        <v>0</v>
      </c>
      <c r="H119" s="156">
        <f>G119*100/G130</f>
        <v>0</v>
      </c>
      <c r="I119" s="155">
        <v>0</v>
      </c>
      <c r="J119" s="270">
        <f>I119*100/I130</f>
        <v>0</v>
      </c>
    </row>
    <row r="120" spans="1:10">
      <c r="A120" s="263">
        <f t="shared" si="3"/>
        <v>999.99999990000003</v>
      </c>
      <c r="B120" s="264">
        <v>1000</v>
      </c>
      <c r="C120" s="153">
        <v>0</v>
      </c>
      <c r="D120" s="154">
        <f>C120*100/C130</f>
        <v>0</v>
      </c>
      <c r="E120" s="153">
        <v>3</v>
      </c>
      <c r="F120" s="154">
        <f>E120*100/E130</f>
        <v>12.499999999947917</v>
      </c>
      <c r="G120" s="153">
        <v>1</v>
      </c>
      <c r="H120" s="154">
        <f>G120*100/G130</f>
        <v>6.2499999999609379</v>
      </c>
      <c r="I120" s="153">
        <v>0</v>
      </c>
      <c r="J120" s="266">
        <f>I120*100/I130</f>
        <v>0</v>
      </c>
    </row>
    <row r="121" spans="1:10">
      <c r="A121" s="263">
        <f t="shared" si="3"/>
        <v>1999.9999998000001</v>
      </c>
      <c r="B121" s="268">
        <v>2000</v>
      </c>
      <c r="C121" s="155">
        <v>0</v>
      </c>
      <c r="D121" s="156">
        <f>C121*100/C130</f>
        <v>0</v>
      </c>
      <c r="E121" s="155">
        <v>1</v>
      </c>
      <c r="F121" s="156">
        <f>E121*100/E130</f>
        <v>4.1666666666493057</v>
      </c>
      <c r="G121" s="155">
        <v>0</v>
      </c>
      <c r="H121" s="156">
        <f>G121*100/G130</f>
        <v>0</v>
      </c>
      <c r="I121" s="155">
        <v>0</v>
      </c>
      <c r="J121" s="270">
        <f>I121*100/I130</f>
        <v>0</v>
      </c>
    </row>
    <row r="122" spans="1:10">
      <c r="A122" s="263">
        <f t="shared" si="3"/>
        <v>2999.9999997</v>
      </c>
      <c r="B122" s="264">
        <v>3000</v>
      </c>
      <c r="C122" s="153">
        <v>0</v>
      </c>
      <c r="D122" s="154">
        <f>C122*100/C130</f>
        <v>0</v>
      </c>
      <c r="E122" s="153">
        <v>0</v>
      </c>
      <c r="F122" s="154">
        <f>E122*100/E130</f>
        <v>0</v>
      </c>
      <c r="G122" s="153">
        <v>0</v>
      </c>
      <c r="H122" s="154">
        <f>G122*100/G130</f>
        <v>0</v>
      </c>
      <c r="I122" s="153">
        <v>0</v>
      </c>
      <c r="J122" s="266">
        <f>I122*100/I130</f>
        <v>0</v>
      </c>
    </row>
    <row r="123" spans="1:10">
      <c r="A123" s="263">
        <f t="shared" si="3"/>
        <v>3999.9999996000001</v>
      </c>
      <c r="B123" s="268">
        <v>4000</v>
      </c>
      <c r="C123" s="155">
        <v>0</v>
      </c>
      <c r="D123" s="157">
        <f>C123*100/C130</f>
        <v>0</v>
      </c>
      <c r="E123" s="158">
        <v>3</v>
      </c>
      <c r="F123" s="157">
        <f>E123*100/E130</f>
        <v>12.499999999947917</v>
      </c>
      <c r="G123" s="158">
        <v>0</v>
      </c>
      <c r="H123" s="157">
        <f>G123*100/G130</f>
        <v>0</v>
      </c>
      <c r="I123" s="158">
        <v>0</v>
      </c>
      <c r="J123" s="273">
        <f>I123*100/I130</f>
        <v>0</v>
      </c>
    </row>
    <row r="124" spans="1:10">
      <c r="A124" s="263">
        <f t="shared" si="3"/>
        <v>4999.9999994999998</v>
      </c>
      <c r="B124" s="268">
        <v>5000</v>
      </c>
      <c r="C124" s="155">
        <v>0</v>
      </c>
      <c r="D124" s="157">
        <f>C124*100/C130</f>
        <v>0</v>
      </c>
      <c r="E124" s="158">
        <v>0</v>
      </c>
      <c r="F124" s="157">
        <f>E124*100/E130</f>
        <v>0</v>
      </c>
      <c r="G124" s="158">
        <v>0</v>
      </c>
      <c r="H124" s="157">
        <f>G124*100/G130</f>
        <v>0</v>
      </c>
      <c r="I124" s="158">
        <v>0</v>
      </c>
      <c r="J124" s="273">
        <f>I124*100/I130</f>
        <v>0</v>
      </c>
    </row>
    <row r="125" spans="1:10">
      <c r="A125" s="263">
        <f t="shared" si="3"/>
        <v>5999.9999994</v>
      </c>
      <c r="B125" s="268">
        <v>6000</v>
      </c>
      <c r="C125" s="155">
        <v>0</v>
      </c>
      <c r="D125" s="157">
        <f>C125*100/C130</f>
        <v>0</v>
      </c>
      <c r="E125" s="158">
        <v>0</v>
      </c>
      <c r="F125" s="157">
        <f>E125*100/E130</f>
        <v>0</v>
      </c>
      <c r="G125" s="158">
        <v>0</v>
      </c>
      <c r="H125" s="157">
        <f>G125*100/G130</f>
        <v>0</v>
      </c>
      <c r="I125" s="158">
        <v>0</v>
      </c>
      <c r="J125" s="273">
        <f>I125*100/I130</f>
        <v>0</v>
      </c>
    </row>
    <row r="126" spans="1:10">
      <c r="A126" s="263">
        <f t="shared" si="3"/>
        <v>6999.9999993000001</v>
      </c>
      <c r="B126" s="268">
        <v>7000</v>
      </c>
      <c r="C126" s="155">
        <v>0</v>
      </c>
      <c r="D126" s="157">
        <f>C126*100/C130</f>
        <v>0</v>
      </c>
      <c r="E126" s="158">
        <v>0</v>
      </c>
      <c r="F126" s="157">
        <f>E126*100/E130</f>
        <v>0</v>
      </c>
      <c r="G126" s="158">
        <v>0</v>
      </c>
      <c r="H126" s="157">
        <f>G126*100/G130</f>
        <v>0</v>
      </c>
      <c r="I126" s="158">
        <v>0</v>
      </c>
      <c r="J126" s="273">
        <f>I126*100/I130</f>
        <v>0</v>
      </c>
    </row>
    <row r="127" spans="1:10">
      <c r="A127" s="263">
        <f t="shared" si="3"/>
        <v>7999.9999992000003</v>
      </c>
      <c r="B127" s="268">
        <v>8000</v>
      </c>
      <c r="C127" s="155">
        <v>0</v>
      </c>
      <c r="D127" s="157">
        <f>C127*100/C130</f>
        <v>0</v>
      </c>
      <c r="E127" s="158">
        <v>0</v>
      </c>
      <c r="F127" s="157">
        <f>E127*100/E130</f>
        <v>0</v>
      </c>
      <c r="G127" s="158">
        <v>0</v>
      </c>
      <c r="H127" s="157">
        <f>G127*100/G130</f>
        <v>0</v>
      </c>
      <c r="I127" s="158">
        <v>0</v>
      </c>
      <c r="J127" s="273">
        <f>I127*100/I130</f>
        <v>0</v>
      </c>
    </row>
    <row r="128" spans="1:10">
      <c r="A128" s="263">
        <f t="shared" si="3"/>
        <v>8999.9999991000004</v>
      </c>
      <c r="B128" s="268">
        <v>9000</v>
      </c>
      <c r="C128" s="155">
        <v>0</v>
      </c>
      <c r="D128" s="157">
        <f>C128*100/C130</f>
        <v>0</v>
      </c>
      <c r="E128" s="158">
        <v>0</v>
      </c>
      <c r="F128" s="157">
        <f>E128*100/E130</f>
        <v>0</v>
      </c>
      <c r="G128" s="158">
        <v>0</v>
      </c>
      <c r="H128" s="157">
        <f>G128*100/G130</f>
        <v>0</v>
      </c>
      <c r="I128" s="158">
        <v>0</v>
      </c>
      <c r="J128" s="273">
        <f>I128*100/I130</f>
        <v>0</v>
      </c>
    </row>
    <row r="129" spans="1:11" ht="15" thickBot="1">
      <c r="A129" s="274">
        <f>0.9999999999*B129</f>
        <v>9999.9999989999997</v>
      </c>
      <c r="B129" s="275">
        <v>10000</v>
      </c>
      <c r="C129" s="160">
        <v>1</v>
      </c>
      <c r="D129" s="168">
        <f>C129*100/C130</f>
        <v>49.999999997499998</v>
      </c>
      <c r="E129" s="158">
        <v>3</v>
      </c>
      <c r="F129" s="157">
        <f>E129*100/E130</f>
        <v>12.499999999947917</v>
      </c>
      <c r="G129" s="158">
        <v>0</v>
      </c>
      <c r="H129" s="157">
        <f>G129*100/G130</f>
        <v>0</v>
      </c>
      <c r="I129" s="158">
        <v>0</v>
      </c>
      <c r="J129" s="276">
        <f>I129*100/I130</f>
        <v>0</v>
      </c>
    </row>
    <row r="130" spans="1:11" ht="15" thickBot="1">
      <c r="A130" s="806" t="s">
        <v>396</v>
      </c>
      <c r="B130" s="806"/>
      <c r="C130" s="161">
        <f>SUM(C101:C129)+0.0000000001</f>
        <v>2.0000000001</v>
      </c>
      <c r="D130" s="163">
        <f>SUM(D102:D129)</f>
        <v>99.999999994999996</v>
      </c>
      <c r="E130" s="162">
        <f>SUM(E101:E129)+0.0000000001</f>
        <v>24.000000000099998</v>
      </c>
      <c r="F130" s="163">
        <f>SUM(F101:F129)</f>
        <v>99.999999999583338</v>
      </c>
      <c r="G130" s="162">
        <f>SUM(G101:G129)+0.0000000001</f>
        <v>16.000000000099998</v>
      </c>
      <c r="H130" s="163">
        <f>SUM(H101:H129)</f>
        <v>99.999999999375007</v>
      </c>
      <c r="I130" s="162">
        <f>SUM(I101:I129)+0.0000000001</f>
        <v>1E-10</v>
      </c>
      <c r="J130" s="279">
        <f>SUM(J101:J129)</f>
        <v>0</v>
      </c>
    </row>
    <row r="131" spans="1:11" ht="15" thickBot="1">
      <c r="A131" s="778">
        <f>C130+E130+G130+I130</f>
        <v>42.000000000399993</v>
      </c>
      <c r="B131" s="779"/>
      <c r="C131" s="779"/>
      <c r="D131" s="779"/>
      <c r="E131" s="779"/>
      <c r="F131" s="779"/>
      <c r="G131" s="779"/>
      <c r="H131" s="779"/>
      <c r="I131" s="779"/>
      <c r="J131" s="780"/>
    </row>
    <row r="132" spans="1:11">
      <c r="K132" s="474"/>
    </row>
    <row r="147" spans="1:28">
      <c r="D147" s="80"/>
      <c r="F147" s="80"/>
      <c r="H147" s="80"/>
    </row>
    <row r="148" spans="1:28" ht="15" thickBot="1">
      <c r="O148" s="781" t="s">
        <v>895</v>
      </c>
      <c r="P148" s="781"/>
      <c r="Q148" s="781"/>
      <c r="R148" s="781"/>
      <c r="S148" s="781"/>
    </row>
    <row r="149" spans="1:28" ht="26.25" customHeight="1" thickBot="1">
      <c r="A149" s="798" t="s">
        <v>417</v>
      </c>
      <c r="B149" s="780"/>
      <c r="C149" s="799" t="s">
        <v>400</v>
      </c>
      <c r="D149" s="799"/>
      <c r="E149" s="800" t="s">
        <v>946</v>
      </c>
      <c r="F149" s="800"/>
      <c r="G149" s="799" t="s">
        <v>948</v>
      </c>
      <c r="H149" s="799"/>
      <c r="I149" s="800" t="s">
        <v>947</v>
      </c>
      <c r="J149" s="800"/>
      <c r="K149" s="790" t="s">
        <v>396</v>
      </c>
      <c r="L149" s="782" t="s">
        <v>490</v>
      </c>
    </row>
    <row r="150" spans="1:28" ht="15" thickBot="1">
      <c r="A150" s="812" t="s">
        <v>416</v>
      </c>
      <c r="B150" s="813"/>
      <c r="C150" s="827" t="s">
        <v>397</v>
      </c>
      <c r="D150" s="828"/>
      <c r="E150" s="829" t="s">
        <v>397</v>
      </c>
      <c r="F150" s="830"/>
      <c r="G150" s="831" t="s">
        <v>397</v>
      </c>
      <c r="H150" s="832"/>
      <c r="I150" s="833" t="s">
        <v>397</v>
      </c>
      <c r="J150" s="830"/>
      <c r="K150" s="791"/>
      <c r="L150" s="783"/>
      <c r="AB150" s="250"/>
    </row>
    <row r="151" spans="1:28">
      <c r="A151" s="818" t="s">
        <v>923</v>
      </c>
      <c r="B151" s="819"/>
      <c r="C151" s="462">
        <f>SUM(Discrete!BS3:BS20)</f>
        <v>1</v>
      </c>
      <c r="D151" s="463"/>
      <c r="E151" s="462">
        <f>SUM(Discrete!BS21:BS78)</f>
        <v>26</v>
      </c>
      <c r="F151" s="463"/>
      <c r="G151" s="468">
        <f>SUM(IC!CO3:CO39)</f>
        <v>16</v>
      </c>
      <c r="H151" s="463"/>
      <c r="I151" s="468">
        <f>SUM(IC!CO40:CO64)</f>
        <v>8</v>
      </c>
      <c r="J151" s="469"/>
      <c r="K151" s="207">
        <f>SUM(C151:J151)</f>
        <v>51</v>
      </c>
      <c r="L151" s="208">
        <f>RANK(K151,K151:K174)</f>
        <v>1</v>
      </c>
      <c r="AB151" s="250"/>
    </row>
    <row r="152" spans="1:28">
      <c r="A152" s="810" t="s">
        <v>924</v>
      </c>
      <c r="B152" s="811"/>
      <c r="C152" s="464">
        <f>SUM(Discrete!BX3:BX20)</f>
        <v>0</v>
      </c>
      <c r="D152" s="465"/>
      <c r="E152" s="464">
        <f>SUM(Discrete!BX21:BX78)</f>
        <v>8</v>
      </c>
      <c r="F152" s="465"/>
      <c r="G152" s="470">
        <f>SUM(IC!CT3:CT39)</f>
        <v>1</v>
      </c>
      <c r="H152" s="465"/>
      <c r="I152" s="470">
        <f>SUM(IC!CT40:CT64)</f>
        <v>4</v>
      </c>
      <c r="J152" s="471"/>
      <c r="K152" s="201">
        <f>SUM(C152:J152)</f>
        <v>13</v>
      </c>
      <c r="L152" s="205">
        <f>RANK(K152,K151:K174)</f>
        <v>4</v>
      </c>
    </row>
    <row r="153" spans="1:28" ht="23.25" customHeight="1">
      <c r="A153" s="820" t="s">
        <v>925</v>
      </c>
      <c r="B153" s="821"/>
      <c r="C153" s="466">
        <f>SUM(Discrete!CC3:CC20)</f>
        <v>0</v>
      </c>
      <c r="D153" s="467"/>
      <c r="E153" s="466">
        <f>SUM(Discrete!CC21:CC78)</f>
        <v>2</v>
      </c>
      <c r="F153" s="467"/>
      <c r="G153" s="466">
        <f>SUM(IC!CY3:CY39)</f>
        <v>0</v>
      </c>
      <c r="H153" s="467"/>
      <c r="I153" s="466">
        <f>SUM(IC!CY40:CY64)</f>
        <v>1</v>
      </c>
      <c r="J153" s="472"/>
      <c r="K153" s="202">
        <f t="shared" ref="K153:K174" si="4">SUM(C153:J153)</f>
        <v>3</v>
      </c>
      <c r="L153" s="206"/>
    </row>
    <row r="154" spans="1:28" ht="24.75" customHeight="1">
      <c r="A154" s="822" t="s">
        <v>926</v>
      </c>
      <c r="B154" s="811"/>
      <c r="C154" s="464">
        <f>SUM(Discrete!CD3:CD20)</f>
        <v>9</v>
      </c>
      <c r="D154" s="465"/>
      <c r="E154" s="464">
        <f>SUM(Discrete!CD21:CD78)</f>
        <v>14</v>
      </c>
      <c r="F154" s="465"/>
      <c r="G154" s="464">
        <f>SUM(IC!CZ3:CZ39)</f>
        <v>1</v>
      </c>
      <c r="H154" s="465"/>
      <c r="I154" s="464">
        <f>SUM(IC!CZ40:CZ64)</f>
        <v>1</v>
      </c>
      <c r="J154" s="471"/>
      <c r="K154" s="201">
        <f t="shared" si="4"/>
        <v>25</v>
      </c>
      <c r="L154" s="205"/>
    </row>
    <row r="155" spans="1:28" ht="25.5" customHeight="1">
      <c r="A155" s="820" t="s">
        <v>927</v>
      </c>
      <c r="B155" s="821"/>
      <c r="C155" s="466">
        <f>SUM(C153:D154)</f>
        <v>9</v>
      </c>
      <c r="D155" s="467"/>
      <c r="E155" s="466">
        <f>SUM(E153:F154)</f>
        <v>16</v>
      </c>
      <c r="F155" s="467"/>
      <c r="G155" s="466">
        <f>SUM(G153:H154)</f>
        <v>1</v>
      </c>
      <c r="H155" s="467"/>
      <c r="I155" s="466">
        <f>SUM(I153:J154)</f>
        <v>2</v>
      </c>
      <c r="J155" s="472"/>
      <c r="K155" s="202">
        <f t="shared" si="4"/>
        <v>28</v>
      </c>
      <c r="L155" s="203">
        <f>RANK(K155,K151:K174)</f>
        <v>2</v>
      </c>
    </row>
    <row r="156" spans="1:28">
      <c r="A156" s="822" t="s">
        <v>928</v>
      </c>
      <c r="B156" s="823"/>
      <c r="C156" s="464">
        <f>SUM(Discrete!CN3:CN20)</f>
        <v>0</v>
      </c>
      <c r="D156" s="465"/>
      <c r="E156" s="464">
        <f>SUM(Discrete!CN21:CN78)</f>
        <v>0</v>
      </c>
      <c r="F156" s="465"/>
      <c r="G156" s="464">
        <f>SUM(IC!DJ3:DJ39)</f>
        <v>0</v>
      </c>
      <c r="H156" s="465"/>
      <c r="I156" s="464">
        <f>SUM(IC!DJ40:DJ64)</f>
        <v>0</v>
      </c>
      <c r="J156" s="471"/>
      <c r="K156" s="201">
        <f t="shared" si="4"/>
        <v>0</v>
      </c>
      <c r="L156" s="205"/>
    </row>
    <row r="157" spans="1:28">
      <c r="A157" s="820" t="s">
        <v>929</v>
      </c>
      <c r="B157" s="821"/>
      <c r="C157" s="466">
        <f>SUM(Discrete!CO4:CO21)</f>
        <v>1</v>
      </c>
      <c r="D157" s="467"/>
      <c r="E157" s="466">
        <f>SUM(Discrete!CO22:CO78)</f>
        <v>5</v>
      </c>
      <c r="F157" s="467"/>
      <c r="G157" s="466">
        <f>SUM(IC!DK4:DK40)</f>
        <v>2</v>
      </c>
      <c r="H157" s="467"/>
      <c r="I157" s="466">
        <f>SUM(IC!DK41:DK65)</f>
        <v>0</v>
      </c>
      <c r="J157" s="472"/>
      <c r="K157" s="202">
        <f t="shared" si="4"/>
        <v>8</v>
      </c>
      <c r="L157" s="203"/>
    </row>
    <row r="158" spans="1:28">
      <c r="A158" s="822" t="s">
        <v>930</v>
      </c>
      <c r="B158" s="823"/>
      <c r="C158" s="464">
        <f>SUM(C156:D157)</f>
        <v>1</v>
      </c>
      <c r="D158" s="465"/>
      <c r="E158" s="464">
        <f>SUM(E156:F157)</f>
        <v>5</v>
      </c>
      <c r="F158" s="465"/>
      <c r="G158" s="464">
        <f>SUM(G156:H157)</f>
        <v>2</v>
      </c>
      <c r="H158" s="465"/>
      <c r="I158" s="464">
        <f>SUM(I156:J157)</f>
        <v>0</v>
      </c>
      <c r="J158" s="471"/>
      <c r="K158" s="201">
        <f t="shared" si="4"/>
        <v>8</v>
      </c>
      <c r="L158" s="205">
        <f>RANK(K158,K151:K174)</f>
        <v>7</v>
      </c>
    </row>
    <row r="159" spans="1:28" ht="27.75" customHeight="1">
      <c r="A159" s="820" t="s">
        <v>931</v>
      </c>
      <c r="B159" s="821"/>
      <c r="C159" s="466">
        <f>SUM(Discrete!CY3:CY20)</f>
        <v>1</v>
      </c>
      <c r="D159" s="467"/>
      <c r="E159" s="466">
        <f>SUM(Discrete!CY21:CY78)</f>
        <v>1</v>
      </c>
      <c r="F159" s="467"/>
      <c r="G159" s="466">
        <f>SUM(IC!DU3:DU39)</f>
        <v>0</v>
      </c>
      <c r="H159" s="467"/>
      <c r="I159" s="466">
        <f>SUM(IC!DU40:DU64)</f>
        <v>0</v>
      </c>
      <c r="J159" s="472"/>
      <c r="K159" s="202">
        <f t="shared" si="4"/>
        <v>2</v>
      </c>
      <c r="L159" s="203"/>
    </row>
    <row r="160" spans="1:28" ht="28.5" customHeight="1">
      <c r="A160" s="822" t="s">
        <v>932</v>
      </c>
      <c r="B160" s="823"/>
      <c r="C160" s="464">
        <f>SUM(Discrete!CZ4:CZ21)</f>
        <v>1</v>
      </c>
      <c r="D160" s="465"/>
      <c r="E160" s="464">
        <f>SUM(Discrete!CZ22:CZ78)</f>
        <v>3</v>
      </c>
      <c r="F160" s="465"/>
      <c r="G160" s="464">
        <f>SUM(IC!DV4:DV40)</f>
        <v>2</v>
      </c>
      <c r="H160" s="465"/>
      <c r="I160" s="464">
        <f>SUM(IC!DV41:DV65)</f>
        <v>1</v>
      </c>
      <c r="J160" s="471"/>
      <c r="K160" s="201">
        <f t="shared" si="4"/>
        <v>7</v>
      </c>
      <c r="L160" s="205"/>
    </row>
    <row r="161" spans="1:12" ht="27.75" customHeight="1">
      <c r="A161" s="820" t="s">
        <v>933</v>
      </c>
      <c r="B161" s="821"/>
      <c r="C161" s="466">
        <f>SUM(C159:D160)</f>
        <v>2</v>
      </c>
      <c r="D161" s="467"/>
      <c r="E161" s="466">
        <f>SUM(E159:F160)</f>
        <v>4</v>
      </c>
      <c r="F161" s="467"/>
      <c r="G161" s="466">
        <f>SUM(G159:H160)</f>
        <v>2</v>
      </c>
      <c r="H161" s="467"/>
      <c r="I161" s="466">
        <f>SUM(I159:J160)</f>
        <v>1</v>
      </c>
      <c r="J161" s="472"/>
      <c r="K161" s="202">
        <f t="shared" si="4"/>
        <v>9</v>
      </c>
      <c r="L161" s="203">
        <f>RANK(K161,K151:K174)</f>
        <v>6</v>
      </c>
    </row>
    <row r="162" spans="1:12">
      <c r="A162" s="810" t="s">
        <v>934</v>
      </c>
      <c r="B162" s="811"/>
      <c r="C162" s="464">
        <f>SUM(Discrete!DJ3:DJ20)</f>
        <v>4</v>
      </c>
      <c r="D162" s="465"/>
      <c r="E162" s="464">
        <f>SUM(Discrete!DJ21:DJ78)</f>
        <v>0</v>
      </c>
      <c r="F162" s="465"/>
      <c r="G162" s="464">
        <f>SUM(IC!EF3:EF39)</f>
        <v>1</v>
      </c>
      <c r="H162" s="465"/>
      <c r="I162" s="464">
        <f>SUM(IC!EF40:EF64)</f>
        <v>1</v>
      </c>
      <c r="J162" s="471"/>
      <c r="K162" s="201">
        <f t="shared" si="4"/>
        <v>6</v>
      </c>
      <c r="L162" s="205">
        <f>RANK(K162,K151:K174)</f>
        <v>10</v>
      </c>
    </row>
    <row r="163" spans="1:12">
      <c r="A163" s="808" t="s">
        <v>935</v>
      </c>
      <c r="B163" s="809"/>
      <c r="C163" s="466">
        <f>SUM(Discrete!DO3:DO20)</f>
        <v>3</v>
      </c>
      <c r="D163" s="467"/>
      <c r="E163" s="466">
        <f>SUM(Discrete!DO21:DO78)</f>
        <v>0</v>
      </c>
      <c r="F163" s="467"/>
      <c r="G163" s="466">
        <f>SUM(IC!EK3:EK39)</f>
        <v>0</v>
      </c>
      <c r="H163" s="467"/>
      <c r="I163" s="466">
        <f>SUM(IC!EK40:EK64)</f>
        <v>2</v>
      </c>
      <c r="J163" s="472"/>
      <c r="K163" s="202">
        <f t="shared" si="4"/>
        <v>5</v>
      </c>
      <c r="L163" s="203">
        <f>RANK(K163,K151:K174)</f>
        <v>12</v>
      </c>
    </row>
    <row r="164" spans="1:12">
      <c r="A164" s="810" t="s">
        <v>936</v>
      </c>
      <c r="B164" s="811"/>
      <c r="C164" s="464">
        <f>SUM(Discrete!DT3:DT20)</f>
        <v>0</v>
      </c>
      <c r="D164" s="465"/>
      <c r="E164" s="464">
        <f>SUM(Discrete!DT21:DT78)</f>
        <v>5</v>
      </c>
      <c r="F164" s="465"/>
      <c r="G164" s="464">
        <f>SUM(IC!EP3:EP39)</f>
        <v>1</v>
      </c>
      <c r="H164" s="465"/>
      <c r="I164" s="464">
        <f>SUM(IC!EP40:EP64)</f>
        <v>5</v>
      </c>
      <c r="J164" s="471"/>
      <c r="K164" s="201">
        <f t="shared" si="4"/>
        <v>11</v>
      </c>
      <c r="L164" s="205">
        <f>RANK(K164,K151:K174)</f>
        <v>5</v>
      </c>
    </row>
    <row r="165" spans="1:12">
      <c r="A165" s="808" t="s">
        <v>937</v>
      </c>
      <c r="B165" s="809"/>
      <c r="C165" s="466">
        <f>SUM(Discrete!DY3:DY20)</f>
        <v>1</v>
      </c>
      <c r="D165" s="467"/>
      <c r="E165" s="466">
        <f>SUM(Discrete!DY21:DY78)</f>
        <v>2</v>
      </c>
      <c r="F165" s="467"/>
      <c r="G165" s="466">
        <f>SUM(IC!EU3:EU39)</f>
        <v>1</v>
      </c>
      <c r="H165" s="467"/>
      <c r="I165" s="466">
        <f>SUM(IC!EU40:EU64)</f>
        <v>1</v>
      </c>
      <c r="J165" s="472"/>
      <c r="K165" s="202">
        <f t="shared" si="4"/>
        <v>5</v>
      </c>
      <c r="L165" s="203">
        <f>RANK(K165,K151:K174)</f>
        <v>12</v>
      </c>
    </row>
    <row r="166" spans="1:12">
      <c r="A166" s="808" t="s">
        <v>938</v>
      </c>
      <c r="B166" s="809"/>
      <c r="C166" s="466">
        <f>SUM(Discrete!EI3:EI20)</f>
        <v>0</v>
      </c>
      <c r="D166" s="467"/>
      <c r="E166" s="466">
        <f>SUM(Discrete!EI21:EI78)</f>
        <v>1</v>
      </c>
      <c r="F166" s="467"/>
      <c r="G166" s="466">
        <f>SUM(IC!FE3:FE39)</f>
        <v>5</v>
      </c>
      <c r="H166" s="467"/>
      <c r="I166" s="466">
        <f>-SUM(IC!FE40:FE64)</f>
        <v>0</v>
      </c>
      <c r="J166" s="472"/>
      <c r="K166" s="202">
        <f t="shared" si="4"/>
        <v>6</v>
      </c>
      <c r="L166" s="203">
        <f>RANK(K166,K151:K174)</f>
        <v>10</v>
      </c>
    </row>
    <row r="167" spans="1:12">
      <c r="A167" s="810" t="s">
        <v>939</v>
      </c>
      <c r="B167" s="811"/>
      <c r="C167" s="464">
        <f>SUM(Discrete!EN3:EN20)</f>
        <v>0</v>
      </c>
      <c r="D167" s="465"/>
      <c r="E167" s="464">
        <f>SUM(Discrete!EN21:EN78)</f>
        <v>0</v>
      </c>
      <c r="F167" s="465"/>
      <c r="G167" s="464">
        <f>SUM(IC!FJ3:FJ39)</f>
        <v>0</v>
      </c>
      <c r="H167" s="465"/>
      <c r="I167" s="464">
        <f>SUM(IC!FJ40:FJ64)</f>
        <v>4</v>
      </c>
      <c r="J167" s="471"/>
      <c r="K167" s="201">
        <f t="shared" si="4"/>
        <v>4</v>
      </c>
      <c r="L167" s="205">
        <f>RANK(K167,K151:K174)</f>
        <v>15</v>
      </c>
    </row>
    <row r="168" spans="1:12">
      <c r="A168" s="808" t="s">
        <v>940</v>
      </c>
      <c r="B168" s="809"/>
      <c r="C168" s="466">
        <f>SUM(Discrete!ES4:ES21)</f>
        <v>0</v>
      </c>
      <c r="D168" s="467"/>
      <c r="E168" s="466">
        <f>SUM(Discrete!ES22:ES78)</f>
        <v>0</v>
      </c>
      <c r="F168" s="467"/>
      <c r="G168" s="466">
        <f>SUM(IC!FO4:FO40)</f>
        <v>1</v>
      </c>
      <c r="H168" s="467"/>
      <c r="I168" s="466">
        <f>SUM(IC!FO41:FO65)</f>
        <v>0</v>
      </c>
      <c r="J168" s="472"/>
      <c r="K168" s="202">
        <f t="shared" si="4"/>
        <v>1</v>
      </c>
      <c r="L168" s="203">
        <f>RANK(K168,K151:K174)</f>
        <v>20</v>
      </c>
    </row>
    <row r="169" spans="1:12">
      <c r="A169" s="810" t="s">
        <v>941</v>
      </c>
      <c r="B169" s="811"/>
      <c r="C169" s="464">
        <f>SUM(Discrete!EY5:EY22)</f>
        <v>0</v>
      </c>
      <c r="D169" s="465"/>
      <c r="E169" s="464">
        <f>SUM(Discrete!EY23:EY79)</f>
        <v>0</v>
      </c>
      <c r="F169" s="465"/>
      <c r="G169" s="464">
        <f>SUM(IC!FT5:FT41)</f>
        <v>1</v>
      </c>
      <c r="H169" s="465"/>
      <c r="I169" s="464">
        <f>SUM(IC!FT42:FT66)</f>
        <v>0</v>
      </c>
      <c r="J169" s="471"/>
      <c r="K169" s="201">
        <f t="shared" si="4"/>
        <v>1</v>
      </c>
      <c r="L169" s="205">
        <f>RANK(K169,K151:K174)</f>
        <v>20</v>
      </c>
    </row>
    <row r="170" spans="1:12">
      <c r="A170" s="808" t="s">
        <v>425</v>
      </c>
      <c r="B170" s="809"/>
      <c r="C170" s="466">
        <f>SUM(Discrete!FC6:FC23)</f>
        <v>0</v>
      </c>
      <c r="D170" s="467"/>
      <c r="E170" s="466">
        <f>SUM(Discrete!FC24:FC80)</f>
        <v>0</v>
      </c>
      <c r="F170" s="467"/>
      <c r="G170" s="466">
        <f>SUM(IC!FY6:FY42)</f>
        <v>1</v>
      </c>
      <c r="H170" s="467"/>
      <c r="I170" s="466">
        <f>SUM(IC!FY43:FY67)</f>
        <v>2</v>
      </c>
      <c r="J170" s="472"/>
      <c r="K170" s="202">
        <f t="shared" si="4"/>
        <v>3</v>
      </c>
      <c r="L170" s="203">
        <f>RANK(K170,K151:K174)</f>
        <v>16</v>
      </c>
    </row>
    <row r="171" spans="1:12">
      <c r="A171" s="810" t="s">
        <v>942</v>
      </c>
      <c r="B171" s="811"/>
      <c r="C171" s="464">
        <f>SUM(Discrete!FH7:FH24)</f>
        <v>0</v>
      </c>
      <c r="D171" s="465"/>
      <c r="E171" s="464">
        <f>SUM(Discrete!FH25:FH81)</f>
        <v>1</v>
      </c>
      <c r="F171" s="465"/>
      <c r="G171" s="464">
        <f>SUM(IC!GD7:GD43)</f>
        <v>0</v>
      </c>
      <c r="H171" s="465"/>
      <c r="I171" s="464">
        <f>SUM(IC!GD44:GD68)</f>
        <v>0</v>
      </c>
      <c r="J171" s="471"/>
      <c r="K171" s="201">
        <f>SUM(C171:J171)</f>
        <v>1</v>
      </c>
      <c r="L171" s="205">
        <f>RANK(K171,K151:K174)</f>
        <v>20</v>
      </c>
    </row>
    <row r="172" spans="1:12">
      <c r="A172" s="808" t="s">
        <v>943</v>
      </c>
      <c r="B172" s="809"/>
      <c r="C172" s="466">
        <f>SUM(Discrete!FM8:FM25)</f>
        <v>1</v>
      </c>
      <c r="D172" s="467"/>
      <c r="E172" s="466">
        <f>SUM(Discrete!FM26:FM82)</f>
        <v>0</v>
      </c>
      <c r="F172" s="467"/>
      <c r="G172" s="466">
        <f>SUM(IC!GI8:GI44)</f>
        <v>3</v>
      </c>
      <c r="H172" s="467"/>
      <c r="I172" s="466">
        <f>SUM(IC!GI45:GI69)</f>
        <v>1</v>
      </c>
      <c r="J172" s="472"/>
      <c r="K172" s="202">
        <f t="shared" si="4"/>
        <v>5</v>
      </c>
      <c r="L172" s="203">
        <f>RANK(K172,K151:K174)</f>
        <v>12</v>
      </c>
    </row>
    <row r="173" spans="1:12">
      <c r="A173" s="810" t="s">
        <v>428</v>
      </c>
      <c r="B173" s="811"/>
      <c r="C173" s="466">
        <f>SUM(Discrete!FR9:FR26)</f>
        <v>2</v>
      </c>
      <c r="D173" s="467"/>
      <c r="E173" s="466">
        <f>SUM(Discrete!FR27:FR83)</f>
        <v>0</v>
      </c>
      <c r="F173" s="467"/>
      <c r="G173" s="466">
        <f>SUM(IC!GN9:GN45)</f>
        <v>0</v>
      </c>
      <c r="H173" s="467"/>
      <c r="I173" s="466">
        <f>SUM(IC!GN46:GN70)</f>
        <v>0</v>
      </c>
      <c r="J173" s="472"/>
      <c r="K173" s="201">
        <f t="shared" si="4"/>
        <v>2</v>
      </c>
      <c r="L173" s="205">
        <f>RANK(K173,K151:K174)</f>
        <v>18</v>
      </c>
    </row>
    <row r="174" spans="1:12" ht="15" thickBot="1">
      <c r="A174" s="808" t="s">
        <v>944</v>
      </c>
      <c r="B174" s="809"/>
      <c r="C174" s="466">
        <f>SUM(Discrete!FW10:FW27)</f>
        <v>1</v>
      </c>
      <c r="D174" s="467"/>
      <c r="E174" s="466">
        <f>SUM(Discrete!FW28:FW84)</f>
        <v>0</v>
      </c>
      <c r="F174" s="467"/>
      <c r="G174" s="466">
        <f>SUM(IC!GS10:GS46)</f>
        <v>0</v>
      </c>
      <c r="H174" s="467"/>
      <c r="I174" s="466">
        <f>SUM(IC!GS47:GS71)</f>
        <v>0</v>
      </c>
      <c r="J174" s="472"/>
      <c r="K174" s="202">
        <f t="shared" si="4"/>
        <v>1</v>
      </c>
      <c r="L174" s="204">
        <f>RANK(K174,K151:K174)</f>
        <v>20</v>
      </c>
    </row>
    <row r="175" spans="1:12">
      <c r="A175" s="810"/>
      <c r="B175" s="811"/>
      <c r="C175" s="786"/>
      <c r="D175" s="801"/>
      <c r="E175" s="464"/>
      <c r="F175" s="465"/>
      <c r="G175" s="464"/>
      <c r="H175" s="465"/>
      <c r="I175" s="464"/>
      <c r="J175" s="471"/>
      <c r="K175" s="198"/>
    </row>
    <row r="176" spans="1:12">
      <c r="A176" s="808"/>
      <c r="B176" s="809"/>
      <c r="C176" s="784"/>
      <c r="D176" s="824"/>
      <c r="E176" s="784"/>
      <c r="F176" s="824"/>
      <c r="G176" s="784"/>
      <c r="H176" s="824"/>
      <c r="I176" s="784"/>
      <c r="J176" s="785"/>
      <c r="K176" s="199"/>
    </row>
    <row r="177" spans="1:11">
      <c r="A177" s="810"/>
      <c r="B177" s="811"/>
      <c r="C177" s="786"/>
      <c r="D177" s="801"/>
      <c r="E177" s="786"/>
      <c r="F177" s="801"/>
      <c r="G177" s="786"/>
      <c r="H177" s="801"/>
      <c r="I177" s="786"/>
      <c r="J177" s="787"/>
      <c r="K177" s="198"/>
    </row>
    <row r="178" spans="1:11" ht="15" thickBot="1">
      <c r="A178" s="834"/>
      <c r="B178" s="835"/>
      <c r="C178" s="788"/>
      <c r="D178" s="802"/>
      <c r="E178" s="788"/>
      <c r="F178" s="802"/>
      <c r="G178" s="788"/>
      <c r="H178" s="802"/>
      <c r="I178" s="788"/>
      <c r="J178" s="789"/>
      <c r="K178" s="200"/>
    </row>
    <row r="179" spans="1:11" ht="15" thickBot="1">
      <c r="A179" s="806" t="s">
        <v>396</v>
      </c>
      <c r="B179" s="806"/>
      <c r="C179" s="814">
        <f>SUM(C151:C178)</f>
        <v>37</v>
      </c>
      <c r="D179" s="815"/>
      <c r="E179" s="814">
        <f>SUM(E151:E178)</f>
        <v>93</v>
      </c>
      <c r="F179" s="815"/>
      <c r="G179" s="825">
        <f>SUM(G151:G178)</f>
        <v>41</v>
      </c>
      <c r="H179" s="815"/>
      <c r="I179" s="825">
        <f>SUM(I151:I178)</f>
        <v>34</v>
      </c>
      <c r="J179" s="826"/>
      <c r="K179" s="792">
        <f>SUM(K151:K178)</f>
        <v>205</v>
      </c>
    </row>
    <row r="180" spans="1:11" ht="15" thickBot="1">
      <c r="A180" s="816">
        <f>C179+E179+G179+I179</f>
        <v>205</v>
      </c>
      <c r="B180" s="817"/>
      <c r="C180" s="817"/>
      <c r="D180" s="817"/>
      <c r="E180" s="817"/>
      <c r="F180" s="817"/>
      <c r="G180" s="817"/>
      <c r="H180" s="817"/>
      <c r="I180" s="817"/>
      <c r="J180" s="817"/>
      <c r="K180" s="793"/>
    </row>
    <row r="197" spans="1:19" ht="15" thickBot="1">
      <c r="O197" s="781" t="s">
        <v>229</v>
      </c>
      <c r="P197" s="781"/>
      <c r="Q197" s="781"/>
      <c r="R197" s="781"/>
      <c r="S197" s="781"/>
    </row>
    <row r="198" spans="1:19" ht="26.25" customHeight="1" thickBot="1">
      <c r="A198" s="778" t="s">
        <v>357</v>
      </c>
      <c r="B198" s="780"/>
      <c r="C198" s="799" t="s">
        <v>492</v>
      </c>
      <c r="D198" s="803"/>
      <c r="E198" s="800" t="s">
        <v>495</v>
      </c>
      <c r="F198" s="804"/>
      <c r="G198" s="799" t="s">
        <v>493</v>
      </c>
      <c r="H198" s="803"/>
      <c r="I198" s="800" t="s">
        <v>494</v>
      </c>
      <c r="J198" s="805"/>
      <c r="K198" s="794" t="s">
        <v>950</v>
      </c>
      <c r="L198" s="796" t="s">
        <v>949</v>
      </c>
    </row>
    <row r="199" spans="1:19" ht="21" thickBot="1">
      <c r="A199" s="141" t="s">
        <v>887</v>
      </c>
      <c r="B199" s="142" t="s">
        <v>491</v>
      </c>
      <c r="C199" s="143" t="s">
        <v>397</v>
      </c>
      <c r="D199" s="144" t="s">
        <v>945</v>
      </c>
      <c r="E199" s="145" t="s">
        <v>397</v>
      </c>
      <c r="F199" s="146" t="s">
        <v>945</v>
      </c>
      <c r="G199" s="147" t="s">
        <v>397</v>
      </c>
      <c r="H199" s="148" t="s">
        <v>945</v>
      </c>
      <c r="I199" s="145" t="s">
        <v>397</v>
      </c>
      <c r="J199" s="209" t="s">
        <v>945</v>
      </c>
      <c r="K199" s="795"/>
      <c r="L199" s="797"/>
    </row>
    <row r="200" spans="1:19">
      <c r="A200" s="149">
        <f>0.9999999999*B200</f>
        <v>2.49999999975</v>
      </c>
      <c r="B200" s="150">
        <v>2.5</v>
      </c>
      <c r="C200" s="150">
        <f t="array" ref="C200:C228">FREQUENCY(Discrete!BT3:BT79,Hists!A201:A228)</f>
        <v>0</v>
      </c>
      <c r="D200" s="151">
        <f>C200*100/C229</f>
        <v>0</v>
      </c>
      <c r="E200" s="150">
        <f t="array" ref="E200:E228">FREQUENCY(IC!CP3:CP64,Hists!A201:A228)</f>
        <v>0</v>
      </c>
      <c r="F200" s="151">
        <f>E200*100/E229</f>
        <v>0</v>
      </c>
      <c r="G200" s="150">
        <f t="array" ref="G200:G228">FREQUENCY(Discrete!BU3:BU79,Hists!A201:A228)</f>
        <v>0</v>
      </c>
      <c r="H200" s="151">
        <f>G200*100/G229</f>
        <v>0</v>
      </c>
      <c r="I200" s="150">
        <f t="array" ref="I200:I228">FREQUENCY(IC!CQ3:CQ64,Hists!A201:A228)</f>
        <v>1</v>
      </c>
      <c r="J200" s="210">
        <f>I200*100/I229</f>
        <v>11.111111110987654</v>
      </c>
      <c r="K200" s="225">
        <f>0.5*(D200+F200)</f>
        <v>0</v>
      </c>
      <c r="L200" s="226">
        <f>0.5*(H200+J200)</f>
        <v>5.555555555493827</v>
      </c>
    </row>
    <row r="201" spans="1:19">
      <c r="A201" s="152">
        <f>0.9999999999*B201</f>
        <v>2.9999999997</v>
      </c>
      <c r="B201" s="153">
        <v>3</v>
      </c>
      <c r="C201" s="153">
        <v>0</v>
      </c>
      <c r="D201" s="154">
        <f>C201*100/C229</f>
        <v>0</v>
      </c>
      <c r="E201" s="153">
        <v>0</v>
      </c>
      <c r="F201" s="154">
        <f>E201*100/E229</f>
        <v>0</v>
      </c>
      <c r="G201" s="153">
        <v>0</v>
      </c>
      <c r="H201" s="154">
        <f>G201*100/G229</f>
        <v>0</v>
      </c>
      <c r="I201" s="153">
        <v>0</v>
      </c>
      <c r="J201" s="211">
        <f>I201*100/I229</f>
        <v>0</v>
      </c>
      <c r="K201" s="215">
        <f>0.5*(D201+F201)</f>
        <v>0</v>
      </c>
      <c r="L201" s="216">
        <f t="shared" ref="L201:L228" si="5">0.5*(H201+J201)</f>
        <v>0</v>
      </c>
    </row>
    <row r="202" spans="1:19">
      <c r="A202" s="263">
        <f t="shared" ref="A202:A227" si="6">0.9999999999*B202</f>
        <v>3.49999999965</v>
      </c>
      <c r="B202" s="155">
        <v>3.5</v>
      </c>
      <c r="C202" s="155">
        <v>0</v>
      </c>
      <c r="D202" s="156">
        <f>C202*100/C229</f>
        <v>0</v>
      </c>
      <c r="E202" s="155">
        <v>0</v>
      </c>
      <c r="F202" s="156">
        <f>E202*100/E229</f>
        <v>0</v>
      </c>
      <c r="G202" s="155">
        <v>0</v>
      </c>
      <c r="H202" s="156">
        <f>G202*100/G229</f>
        <v>0</v>
      </c>
      <c r="I202" s="155">
        <v>3</v>
      </c>
      <c r="J202" s="212">
        <f>I202*100/I229</f>
        <v>33.333333332962965</v>
      </c>
      <c r="K202" s="223">
        <f>0.5*(D202+F202)</f>
        <v>0</v>
      </c>
      <c r="L202" s="224">
        <f t="shared" si="5"/>
        <v>16.666666666481483</v>
      </c>
    </row>
    <row r="203" spans="1:19">
      <c r="A203" s="263">
        <f t="shared" si="6"/>
        <v>3.9999999996</v>
      </c>
      <c r="B203" s="153">
        <v>4</v>
      </c>
      <c r="C203" s="153">
        <v>0</v>
      </c>
      <c r="D203" s="154">
        <f>C203*100/C229</f>
        <v>0</v>
      </c>
      <c r="E203" s="153">
        <v>0</v>
      </c>
      <c r="F203" s="154">
        <f>E203*100/E229</f>
        <v>0</v>
      </c>
      <c r="G203" s="153">
        <v>0</v>
      </c>
      <c r="H203" s="154">
        <f>G203*100/G229</f>
        <v>0</v>
      </c>
      <c r="I203" s="153">
        <v>0</v>
      </c>
      <c r="J203" s="211">
        <f>I203*100/I229</f>
        <v>0</v>
      </c>
      <c r="K203" s="215">
        <f>0.5*(D203+F203)</f>
        <v>0</v>
      </c>
      <c r="L203" s="216">
        <f t="shared" si="5"/>
        <v>0</v>
      </c>
    </row>
    <row r="204" spans="1:19">
      <c r="A204" s="263">
        <f t="shared" si="6"/>
        <v>4.49999999955</v>
      </c>
      <c r="B204" s="155">
        <v>4.5</v>
      </c>
      <c r="C204" s="155">
        <v>0</v>
      </c>
      <c r="D204" s="156">
        <f>C204*100/C229</f>
        <v>0</v>
      </c>
      <c r="E204" s="155">
        <v>3</v>
      </c>
      <c r="F204" s="156">
        <f>E204*100/E229</f>
        <v>49.999999999166668</v>
      </c>
      <c r="G204" s="155">
        <v>0</v>
      </c>
      <c r="H204" s="156">
        <f>G204*100/G229</f>
        <v>0</v>
      </c>
      <c r="I204" s="155">
        <v>0</v>
      </c>
      <c r="J204" s="212">
        <f>I204*100/I229</f>
        <v>0</v>
      </c>
      <c r="K204" s="223">
        <f t="shared" ref="K204:K228" si="7">0.5*(D204+F204)</f>
        <v>24.999999999583334</v>
      </c>
      <c r="L204" s="224">
        <f t="shared" si="5"/>
        <v>0</v>
      </c>
    </row>
    <row r="205" spans="1:19">
      <c r="A205" s="263">
        <f t="shared" si="6"/>
        <v>4.9999999995</v>
      </c>
      <c r="B205" s="153">
        <v>5</v>
      </c>
      <c r="C205" s="153">
        <v>0</v>
      </c>
      <c r="D205" s="154">
        <f>C205*100/C229</f>
        <v>0</v>
      </c>
      <c r="E205" s="153">
        <v>0</v>
      </c>
      <c r="F205" s="154">
        <f>E205*100/E229</f>
        <v>0</v>
      </c>
      <c r="G205" s="153">
        <v>0</v>
      </c>
      <c r="H205" s="154">
        <f>G205*100/G229</f>
        <v>0</v>
      </c>
      <c r="I205" s="153">
        <v>0</v>
      </c>
      <c r="J205" s="211">
        <f>I205*100/I229</f>
        <v>0</v>
      </c>
      <c r="K205" s="215">
        <f t="shared" si="7"/>
        <v>0</v>
      </c>
      <c r="L205" s="216">
        <f t="shared" si="5"/>
        <v>0</v>
      </c>
    </row>
    <row r="206" spans="1:19">
      <c r="A206" s="263">
        <f t="shared" si="6"/>
        <v>5.49999999945</v>
      </c>
      <c r="B206" s="155">
        <v>5.5</v>
      </c>
      <c r="C206" s="155">
        <v>0</v>
      </c>
      <c r="D206" s="156">
        <f>C206*100/C229</f>
        <v>0</v>
      </c>
      <c r="E206" s="155">
        <v>0</v>
      </c>
      <c r="F206" s="156">
        <f>E206*100/E229</f>
        <v>0</v>
      </c>
      <c r="G206" s="155">
        <v>1</v>
      </c>
      <c r="H206" s="156">
        <f>G206*100/G229</f>
        <v>14.285714285510204</v>
      </c>
      <c r="I206" s="155">
        <v>0</v>
      </c>
      <c r="J206" s="212">
        <f>I206*100/I229</f>
        <v>0</v>
      </c>
      <c r="K206" s="223">
        <f t="shared" si="7"/>
        <v>0</v>
      </c>
      <c r="L206" s="224">
        <f t="shared" si="5"/>
        <v>7.1428571427551022</v>
      </c>
    </row>
    <row r="207" spans="1:19">
      <c r="A207" s="263">
        <f t="shared" si="6"/>
        <v>5.9999999994</v>
      </c>
      <c r="B207" s="153">
        <v>6</v>
      </c>
      <c r="C207" s="153">
        <v>1</v>
      </c>
      <c r="D207" s="154">
        <f>C207*100/C229</f>
        <v>16.666666666388888</v>
      </c>
      <c r="E207" s="153">
        <v>0</v>
      </c>
      <c r="F207" s="154">
        <f>E207*100/E229</f>
        <v>0</v>
      </c>
      <c r="G207" s="153">
        <v>1</v>
      </c>
      <c r="H207" s="154">
        <f>G207*100/G229</f>
        <v>14.285714285510204</v>
      </c>
      <c r="I207" s="153">
        <v>0</v>
      </c>
      <c r="J207" s="211">
        <f>I207*100/I229</f>
        <v>0</v>
      </c>
      <c r="K207" s="215">
        <f t="shared" si="7"/>
        <v>8.3333333331944441</v>
      </c>
      <c r="L207" s="216">
        <f t="shared" si="5"/>
        <v>7.1428571427551022</v>
      </c>
    </row>
    <row r="208" spans="1:19">
      <c r="A208" s="263">
        <f t="shared" si="6"/>
        <v>6.4999999993499999</v>
      </c>
      <c r="B208" s="155">
        <v>6.5</v>
      </c>
      <c r="C208" s="155">
        <v>0</v>
      </c>
      <c r="D208" s="156">
        <f>C208*100/C229</f>
        <v>0</v>
      </c>
      <c r="E208" s="155">
        <v>0</v>
      </c>
      <c r="F208" s="156">
        <f>E208*100/E229</f>
        <v>0</v>
      </c>
      <c r="G208" s="155">
        <v>0</v>
      </c>
      <c r="H208" s="156">
        <f>G208*100/G229</f>
        <v>0</v>
      </c>
      <c r="I208" s="155">
        <v>2</v>
      </c>
      <c r="J208" s="212">
        <f>I208*100/I229</f>
        <v>22.222222221975308</v>
      </c>
      <c r="K208" s="223">
        <f t="shared" si="7"/>
        <v>0</v>
      </c>
      <c r="L208" s="224">
        <f t="shared" si="5"/>
        <v>11.111111110987654</v>
      </c>
    </row>
    <row r="209" spans="1:12">
      <c r="A209" s="263">
        <f t="shared" si="6"/>
        <v>6.9999999992999999</v>
      </c>
      <c r="B209" s="153">
        <v>7</v>
      </c>
      <c r="C209" s="153">
        <v>0</v>
      </c>
      <c r="D209" s="154">
        <f>C209*100/C229</f>
        <v>0</v>
      </c>
      <c r="E209" s="153">
        <v>0</v>
      </c>
      <c r="F209" s="154">
        <f>E209*100/E229</f>
        <v>0</v>
      </c>
      <c r="G209" s="153">
        <v>3</v>
      </c>
      <c r="H209" s="154">
        <f>G209*100/G229</f>
        <v>42.857142856530615</v>
      </c>
      <c r="I209" s="153">
        <v>1</v>
      </c>
      <c r="J209" s="211">
        <f>I209*100/I229</f>
        <v>11.111111110987654</v>
      </c>
      <c r="K209" s="215">
        <f t="shared" si="7"/>
        <v>0</v>
      </c>
      <c r="L209" s="216">
        <f t="shared" si="5"/>
        <v>26.984126983759133</v>
      </c>
    </row>
    <row r="210" spans="1:12">
      <c r="A210" s="263">
        <f t="shared" si="6"/>
        <v>7.4999999992499999</v>
      </c>
      <c r="B210" s="155">
        <v>7.5</v>
      </c>
      <c r="C210" s="155">
        <v>0</v>
      </c>
      <c r="D210" s="156">
        <f>C210*100/C229</f>
        <v>0</v>
      </c>
      <c r="E210" s="155">
        <v>0</v>
      </c>
      <c r="F210" s="156">
        <f>E210*100/E229</f>
        <v>0</v>
      </c>
      <c r="G210" s="155">
        <v>1</v>
      </c>
      <c r="H210" s="156">
        <f>G210*100/G229</f>
        <v>14.285714285510204</v>
      </c>
      <c r="I210" s="155">
        <v>1</v>
      </c>
      <c r="J210" s="212">
        <f>I210*100/I229</f>
        <v>11.111111110987654</v>
      </c>
      <c r="K210" s="223">
        <f t="shared" si="7"/>
        <v>0</v>
      </c>
      <c r="L210" s="224">
        <f t="shared" si="5"/>
        <v>12.69841269824893</v>
      </c>
    </row>
    <row r="211" spans="1:12">
      <c r="A211" s="263">
        <f t="shared" si="6"/>
        <v>7.9999999991999999</v>
      </c>
      <c r="B211" s="153">
        <v>8</v>
      </c>
      <c r="C211" s="153">
        <v>1</v>
      </c>
      <c r="D211" s="154">
        <f>C211*100/C229</f>
        <v>16.666666666388888</v>
      </c>
      <c r="E211" s="153">
        <v>0</v>
      </c>
      <c r="F211" s="154">
        <f>E211*100/E229</f>
        <v>0</v>
      </c>
      <c r="G211" s="153">
        <v>0</v>
      </c>
      <c r="H211" s="154">
        <f>G211*100/G229</f>
        <v>0</v>
      </c>
      <c r="I211" s="153">
        <v>1</v>
      </c>
      <c r="J211" s="211">
        <f>I211*100/I229</f>
        <v>11.111111110987654</v>
      </c>
      <c r="K211" s="215">
        <f t="shared" si="7"/>
        <v>8.3333333331944441</v>
      </c>
      <c r="L211" s="216">
        <f t="shared" si="5"/>
        <v>5.555555555493827</v>
      </c>
    </row>
    <row r="212" spans="1:12">
      <c r="A212" s="263">
        <f t="shared" si="6"/>
        <v>8.499999999149999</v>
      </c>
      <c r="B212" s="155">
        <v>8.5</v>
      </c>
      <c r="C212" s="155">
        <v>1</v>
      </c>
      <c r="D212" s="156">
        <f>C212*100/C229</f>
        <v>16.666666666388888</v>
      </c>
      <c r="E212" s="155">
        <v>0</v>
      </c>
      <c r="F212" s="156">
        <f>E212*100/E229</f>
        <v>0</v>
      </c>
      <c r="G212" s="155">
        <v>1</v>
      </c>
      <c r="H212" s="156">
        <f>G212*100/G229</f>
        <v>14.285714285510204</v>
      </c>
      <c r="I212" s="155">
        <v>0</v>
      </c>
      <c r="J212" s="212">
        <f>I212*100/I229</f>
        <v>0</v>
      </c>
      <c r="K212" s="223">
        <f t="shared" si="7"/>
        <v>8.3333333331944441</v>
      </c>
      <c r="L212" s="224">
        <f t="shared" si="5"/>
        <v>7.1428571427551022</v>
      </c>
    </row>
    <row r="213" spans="1:12">
      <c r="A213" s="263">
        <f t="shared" si="6"/>
        <v>8.9999999990999999</v>
      </c>
      <c r="B213" s="153">
        <v>9</v>
      </c>
      <c r="C213" s="153">
        <v>0</v>
      </c>
      <c r="D213" s="154">
        <f>C213*100/C229</f>
        <v>0</v>
      </c>
      <c r="E213" s="153">
        <v>0</v>
      </c>
      <c r="F213" s="154">
        <f>E213*100/E229</f>
        <v>0</v>
      </c>
      <c r="G213" s="153">
        <v>0</v>
      </c>
      <c r="H213" s="154">
        <f>G213*100/G229</f>
        <v>0</v>
      </c>
      <c r="I213" s="153">
        <v>0</v>
      </c>
      <c r="J213" s="211">
        <f>I213*100/I229</f>
        <v>0</v>
      </c>
      <c r="K213" s="215">
        <f t="shared" si="7"/>
        <v>0</v>
      </c>
      <c r="L213" s="216">
        <f t="shared" si="5"/>
        <v>0</v>
      </c>
    </row>
    <row r="214" spans="1:12">
      <c r="A214" s="263">
        <f t="shared" si="6"/>
        <v>9.4999999990500008</v>
      </c>
      <c r="B214" s="155">
        <v>9.5</v>
      </c>
      <c r="C214" s="155">
        <v>0</v>
      </c>
      <c r="D214" s="156">
        <f>C214*100/C229</f>
        <v>0</v>
      </c>
      <c r="E214" s="155">
        <v>0</v>
      </c>
      <c r="F214" s="156">
        <f>E214*100/E229</f>
        <v>0</v>
      </c>
      <c r="G214" s="155">
        <v>0</v>
      </c>
      <c r="H214" s="156">
        <f>G214*100/G229</f>
        <v>0</v>
      </c>
      <c r="I214" s="155">
        <v>0</v>
      </c>
      <c r="J214" s="212">
        <f>I214*100/I229</f>
        <v>0</v>
      </c>
      <c r="K214" s="223">
        <f t="shared" si="7"/>
        <v>0</v>
      </c>
      <c r="L214" s="224">
        <f t="shared" si="5"/>
        <v>0</v>
      </c>
    </row>
    <row r="215" spans="1:12">
      <c r="A215" s="263">
        <f t="shared" si="6"/>
        <v>9.9999999989999999</v>
      </c>
      <c r="B215" s="153">
        <v>10</v>
      </c>
      <c r="C215" s="153">
        <v>0</v>
      </c>
      <c r="D215" s="154">
        <f>C215*100/C229</f>
        <v>0</v>
      </c>
      <c r="E215" s="153">
        <v>0</v>
      </c>
      <c r="F215" s="154">
        <f>E215*100/E229</f>
        <v>0</v>
      </c>
      <c r="G215" s="153">
        <v>0</v>
      </c>
      <c r="H215" s="154">
        <f>G215*100/G229</f>
        <v>0</v>
      </c>
      <c r="I215" s="153">
        <v>0</v>
      </c>
      <c r="J215" s="211">
        <f>I215*100/I229</f>
        <v>0</v>
      </c>
      <c r="K215" s="215">
        <f t="shared" si="7"/>
        <v>0</v>
      </c>
      <c r="L215" s="216">
        <f t="shared" si="5"/>
        <v>0</v>
      </c>
    </row>
    <row r="216" spans="1:12">
      <c r="A216" s="263">
        <f t="shared" si="6"/>
        <v>10.499999998949999</v>
      </c>
      <c r="B216" s="155">
        <v>10.5</v>
      </c>
      <c r="C216" s="155">
        <v>0</v>
      </c>
      <c r="D216" s="156">
        <f>C216*100/C229</f>
        <v>0</v>
      </c>
      <c r="E216" s="155">
        <v>1</v>
      </c>
      <c r="F216" s="156">
        <f>E216*100/E229</f>
        <v>16.666666666388888</v>
      </c>
      <c r="G216" s="155">
        <v>0</v>
      </c>
      <c r="H216" s="156">
        <f>G216*100/G229</f>
        <v>0</v>
      </c>
      <c r="I216" s="155">
        <v>0</v>
      </c>
      <c r="J216" s="212">
        <f>I216*100/I229</f>
        <v>0</v>
      </c>
      <c r="K216" s="223">
        <f t="shared" si="7"/>
        <v>8.3333333331944441</v>
      </c>
      <c r="L216" s="224">
        <f t="shared" si="5"/>
        <v>0</v>
      </c>
    </row>
    <row r="217" spans="1:12">
      <c r="A217" s="263">
        <f t="shared" si="6"/>
        <v>10.9999999989</v>
      </c>
      <c r="B217" s="153">
        <v>11</v>
      </c>
      <c r="C217" s="153">
        <v>1</v>
      </c>
      <c r="D217" s="154">
        <f>C217*100/C229</f>
        <v>16.666666666388888</v>
      </c>
      <c r="E217" s="153">
        <v>2</v>
      </c>
      <c r="F217" s="154">
        <f>E217*100/E229</f>
        <v>33.333333332777777</v>
      </c>
      <c r="G217" s="153">
        <v>0</v>
      </c>
      <c r="H217" s="154">
        <f>G217*100/G229</f>
        <v>0</v>
      </c>
      <c r="I217" s="153">
        <v>0</v>
      </c>
      <c r="J217" s="211">
        <f>I217*100/I229</f>
        <v>0</v>
      </c>
      <c r="K217" s="215">
        <f t="shared" si="7"/>
        <v>24.999999999583331</v>
      </c>
      <c r="L217" s="216">
        <f t="shared" si="5"/>
        <v>0</v>
      </c>
    </row>
    <row r="218" spans="1:12">
      <c r="A218" s="263">
        <f t="shared" si="6"/>
        <v>11.499999998850001</v>
      </c>
      <c r="B218" s="155">
        <v>11.5</v>
      </c>
      <c r="C218" s="155">
        <v>0</v>
      </c>
      <c r="D218" s="156">
        <f>C218*100/C229</f>
        <v>0</v>
      </c>
      <c r="E218" s="155">
        <v>0</v>
      </c>
      <c r="F218" s="156">
        <f>E218*100/E229</f>
        <v>0</v>
      </c>
      <c r="G218" s="155">
        <v>0</v>
      </c>
      <c r="H218" s="156">
        <f>G218*100/G229</f>
        <v>0</v>
      </c>
      <c r="I218" s="155">
        <v>0</v>
      </c>
      <c r="J218" s="212">
        <f>I218*100/I229</f>
        <v>0</v>
      </c>
      <c r="K218" s="223">
        <f t="shared" si="7"/>
        <v>0</v>
      </c>
      <c r="L218" s="224">
        <f t="shared" si="5"/>
        <v>0</v>
      </c>
    </row>
    <row r="219" spans="1:12">
      <c r="A219" s="263">
        <f t="shared" si="6"/>
        <v>11.9999999988</v>
      </c>
      <c r="B219" s="153">
        <v>12</v>
      </c>
      <c r="C219" s="153">
        <v>0</v>
      </c>
      <c r="D219" s="154">
        <f>C219*100/C229</f>
        <v>0</v>
      </c>
      <c r="E219" s="153">
        <v>0</v>
      </c>
      <c r="F219" s="154">
        <f>E219*100/E229</f>
        <v>0</v>
      </c>
      <c r="G219" s="153">
        <v>0</v>
      </c>
      <c r="H219" s="154">
        <f>G219*100/G229</f>
        <v>0</v>
      </c>
      <c r="I219" s="153">
        <v>0</v>
      </c>
      <c r="J219" s="211">
        <f>I219*100/I229</f>
        <v>0</v>
      </c>
      <c r="K219" s="215">
        <f t="shared" si="7"/>
        <v>0</v>
      </c>
      <c r="L219" s="216">
        <f t="shared" si="5"/>
        <v>0</v>
      </c>
    </row>
    <row r="220" spans="1:12">
      <c r="A220" s="263">
        <f t="shared" si="6"/>
        <v>12.499999998749999</v>
      </c>
      <c r="B220" s="155">
        <v>12.5</v>
      </c>
      <c r="C220" s="155">
        <v>1</v>
      </c>
      <c r="D220" s="156">
        <f>C220*100/C229</f>
        <v>16.666666666388888</v>
      </c>
      <c r="E220" s="155">
        <v>0</v>
      </c>
      <c r="F220" s="156">
        <f>E220*100/E229</f>
        <v>0</v>
      </c>
      <c r="G220" s="155">
        <v>0</v>
      </c>
      <c r="H220" s="156">
        <f>G220*100/G229</f>
        <v>0</v>
      </c>
      <c r="I220" s="155">
        <v>0</v>
      </c>
      <c r="J220" s="212">
        <f>I220*100/I229</f>
        <v>0</v>
      </c>
      <c r="K220" s="223">
        <f t="shared" si="7"/>
        <v>8.3333333331944441</v>
      </c>
      <c r="L220" s="224">
        <f t="shared" si="5"/>
        <v>0</v>
      </c>
    </row>
    <row r="221" spans="1:12">
      <c r="A221" s="263">
        <f t="shared" si="6"/>
        <v>12.9999999987</v>
      </c>
      <c r="B221" s="153">
        <v>13</v>
      </c>
      <c r="C221" s="153">
        <v>0</v>
      </c>
      <c r="D221" s="154">
        <f>C221*100/C229</f>
        <v>0</v>
      </c>
      <c r="E221" s="153">
        <v>0</v>
      </c>
      <c r="F221" s="154">
        <f>E221*100/E229</f>
        <v>0</v>
      </c>
      <c r="G221" s="153">
        <v>0</v>
      </c>
      <c r="H221" s="154">
        <f>G221*100/G229</f>
        <v>0</v>
      </c>
      <c r="I221" s="153">
        <v>0</v>
      </c>
      <c r="J221" s="211">
        <f>I221*100/I229</f>
        <v>0</v>
      </c>
      <c r="K221" s="215">
        <f t="shared" si="7"/>
        <v>0</v>
      </c>
      <c r="L221" s="216">
        <f t="shared" si="5"/>
        <v>0</v>
      </c>
    </row>
    <row r="222" spans="1:12">
      <c r="A222" s="263">
        <f t="shared" si="6"/>
        <v>13.499999998650001</v>
      </c>
      <c r="B222" s="155">
        <v>13.5</v>
      </c>
      <c r="C222" s="155">
        <v>1</v>
      </c>
      <c r="D222" s="157">
        <f>C222*100/C229</f>
        <v>16.666666666388888</v>
      </c>
      <c r="E222" s="158">
        <v>0</v>
      </c>
      <c r="F222" s="157">
        <f>E222*100/E229</f>
        <v>0</v>
      </c>
      <c r="G222" s="158">
        <v>0</v>
      </c>
      <c r="H222" s="157">
        <f>G222*100/G229</f>
        <v>0</v>
      </c>
      <c r="I222" s="158">
        <v>0</v>
      </c>
      <c r="J222" s="213">
        <f>I222*100/I229</f>
        <v>0</v>
      </c>
      <c r="K222" s="223">
        <f t="shared" si="7"/>
        <v>8.3333333331944441</v>
      </c>
      <c r="L222" s="224">
        <f t="shared" si="5"/>
        <v>0</v>
      </c>
    </row>
    <row r="223" spans="1:12">
      <c r="A223" s="263">
        <f t="shared" si="6"/>
        <v>13.9999999986</v>
      </c>
      <c r="B223" s="219">
        <v>14</v>
      </c>
      <c r="C223" s="219">
        <v>0</v>
      </c>
      <c r="D223" s="220">
        <f>C223*100/C229</f>
        <v>0</v>
      </c>
      <c r="E223" s="221">
        <v>0</v>
      </c>
      <c r="F223" s="220">
        <f>E223*100/E229</f>
        <v>0</v>
      </c>
      <c r="G223" s="221">
        <v>0</v>
      </c>
      <c r="H223" s="220">
        <f>G223*100/G229</f>
        <v>0</v>
      </c>
      <c r="I223" s="221">
        <v>0</v>
      </c>
      <c r="J223" s="222">
        <f>I223*100/I229</f>
        <v>0</v>
      </c>
      <c r="K223" s="215">
        <f t="shared" si="7"/>
        <v>0</v>
      </c>
      <c r="L223" s="216">
        <f t="shared" si="5"/>
        <v>0</v>
      </c>
    </row>
    <row r="224" spans="1:12">
      <c r="A224" s="263">
        <f>0.9999999999*B224</f>
        <v>14.499999998549999</v>
      </c>
      <c r="B224" s="155">
        <v>14.5</v>
      </c>
      <c r="C224" s="155">
        <v>0</v>
      </c>
      <c r="D224" s="157">
        <f>C224*100/C229</f>
        <v>0</v>
      </c>
      <c r="E224" s="158">
        <v>0</v>
      </c>
      <c r="F224" s="157">
        <f>E224*100/E229</f>
        <v>0</v>
      </c>
      <c r="G224" s="158">
        <v>0</v>
      </c>
      <c r="H224" s="157">
        <f>G224*100/G229</f>
        <v>0</v>
      </c>
      <c r="I224" s="158">
        <v>0</v>
      </c>
      <c r="J224" s="213">
        <f>I224*100/I229</f>
        <v>0</v>
      </c>
      <c r="K224" s="223">
        <f t="shared" si="7"/>
        <v>0</v>
      </c>
      <c r="L224" s="224">
        <f t="shared" si="5"/>
        <v>0</v>
      </c>
    </row>
    <row r="225" spans="1:14">
      <c r="A225" s="263">
        <f t="shared" si="6"/>
        <v>14.9999999985</v>
      </c>
      <c r="B225" s="219">
        <v>15</v>
      </c>
      <c r="C225" s="219">
        <v>0</v>
      </c>
      <c r="D225" s="220">
        <f>C225*100/C229</f>
        <v>0</v>
      </c>
      <c r="E225" s="221">
        <v>0</v>
      </c>
      <c r="F225" s="220">
        <f>E225*100/E229</f>
        <v>0</v>
      </c>
      <c r="G225" s="221">
        <v>0</v>
      </c>
      <c r="H225" s="220">
        <f>G225*100/G229</f>
        <v>0</v>
      </c>
      <c r="I225" s="221">
        <v>0</v>
      </c>
      <c r="J225" s="222">
        <f>I225*100/I229</f>
        <v>0</v>
      </c>
      <c r="K225" s="215">
        <f t="shared" si="7"/>
        <v>0</v>
      </c>
      <c r="L225" s="216">
        <f t="shared" si="5"/>
        <v>0</v>
      </c>
    </row>
    <row r="226" spans="1:14">
      <c r="A226" s="263">
        <f>0.9999999999*B226</f>
        <v>15.499999998450001</v>
      </c>
      <c r="B226" s="155">
        <v>15.5</v>
      </c>
      <c r="C226" s="155">
        <v>0</v>
      </c>
      <c r="D226" s="157">
        <f>C226*100/C229</f>
        <v>0</v>
      </c>
      <c r="E226" s="158">
        <v>0</v>
      </c>
      <c r="F226" s="157">
        <f>E226*100/E229</f>
        <v>0</v>
      </c>
      <c r="G226" s="158">
        <v>0</v>
      </c>
      <c r="H226" s="157">
        <f>G226*100/G229</f>
        <v>0</v>
      </c>
      <c r="I226" s="158">
        <v>0</v>
      </c>
      <c r="J226" s="213">
        <f>I226*100/I229</f>
        <v>0</v>
      </c>
      <c r="K226" s="223">
        <f t="shared" si="7"/>
        <v>0</v>
      </c>
      <c r="L226" s="224">
        <f t="shared" si="5"/>
        <v>0</v>
      </c>
    </row>
    <row r="227" spans="1:14">
      <c r="A227" s="263">
        <f t="shared" si="6"/>
        <v>15.9999999984</v>
      </c>
      <c r="B227" s="219">
        <v>16</v>
      </c>
      <c r="C227" s="219">
        <v>0</v>
      </c>
      <c r="D227" s="220">
        <f>C227*100/C229</f>
        <v>0</v>
      </c>
      <c r="E227" s="221">
        <v>0</v>
      </c>
      <c r="F227" s="220">
        <f>E227*100/E229</f>
        <v>0</v>
      </c>
      <c r="G227" s="221">
        <v>0</v>
      </c>
      <c r="H227" s="220">
        <f>G227*100/G229</f>
        <v>0</v>
      </c>
      <c r="I227" s="221">
        <v>0</v>
      </c>
      <c r="J227" s="222">
        <f>I227*100/I229</f>
        <v>0</v>
      </c>
      <c r="K227" s="215">
        <f t="shared" si="7"/>
        <v>0</v>
      </c>
      <c r="L227" s="216">
        <f t="shared" si="5"/>
        <v>0</v>
      </c>
    </row>
    <row r="228" spans="1:14" ht="15" thickBot="1">
      <c r="A228" s="159">
        <f>0.9999999999*B228</f>
        <v>16.499999998349999</v>
      </c>
      <c r="B228" s="160">
        <v>16.5</v>
      </c>
      <c r="C228" s="160">
        <v>0</v>
      </c>
      <c r="D228" s="168">
        <f>C228*100/C229</f>
        <v>0</v>
      </c>
      <c r="E228" s="158">
        <v>0</v>
      </c>
      <c r="F228" s="157">
        <f>E228*100/E229</f>
        <v>0</v>
      </c>
      <c r="G228" s="158">
        <v>0</v>
      </c>
      <c r="H228" s="157">
        <f>G228*100/G229</f>
        <v>0</v>
      </c>
      <c r="I228" s="158">
        <v>0</v>
      </c>
      <c r="J228" s="214">
        <f>I228*100/I229</f>
        <v>0</v>
      </c>
      <c r="K228" s="223">
        <f t="shared" si="7"/>
        <v>0</v>
      </c>
      <c r="L228" s="224">
        <f t="shared" si="5"/>
        <v>0</v>
      </c>
    </row>
    <row r="229" spans="1:14" ht="15" thickBot="1">
      <c r="A229" s="806" t="s">
        <v>396</v>
      </c>
      <c r="B229" s="806"/>
      <c r="C229" s="161">
        <f>SUM(C200:C228)+0.0000000001</f>
        <v>6.0000000001</v>
      </c>
      <c r="D229" s="163">
        <f>SUM(D201:D228)</f>
        <v>99.999999998333337</v>
      </c>
      <c r="E229" s="162">
        <f>SUM(E200:E228)+0.0000000001</f>
        <v>6.0000000001</v>
      </c>
      <c r="F229" s="163">
        <f>SUM(F200:F228)</f>
        <v>99.999999998333323</v>
      </c>
      <c r="G229" s="162">
        <f>SUM(G200:G228)+0.0000000001</f>
        <v>7.0000000001</v>
      </c>
      <c r="H229" s="163">
        <f>SUM(H200:H228)</f>
        <v>99.99999999857144</v>
      </c>
      <c r="I229" s="162">
        <f>SUM(I200:I228)+0.0000000001</f>
        <v>9.0000000001</v>
      </c>
      <c r="J229" s="279">
        <f>SUM(J200:J228)</f>
        <v>99.999999998888882</v>
      </c>
      <c r="K229" s="227">
        <f>SUM(K200:K228)</f>
        <v>99.999999998333337</v>
      </c>
      <c r="L229" s="217">
        <f>SUM(L200:L228)</f>
        <v>99.999999998730146</v>
      </c>
    </row>
    <row r="230" spans="1:14" ht="15" thickBot="1">
      <c r="A230" s="778">
        <f>C229+E229+G229+I229</f>
        <v>28.0000000004</v>
      </c>
      <c r="B230" s="779"/>
      <c r="C230" s="779"/>
      <c r="D230" s="779"/>
      <c r="E230" s="779"/>
      <c r="F230" s="779"/>
      <c r="G230" s="779"/>
      <c r="H230" s="779"/>
      <c r="I230" s="779"/>
      <c r="J230" s="780"/>
      <c r="K230" s="139"/>
      <c r="L230" s="139"/>
    </row>
    <row r="231" spans="1:14">
      <c r="L231" s="80" t="s">
        <v>544</v>
      </c>
      <c r="M231" s="80" t="s">
        <v>543</v>
      </c>
      <c r="N231" s="139">
        <f>AVERAGE(Discrete!BT3:BT79,IC!CP3:CP64)</f>
        <v>9.1600607097472775</v>
      </c>
    </row>
    <row r="232" spans="1:14">
      <c r="L232" s="250" t="s">
        <v>545</v>
      </c>
      <c r="M232" s="250" t="s">
        <v>543</v>
      </c>
      <c r="N232" s="139">
        <f>AVERAGE(Discrete!BU3:BU79,IC!CQ3:CQ64)</f>
        <v>6.2250448590322147</v>
      </c>
    </row>
    <row r="245" spans="1:19">
      <c r="A245" s="250"/>
    </row>
    <row r="247" spans="1:19" ht="15" thickBot="1">
      <c r="O247" s="781" t="s">
        <v>896</v>
      </c>
      <c r="P247" s="781"/>
      <c r="Q247" s="781"/>
      <c r="R247" s="781"/>
      <c r="S247" s="781"/>
    </row>
    <row r="248" spans="1:19" ht="28.5" customHeight="1" thickBot="1">
      <c r="A248" s="778" t="s">
        <v>418</v>
      </c>
      <c r="B248" s="780"/>
      <c r="C248" s="799" t="s">
        <v>492</v>
      </c>
      <c r="D248" s="803"/>
      <c r="E248" s="800" t="s">
        <v>495</v>
      </c>
      <c r="F248" s="804"/>
      <c r="G248" s="799" t="s">
        <v>493</v>
      </c>
      <c r="H248" s="803"/>
      <c r="I248" s="800" t="s">
        <v>494</v>
      </c>
      <c r="J248" s="805"/>
      <c r="K248" s="794" t="s">
        <v>951</v>
      </c>
      <c r="L248" s="796" t="s">
        <v>952</v>
      </c>
    </row>
    <row r="249" spans="1:19" ht="15" thickBot="1">
      <c r="A249" s="141" t="s">
        <v>887</v>
      </c>
      <c r="B249" s="142" t="s">
        <v>243</v>
      </c>
      <c r="C249" s="143" t="s">
        <v>397</v>
      </c>
      <c r="D249" s="144" t="s">
        <v>945</v>
      </c>
      <c r="E249" s="145" t="s">
        <v>397</v>
      </c>
      <c r="F249" s="146" t="s">
        <v>945</v>
      </c>
      <c r="G249" s="147" t="s">
        <v>397</v>
      </c>
      <c r="H249" s="148" t="s">
        <v>945</v>
      </c>
      <c r="I249" s="145" t="s">
        <v>397</v>
      </c>
      <c r="J249" s="209" t="s">
        <v>945</v>
      </c>
      <c r="K249" s="795"/>
      <c r="L249" s="797"/>
    </row>
    <row r="250" spans="1:19">
      <c r="A250" s="259">
        <f>0.9999999999*B250</f>
        <v>2.49999999975</v>
      </c>
      <c r="B250" s="259">
        <v>2.5</v>
      </c>
      <c r="C250" s="150">
        <f t="array" ref="C250:C278">FREQUENCY(Discrete!BY3:BY79,Hists!A251:A278)</f>
        <v>0</v>
      </c>
      <c r="D250" s="151">
        <f>C250*100/C279</f>
        <v>0</v>
      </c>
      <c r="E250" s="150">
        <f t="array" ref="E250:E278">FREQUENCY(IC!CU3:CU64,Hists!A251:A278)</f>
        <v>0</v>
      </c>
      <c r="F250" s="151">
        <f>E250*100/E279</f>
        <v>0</v>
      </c>
      <c r="G250" s="150">
        <f t="array" ref="G250:G278">FREQUENCY(Discrete!BZ3:BZ79,Hists!A251:A278)</f>
        <v>0</v>
      </c>
      <c r="H250" s="151">
        <f>G250*100/G279</f>
        <v>0</v>
      </c>
      <c r="I250" s="150">
        <f t="array" ref="I250:I278">FREQUENCY(IC!CV3:CV64,Hists!A251:A278)</f>
        <v>0</v>
      </c>
      <c r="J250" s="210">
        <f>I250*100/I279</f>
        <v>0</v>
      </c>
      <c r="K250" s="215">
        <f>0.5*(D250+F250)</f>
        <v>0</v>
      </c>
      <c r="L250" s="216">
        <f>0.5*(H250+J250)</f>
        <v>0</v>
      </c>
    </row>
    <row r="251" spans="1:19">
      <c r="A251" s="152">
        <f>0.9999999999*B251</f>
        <v>2.9999999997</v>
      </c>
      <c r="B251" s="263">
        <v>3</v>
      </c>
      <c r="C251" s="153">
        <v>0</v>
      </c>
      <c r="D251" s="154">
        <f>C251*100/C279</f>
        <v>0</v>
      </c>
      <c r="E251" s="153">
        <v>0</v>
      </c>
      <c r="F251" s="154">
        <f>E251*100/E279</f>
        <v>0</v>
      </c>
      <c r="G251" s="153">
        <v>1</v>
      </c>
      <c r="H251" s="154">
        <f>G251*100/G279</f>
        <v>19.9999999996</v>
      </c>
      <c r="I251" s="153">
        <v>0</v>
      </c>
      <c r="J251" s="211">
        <f>I251*100/I279</f>
        <v>0</v>
      </c>
      <c r="K251" s="215">
        <f>0.5*(D251+F251)</f>
        <v>0</v>
      </c>
      <c r="L251" s="216">
        <f t="shared" ref="L251:L278" si="8">0.5*(H251+J251)</f>
        <v>9.9999999998</v>
      </c>
    </row>
    <row r="252" spans="1:19">
      <c r="A252" s="263">
        <f t="shared" ref="A252:A277" si="9">0.9999999999*B252</f>
        <v>3.49999999965</v>
      </c>
      <c r="B252" s="267">
        <v>3.5</v>
      </c>
      <c r="C252" s="155">
        <v>0</v>
      </c>
      <c r="D252" s="156">
        <f>C252*100/C279</f>
        <v>0</v>
      </c>
      <c r="E252" s="155">
        <v>0</v>
      </c>
      <c r="F252" s="156">
        <f>E252*100/E279</f>
        <v>0</v>
      </c>
      <c r="G252" s="155">
        <v>2</v>
      </c>
      <c r="H252" s="156">
        <f>G252*100/G279</f>
        <v>39.9999999992</v>
      </c>
      <c r="I252" s="155">
        <v>1</v>
      </c>
      <c r="J252" s="212">
        <f>I252*100/I279</f>
        <v>33.333333332222224</v>
      </c>
      <c r="K252" s="223">
        <f>0.5*(D252+F252)</f>
        <v>0</v>
      </c>
      <c r="L252" s="224">
        <f t="shared" si="8"/>
        <v>36.666666665711112</v>
      </c>
    </row>
    <row r="253" spans="1:19">
      <c r="A253" s="263">
        <f t="shared" si="9"/>
        <v>3.9999999996</v>
      </c>
      <c r="B253" s="263">
        <v>4</v>
      </c>
      <c r="C253" s="153">
        <v>0</v>
      </c>
      <c r="D253" s="154">
        <f>C253*100/C279</f>
        <v>0</v>
      </c>
      <c r="E253" s="153">
        <v>0</v>
      </c>
      <c r="F253" s="154">
        <f>E253*100/E279</f>
        <v>0</v>
      </c>
      <c r="G253" s="153">
        <v>1</v>
      </c>
      <c r="H253" s="154">
        <f>G253*100/G279</f>
        <v>19.9999999996</v>
      </c>
      <c r="I253" s="153">
        <v>2</v>
      </c>
      <c r="J253" s="211">
        <f>I253*100/I279</f>
        <v>66.666666664444449</v>
      </c>
      <c r="K253" s="215">
        <f>0.5*(D253+F253)</f>
        <v>0</v>
      </c>
      <c r="L253" s="216">
        <f t="shared" si="8"/>
        <v>43.333333332022221</v>
      </c>
    </row>
    <row r="254" spans="1:19">
      <c r="A254" s="263">
        <f t="shared" si="9"/>
        <v>4.49999999955</v>
      </c>
      <c r="B254" s="267">
        <v>4.5</v>
      </c>
      <c r="C254" s="155">
        <v>0</v>
      </c>
      <c r="D254" s="156">
        <f>C254*100/C279</f>
        <v>0</v>
      </c>
      <c r="E254" s="155">
        <v>0</v>
      </c>
      <c r="F254" s="156">
        <f>E254*100/E279</f>
        <v>0</v>
      </c>
      <c r="G254" s="155">
        <v>1</v>
      </c>
      <c r="H254" s="156">
        <f>G254*100/G279</f>
        <v>19.9999999996</v>
      </c>
      <c r="I254" s="155">
        <v>0</v>
      </c>
      <c r="J254" s="212">
        <f>I254*100/I279</f>
        <v>0</v>
      </c>
      <c r="K254" s="223">
        <f t="shared" ref="K254:K278" si="10">0.5*(D254+F254)</f>
        <v>0</v>
      </c>
      <c r="L254" s="224">
        <f t="shared" si="8"/>
        <v>9.9999999998</v>
      </c>
    </row>
    <row r="255" spans="1:19">
      <c r="A255" s="263">
        <f t="shared" si="9"/>
        <v>4.9999999995</v>
      </c>
      <c r="B255" s="263">
        <v>5</v>
      </c>
      <c r="C255" s="153">
        <v>0</v>
      </c>
      <c r="D255" s="154">
        <f>C255*100/C279</f>
        <v>0</v>
      </c>
      <c r="E255" s="153">
        <v>0</v>
      </c>
      <c r="F255" s="154">
        <f>E255*100/E279</f>
        <v>0</v>
      </c>
      <c r="G255" s="153">
        <v>0</v>
      </c>
      <c r="H255" s="154">
        <f>G255*100/G279</f>
        <v>0</v>
      </c>
      <c r="I255" s="153">
        <v>0</v>
      </c>
      <c r="J255" s="211">
        <f>I255*100/I279</f>
        <v>0</v>
      </c>
      <c r="K255" s="215">
        <f t="shared" si="10"/>
        <v>0</v>
      </c>
      <c r="L255" s="216">
        <f t="shared" si="8"/>
        <v>0</v>
      </c>
    </row>
    <row r="256" spans="1:19">
      <c r="A256" s="263">
        <f t="shared" si="9"/>
        <v>5.49999999945</v>
      </c>
      <c r="B256" s="267">
        <v>5.5</v>
      </c>
      <c r="C256" s="155">
        <v>0</v>
      </c>
      <c r="D256" s="156">
        <f>C256*100/C279</f>
        <v>0</v>
      </c>
      <c r="E256" s="155">
        <v>0</v>
      </c>
      <c r="F256" s="156">
        <f>E256*100/E279</f>
        <v>0</v>
      </c>
      <c r="G256" s="155">
        <v>0</v>
      </c>
      <c r="H256" s="156">
        <f>G256*100/G279</f>
        <v>0</v>
      </c>
      <c r="I256" s="155">
        <v>0</v>
      </c>
      <c r="J256" s="212">
        <f>I256*100/I279</f>
        <v>0</v>
      </c>
      <c r="K256" s="223">
        <f t="shared" si="10"/>
        <v>0</v>
      </c>
      <c r="L256" s="224">
        <f t="shared" si="8"/>
        <v>0</v>
      </c>
    </row>
    <row r="257" spans="1:12">
      <c r="A257" s="263">
        <f t="shared" si="9"/>
        <v>5.9999999994</v>
      </c>
      <c r="B257" s="263">
        <v>6</v>
      </c>
      <c r="C257" s="153">
        <v>0</v>
      </c>
      <c r="D257" s="154">
        <f>C257*100/C279</f>
        <v>0</v>
      </c>
      <c r="E257" s="153">
        <v>0</v>
      </c>
      <c r="F257" s="154">
        <f>E257*100/E279</f>
        <v>0</v>
      </c>
      <c r="G257" s="153">
        <v>0</v>
      </c>
      <c r="H257" s="154">
        <f>G257*100/G279</f>
        <v>0</v>
      </c>
      <c r="I257" s="153">
        <v>0</v>
      </c>
      <c r="J257" s="211">
        <f>I257*100/I279</f>
        <v>0</v>
      </c>
      <c r="K257" s="215">
        <f t="shared" si="10"/>
        <v>0</v>
      </c>
      <c r="L257" s="216">
        <f t="shared" si="8"/>
        <v>0</v>
      </c>
    </row>
    <row r="258" spans="1:12">
      <c r="A258" s="263">
        <f t="shared" si="9"/>
        <v>6.4999999993499999</v>
      </c>
      <c r="B258" s="267">
        <v>6.5</v>
      </c>
      <c r="C258" s="155">
        <v>0</v>
      </c>
      <c r="D258" s="156">
        <f>C258*100/C279</f>
        <v>0</v>
      </c>
      <c r="E258" s="155">
        <v>0</v>
      </c>
      <c r="F258" s="156">
        <f>E258*100/E279</f>
        <v>0</v>
      </c>
      <c r="G258" s="155">
        <v>0</v>
      </c>
      <c r="H258" s="156">
        <f>G258*100/G279</f>
        <v>0</v>
      </c>
      <c r="I258" s="155">
        <v>0</v>
      </c>
      <c r="J258" s="212">
        <f>I258*100/I279</f>
        <v>0</v>
      </c>
      <c r="K258" s="223">
        <f t="shared" si="10"/>
        <v>0</v>
      </c>
      <c r="L258" s="224">
        <f t="shared" si="8"/>
        <v>0</v>
      </c>
    </row>
    <row r="259" spans="1:12">
      <c r="A259" s="263">
        <f t="shared" si="9"/>
        <v>6.9999999992999999</v>
      </c>
      <c r="B259" s="263">
        <v>7</v>
      </c>
      <c r="C259" s="153">
        <v>0</v>
      </c>
      <c r="D259" s="154">
        <f>C259*100/C279</f>
        <v>0</v>
      </c>
      <c r="E259" s="153">
        <v>0</v>
      </c>
      <c r="F259" s="154">
        <f>E259*100/E279</f>
        <v>0</v>
      </c>
      <c r="G259" s="153">
        <v>0</v>
      </c>
      <c r="H259" s="154">
        <f>G259*100/G279</f>
        <v>0</v>
      </c>
      <c r="I259" s="153">
        <v>0</v>
      </c>
      <c r="J259" s="211">
        <f>I259*100/I279</f>
        <v>0</v>
      </c>
      <c r="K259" s="215">
        <f t="shared" si="10"/>
        <v>0</v>
      </c>
      <c r="L259" s="216">
        <f t="shared" si="8"/>
        <v>0</v>
      </c>
    </row>
    <row r="260" spans="1:12">
      <c r="A260" s="263">
        <f t="shared" si="9"/>
        <v>7.4999999992499999</v>
      </c>
      <c r="B260" s="267">
        <v>7.5</v>
      </c>
      <c r="C260" s="155">
        <v>0</v>
      </c>
      <c r="D260" s="156">
        <f>C260*100/C279</f>
        <v>0</v>
      </c>
      <c r="E260" s="155">
        <v>0</v>
      </c>
      <c r="F260" s="156">
        <f>E260*100/E279</f>
        <v>0</v>
      </c>
      <c r="G260" s="155">
        <v>0</v>
      </c>
      <c r="H260" s="156">
        <f>G260*100/G279</f>
        <v>0</v>
      </c>
      <c r="I260" s="155">
        <v>0</v>
      </c>
      <c r="J260" s="212">
        <f>I260*100/I279</f>
        <v>0</v>
      </c>
      <c r="K260" s="223">
        <f t="shared" si="10"/>
        <v>0</v>
      </c>
      <c r="L260" s="224">
        <f t="shared" si="8"/>
        <v>0</v>
      </c>
    </row>
    <row r="261" spans="1:12">
      <c r="A261" s="263">
        <f t="shared" si="9"/>
        <v>7.9999999991999999</v>
      </c>
      <c r="B261" s="263">
        <v>8</v>
      </c>
      <c r="C261" s="153">
        <v>0</v>
      </c>
      <c r="D261" s="154">
        <f>C261*100/C279</f>
        <v>0</v>
      </c>
      <c r="E261" s="153">
        <v>0</v>
      </c>
      <c r="F261" s="154">
        <f>E261*100/E279</f>
        <v>0</v>
      </c>
      <c r="G261" s="153">
        <v>0</v>
      </c>
      <c r="H261" s="154">
        <f>G261*100/G279</f>
        <v>0</v>
      </c>
      <c r="I261" s="153">
        <v>0</v>
      </c>
      <c r="J261" s="211">
        <f>I261*100/I279</f>
        <v>0</v>
      </c>
      <c r="K261" s="215">
        <f t="shared" si="10"/>
        <v>0</v>
      </c>
      <c r="L261" s="216">
        <f t="shared" si="8"/>
        <v>0</v>
      </c>
    </row>
    <row r="262" spans="1:12">
      <c r="A262" s="263">
        <f t="shared" si="9"/>
        <v>8.499999999149999</v>
      </c>
      <c r="B262" s="267">
        <v>8.5</v>
      </c>
      <c r="C262" s="155">
        <v>0</v>
      </c>
      <c r="D262" s="156">
        <f>C262*100/C279</f>
        <v>0</v>
      </c>
      <c r="E262" s="155">
        <v>0</v>
      </c>
      <c r="F262" s="156">
        <f>E262*100/E279</f>
        <v>0</v>
      </c>
      <c r="G262" s="155">
        <v>0</v>
      </c>
      <c r="H262" s="156">
        <f>G262*100/G279</f>
        <v>0</v>
      </c>
      <c r="I262" s="155">
        <v>0</v>
      </c>
      <c r="J262" s="212">
        <f>I262*100/I279</f>
        <v>0</v>
      </c>
      <c r="K262" s="223">
        <f t="shared" si="10"/>
        <v>0</v>
      </c>
      <c r="L262" s="224">
        <f t="shared" si="8"/>
        <v>0</v>
      </c>
    </row>
    <row r="263" spans="1:12">
      <c r="A263" s="263">
        <f t="shared" si="9"/>
        <v>8.9999999990999999</v>
      </c>
      <c r="B263" s="263">
        <v>9</v>
      </c>
      <c r="C263" s="153">
        <v>0</v>
      </c>
      <c r="D263" s="154">
        <f>C263*100/C279</f>
        <v>0</v>
      </c>
      <c r="E263" s="153">
        <v>0</v>
      </c>
      <c r="F263" s="154">
        <f>E263*100/E279</f>
        <v>0</v>
      </c>
      <c r="G263" s="153">
        <v>0</v>
      </c>
      <c r="H263" s="154">
        <f>G263*100/G279</f>
        <v>0</v>
      </c>
      <c r="I263" s="153">
        <v>0</v>
      </c>
      <c r="J263" s="211">
        <f>I263*100/I279</f>
        <v>0</v>
      </c>
      <c r="K263" s="215">
        <f t="shared" si="10"/>
        <v>0</v>
      </c>
      <c r="L263" s="216">
        <f t="shared" si="8"/>
        <v>0</v>
      </c>
    </row>
    <row r="264" spans="1:12">
      <c r="A264" s="263">
        <f t="shared" si="9"/>
        <v>9.4999999990500008</v>
      </c>
      <c r="B264" s="267">
        <v>9.5</v>
      </c>
      <c r="C264" s="155">
        <v>0</v>
      </c>
      <c r="D264" s="156">
        <f>C264*100/C279</f>
        <v>0</v>
      </c>
      <c r="E264" s="155">
        <v>0</v>
      </c>
      <c r="F264" s="156">
        <f>E264*100/E279</f>
        <v>0</v>
      </c>
      <c r="G264" s="155">
        <v>0</v>
      </c>
      <c r="H264" s="156">
        <f>G264*100/G279</f>
        <v>0</v>
      </c>
      <c r="I264" s="155">
        <v>0</v>
      </c>
      <c r="J264" s="212">
        <f>I264*100/I279</f>
        <v>0</v>
      </c>
      <c r="K264" s="223">
        <f t="shared" si="10"/>
        <v>0</v>
      </c>
      <c r="L264" s="224">
        <f t="shared" si="8"/>
        <v>0</v>
      </c>
    </row>
    <row r="265" spans="1:12">
      <c r="A265" s="263">
        <f t="shared" si="9"/>
        <v>9.9999999989999999</v>
      </c>
      <c r="B265" s="263">
        <v>10</v>
      </c>
      <c r="C265" s="153">
        <v>0</v>
      </c>
      <c r="D265" s="154">
        <f>C265*100/C279</f>
        <v>0</v>
      </c>
      <c r="E265" s="153">
        <v>0</v>
      </c>
      <c r="F265" s="154">
        <f>E265*100/E279</f>
        <v>0</v>
      </c>
      <c r="G265" s="153">
        <v>0</v>
      </c>
      <c r="H265" s="154">
        <f>G265*100/G279</f>
        <v>0</v>
      </c>
      <c r="I265" s="153">
        <v>0</v>
      </c>
      <c r="J265" s="211">
        <f>I265*100/I279</f>
        <v>0</v>
      </c>
      <c r="K265" s="215">
        <f t="shared" si="10"/>
        <v>0</v>
      </c>
      <c r="L265" s="216">
        <f t="shared" si="8"/>
        <v>0</v>
      </c>
    </row>
    <row r="266" spans="1:12">
      <c r="A266" s="263">
        <f t="shared" si="9"/>
        <v>10.499999998949999</v>
      </c>
      <c r="B266" s="267">
        <v>10.5</v>
      </c>
      <c r="C266" s="155">
        <v>1</v>
      </c>
      <c r="D266" s="156">
        <f>C266*100/C279</f>
        <v>33.333333332222224</v>
      </c>
      <c r="E266" s="155">
        <v>0</v>
      </c>
      <c r="F266" s="156">
        <f>E266*100/E279</f>
        <v>0</v>
      </c>
      <c r="G266" s="155">
        <v>0</v>
      </c>
      <c r="H266" s="156">
        <f>G266*100/G279</f>
        <v>0</v>
      </c>
      <c r="I266" s="155">
        <v>0</v>
      </c>
      <c r="J266" s="212">
        <f>I266*100/I279</f>
        <v>0</v>
      </c>
      <c r="K266" s="223">
        <f t="shared" si="10"/>
        <v>16.666666666111112</v>
      </c>
      <c r="L266" s="224">
        <f t="shared" si="8"/>
        <v>0</v>
      </c>
    </row>
    <row r="267" spans="1:12">
      <c r="A267" s="263">
        <f t="shared" si="9"/>
        <v>10.9999999989</v>
      </c>
      <c r="B267" s="263">
        <v>11</v>
      </c>
      <c r="C267" s="153">
        <v>0</v>
      </c>
      <c r="D267" s="154">
        <f>C267*100/C279</f>
        <v>0</v>
      </c>
      <c r="E267" s="153">
        <v>0</v>
      </c>
      <c r="F267" s="154">
        <f>E267*100/E279</f>
        <v>0</v>
      </c>
      <c r="G267" s="153">
        <v>0</v>
      </c>
      <c r="H267" s="154">
        <f>G267*100/G279</f>
        <v>0</v>
      </c>
      <c r="I267" s="153">
        <v>0</v>
      </c>
      <c r="J267" s="211">
        <f>I267*100/I279</f>
        <v>0</v>
      </c>
      <c r="K267" s="215">
        <f t="shared" si="10"/>
        <v>0</v>
      </c>
      <c r="L267" s="216">
        <f t="shared" si="8"/>
        <v>0</v>
      </c>
    </row>
    <row r="268" spans="1:12">
      <c r="A268" s="263">
        <f t="shared" si="9"/>
        <v>11.499999998850001</v>
      </c>
      <c r="B268" s="267">
        <v>11.5</v>
      </c>
      <c r="C268" s="155">
        <v>2</v>
      </c>
      <c r="D268" s="156">
        <f>C268*100/C279</f>
        <v>66.666666664444449</v>
      </c>
      <c r="E268" s="155">
        <v>0</v>
      </c>
      <c r="F268" s="156">
        <f>E268*100/E279</f>
        <v>0</v>
      </c>
      <c r="G268" s="155">
        <v>0</v>
      </c>
      <c r="H268" s="156">
        <f>G268*100/G279</f>
        <v>0</v>
      </c>
      <c r="I268" s="155">
        <v>0</v>
      </c>
      <c r="J268" s="212">
        <f>I268*100/I279</f>
        <v>0</v>
      </c>
      <c r="K268" s="223">
        <f t="shared" si="10"/>
        <v>33.333333332222224</v>
      </c>
      <c r="L268" s="224">
        <f t="shared" si="8"/>
        <v>0</v>
      </c>
    </row>
    <row r="269" spans="1:12">
      <c r="A269" s="263">
        <f t="shared" si="9"/>
        <v>11.9999999988</v>
      </c>
      <c r="B269" s="263">
        <v>12</v>
      </c>
      <c r="C269" s="153">
        <v>0</v>
      </c>
      <c r="D269" s="154">
        <f>C269*100/C279</f>
        <v>0</v>
      </c>
      <c r="E269" s="153">
        <v>2</v>
      </c>
      <c r="F269" s="154">
        <f>E269*100/E279</f>
        <v>99.999999994999996</v>
      </c>
      <c r="G269" s="153">
        <v>0</v>
      </c>
      <c r="H269" s="154">
        <f>G269*100/G279</f>
        <v>0</v>
      </c>
      <c r="I269" s="153">
        <v>0</v>
      </c>
      <c r="J269" s="211">
        <f>I269*100/I279</f>
        <v>0</v>
      </c>
      <c r="K269" s="215">
        <f t="shared" si="10"/>
        <v>49.999999997499998</v>
      </c>
      <c r="L269" s="216">
        <f t="shared" si="8"/>
        <v>0</v>
      </c>
    </row>
    <row r="270" spans="1:12">
      <c r="A270" s="263">
        <f t="shared" si="9"/>
        <v>12.499999998749999</v>
      </c>
      <c r="B270" s="267">
        <v>12.5</v>
      </c>
      <c r="C270" s="155">
        <v>0</v>
      </c>
      <c r="D270" s="156">
        <f>C270*100/C279</f>
        <v>0</v>
      </c>
      <c r="E270" s="155">
        <v>0</v>
      </c>
      <c r="F270" s="156">
        <f>E270*100/E279</f>
        <v>0</v>
      </c>
      <c r="G270" s="155">
        <v>0</v>
      </c>
      <c r="H270" s="156">
        <f>G270*100/G279</f>
        <v>0</v>
      </c>
      <c r="I270" s="155">
        <v>0</v>
      </c>
      <c r="J270" s="212">
        <f>I270*100/I279</f>
        <v>0</v>
      </c>
      <c r="K270" s="223">
        <f t="shared" si="10"/>
        <v>0</v>
      </c>
      <c r="L270" s="224">
        <f t="shared" si="8"/>
        <v>0</v>
      </c>
    </row>
    <row r="271" spans="1:12">
      <c r="A271" s="263">
        <f t="shared" si="9"/>
        <v>12.9999999987</v>
      </c>
      <c r="B271" s="263">
        <v>13</v>
      </c>
      <c r="C271" s="153">
        <v>0</v>
      </c>
      <c r="D271" s="154">
        <f>C271*100/C279</f>
        <v>0</v>
      </c>
      <c r="E271" s="153">
        <v>0</v>
      </c>
      <c r="F271" s="154">
        <f>E271*100/E279</f>
        <v>0</v>
      </c>
      <c r="G271" s="153">
        <v>0</v>
      </c>
      <c r="H271" s="154">
        <f>G271*100/G279</f>
        <v>0</v>
      </c>
      <c r="I271" s="153">
        <v>0</v>
      </c>
      <c r="J271" s="211">
        <f>I271*100/I279</f>
        <v>0</v>
      </c>
      <c r="K271" s="215">
        <f t="shared" si="10"/>
        <v>0</v>
      </c>
      <c r="L271" s="216">
        <f t="shared" si="8"/>
        <v>0</v>
      </c>
    </row>
    <row r="272" spans="1:12">
      <c r="A272" s="263">
        <f t="shared" si="9"/>
        <v>13.499999998650001</v>
      </c>
      <c r="B272" s="267">
        <v>13.5</v>
      </c>
      <c r="C272" s="155">
        <v>0</v>
      </c>
      <c r="D272" s="157">
        <f>C272*100/C279</f>
        <v>0</v>
      </c>
      <c r="E272" s="158">
        <v>0</v>
      </c>
      <c r="F272" s="157">
        <f>E272*100/E279</f>
        <v>0</v>
      </c>
      <c r="G272" s="158">
        <v>0</v>
      </c>
      <c r="H272" s="157">
        <f>G272*100/G279</f>
        <v>0</v>
      </c>
      <c r="I272" s="158">
        <v>0</v>
      </c>
      <c r="J272" s="213">
        <f>I272*100/I279</f>
        <v>0</v>
      </c>
      <c r="K272" s="223">
        <f t="shared" si="10"/>
        <v>0</v>
      </c>
      <c r="L272" s="224">
        <f t="shared" si="8"/>
        <v>0</v>
      </c>
    </row>
    <row r="273" spans="1:14">
      <c r="A273" s="263">
        <f t="shared" si="9"/>
        <v>13.9999999986</v>
      </c>
      <c r="B273" s="218">
        <v>14</v>
      </c>
      <c r="C273" s="219">
        <v>0</v>
      </c>
      <c r="D273" s="220">
        <f>C273*100/C279</f>
        <v>0</v>
      </c>
      <c r="E273" s="221">
        <v>0</v>
      </c>
      <c r="F273" s="220">
        <f>E273*100/E279</f>
        <v>0</v>
      </c>
      <c r="G273" s="221">
        <v>0</v>
      </c>
      <c r="H273" s="220">
        <f>G273*100/G279</f>
        <v>0</v>
      </c>
      <c r="I273" s="221">
        <v>0</v>
      </c>
      <c r="J273" s="222">
        <f>I273*100/I279</f>
        <v>0</v>
      </c>
      <c r="K273" s="215">
        <f t="shared" si="10"/>
        <v>0</v>
      </c>
      <c r="L273" s="216">
        <f t="shared" si="8"/>
        <v>0</v>
      </c>
    </row>
    <row r="274" spans="1:14">
      <c r="A274" s="263">
        <f t="shared" si="9"/>
        <v>14.499999998549999</v>
      </c>
      <c r="B274" s="267">
        <v>14.5</v>
      </c>
      <c r="C274" s="155">
        <v>0</v>
      </c>
      <c r="D274" s="157">
        <f>C274*100/C279</f>
        <v>0</v>
      </c>
      <c r="E274" s="158">
        <v>0</v>
      </c>
      <c r="F274" s="157">
        <f>E274*100/E279</f>
        <v>0</v>
      </c>
      <c r="G274" s="158">
        <v>0</v>
      </c>
      <c r="H274" s="157">
        <f>G274*100/G279</f>
        <v>0</v>
      </c>
      <c r="I274" s="158">
        <v>0</v>
      </c>
      <c r="J274" s="213">
        <f>I274*100/I279</f>
        <v>0</v>
      </c>
      <c r="K274" s="223">
        <f t="shared" si="10"/>
        <v>0</v>
      </c>
      <c r="L274" s="224">
        <f t="shared" si="8"/>
        <v>0</v>
      </c>
    </row>
    <row r="275" spans="1:14">
      <c r="A275" s="263">
        <f t="shared" si="9"/>
        <v>14.9999999985</v>
      </c>
      <c r="B275" s="218">
        <v>15</v>
      </c>
      <c r="C275" s="219">
        <v>0</v>
      </c>
      <c r="D275" s="220">
        <f>C275*100/C279</f>
        <v>0</v>
      </c>
      <c r="E275" s="221">
        <v>0</v>
      </c>
      <c r="F275" s="220">
        <f>E275*100/E279</f>
        <v>0</v>
      </c>
      <c r="G275" s="221">
        <v>0</v>
      </c>
      <c r="H275" s="220">
        <f>G275*100/G279</f>
        <v>0</v>
      </c>
      <c r="I275" s="221">
        <v>0</v>
      </c>
      <c r="J275" s="222">
        <f>I275*100/I279</f>
        <v>0</v>
      </c>
      <c r="K275" s="215">
        <f t="shared" si="10"/>
        <v>0</v>
      </c>
      <c r="L275" s="216">
        <f t="shared" si="8"/>
        <v>0</v>
      </c>
    </row>
    <row r="276" spans="1:14">
      <c r="A276" s="263">
        <f t="shared" si="9"/>
        <v>15.499999998450001</v>
      </c>
      <c r="B276" s="267">
        <v>15.5</v>
      </c>
      <c r="C276" s="155">
        <v>0</v>
      </c>
      <c r="D276" s="157">
        <f>C276*100/C279</f>
        <v>0</v>
      </c>
      <c r="E276" s="158">
        <v>0</v>
      </c>
      <c r="F276" s="157">
        <f>E276*100/E279</f>
        <v>0</v>
      </c>
      <c r="G276" s="158">
        <v>0</v>
      </c>
      <c r="H276" s="157">
        <f>G276*100/G279</f>
        <v>0</v>
      </c>
      <c r="I276" s="158">
        <v>0</v>
      </c>
      <c r="J276" s="213">
        <f>I276*100/I279</f>
        <v>0</v>
      </c>
      <c r="K276" s="223">
        <f t="shared" si="10"/>
        <v>0</v>
      </c>
      <c r="L276" s="224">
        <f t="shared" si="8"/>
        <v>0</v>
      </c>
    </row>
    <row r="277" spans="1:14">
      <c r="A277" s="263">
        <f t="shared" si="9"/>
        <v>15.9999999984</v>
      </c>
      <c r="B277" s="218">
        <v>16</v>
      </c>
      <c r="C277" s="219">
        <v>0</v>
      </c>
      <c r="D277" s="220">
        <f>C277*100/C279</f>
        <v>0</v>
      </c>
      <c r="E277" s="221">
        <v>0</v>
      </c>
      <c r="F277" s="220">
        <f>E277*100/E279</f>
        <v>0</v>
      </c>
      <c r="G277" s="221">
        <v>0</v>
      </c>
      <c r="H277" s="220">
        <f>G277*100/G279</f>
        <v>0</v>
      </c>
      <c r="I277" s="221">
        <v>0</v>
      </c>
      <c r="J277" s="222">
        <f>I277*100/I279</f>
        <v>0</v>
      </c>
      <c r="K277" s="215">
        <f t="shared" si="10"/>
        <v>0</v>
      </c>
      <c r="L277" s="216">
        <f t="shared" si="8"/>
        <v>0</v>
      </c>
    </row>
    <row r="278" spans="1:14" ht="15" thickBot="1">
      <c r="A278" s="159">
        <f>0.9999999999*B278</f>
        <v>16.499999998349999</v>
      </c>
      <c r="B278" s="274">
        <v>16.5</v>
      </c>
      <c r="C278" s="160">
        <v>0</v>
      </c>
      <c r="D278" s="168">
        <f>C278*100/C279</f>
        <v>0</v>
      </c>
      <c r="E278" s="158">
        <v>0</v>
      </c>
      <c r="F278" s="157">
        <f>E278*100/E279</f>
        <v>0</v>
      </c>
      <c r="G278" s="158">
        <v>0</v>
      </c>
      <c r="H278" s="157">
        <f>G278*100/G279</f>
        <v>0</v>
      </c>
      <c r="I278" s="158">
        <v>0</v>
      </c>
      <c r="J278" s="214">
        <f>I278*100/I279</f>
        <v>0</v>
      </c>
      <c r="K278" s="223">
        <f t="shared" si="10"/>
        <v>0</v>
      </c>
      <c r="L278" s="224">
        <f t="shared" si="8"/>
        <v>0</v>
      </c>
    </row>
    <row r="279" spans="1:14" ht="15" thickBot="1">
      <c r="A279" s="806" t="s">
        <v>396</v>
      </c>
      <c r="B279" s="806"/>
      <c r="C279" s="161">
        <f>SUM(C250:C278)+0.0000000001</f>
        <v>3.0000000001</v>
      </c>
      <c r="D279" s="163">
        <f>SUM(D251:D278)</f>
        <v>99.999999996666673</v>
      </c>
      <c r="E279" s="162">
        <f>SUM(E250:E278)+0.0000000001</f>
        <v>2.0000000001</v>
      </c>
      <c r="F279" s="163">
        <f>SUM(F250:F278)</f>
        <v>99.999999994999996</v>
      </c>
      <c r="G279" s="162">
        <f>SUM(G250:G278)+0.0000000001</f>
        <v>5.0000000001</v>
      </c>
      <c r="H279" s="163">
        <f>SUM(H250:H278)</f>
        <v>99.999999997999993</v>
      </c>
      <c r="I279" s="162">
        <f>SUM(I250:I278)+0.0000000001</f>
        <v>3.0000000001</v>
      </c>
      <c r="J279" s="279">
        <f>SUM(J250:J278)</f>
        <v>99.999999996666673</v>
      </c>
      <c r="K279" s="227">
        <f>SUM(K250:K278)</f>
        <v>99.999999995833335</v>
      </c>
      <c r="L279" s="217">
        <f>SUM(L250:L278)</f>
        <v>99.999999997333333</v>
      </c>
    </row>
    <row r="280" spans="1:14" ht="15" thickBot="1">
      <c r="A280" s="778">
        <f>C279+E279+G279+I279</f>
        <v>13.0000000004</v>
      </c>
      <c r="B280" s="779"/>
      <c r="C280" s="779"/>
      <c r="D280" s="779"/>
      <c r="E280" s="779"/>
      <c r="F280" s="779"/>
      <c r="G280" s="779"/>
      <c r="H280" s="779"/>
      <c r="I280" s="779"/>
      <c r="J280" s="780"/>
      <c r="K280" s="139"/>
      <c r="L280" s="139"/>
    </row>
    <row r="283" spans="1:14">
      <c r="L283" s="250" t="s">
        <v>544</v>
      </c>
      <c r="M283" s="250" t="s">
        <v>543</v>
      </c>
      <c r="N283" s="139">
        <f>AVERAGE(Discrete!BY3:BY79,IC!CU3:CU64)</f>
        <v>11.674256808463735</v>
      </c>
    </row>
    <row r="284" spans="1:14">
      <c r="L284" s="250" t="s">
        <v>545</v>
      </c>
      <c r="M284" s="250" t="s">
        <v>543</v>
      </c>
      <c r="N284" s="139">
        <f>AVERAGE(Discrete!BZ3:BZ79,IC!CV3:CV64)</f>
        <v>3.9389327125458671</v>
      </c>
    </row>
    <row r="296" spans="1:19">
      <c r="O296" s="781" t="s">
        <v>898</v>
      </c>
      <c r="P296" s="781"/>
      <c r="Q296" s="781"/>
      <c r="R296" s="781"/>
      <c r="S296" s="781"/>
    </row>
    <row r="297" spans="1:19" ht="15" thickBot="1"/>
    <row r="298" spans="1:19" ht="26.25" customHeight="1" thickBot="1">
      <c r="A298" s="778" t="s">
        <v>434</v>
      </c>
      <c r="B298" s="780"/>
      <c r="C298" s="799" t="s">
        <v>492</v>
      </c>
      <c r="D298" s="803"/>
      <c r="E298" s="800" t="s">
        <v>495</v>
      </c>
      <c r="F298" s="804"/>
      <c r="G298" s="799" t="s">
        <v>493</v>
      </c>
      <c r="H298" s="803"/>
      <c r="I298" s="800" t="s">
        <v>494</v>
      </c>
      <c r="J298" s="805"/>
      <c r="K298" s="794" t="s">
        <v>951</v>
      </c>
      <c r="L298" s="796" t="s">
        <v>952</v>
      </c>
    </row>
    <row r="299" spans="1:19" ht="15" thickBot="1">
      <c r="A299" s="141" t="s">
        <v>887</v>
      </c>
      <c r="B299" s="142" t="s">
        <v>243</v>
      </c>
      <c r="C299" s="143" t="s">
        <v>397</v>
      </c>
      <c r="D299" s="144" t="s">
        <v>945</v>
      </c>
      <c r="E299" s="145" t="s">
        <v>397</v>
      </c>
      <c r="F299" s="146" t="s">
        <v>945</v>
      </c>
      <c r="G299" s="147" t="s">
        <v>397</v>
      </c>
      <c r="H299" s="148" t="s">
        <v>945</v>
      </c>
      <c r="I299" s="145" t="s">
        <v>397</v>
      </c>
      <c r="J299" s="209" t="s">
        <v>945</v>
      </c>
      <c r="K299" s="795"/>
      <c r="L299" s="797"/>
    </row>
    <row r="300" spans="1:19">
      <c r="A300" s="149">
        <f>0.9999999999*B300</f>
        <v>2.49999999975</v>
      </c>
      <c r="B300" s="259">
        <v>2.5</v>
      </c>
      <c r="C300" s="150">
        <f t="array" ref="C300:C328">FREQUENCY(Discrete!CL3:CL79,Hists!A301:A328)</f>
        <v>0</v>
      </c>
      <c r="D300" s="151">
        <f>C300*100/C329</f>
        <v>0</v>
      </c>
      <c r="E300" s="150">
        <f t="array" ref="E300:E328">FREQUENCY(IC!DH3:DH64,Hists!A301:A328)</f>
        <v>0</v>
      </c>
      <c r="F300" s="151">
        <f>E300*100/E329</f>
        <v>0</v>
      </c>
      <c r="G300" s="150">
        <f t="array" ref="G300:G328">FREQUENCY(Discrete!CM3:CM79,Hists!A301:A328)</f>
        <v>0</v>
      </c>
      <c r="H300" s="151">
        <f>G300*100/G329</f>
        <v>0</v>
      </c>
      <c r="I300" s="150">
        <f t="array" ref="I300:I328">FREQUENCY(IC!DI3:DI64,Hists!A301:A328)</f>
        <v>0</v>
      </c>
      <c r="J300" s="210">
        <f>I300*100/I329</f>
        <v>0</v>
      </c>
      <c r="K300" s="215">
        <f>1*(D300+F300)</f>
        <v>0</v>
      </c>
      <c r="L300" s="216">
        <f>0.5*(H300+J300)</f>
        <v>0</v>
      </c>
    </row>
    <row r="301" spans="1:19">
      <c r="A301" s="152">
        <f>0.9999999999*B301</f>
        <v>2.9999999997</v>
      </c>
      <c r="B301" s="263">
        <v>3</v>
      </c>
      <c r="C301" s="153">
        <v>0</v>
      </c>
      <c r="D301" s="154">
        <f>C301*100/C329</f>
        <v>0</v>
      </c>
      <c r="E301" s="153">
        <v>0</v>
      </c>
      <c r="F301" s="154">
        <f>E301*100/E329</f>
        <v>0</v>
      </c>
      <c r="G301" s="153">
        <v>0</v>
      </c>
      <c r="H301" s="154">
        <f>G301*100/G329</f>
        <v>0</v>
      </c>
      <c r="I301" s="153">
        <v>0</v>
      </c>
      <c r="J301" s="211">
        <f>I301*100/I329</f>
        <v>0</v>
      </c>
      <c r="K301" s="215">
        <f t="shared" ref="K301:K328" si="11">1*(D301+F301)</f>
        <v>0</v>
      </c>
      <c r="L301" s="216">
        <f t="shared" ref="L301:L328" si="12">0.5*(H301+J301)</f>
        <v>0</v>
      </c>
    </row>
    <row r="302" spans="1:19">
      <c r="A302" s="263">
        <f t="shared" ref="A302:A327" si="13">0.9999999999*B302</f>
        <v>3.49999999965</v>
      </c>
      <c r="B302" s="267">
        <v>3.5</v>
      </c>
      <c r="C302" s="155">
        <v>0</v>
      </c>
      <c r="D302" s="156">
        <f>C302*100/C329</f>
        <v>0</v>
      </c>
      <c r="E302" s="155">
        <v>0</v>
      </c>
      <c r="F302" s="156">
        <f>E302*100/E329</f>
        <v>0</v>
      </c>
      <c r="G302" s="155">
        <v>0</v>
      </c>
      <c r="H302" s="156">
        <f>G302*100/G329</f>
        <v>0</v>
      </c>
      <c r="I302" s="155">
        <v>0</v>
      </c>
      <c r="J302" s="212">
        <f>I302*100/I329</f>
        <v>0</v>
      </c>
      <c r="K302" s="215">
        <f t="shared" si="11"/>
        <v>0</v>
      </c>
      <c r="L302" s="224">
        <f t="shared" si="12"/>
        <v>0</v>
      </c>
    </row>
    <row r="303" spans="1:19">
      <c r="A303" s="263">
        <f t="shared" si="13"/>
        <v>3.9999999996</v>
      </c>
      <c r="B303" s="263">
        <v>4</v>
      </c>
      <c r="C303" s="153">
        <v>0</v>
      </c>
      <c r="D303" s="154">
        <f>C303*100/C329</f>
        <v>0</v>
      </c>
      <c r="E303" s="153">
        <v>0</v>
      </c>
      <c r="F303" s="154">
        <f>E303*100/E329</f>
        <v>0</v>
      </c>
      <c r="G303" s="153">
        <v>0</v>
      </c>
      <c r="H303" s="154">
        <f>G303*100/G329</f>
        <v>0</v>
      </c>
      <c r="I303" s="153">
        <v>0</v>
      </c>
      <c r="J303" s="211">
        <f>I303*100/I329</f>
        <v>0</v>
      </c>
      <c r="K303" s="215">
        <f t="shared" si="11"/>
        <v>0</v>
      </c>
      <c r="L303" s="216">
        <f t="shared" si="12"/>
        <v>0</v>
      </c>
    </row>
    <row r="304" spans="1:19">
      <c r="A304" s="263">
        <f t="shared" si="13"/>
        <v>4.49999999955</v>
      </c>
      <c r="B304" s="267">
        <v>4.5</v>
      </c>
      <c r="C304" s="155">
        <v>0</v>
      </c>
      <c r="D304" s="156">
        <f>C304*100/C329</f>
        <v>0</v>
      </c>
      <c r="E304" s="155">
        <v>0</v>
      </c>
      <c r="F304" s="156">
        <f>E304*100/E329</f>
        <v>0</v>
      </c>
      <c r="G304" s="155">
        <v>0</v>
      </c>
      <c r="H304" s="156">
        <f>G304*100/G329</f>
        <v>0</v>
      </c>
      <c r="I304" s="155">
        <v>0</v>
      </c>
      <c r="J304" s="212">
        <f>I304*100/I329</f>
        <v>0</v>
      </c>
      <c r="K304" s="215">
        <f t="shared" si="11"/>
        <v>0</v>
      </c>
      <c r="L304" s="224">
        <f t="shared" si="12"/>
        <v>0</v>
      </c>
    </row>
    <row r="305" spans="1:12">
      <c r="A305" s="263">
        <f t="shared" si="13"/>
        <v>4.9999999995</v>
      </c>
      <c r="B305" s="263">
        <v>5</v>
      </c>
      <c r="C305" s="153">
        <v>0</v>
      </c>
      <c r="D305" s="154">
        <f>C305*100/C329</f>
        <v>0</v>
      </c>
      <c r="E305" s="153">
        <v>0</v>
      </c>
      <c r="F305" s="154">
        <f>E305*100/E329</f>
        <v>0</v>
      </c>
      <c r="G305" s="153">
        <v>0</v>
      </c>
      <c r="H305" s="154">
        <f>G305*100/G329</f>
        <v>0</v>
      </c>
      <c r="I305" s="153">
        <v>0</v>
      </c>
      <c r="J305" s="211">
        <f>I305*100/I329</f>
        <v>0</v>
      </c>
      <c r="K305" s="215">
        <f t="shared" si="11"/>
        <v>0</v>
      </c>
      <c r="L305" s="216">
        <f t="shared" si="12"/>
        <v>0</v>
      </c>
    </row>
    <row r="306" spans="1:12">
      <c r="A306" s="263">
        <f t="shared" si="13"/>
        <v>5.49999999945</v>
      </c>
      <c r="B306" s="267">
        <v>5.5</v>
      </c>
      <c r="C306" s="155">
        <v>0</v>
      </c>
      <c r="D306" s="156">
        <f>C306*100/C329</f>
        <v>0</v>
      </c>
      <c r="E306" s="155">
        <v>0</v>
      </c>
      <c r="F306" s="156">
        <f>E306*100/E329</f>
        <v>0</v>
      </c>
      <c r="G306" s="155">
        <v>0</v>
      </c>
      <c r="H306" s="156">
        <f>G306*100/G329</f>
        <v>0</v>
      </c>
      <c r="I306" s="155">
        <v>0</v>
      </c>
      <c r="J306" s="212">
        <f>I306*100/I329</f>
        <v>0</v>
      </c>
      <c r="K306" s="215">
        <f t="shared" si="11"/>
        <v>0</v>
      </c>
      <c r="L306" s="224">
        <f t="shared" si="12"/>
        <v>0</v>
      </c>
    </row>
    <row r="307" spans="1:12">
      <c r="A307" s="263">
        <f t="shared" si="13"/>
        <v>5.9999999994</v>
      </c>
      <c r="B307" s="263">
        <v>6</v>
      </c>
      <c r="C307" s="153">
        <v>0</v>
      </c>
      <c r="D307" s="154">
        <f>C307*100/C329</f>
        <v>0</v>
      </c>
      <c r="E307" s="153">
        <v>0</v>
      </c>
      <c r="F307" s="154">
        <f>E307*100/E329</f>
        <v>0</v>
      </c>
      <c r="G307" s="153">
        <v>0</v>
      </c>
      <c r="H307" s="154">
        <f>G307*100/G329</f>
        <v>0</v>
      </c>
      <c r="I307" s="153">
        <v>0</v>
      </c>
      <c r="J307" s="211">
        <f>I307*100/I329</f>
        <v>0</v>
      </c>
      <c r="K307" s="215">
        <f t="shared" si="11"/>
        <v>0</v>
      </c>
      <c r="L307" s="216">
        <f t="shared" si="12"/>
        <v>0</v>
      </c>
    </row>
    <row r="308" spans="1:12">
      <c r="A308" s="263">
        <f t="shared" si="13"/>
        <v>6.4999999993499999</v>
      </c>
      <c r="B308" s="267">
        <v>6.5</v>
      </c>
      <c r="C308" s="155">
        <v>0</v>
      </c>
      <c r="D308" s="156">
        <f>C308*100/C329</f>
        <v>0</v>
      </c>
      <c r="E308" s="155">
        <v>0</v>
      </c>
      <c r="F308" s="156">
        <f>E308*100/E329</f>
        <v>0</v>
      </c>
      <c r="G308" s="155">
        <v>0</v>
      </c>
      <c r="H308" s="156">
        <f>G308*100/G329</f>
        <v>0</v>
      </c>
      <c r="I308" s="155">
        <v>0</v>
      </c>
      <c r="J308" s="212">
        <f>I308*100/I329</f>
        <v>0</v>
      </c>
      <c r="K308" s="215">
        <f t="shared" si="11"/>
        <v>0</v>
      </c>
      <c r="L308" s="224">
        <f t="shared" si="12"/>
        <v>0</v>
      </c>
    </row>
    <row r="309" spans="1:12">
      <c r="A309" s="263">
        <f t="shared" si="13"/>
        <v>6.9999999992999999</v>
      </c>
      <c r="B309" s="263">
        <v>7</v>
      </c>
      <c r="C309" s="153">
        <v>0</v>
      </c>
      <c r="D309" s="154">
        <f>C309*100/C329</f>
        <v>0</v>
      </c>
      <c r="E309" s="153">
        <v>0</v>
      </c>
      <c r="F309" s="154">
        <f>E309*100/E329</f>
        <v>0</v>
      </c>
      <c r="G309" s="153">
        <v>0</v>
      </c>
      <c r="H309" s="154">
        <f>G309*100/G329</f>
        <v>0</v>
      </c>
      <c r="I309" s="153">
        <v>0</v>
      </c>
      <c r="J309" s="211">
        <f>I309*100/I329</f>
        <v>0</v>
      </c>
      <c r="K309" s="215">
        <f t="shared" si="11"/>
        <v>0</v>
      </c>
      <c r="L309" s="216">
        <f t="shared" si="12"/>
        <v>0</v>
      </c>
    </row>
    <row r="310" spans="1:12">
      <c r="A310" s="263">
        <f t="shared" si="13"/>
        <v>7.4999999992499999</v>
      </c>
      <c r="B310" s="267">
        <v>7.5</v>
      </c>
      <c r="C310" s="155">
        <v>0</v>
      </c>
      <c r="D310" s="156">
        <f>C310*100/C329</f>
        <v>0</v>
      </c>
      <c r="E310" s="155">
        <v>0</v>
      </c>
      <c r="F310" s="156">
        <f>E310*100/E329</f>
        <v>0</v>
      </c>
      <c r="G310" s="155">
        <v>0</v>
      </c>
      <c r="H310" s="156">
        <f>G310*100/G329</f>
        <v>0</v>
      </c>
      <c r="I310" s="155">
        <v>0</v>
      </c>
      <c r="J310" s="212">
        <f>I310*100/I329</f>
        <v>0</v>
      </c>
      <c r="K310" s="215">
        <f t="shared" si="11"/>
        <v>0</v>
      </c>
      <c r="L310" s="224">
        <f t="shared" si="12"/>
        <v>0</v>
      </c>
    </row>
    <row r="311" spans="1:12">
      <c r="A311" s="263">
        <f t="shared" si="13"/>
        <v>7.9999999991999999</v>
      </c>
      <c r="B311" s="263">
        <v>8</v>
      </c>
      <c r="C311" s="153">
        <v>0</v>
      </c>
      <c r="D311" s="154">
        <f>C311*100/C329</f>
        <v>0</v>
      </c>
      <c r="E311" s="153">
        <v>0</v>
      </c>
      <c r="F311" s="154">
        <f>E311*100/E329</f>
        <v>0</v>
      </c>
      <c r="G311" s="153">
        <v>0</v>
      </c>
      <c r="H311" s="154">
        <f>G311*100/G329</f>
        <v>0</v>
      </c>
      <c r="I311" s="153">
        <v>0</v>
      </c>
      <c r="J311" s="211">
        <f>I311*100/I329</f>
        <v>0</v>
      </c>
      <c r="K311" s="215">
        <f t="shared" si="11"/>
        <v>0</v>
      </c>
      <c r="L311" s="216">
        <f t="shared" si="12"/>
        <v>0</v>
      </c>
    </row>
    <row r="312" spans="1:12">
      <c r="A312" s="263">
        <f t="shared" si="13"/>
        <v>8.499999999149999</v>
      </c>
      <c r="B312" s="267">
        <v>8.5</v>
      </c>
      <c r="C312" s="155">
        <v>0</v>
      </c>
      <c r="D312" s="156">
        <f>C312*100/C329</f>
        <v>0</v>
      </c>
      <c r="E312" s="155">
        <v>0</v>
      </c>
      <c r="F312" s="156">
        <f>E312*100/E329</f>
        <v>0</v>
      </c>
      <c r="G312" s="155">
        <v>0</v>
      </c>
      <c r="H312" s="156">
        <f>G312*100/G329</f>
        <v>0</v>
      </c>
      <c r="I312" s="155">
        <v>0</v>
      </c>
      <c r="J312" s="212">
        <f>I312*100/I329</f>
        <v>0</v>
      </c>
      <c r="K312" s="215">
        <f t="shared" si="11"/>
        <v>0</v>
      </c>
      <c r="L312" s="224">
        <f t="shared" si="12"/>
        <v>0</v>
      </c>
    </row>
    <row r="313" spans="1:12">
      <c r="A313" s="263">
        <f t="shared" si="13"/>
        <v>8.9999999990999999</v>
      </c>
      <c r="B313" s="263">
        <v>9</v>
      </c>
      <c r="C313" s="153">
        <v>0</v>
      </c>
      <c r="D313" s="154">
        <f>C313*100/C329</f>
        <v>0</v>
      </c>
      <c r="E313" s="153">
        <v>0</v>
      </c>
      <c r="F313" s="154">
        <f>E313*100/E329</f>
        <v>0</v>
      </c>
      <c r="G313" s="153">
        <v>0</v>
      </c>
      <c r="H313" s="154">
        <f>G313*100/G329</f>
        <v>0</v>
      </c>
      <c r="I313" s="153">
        <v>0</v>
      </c>
      <c r="J313" s="211">
        <f>I313*100/I329</f>
        <v>0</v>
      </c>
      <c r="K313" s="215">
        <f t="shared" si="11"/>
        <v>0</v>
      </c>
      <c r="L313" s="216">
        <f t="shared" si="12"/>
        <v>0</v>
      </c>
    </row>
    <row r="314" spans="1:12">
      <c r="A314" s="263">
        <f t="shared" si="13"/>
        <v>9.4999999990500008</v>
      </c>
      <c r="B314" s="267">
        <v>9.5</v>
      </c>
      <c r="C314" s="155">
        <v>1</v>
      </c>
      <c r="D314" s="156">
        <f>C314*100/C329</f>
        <v>33.333333332222224</v>
      </c>
      <c r="E314" s="155">
        <v>0</v>
      </c>
      <c r="F314" s="156">
        <f>E314*100/E329</f>
        <v>0</v>
      </c>
      <c r="G314" s="155">
        <v>0</v>
      </c>
      <c r="H314" s="156">
        <f>G314*100/G329</f>
        <v>0</v>
      </c>
      <c r="I314" s="155">
        <v>0</v>
      </c>
      <c r="J314" s="212">
        <f>I314*100/I329</f>
        <v>0</v>
      </c>
      <c r="K314" s="215">
        <f t="shared" si="11"/>
        <v>33.333333332222224</v>
      </c>
      <c r="L314" s="224">
        <f t="shared" si="12"/>
        <v>0</v>
      </c>
    </row>
    <row r="315" spans="1:12">
      <c r="A315" s="263">
        <f t="shared" si="13"/>
        <v>9.9999999989999999</v>
      </c>
      <c r="B315" s="263">
        <v>10</v>
      </c>
      <c r="C315" s="153">
        <v>1</v>
      </c>
      <c r="D315" s="154">
        <f>C315*100/C329</f>
        <v>33.333333332222224</v>
      </c>
      <c r="E315" s="153">
        <v>0</v>
      </c>
      <c r="F315" s="154">
        <f>E315*100/E329</f>
        <v>0</v>
      </c>
      <c r="G315" s="153">
        <v>1</v>
      </c>
      <c r="H315" s="154">
        <f>G315*100/G329</f>
        <v>49.999999997499998</v>
      </c>
      <c r="I315" s="153">
        <v>0</v>
      </c>
      <c r="J315" s="211">
        <f>I315*100/I329</f>
        <v>0</v>
      </c>
      <c r="K315" s="215">
        <f t="shared" si="11"/>
        <v>33.333333332222224</v>
      </c>
      <c r="L315" s="216">
        <f t="shared" si="12"/>
        <v>24.999999998749999</v>
      </c>
    </row>
    <row r="316" spans="1:12">
      <c r="A316" s="263">
        <f t="shared" si="13"/>
        <v>10.499999998949999</v>
      </c>
      <c r="B316" s="267">
        <v>10.5</v>
      </c>
      <c r="C316" s="155">
        <v>0</v>
      </c>
      <c r="D316" s="156">
        <f>C316*100/C329</f>
        <v>0</v>
      </c>
      <c r="E316" s="155">
        <v>0</v>
      </c>
      <c r="F316" s="156">
        <f>E316*100/E329</f>
        <v>0</v>
      </c>
      <c r="G316" s="155">
        <v>0</v>
      </c>
      <c r="H316" s="156">
        <f>G316*100/G329</f>
        <v>0</v>
      </c>
      <c r="I316" s="155">
        <v>0</v>
      </c>
      <c r="J316" s="212">
        <f>I316*100/I329</f>
        <v>0</v>
      </c>
      <c r="K316" s="215">
        <f t="shared" si="11"/>
        <v>0</v>
      </c>
      <c r="L316" s="224">
        <f t="shared" si="12"/>
        <v>0</v>
      </c>
    </row>
    <row r="317" spans="1:12">
      <c r="A317" s="263">
        <f t="shared" si="13"/>
        <v>10.9999999989</v>
      </c>
      <c r="B317" s="263">
        <v>11</v>
      </c>
      <c r="C317" s="153">
        <v>0</v>
      </c>
      <c r="D317" s="154">
        <f>C317*100/C329</f>
        <v>0</v>
      </c>
      <c r="E317" s="153">
        <v>0</v>
      </c>
      <c r="F317" s="154">
        <f>E317*100/E329</f>
        <v>0</v>
      </c>
      <c r="G317" s="153">
        <v>0</v>
      </c>
      <c r="H317" s="154">
        <f>G317*100/G329</f>
        <v>0</v>
      </c>
      <c r="I317" s="153">
        <v>0</v>
      </c>
      <c r="J317" s="211">
        <f>I317*100/I329</f>
        <v>0</v>
      </c>
      <c r="K317" s="215">
        <f t="shared" si="11"/>
        <v>0</v>
      </c>
      <c r="L317" s="216">
        <f t="shared" si="12"/>
        <v>0</v>
      </c>
    </row>
    <row r="318" spans="1:12">
      <c r="A318" s="263">
        <f t="shared" si="13"/>
        <v>11.499999998850001</v>
      </c>
      <c r="B318" s="267">
        <v>11.5</v>
      </c>
      <c r="C318" s="155">
        <v>0</v>
      </c>
      <c r="D318" s="156">
        <f>C318*100/C329</f>
        <v>0</v>
      </c>
      <c r="E318" s="155">
        <v>0</v>
      </c>
      <c r="F318" s="156">
        <f>E318*100/E329</f>
        <v>0</v>
      </c>
      <c r="G318" s="155">
        <v>1</v>
      </c>
      <c r="H318" s="156">
        <f>G318*100/G329</f>
        <v>49.999999997499998</v>
      </c>
      <c r="I318" s="155">
        <v>0</v>
      </c>
      <c r="J318" s="212">
        <f>I318*100/I329</f>
        <v>0</v>
      </c>
      <c r="K318" s="215">
        <f t="shared" si="11"/>
        <v>0</v>
      </c>
      <c r="L318" s="224">
        <f t="shared" si="12"/>
        <v>24.999999998749999</v>
      </c>
    </row>
    <row r="319" spans="1:12">
      <c r="A319" s="263">
        <f t="shared" si="13"/>
        <v>11.9999999988</v>
      </c>
      <c r="B319" s="263">
        <v>12</v>
      </c>
      <c r="C319" s="153">
        <v>0</v>
      </c>
      <c r="D319" s="154">
        <f>C319*100/C329</f>
        <v>0</v>
      </c>
      <c r="E319" s="153">
        <v>0</v>
      </c>
      <c r="F319" s="154">
        <f>E319*100/E329</f>
        <v>0</v>
      </c>
      <c r="G319" s="153">
        <v>0</v>
      </c>
      <c r="H319" s="154">
        <f>G319*100/G329</f>
        <v>0</v>
      </c>
      <c r="I319" s="153">
        <v>0</v>
      </c>
      <c r="J319" s="211">
        <f>I319*100/I329</f>
        <v>0</v>
      </c>
      <c r="K319" s="215">
        <f t="shared" si="11"/>
        <v>0</v>
      </c>
      <c r="L319" s="216">
        <f t="shared" si="12"/>
        <v>0</v>
      </c>
    </row>
    <row r="320" spans="1:12">
      <c r="A320" s="263">
        <f t="shared" si="13"/>
        <v>12.499999998749999</v>
      </c>
      <c r="B320" s="267">
        <v>12.5</v>
      </c>
      <c r="C320" s="155">
        <v>0</v>
      </c>
      <c r="D320" s="156">
        <f>C320*100/C329</f>
        <v>0</v>
      </c>
      <c r="E320" s="155">
        <v>0</v>
      </c>
      <c r="F320" s="156">
        <f>E320*100/E329</f>
        <v>0</v>
      </c>
      <c r="G320" s="155">
        <v>0</v>
      </c>
      <c r="H320" s="156">
        <f>G320*100/G329</f>
        <v>0</v>
      </c>
      <c r="I320" s="155">
        <v>0</v>
      </c>
      <c r="J320" s="212">
        <f>I320*100/I329</f>
        <v>0</v>
      </c>
      <c r="K320" s="215">
        <f t="shared" si="11"/>
        <v>0</v>
      </c>
      <c r="L320" s="224">
        <f t="shared" si="12"/>
        <v>0</v>
      </c>
    </row>
    <row r="321" spans="1:14">
      <c r="A321" s="263">
        <f t="shared" si="13"/>
        <v>12.9999999987</v>
      </c>
      <c r="B321" s="263">
        <v>13</v>
      </c>
      <c r="C321" s="153">
        <v>1</v>
      </c>
      <c r="D321" s="154">
        <f>C321*100/C329</f>
        <v>33.333333332222224</v>
      </c>
      <c r="E321" s="153">
        <v>0</v>
      </c>
      <c r="F321" s="154">
        <f>E321*100/E329</f>
        <v>0</v>
      </c>
      <c r="G321" s="153">
        <v>0</v>
      </c>
      <c r="H321" s="154">
        <f>G321*100/G329</f>
        <v>0</v>
      </c>
      <c r="I321" s="153">
        <v>0</v>
      </c>
      <c r="J321" s="211">
        <f>I321*100/I329</f>
        <v>0</v>
      </c>
      <c r="K321" s="215">
        <f t="shared" si="11"/>
        <v>33.333333332222224</v>
      </c>
      <c r="L321" s="216">
        <f t="shared" si="12"/>
        <v>0</v>
      </c>
    </row>
    <row r="322" spans="1:14">
      <c r="A322" s="263">
        <f t="shared" si="13"/>
        <v>13.499999998650001</v>
      </c>
      <c r="B322" s="267">
        <v>13.5</v>
      </c>
      <c r="C322" s="155">
        <v>0</v>
      </c>
      <c r="D322" s="157">
        <f>C322*100/C329</f>
        <v>0</v>
      </c>
      <c r="E322" s="158">
        <v>0</v>
      </c>
      <c r="F322" s="157">
        <f>E322*100/E329</f>
        <v>0</v>
      </c>
      <c r="G322" s="158">
        <v>0</v>
      </c>
      <c r="H322" s="157">
        <f>G322*100/G329</f>
        <v>0</v>
      </c>
      <c r="I322" s="158">
        <v>0</v>
      </c>
      <c r="J322" s="213">
        <f>I322*100/I329</f>
        <v>0</v>
      </c>
      <c r="K322" s="215">
        <f t="shared" si="11"/>
        <v>0</v>
      </c>
      <c r="L322" s="224">
        <f t="shared" si="12"/>
        <v>0</v>
      </c>
    </row>
    <row r="323" spans="1:14">
      <c r="A323" s="263">
        <f t="shared" si="13"/>
        <v>13.9999999986</v>
      </c>
      <c r="B323" s="218">
        <v>14</v>
      </c>
      <c r="C323" s="219">
        <v>0</v>
      </c>
      <c r="D323" s="220">
        <f>C323*100/C329</f>
        <v>0</v>
      </c>
      <c r="E323" s="221">
        <v>0</v>
      </c>
      <c r="F323" s="220">
        <f>E323*100/E329</f>
        <v>0</v>
      </c>
      <c r="G323" s="221">
        <v>0</v>
      </c>
      <c r="H323" s="220">
        <f>G323*100/G329</f>
        <v>0</v>
      </c>
      <c r="I323" s="221">
        <v>0</v>
      </c>
      <c r="J323" s="222">
        <f>I323*100/I329</f>
        <v>0</v>
      </c>
      <c r="K323" s="215">
        <f t="shared" si="11"/>
        <v>0</v>
      </c>
      <c r="L323" s="216">
        <f t="shared" si="12"/>
        <v>0</v>
      </c>
    </row>
    <row r="324" spans="1:14">
      <c r="A324" s="263">
        <f t="shared" si="13"/>
        <v>14.499999998549999</v>
      </c>
      <c r="B324" s="267">
        <v>14.5</v>
      </c>
      <c r="C324" s="155">
        <v>0</v>
      </c>
      <c r="D324" s="157">
        <f>C324*100/C329</f>
        <v>0</v>
      </c>
      <c r="E324" s="158">
        <v>0</v>
      </c>
      <c r="F324" s="157">
        <f>E324*100/E329</f>
        <v>0</v>
      </c>
      <c r="G324" s="158">
        <v>0</v>
      </c>
      <c r="H324" s="157">
        <f>G324*100/G329</f>
        <v>0</v>
      </c>
      <c r="I324" s="158">
        <v>0</v>
      </c>
      <c r="J324" s="213">
        <f>I324*100/I329</f>
        <v>0</v>
      </c>
      <c r="K324" s="215">
        <f t="shared" si="11"/>
        <v>0</v>
      </c>
      <c r="L324" s="224">
        <f t="shared" si="12"/>
        <v>0</v>
      </c>
    </row>
    <row r="325" spans="1:14">
      <c r="A325" s="263">
        <f t="shared" si="13"/>
        <v>14.9999999985</v>
      </c>
      <c r="B325" s="218">
        <v>15</v>
      </c>
      <c r="C325" s="219">
        <v>0</v>
      </c>
      <c r="D325" s="220">
        <f>C325*100/C329</f>
        <v>0</v>
      </c>
      <c r="E325" s="221">
        <v>0</v>
      </c>
      <c r="F325" s="220">
        <f>E325*100/E329</f>
        <v>0</v>
      </c>
      <c r="G325" s="221">
        <v>0</v>
      </c>
      <c r="H325" s="220">
        <f>G325*100/G329</f>
        <v>0</v>
      </c>
      <c r="I325" s="221">
        <v>0</v>
      </c>
      <c r="J325" s="222">
        <f>I325*100/I329</f>
        <v>0</v>
      </c>
      <c r="K325" s="215">
        <f t="shared" si="11"/>
        <v>0</v>
      </c>
      <c r="L325" s="216">
        <f t="shared" si="12"/>
        <v>0</v>
      </c>
    </row>
    <row r="326" spans="1:14">
      <c r="A326" s="263">
        <f t="shared" si="13"/>
        <v>15.499999998450001</v>
      </c>
      <c r="B326" s="267">
        <v>15.5</v>
      </c>
      <c r="C326" s="155">
        <v>0</v>
      </c>
      <c r="D326" s="157">
        <f>C326*100/C329</f>
        <v>0</v>
      </c>
      <c r="E326" s="158">
        <v>0</v>
      </c>
      <c r="F326" s="157">
        <f>E326*100/E329</f>
        <v>0</v>
      </c>
      <c r="G326" s="158">
        <v>0</v>
      </c>
      <c r="H326" s="157">
        <f>G326*100/G329</f>
        <v>0</v>
      </c>
      <c r="I326" s="158">
        <v>0</v>
      </c>
      <c r="J326" s="213">
        <f>I326*100/I329</f>
        <v>0</v>
      </c>
      <c r="K326" s="215">
        <f t="shared" si="11"/>
        <v>0</v>
      </c>
      <c r="L326" s="224">
        <f t="shared" si="12"/>
        <v>0</v>
      </c>
    </row>
    <row r="327" spans="1:14">
      <c r="A327" s="263">
        <f t="shared" si="13"/>
        <v>15.9999999984</v>
      </c>
      <c r="B327" s="218">
        <v>16</v>
      </c>
      <c r="C327" s="219">
        <v>0</v>
      </c>
      <c r="D327" s="220">
        <f>C327*100/C329</f>
        <v>0</v>
      </c>
      <c r="E327" s="221">
        <v>0</v>
      </c>
      <c r="F327" s="220">
        <f>E327*100/E329</f>
        <v>0</v>
      </c>
      <c r="G327" s="221">
        <v>0</v>
      </c>
      <c r="H327" s="220">
        <f>G327*100/G329</f>
        <v>0</v>
      </c>
      <c r="I327" s="221">
        <v>1</v>
      </c>
      <c r="J327" s="222">
        <f>I327*100/I329</f>
        <v>99.999999990000006</v>
      </c>
      <c r="K327" s="215">
        <f t="shared" si="11"/>
        <v>0</v>
      </c>
      <c r="L327" s="216">
        <f t="shared" si="12"/>
        <v>49.999999995000003</v>
      </c>
    </row>
    <row r="328" spans="1:14" ht="15" thickBot="1">
      <c r="A328" s="159">
        <f>0.9999999999*B328</f>
        <v>16.499999998349999</v>
      </c>
      <c r="B328" s="274">
        <v>16.5</v>
      </c>
      <c r="C328" s="160">
        <v>0</v>
      </c>
      <c r="D328" s="168">
        <f>C328*100/C329</f>
        <v>0</v>
      </c>
      <c r="E328" s="158">
        <v>0</v>
      </c>
      <c r="F328" s="157">
        <f>E328*100/E329</f>
        <v>0</v>
      </c>
      <c r="G328" s="158">
        <v>0</v>
      </c>
      <c r="H328" s="157">
        <f>G328*100/G329</f>
        <v>0</v>
      </c>
      <c r="I328" s="158">
        <v>0</v>
      </c>
      <c r="J328" s="214">
        <f>I328*100/I329</f>
        <v>0</v>
      </c>
      <c r="K328" s="215">
        <f t="shared" si="11"/>
        <v>0</v>
      </c>
      <c r="L328" s="224">
        <f t="shared" si="12"/>
        <v>0</v>
      </c>
    </row>
    <row r="329" spans="1:14" ht="15" thickBot="1">
      <c r="A329" s="806" t="s">
        <v>396</v>
      </c>
      <c r="B329" s="806"/>
      <c r="C329" s="161">
        <f>SUM(C300:C328)+0.0000000001</f>
        <v>3.0000000001</v>
      </c>
      <c r="D329" s="163">
        <f>SUM(D301:D328)</f>
        <v>99.999999996666673</v>
      </c>
      <c r="E329" s="162">
        <f>SUM(E300:E328)+0.0000000001</f>
        <v>1E-10</v>
      </c>
      <c r="F329" s="163">
        <f>SUM(F300:F328)</f>
        <v>0</v>
      </c>
      <c r="G329" s="162">
        <f>SUM(G300:G328)+0.0000000001</f>
        <v>2.0000000001</v>
      </c>
      <c r="H329" s="163">
        <f>SUM(H300:H328)</f>
        <v>99.999999994999996</v>
      </c>
      <c r="I329" s="162">
        <f>SUM(I300:I328)+0.0000000001</f>
        <v>1.0000000001</v>
      </c>
      <c r="J329" s="279">
        <f>SUM(J300:J328)</f>
        <v>99.999999990000006</v>
      </c>
      <c r="K329" s="227">
        <f>SUM(K300:K328)</f>
        <v>99.999999996666673</v>
      </c>
      <c r="L329" s="217">
        <f>SUM(L300:L328)</f>
        <v>99.999999992499994</v>
      </c>
    </row>
    <row r="330" spans="1:14" ht="15" thickBot="1">
      <c r="A330" s="778">
        <f>C329+E329+G329+I329</f>
        <v>6.0000000004</v>
      </c>
      <c r="B330" s="779"/>
      <c r="C330" s="779"/>
      <c r="D330" s="779"/>
      <c r="E330" s="779"/>
      <c r="F330" s="779"/>
      <c r="G330" s="779"/>
      <c r="H330" s="779"/>
      <c r="I330" s="779"/>
      <c r="J330" s="780"/>
      <c r="K330" s="139"/>
      <c r="L330" s="139"/>
    </row>
    <row r="333" spans="1:14">
      <c r="L333" s="250" t="s">
        <v>544</v>
      </c>
      <c r="M333" s="250" t="s">
        <v>543</v>
      </c>
      <c r="N333" s="139">
        <f>AVERAGE(Discrete!CL3:CL79,IC!DH3:DH64)</f>
        <v>10.988594761554028</v>
      </c>
    </row>
    <row r="334" spans="1:14">
      <c r="L334" s="250" t="s">
        <v>545</v>
      </c>
      <c r="M334" s="250" t="s">
        <v>543</v>
      </c>
      <c r="N334" s="139">
        <v>13.75</v>
      </c>
    </row>
    <row r="346" spans="1:19">
      <c r="O346" s="781" t="s">
        <v>899</v>
      </c>
      <c r="P346" s="781"/>
      <c r="Q346" s="781"/>
      <c r="R346" s="781"/>
      <c r="S346" s="781"/>
    </row>
    <row r="347" spans="1:19" ht="15" thickBot="1"/>
    <row r="348" spans="1:19" ht="28.5" customHeight="1" thickBot="1">
      <c r="A348" s="778" t="s">
        <v>162</v>
      </c>
      <c r="B348" s="780"/>
      <c r="C348" s="799" t="s">
        <v>492</v>
      </c>
      <c r="D348" s="803"/>
      <c r="E348" s="800" t="s">
        <v>495</v>
      </c>
      <c r="F348" s="804"/>
      <c r="G348" s="799" t="s">
        <v>493</v>
      </c>
      <c r="H348" s="803"/>
      <c r="I348" s="800" t="s">
        <v>494</v>
      </c>
      <c r="J348" s="805"/>
      <c r="K348" s="794" t="s">
        <v>496</v>
      </c>
      <c r="L348" s="796" t="s">
        <v>497</v>
      </c>
    </row>
    <row r="349" spans="1:19" ht="15" thickBot="1">
      <c r="A349" s="141" t="s">
        <v>887</v>
      </c>
      <c r="B349" s="251" t="s">
        <v>243</v>
      </c>
      <c r="C349" s="143" t="s">
        <v>397</v>
      </c>
      <c r="D349" s="144" t="s">
        <v>945</v>
      </c>
      <c r="E349" s="145" t="s">
        <v>397</v>
      </c>
      <c r="F349" s="146" t="s">
        <v>945</v>
      </c>
      <c r="G349" s="147" t="s">
        <v>397</v>
      </c>
      <c r="H349" s="148" t="s">
        <v>945</v>
      </c>
      <c r="I349" s="145" t="s">
        <v>397</v>
      </c>
      <c r="J349" s="209" t="s">
        <v>945</v>
      </c>
      <c r="K349" s="795"/>
      <c r="L349" s="797"/>
    </row>
    <row r="350" spans="1:19">
      <c r="A350" s="149">
        <f>0.9999999999*B350</f>
        <v>2.49999999975</v>
      </c>
      <c r="B350" s="259">
        <v>2.5</v>
      </c>
      <c r="C350" s="150">
        <f t="array" ref="C350:C378">FREQUENCY(Discrete!CW3:CW79,Hists!A351:A378)</f>
        <v>0</v>
      </c>
      <c r="D350" s="151">
        <f>C350*100/C379</f>
        <v>0</v>
      </c>
      <c r="E350" s="150">
        <f t="array" ref="E350:E378">FREQUENCY(IC!DS3:DS64,Hists!A351:A378)</f>
        <v>0</v>
      </c>
      <c r="F350" s="151">
        <f>E350*100/E379</f>
        <v>0</v>
      </c>
      <c r="G350" s="150">
        <f t="array" ref="G350:G378">FREQUENCY(Discrete!CX3:CX79,Hists!A351:A378)</f>
        <v>0</v>
      </c>
      <c r="H350" s="151">
        <f>G350*100/G379</f>
        <v>0</v>
      </c>
      <c r="I350" s="150">
        <f t="array" ref="I350:I378">FREQUENCY(IC!DT3:DT64,Hists!A351:A378)</f>
        <v>0</v>
      </c>
      <c r="J350" s="210">
        <f>I350*100/I379</f>
        <v>0</v>
      </c>
      <c r="K350" s="225"/>
      <c r="L350" s="226"/>
    </row>
    <row r="351" spans="1:19">
      <c r="A351" s="152">
        <f>0.9999999999*B351</f>
        <v>2.9999999997</v>
      </c>
      <c r="B351" s="263">
        <v>3</v>
      </c>
      <c r="C351" s="153">
        <v>0</v>
      </c>
      <c r="D351" s="154">
        <f>C351*100/C379</f>
        <v>0</v>
      </c>
      <c r="E351" s="153">
        <v>0</v>
      </c>
      <c r="F351" s="154">
        <f>E351*100/E379</f>
        <v>0</v>
      </c>
      <c r="G351" s="153">
        <v>0</v>
      </c>
      <c r="H351" s="154">
        <f>G351*100/G379</f>
        <v>0</v>
      </c>
      <c r="I351" s="153">
        <v>0</v>
      </c>
      <c r="J351" s="211">
        <f>I351*100/I379</f>
        <v>0</v>
      </c>
      <c r="K351" s="215">
        <f>0.5*(D351+F351)</f>
        <v>0</v>
      </c>
      <c r="L351" s="216">
        <f t="shared" ref="L351:L378" si="14">0.5*(H351+J351)</f>
        <v>0</v>
      </c>
    </row>
    <row r="352" spans="1:19">
      <c r="A352" s="263">
        <f t="shared" ref="A352:A377" si="15">0.9999999999*B352</f>
        <v>3.49999999965</v>
      </c>
      <c r="B352" s="267">
        <v>3.5</v>
      </c>
      <c r="C352" s="155">
        <v>0</v>
      </c>
      <c r="D352" s="156">
        <f>C352*100/C379</f>
        <v>0</v>
      </c>
      <c r="E352" s="155">
        <v>0</v>
      </c>
      <c r="F352" s="156">
        <f>E352*100/E379</f>
        <v>0</v>
      </c>
      <c r="G352" s="155">
        <v>0</v>
      </c>
      <c r="H352" s="156">
        <f>G352*100/G379</f>
        <v>0</v>
      </c>
      <c r="I352" s="155">
        <v>0</v>
      </c>
      <c r="J352" s="212">
        <f>I352*100/I379</f>
        <v>0</v>
      </c>
      <c r="K352" s="223">
        <f>0.5*(D352+F352)</f>
        <v>0</v>
      </c>
      <c r="L352" s="224">
        <f t="shared" si="14"/>
        <v>0</v>
      </c>
    </row>
    <row r="353" spans="1:12">
      <c r="A353" s="263">
        <f t="shared" si="15"/>
        <v>3.9999999996</v>
      </c>
      <c r="B353" s="263">
        <v>4</v>
      </c>
      <c r="C353" s="153">
        <v>0</v>
      </c>
      <c r="D353" s="154">
        <f>C353*100/C379</f>
        <v>0</v>
      </c>
      <c r="E353" s="153">
        <v>0</v>
      </c>
      <c r="F353" s="154">
        <f>E353*100/E379</f>
        <v>0</v>
      </c>
      <c r="G353" s="153">
        <v>0</v>
      </c>
      <c r="H353" s="154">
        <f>G353*100/G379</f>
        <v>0</v>
      </c>
      <c r="I353" s="153">
        <v>0</v>
      </c>
      <c r="J353" s="211">
        <f>I353*100/I379</f>
        <v>0</v>
      </c>
      <c r="K353" s="215">
        <f>0.5*(D353+F353)</f>
        <v>0</v>
      </c>
      <c r="L353" s="216">
        <f t="shared" si="14"/>
        <v>0</v>
      </c>
    </row>
    <row r="354" spans="1:12">
      <c r="A354" s="263">
        <f t="shared" si="15"/>
        <v>4.49999999955</v>
      </c>
      <c r="B354" s="267">
        <v>4.5</v>
      </c>
      <c r="C354" s="155">
        <v>0</v>
      </c>
      <c r="D354" s="156">
        <f>C354*100/C379</f>
        <v>0</v>
      </c>
      <c r="E354" s="155">
        <v>0</v>
      </c>
      <c r="F354" s="156">
        <f>E354*100/E379</f>
        <v>0</v>
      </c>
      <c r="G354" s="155">
        <v>0</v>
      </c>
      <c r="H354" s="156">
        <f>G354*100/G379</f>
        <v>0</v>
      </c>
      <c r="I354" s="155">
        <v>0</v>
      </c>
      <c r="J354" s="212">
        <f>I354*100/I379</f>
        <v>0</v>
      </c>
      <c r="K354" s="223">
        <f t="shared" ref="K354:K378" si="16">0.5*(D354+F354)</f>
        <v>0</v>
      </c>
      <c r="L354" s="224">
        <f t="shared" si="14"/>
        <v>0</v>
      </c>
    </row>
    <row r="355" spans="1:12">
      <c r="A355" s="263">
        <f t="shared" si="15"/>
        <v>4.9999999995</v>
      </c>
      <c r="B355" s="263">
        <v>5</v>
      </c>
      <c r="C355" s="153">
        <v>0</v>
      </c>
      <c r="D355" s="154">
        <f>C355*100/C379</f>
        <v>0</v>
      </c>
      <c r="E355" s="153">
        <v>0</v>
      </c>
      <c r="F355" s="154">
        <f>E355*100/E379</f>
        <v>0</v>
      </c>
      <c r="G355" s="153">
        <v>0</v>
      </c>
      <c r="H355" s="154">
        <f>G355*100/G379</f>
        <v>0</v>
      </c>
      <c r="I355" s="153">
        <v>0</v>
      </c>
      <c r="J355" s="211">
        <f>I355*100/I379</f>
        <v>0</v>
      </c>
      <c r="K355" s="215">
        <f t="shared" si="16"/>
        <v>0</v>
      </c>
      <c r="L355" s="216">
        <f t="shared" si="14"/>
        <v>0</v>
      </c>
    </row>
    <row r="356" spans="1:12">
      <c r="A356" s="263">
        <f t="shared" si="15"/>
        <v>5.49999999945</v>
      </c>
      <c r="B356" s="267">
        <v>5.5</v>
      </c>
      <c r="C356" s="155">
        <v>0</v>
      </c>
      <c r="D356" s="156">
        <f>C356*100/C379</f>
        <v>0</v>
      </c>
      <c r="E356" s="155">
        <v>0</v>
      </c>
      <c r="F356" s="156">
        <f>E356*100/E379</f>
        <v>0</v>
      </c>
      <c r="G356" s="155">
        <v>0</v>
      </c>
      <c r="H356" s="156">
        <f>G356*100/G379</f>
        <v>0</v>
      </c>
      <c r="I356" s="155">
        <v>0</v>
      </c>
      <c r="J356" s="212">
        <f>I356*100/I379</f>
        <v>0</v>
      </c>
      <c r="K356" s="223">
        <f t="shared" si="16"/>
        <v>0</v>
      </c>
      <c r="L356" s="224">
        <f t="shared" si="14"/>
        <v>0</v>
      </c>
    </row>
    <row r="357" spans="1:12">
      <c r="A357" s="263">
        <f t="shared" si="15"/>
        <v>5.9999999994</v>
      </c>
      <c r="B357" s="263">
        <v>6</v>
      </c>
      <c r="C357" s="153">
        <v>0</v>
      </c>
      <c r="D357" s="154">
        <f>C357*100/C379</f>
        <v>0</v>
      </c>
      <c r="E357" s="153">
        <v>0</v>
      </c>
      <c r="F357" s="154">
        <f>E357*100/E379</f>
        <v>0</v>
      </c>
      <c r="G357" s="153">
        <v>0</v>
      </c>
      <c r="H357" s="154">
        <f>G357*100/G379</f>
        <v>0</v>
      </c>
      <c r="I357" s="153">
        <v>0</v>
      </c>
      <c r="J357" s="211">
        <f>I357*100/I379</f>
        <v>0</v>
      </c>
      <c r="K357" s="215">
        <f t="shared" si="16"/>
        <v>0</v>
      </c>
      <c r="L357" s="216">
        <f t="shared" si="14"/>
        <v>0</v>
      </c>
    </row>
    <row r="358" spans="1:12">
      <c r="A358" s="263">
        <f t="shared" si="15"/>
        <v>6.4999999993499999</v>
      </c>
      <c r="B358" s="267">
        <v>6.5</v>
      </c>
      <c r="C358" s="155">
        <v>0</v>
      </c>
      <c r="D358" s="156">
        <f>C358*100/C379</f>
        <v>0</v>
      </c>
      <c r="E358" s="155">
        <v>0</v>
      </c>
      <c r="F358" s="156">
        <f>E358*100/E379</f>
        <v>0</v>
      </c>
      <c r="G358" s="155">
        <v>0</v>
      </c>
      <c r="H358" s="156">
        <f>G358*100/G379</f>
        <v>0</v>
      </c>
      <c r="I358" s="155">
        <v>0</v>
      </c>
      <c r="J358" s="212">
        <f>I358*100/I379</f>
        <v>0</v>
      </c>
      <c r="K358" s="223">
        <f t="shared" si="16"/>
        <v>0</v>
      </c>
      <c r="L358" s="224">
        <f t="shared" si="14"/>
        <v>0</v>
      </c>
    </row>
    <row r="359" spans="1:12">
      <c r="A359" s="263">
        <f t="shared" si="15"/>
        <v>6.9999999992999999</v>
      </c>
      <c r="B359" s="263">
        <v>7</v>
      </c>
      <c r="C359" s="153">
        <v>0</v>
      </c>
      <c r="D359" s="154">
        <f>C359*100/C379</f>
        <v>0</v>
      </c>
      <c r="E359" s="153">
        <v>0</v>
      </c>
      <c r="F359" s="154">
        <f>E359*100/E379</f>
        <v>0</v>
      </c>
      <c r="G359" s="153">
        <v>0</v>
      </c>
      <c r="H359" s="154">
        <f>G359*100/G379</f>
        <v>0</v>
      </c>
      <c r="I359" s="153">
        <v>0</v>
      </c>
      <c r="J359" s="211">
        <f>I359*100/I379</f>
        <v>0</v>
      </c>
      <c r="K359" s="215">
        <f t="shared" si="16"/>
        <v>0</v>
      </c>
      <c r="L359" s="216">
        <f t="shared" si="14"/>
        <v>0</v>
      </c>
    </row>
    <row r="360" spans="1:12">
      <c r="A360" s="263">
        <f t="shared" si="15"/>
        <v>7.4999999992499999</v>
      </c>
      <c r="B360" s="267">
        <v>7.5</v>
      </c>
      <c r="C360" s="155">
        <v>0</v>
      </c>
      <c r="D360" s="156">
        <f>C360*100/C379</f>
        <v>0</v>
      </c>
      <c r="E360" s="155">
        <v>0</v>
      </c>
      <c r="F360" s="156">
        <f>E360*100/E379</f>
        <v>0</v>
      </c>
      <c r="G360" s="155">
        <v>0</v>
      </c>
      <c r="H360" s="156">
        <f>G360*100/G379</f>
        <v>0</v>
      </c>
      <c r="I360" s="155">
        <v>0</v>
      </c>
      <c r="J360" s="212">
        <f>I360*100/I379</f>
        <v>0</v>
      </c>
      <c r="K360" s="223">
        <f t="shared" si="16"/>
        <v>0</v>
      </c>
      <c r="L360" s="224">
        <f t="shared" si="14"/>
        <v>0</v>
      </c>
    </row>
    <row r="361" spans="1:12">
      <c r="A361" s="263">
        <f t="shared" si="15"/>
        <v>7.9999999991999999</v>
      </c>
      <c r="B361" s="263">
        <v>8</v>
      </c>
      <c r="C361" s="153">
        <v>0</v>
      </c>
      <c r="D361" s="154">
        <f>C361*100/C379</f>
        <v>0</v>
      </c>
      <c r="E361" s="153">
        <v>0</v>
      </c>
      <c r="F361" s="154">
        <f>E361*100/E379</f>
        <v>0</v>
      </c>
      <c r="G361" s="153">
        <v>0</v>
      </c>
      <c r="H361" s="154">
        <f>G361*100/G379</f>
        <v>0</v>
      </c>
      <c r="I361" s="153">
        <v>0</v>
      </c>
      <c r="J361" s="211">
        <f>I361*100/I379</f>
        <v>0</v>
      </c>
      <c r="K361" s="215">
        <f t="shared" si="16"/>
        <v>0</v>
      </c>
      <c r="L361" s="216">
        <f t="shared" si="14"/>
        <v>0</v>
      </c>
    </row>
    <row r="362" spans="1:12">
      <c r="A362" s="263">
        <f t="shared" si="15"/>
        <v>8.499999999149999</v>
      </c>
      <c r="B362" s="267">
        <v>8.5</v>
      </c>
      <c r="C362" s="155">
        <v>0</v>
      </c>
      <c r="D362" s="156">
        <f>C362*100/C379</f>
        <v>0</v>
      </c>
      <c r="E362" s="155">
        <v>0</v>
      </c>
      <c r="F362" s="156">
        <f>E362*100/E379</f>
        <v>0</v>
      </c>
      <c r="G362" s="155">
        <v>0</v>
      </c>
      <c r="H362" s="156">
        <f>G362*100/G379</f>
        <v>0</v>
      </c>
      <c r="I362" s="155">
        <v>0</v>
      </c>
      <c r="J362" s="212">
        <f>I362*100/I379</f>
        <v>0</v>
      </c>
      <c r="K362" s="223">
        <f t="shared" si="16"/>
        <v>0</v>
      </c>
      <c r="L362" s="224">
        <f t="shared" si="14"/>
        <v>0</v>
      </c>
    </row>
    <row r="363" spans="1:12">
      <c r="A363" s="263">
        <f t="shared" si="15"/>
        <v>8.9999999990999999</v>
      </c>
      <c r="B363" s="263">
        <v>9</v>
      </c>
      <c r="C363" s="153">
        <v>0</v>
      </c>
      <c r="D363" s="154">
        <f>C363*100/C379</f>
        <v>0</v>
      </c>
      <c r="E363" s="153">
        <v>0</v>
      </c>
      <c r="F363" s="154">
        <f>E363*100/E379</f>
        <v>0</v>
      </c>
      <c r="G363" s="153">
        <v>0</v>
      </c>
      <c r="H363" s="154">
        <f>G363*100/G379</f>
        <v>0</v>
      </c>
      <c r="I363" s="153">
        <v>0</v>
      </c>
      <c r="J363" s="211">
        <f>I363*100/I379</f>
        <v>0</v>
      </c>
      <c r="K363" s="215">
        <f t="shared" si="16"/>
        <v>0</v>
      </c>
      <c r="L363" s="216">
        <f t="shared" si="14"/>
        <v>0</v>
      </c>
    </row>
    <row r="364" spans="1:12">
      <c r="A364" s="263">
        <f t="shared" si="15"/>
        <v>9.4999999990500008</v>
      </c>
      <c r="B364" s="267">
        <v>9.5</v>
      </c>
      <c r="C364" s="155">
        <v>0</v>
      </c>
      <c r="D364" s="156">
        <f>C364*100/C379</f>
        <v>0</v>
      </c>
      <c r="E364" s="155">
        <v>0</v>
      </c>
      <c r="F364" s="156">
        <f>E364*100/E379</f>
        <v>0</v>
      </c>
      <c r="G364" s="155">
        <v>0</v>
      </c>
      <c r="H364" s="156">
        <f>G364*100/G379</f>
        <v>0</v>
      </c>
      <c r="I364" s="155">
        <v>0</v>
      </c>
      <c r="J364" s="212">
        <f>I364*100/I379</f>
        <v>0</v>
      </c>
      <c r="K364" s="223">
        <f t="shared" si="16"/>
        <v>0</v>
      </c>
      <c r="L364" s="224">
        <f t="shared" si="14"/>
        <v>0</v>
      </c>
    </row>
    <row r="365" spans="1:12">
      <c r="A365" s="263">
        <f t="shared" si="15"/>
        <v>9.9999999989999999</v>
      </c>
      <c r="B365" s="263">
        <v>10</v>
      </c>
      <c r="C365" s="153">
        <v>0</v>
      </c>
      <c r="D365" s="154">
        <f>C365*100/C379</f>
        <v>0</v>
      </c>
      <c r="E365" s="153">
        <v>0</v>
      </c>
      <c r="F365" s="154">
        <f>E365*100/E379</f>
        <v>0</v>
      </c>
      <c r="G365" s="153">
        <v>0</v>
      </c>
      <c r="H365" s="154">
        <f>G365*100/G379</f>
        <v>0</v>
      </c>
      <c r="I365" s="153">
        <v>0</v>
      </c>
      <c r="J365" s="211">
        <f>I365*100/I379</f>
        <v>0</v>
      </c>
      <c r="K365" s="215">
        <f t="shared" si="16"/>
        <v>0</v>
      </c>
      <c r="L365" s="216">
        <f t="shared" si="14"/>
        <v>0</v>
      </c>
    </row>
    <row r="366" spans="1:12">
      <c r="A366" s="263">
        <f t="shared" si="15"/>
        <v>10.499999998949999</v>
      </c>
      <c r="B366" s="267">
        <v>10.5</v>
      </c>
      <c r="C366" s="155">
        <v>0</v>
      </c>
      <c r="D366" s="156">
        <f>C366*100/C379</f>
        <v>0</v>
      </c>
      <c r="E366" s="155">
        <v>0</v>
      </c>
      <c r="F366" s="156">
        <f>E366*100/E379</f>
        <v>0</v>
      </c>
      <c r="G366" s="155">
        <v>0</v>
      </c>
      <c r="H366" s="156">
        <f>G366*100/G379</f>
        <v>0</v>
      </c>
      <c r="I366" s="155">
        <v>0</v>
      </c>
      <c r="J366" s="212">
        <f>I366*100/I379</f>
        <v>0</v>
      </c>
      <c r="K366" s="223">
        <f t="shared" si="16"/>
        <v>0</v>
      </c>
      <c r="L366" s="224">
        <f t="shared" si="14"/>
        <v>0</v>
      </c>
    </row>
    <row r="367" spans="1:12">
      <c r="A367" s="263">
        <f t="shared" si="15"/>
        <v>10.9999999989</v>
      </c>
      <c r="B367" s="263">
        <v>11</v>
      </c>
      <c r="C367" s="153">
        <v>0</v>
      </c>
      <c r="D367" s="154">
        <f>C367*100/C379</f>
        <v>0</v>
      </c>
      <c r="E367" s="153">
        <v>0</v>
      </c>
      <c r="F367" s="154">
        <f>E367*100/E379</f>
        <v>0</v>
      </c>
      <c r="G367" s="153">
        <v>0</v>
      </c>
      <c r="H367" s="154">
        <f>G367*100/G379</f>
        <v>0</v>
      </c>
      <c r="I367" s="153">
        <v>0</v>
      </c>
      <c r="J367" s="211">
        <f>I367*100/I379</f>
        <v>0</v>
      </c>
      <c r="K367" s="215">
        <f t="shared" si="16"/>
        <v>0</v>
      </c>
      <c r="L367" s="216">
        <f t="shared" si="14"/>
        <v>0</v>
      </c>
    </row>
    <row r="368" spans="1:12">
      <c r="A368" s="263">
        <f t="shared" si="15"/>
        <v>11.499999998850001</v>
      </c>
      <c r="B368" s="267">
        <v>11.5</v>
      </c>
      <c r="C368" s="155">
        <v>0</v>
      </c>
      <c r="D368" s="156">
        <f>C368*100/C379</f>
        <v>0</v>
      </c>
      <c r="E368" s="155">
        <v>0</v>
      </c>
      <c r="F368" s="156">
        <f>E368*100/E379</f>
        <v>0</v>
      </c>
      <c r="G368" s="155">
        <v>1</v>
      </c>
      <c r="H368" s="156">
        <f>G368*100/G379</f>
        <v>99.999999990000006</v>
      </c>
      <c r="I368" s="155">
        <v>0</v>
      </c>
      <c r="J368" s="212">
        <f>I368*100/I379</f>
        <v>0</v>
      </c>
      <c r="K368" s="223">
        <f t="shared" si="16"/>
        <v>0</v>
      </c>
      <c r="L368" s="224">
        <f>0.5*(H368+J368)</f>
        <v>49.999999995000003</v>
      </c>
    </row>
    <row r="369" spans="1:14">
      <c r="A369" s="263">
        <f t="shared" si="15"/>
        <v>11.9999999988</v>
      </c>
      <c r="B369" s="263">
        <v>12</v>
      </c>
      <c r="C369" s="153">
        <v>0</v>
      </c>
      <c r="D369" s="154">
        <f>C369*100/C379</f>
        <v>0</v>
      </c>
      <c r="E369" s="153">
        <v>0</v>
      </c>
      <c r="F369" s="154">
        <f>E369*100/E379</f>
        <v>0</v>
      </c>
      <c r="G369" s="153">
        <v>0</v>
      </c>
      <c r="H369" s="154">
        <f>G369*100/G379</f>
        <v>0</v>
      </c>
      <c r="I369" s="153">
        <v>0</v>
      </c>
      <c r="J369" s="211">
        <f>I369*100/I379</f>
        <v>0</v>
      </c>
      <c r="K369" s="215">
        <f t="shared" si="16"/>
        <v>0</v>
      </c>
      <c r="L369" s="216">
        <f t="shared" si="14"/>
        <v>0</v>
      </c>
    </row>
    <row r="370" spans="1:14">
      <c r="A370" s="263">
        <f t="shared" si="15"/>
        <v>12.499999998749999</v>
      </c>
      <c r="B370" s="267">
        <v>12.5</v>
      </c>
      <c r="C370" s="155">
        <v>0</v>
      </c>
      <c r="D370" s="156">
        <f>C370*100/C379</f>
        <v>0</v>
      </c>
      <c r="E370" s="155">
        <v>0</v>
      </c>
      <c r="F370" s="156">
        <f>E370*100/E379</f>
        <v>0</v>
      </c>
      <c r="G370" s="155">
        <v>0</v>
      </c>
      <c r="H370" s="156">
        <f>G370*100/G379</f>
        <v>0</v>
      </c>
      <c r="I370" s="155">
        <v>0</v>
      </c>
      <c r="J370" s="212">
        <f>I370*100/I379</f>
        <v>0</v>
      </c>
      <c r="K370" s="223">
        <f t="shared" si="16"/>
        <v>0</v>
      </c>
      <c r="L370" s="224">
        <f t="shared" si="14"/>
        <v>0</v>
      </c>
    </row>
    <row r="371" spans="1:14">
      <c r="A371" s="263">
        <f t="shared" si="15"/>
        <v>12.9999999987</v>
      </c>
      <c r="B371" s="263">
        <v>13</v>
      </c>
      <c r="C371" s="153">
        <v>0</v>
      </c>
      <c r="D371" s="154">
        <f>C371*100/C379</f>
        <v>0</v>
      </c>
      <c r="E371" s="153">
        <v>0</v>
      </c>
      <c r="F371" s="154">
        <f>E371*100/E379</f>
        <v>0</v>
      </c>
      <c r="G371" s="153">
        <v>0</v>
      </c>
      <c r="H371" s="154">
        <f>G371*100/G379</f>
        <v>0</v>
      </c>
      <c r="I371" s="153">
        <v>0</v>
      </c>
      <c r="J371" s="211">
        <f>I371*100/I379</f>
        <v>0</v>
      </c>
      <c r="K371" s="215">
        <f t="shared" si="16"/>
        <v>0</v>
      </c>
      <c r="L371" s="216">
        <f t="shared" si="14"/>
        <v>0</v>
      </c>
    </row>
    <row r="372" spans="1:14">
      <c r="A372" s="263">
        <f t="shared" si="15"/>
        <v>13.499999998650001</v>
      </c>
      <c r="B372" s="267">
        <v>13.5</v>
      </c>
      <c r="C372" s="155">
        <v>0</v>
      </c>
      <c r="D372" s="157">
        <f>C372*100/C379</f>
        <v>0</v>
      </c>
      <c r="E372" s="158">
        <v>0</v>
      </c>
      <c r="F372" s="157">
        <f>E372*100/E379</f>
        <v>0</v>
      </c>
      <c r="G372" s="158">
        <v>0</v>
      </c>
      <c r="H372" s="157">
        <f>G372*100/G379</f>
        <v>0</v>
      </c>
      <c r="I372" s="158">
        <v>0</v>
      </c>
      <c r="J372" s="213">
        <f>I372*100/I379</f>
        <v>0</v>
      </c>
      <c r="K372" s="223">
        <f t="shared" si="16"/>
        <v>0</v>
      </c>
      <c r="L372" s="224">
        <f t="shared" si="14"/>
        <v>0</v>
      </c>
    </row>
    <row r="373" spans="1:14">
      <c r="A373" s="263">
        <f t="shared" si="15"/>
        <v>13.9999999986</v>
      </c>
      <c r="B373" s="218">
        <v>14</v>
      </c>
      <c r="C373" s="219">
        <v>0</v>
      </c>
      <c r="D373" s="220">
        <f>C373*100/C379</f>
        <v>0</v>
      </c>
      <c r="E373" s="221">
        <v>0</v>
      </c>
      <c r="F373" s="220">
        <f>E373*100/E379</f>
        <v>0</v>
      </c>
      <c r="G373" s="221">
        <v>0</v>
      </c>
      <c r="H373" s="220">
        <f>G373*100/G379</f>
        <v>0</v>
      </c>
      <c r="I373" s="221">
        <v>0</v>
      </c>
      <c r="J373" s="222">
        <f>I373*100/I379</f>
        <v>0</v>
      </c>
      <c r="K373" s="215">
        <f t="shared" si="16"/>
        <v>0</v>
      </c>
      <c r="L373" s="216">
        <f t="shared" si="14"/>
        <v>0</v>
      </c>
    </row>
    <row r="374" spans="1:14">
      <c r="A374" s="263">
        <f t="shared" si="15"/>
        <v>14.499999998549999</v>
      </c>
      <c r="B374" s="267">
        <v>14.5</v>
      </c>
      <c r="C374" s="155">
        <v>0</v>
      </c>
      <c r="D374" s="157">
        <f>C374*100/C379</f>
        <v>0</v>
      </c>
      <c r="E374" s="158">
        <v>0</v>
      </c>
      <c r="F374" s="157">
        <f>E374*100/E379</f>
        <v>0</v>
      </c>
      <c r="G374" s="158">
        <v>0</v>
      </c>
      <c r="H374" s="157">
        <f>G374*100/G379</f>
        <v>0</v>
      </c>
      <c r="I374" s="158">
        <v>0</v>
      </c>
      <c r="J374" s="213">
        <f>I374*100/I379</f>
        <v>0</v>
      </c>
      <c r="K374" s="223">
        <f t="shared" si="16"/>
        <v>0</v>
      </c>
      <c r="L374" s="224">
        <f t="shared" si="14"/>
        <v>0</v>
      </c>
    </row>
    <row r="375" spans="1:14">
      <c r="A375" s="263">
        <f t="shared" si="15"/>
        <v>14.9999999985</v>
      </c>
      <c r="B375" s="218">
        <v>15</v>
      </c>
      <c r="C375" s="219">
        <v>0</v>
      </c>
      <c r="D375" s="220">
        <f>C375*100/C379</f>
        <v>0</v>
      </c>
      <c r="E375" s="221">
        <v>0</v>
      </c>
      <c r="F375" s="220">
        <f>E375*100/E379</f>
        <v>0</v>
      </c>
      <c r="G375" s="221">
        <v>0</v>
      </c>
      <c r="H375" s="220">
        <f>G375*100/G379</f>
        <v>0</v>
      </c>
      <c r="I375" s="221">
        <v>0</v>
      </c>
      <c r="J375" s="222">
        <f>I375*100/I379</f>
        <v>0</v>
      </c>
      <c r="K375" s="215">
        <f t="shared" si="16"/>
        <v>0</v>
      </c>
      <c r="L375" s="216">
        <f t="shared" si="14"/>
        <v>0</v>
      </c>
    </row>
    <row r="376" spans="1:14">
      <c r="A376" s="263">
        <f t="shared" si="15"/>
        <v>15.499999998450001</v>
      </c>
      <c r="B376" s="267">
        <v>15.5</v>
      </c>
      <c r="C376" s="155">
        <v>0</v>
      </c>
      <c r="D376" s="157">
        <f>C376*100/C379</f>
        <v>0</v>
      </c>
      <c r="E376" s="158">
        <v>0</v>
      </c>
      <c r="F376" s="157">
        <f>E376*100/E379</f>
        <v>0</v>
      </c>
      <c r="G376" s="158">
        <v>0</v>
      </c>
      <c r="H376" s="157">
        <f>G376*100/G379</f>
        <v>0</v>
      </c>
      <c r="I376" s="158">
        <v>0</v>
      </c>
      <c r="J376" s="213">
        <f>I376*100/I379</f>
        <v>0</v>
      </c>
      <c r="K376" s="223">
        <f t="shared" si="16"/>
        <v>0</v>
      </c>
      <c r="L376" s="224">
        <f t="shared" si="14"/>
        <v>0</v>
      </c>
    </row>
    <row r="377" spans="1:14">
      <c r="A377" s="263">
        <f t="shared" si="15"/>
        <v>15.9999999984</v>
      </c>
      <c r="B377" s="218">
        <v>16</v>
      </c>
      <c r="C377" s="219">
        <v>0</v>
      </c>
      <c r="D377" s="220">
        <f>C377*100/C379</f>
        <v>0</v>
      </c>
      <c r="E377" s="221">
        <v>0</v>
      </c>
      <c r="F377" s="220">
        <f>E377*100/E379</f>
        <v>0</v>
      </c>
      <c r="G377" s="221">
        <v>0</v>
      </c>
      <c r="H377" s="220">
        <f>G377*100/G379</f>
        <v>0</v>
      </c>
      <c r="I377" s="221">
        <v>0</v>
      </c>
      <c r="J377" s="222">
        <f>I377*100/I379</f>
        <v>0</v>
      </c>
      <c r="K377" s="215">
        <f t="shared" si="16"/>
        <v>0</v>
      </c>
      <c r="L377" s="216">
        <f t="shared" si="14"/>
        <v>0</v>
      </c>
    </row>
    <row r="378" spans="1:14" ht="15" thickBot="1">
      <c r="A378" s="159">
        <f>0.9999999999*B378</f>
        <v>16.499999998349999</v>
      </c>
      <c r="B378" s="274">
        <v>16.5</v>
      </c>
      <c r="C378" s="160">
        <v>0</v>
      </c>
      <c r="D378" s="168">
        <f>C378*100/C379</f>
        <v>0</v>
      </c>
      <c r="E378" s="158">
        <v>0</v>
      </c>
      <c r="F378" s="157">
        <f>E378*100/E379</f>
        <v>0</v>
      </c>
      <c r="G378" s="158">
        <v>0</v>
      </c>
      <c r="H378" s="157">
        <f>G378*100/G379</f>
        <v>0</v>
      </c>
      <c r="I378" s="158">
        <v>0</v>
      </c>
      <c r="J378" s="214">
        <f>I378*100/I379</f>
        <v>0</v>
      </c>
      <c r="K378" s="223">
        <f t="shared" si="16"/>
        <v>0</v>
      </c>
      <c r="L378" s="224">
        <f t="shared" si="14"/>
        <v>0</v>
      </c>
    </row>
    <row r="379" spans="1:14" ht="15" thickBot="1">
      <c r="A379" s="806" t="s">
        <v>396</v>
      </c>
      <c r="B379" s="806"/>
      <c r="C379" s="161">
        <f>SUM(C350:C378)+0.0000000001</f>
        <v>1E-10</v>
      </c>
      <c r="D379" s="163">
        <f>SUM(D351:D378)</f>
        <v>0</v>
      </c>
      <c r="E379" s="162">
        <f>SUM(E350:E378)+0.0000000001</f>
        <v>1E-10</v>
      </c>
      <c r="F379" s="228">
        <f>SUM(F350:F378)+0.0000000001</f>
        <v>1E-10</v>
      </c>
      <c r="G379" s="162">
        <f>SUM(G350:G378)+0.0000000001</f>
        <v>1.0000000001</v>
      </c>
      <c r="H379" s="163">
        <f>SUM(H350:H378)</f>
        <v>99.999999990000006</v>
      </c>
      <c r="I379" s="162">
        <f>SUM(I350:I378)+0.0000000001</f>
        <v>1E-10</v>
      </c>
      <c r="J379" s="279">
        <f>SUM(J350:J378)</f>
        <v>0</v>
      </c>
      <c r="K379" s="227">
        <f>SUM(K350:K378)</f>
        <v>0</v>
      </c>
      <c r="L379" s="217">
        <f>SUM(L350:L378)</f>
        <v>49.999999995000003</v>
      </c>
    </row>
    <row r="380" spans="1:14" ht="15" thickBot="1">
      <c r="A380" s="778">
        <f>C379+E379+G379+I379</f>
        <v>1.0000000004</v>
      </c>
      <c r="B380" s="779"/>
      <c r="C380" s="779"/>
      <c r="D380" s="779"/>
      <c r="E380" s="779"/>
      <c r="F380" s="779"/>
      <c r="G380" s="779"/>
      <c r="H380" s="779"/>
      <c r="I380" s="779"/>
      <c r="J380" s="780"/>
      <c r="K380" s="139"/>
      <c r="L380" s="139"/>
    </row>
    <row r="384" spans="1:14">
      <c r="L384" s="250" t="s">
        <v>544</v>
      </c>
      <c r="M384" s="250" t="s">
        <v>543</v>
      </c>
      <c r="N384" s="139" t="e">
        <f>AVERAGE(Discrete!$CW$3:$CW$79,IC!$DS$3:$DS$64)</f>
        <v>#DIV/0!</v>
      </c>
    </row>
    <row r="385" spans="1:19">
      <c r="L385" s="250" t="s">
        <v>545</v>
      </c>
      <c r="M385" s="250" t="s">
        <v>543</v>
      </c>
      <c r="N385" s="139">
        <f>AVERAGE(Discrete!$CX$3:$CX$79,IC!$DT$3:$DT$64)</f>
        <v>11.898145567786724</v>
      </c>
    </row>
    <row r="396" spans="1:19">
      <c r="O396" s="781" t="s">
        <v>900</v>
      </c>
      <c r="P396" s="781"/>
      <c r="Q396" s="781"/>
      <c r="R396" s="781"/>
      <c r="S396" s="781"/>
    </row>
    <row r="397" spans="1:19" ht="15" thickBot="1"/>
    <row r="398" spans="1:19" ht="25.5" customHeight="1" thickBot="1">
      <c r="A398" s="778" t="s">
        <v>498</v>
      </c>
      <c r="B398" s="780"/>
      <c r="C398" s="799" t="s">
        <v>492</v>
      </c>
      <c r="D398" s="803"/>
      <c r="E398" s="800" t="s">
        <v>495</v>
      </c>
      <c r="F398" s="804"/>
      <c r="G398" s="799" t="s">
        <v>493</v>
      </c>
      <c r="H398" s="803"/>
      <c r="I398" s="800" t="s">
        <v>494</v>
      </c>
      <c r="J398" s="805"/>
      <c r="K398" s="794" t="s">
        <v>496</v>
      </c>
      <c r="L398" s="796" t="s">
        <v>497</v>
      </c>
    </row>
    <row r="399" spans="1:19" ht="15" thickBot="1">
      <c r="A399" s="141" t="s">
        <v>887</v>
      </c>
      <c r="B399" s="251" t="s">
        <v>243</v>
      </c>
      <c r="C399" s="143" t="s">
        <v>397</v>
      </c>
      <c r="D399" s="144" t="s">
        <v>945</v>
      </c>
      <c r="E399" s="145" t="s">
        <v>397</v>
      </c>
      <c r="F399" s="146" t="s">
        <v>945</v>
      </c>
      <c r="G399" s="147" t="s">
        <v>397</v>
      </c>
      <c r="H399" s="148" t="s">
        <v>945</v>
      </c>
      <c r="I399" s="145" t="s">
        <v>397</v>
      </c>
      <c r="J399" s="209" t="s">
        <v>945</v>
      </c>
      <c r="K399" s="795"/>
      <c r="L399" s="797"/>
    </row>
    <row r="400" spans="1:19">
      <c r="A400" s="149">
        <f>0.9999999999*B400</f>
        <v>2.49999999975</v>
      </c>
      <c r="B400" s="150">
        <v>2.5</v>
      </c>
      <c r="C400" s="150">
        <f t="array" ref="C400:C428">FREQUENCY(Discrete!DH3:DH79,Hists!A401:A428)</f>
        <v>0</v>
      </c>
      <c r="D400" s="151">
        <f>C400*100/C429</f>
        <v>0</v>
      </c>
      <c r="E400" s="150">
        <f t="array" ref="E400:E428">FREQUENCY(IC!ED3:ED64,Hists!A401:A428)</f>
        <v>0</v>
      </c>
      <c r="F400" s="151">
        <f>E400*100/E429</f>
        <v>0</v>
      </c>
      <c r="G400" s="150">
        <f t="array" ref="G400:G428">FREQUENCY(Discrete!DI3:DI79,Hists!A401:A428)</f>
        <v>0</v>
      </c>
      <c r="H400" s="151">
        <f>G400*100/G429</f>
        <v>0</v>
      </c>
      <c r="I400" s="150">
        <f t="array" ref="I400:I428">FREQUENCY(IC!EE3:EE64,Hists!A401:A428)</f>
        <v>0</v>
      </c>
      <c r="J400" s="210">
        <f>I400*100/I429</f>
        <v>0</v>
      </c>
      <c r="K400" s="225"/>
      <c r="L400" s="226"/>
    </row>
    <row r="401" spans="1:12">
      <c r="A401" s="152">
        <f>0.9999999999*B401</f>
        <v>2.9999999997</v>
      </c>
      <c r="B401" s="153">
        <v>3</v>
      </c>
      <c r="C401" s="153">
        <v>0</v>
      </c>
      <c r="D401" s="154">
        <f>C401*100/C429</f>
        <v>0</v>
      </c>
      <c r="E401" s="153">
        <v>0</v>
      </c>
      <c r="F401" s="154">
        <f>E401*100/E429</f>
        <v>0</v>
      </c>
      <c r="G401" s="153">
        <v>0</v>
      </c>
      <c r="H401" s="154">
        <f>G401*100/G429</f>
        <v>0</v>
      </c>
      <c r="I401" s="153">
        <v>0</v>
      </c>
      <c r="J401" s="211">
        <f>I401*100/I429</f>
        <v>0</v>
      </c>
      <c r="K401" s="215">
        <f>0.5*(D401+F401)</f>
        <v>0</v>
      </c>
      <c r="L401" s="216">
        <f t="shared" ref="L401:L428" si="17">0.5*(H401+J401)</f>
        <v>0</v>
      </c>
    </row>
    <row r="402" spans="1:12">
      <c r="A402" s="263">
        <f t="shared" ref="A402:A427" si="18">0.9999999999*B402</f>
        <v>3.49999999965</v>
      </c>
      <c r="B402" s="155">
        <v>3.5</v>
      </c>
      <c r="C402" s="155">
        <v>0</v>
      </c>
      <c r="D402" s="156">
        <f>C402*100/C429</f>
        <v>0</v>
      </c>
      <c r="E402" s="155">
        <v>0</v>
      </c>
      <c r="F402" s="156">
        <f>E402*100/E429</f>
        <v>0</v>
      </c>
      <c r="G402" s="155">
        <v>0</v>
      </c>
      <c r="H402" s="156">
        <f>G402*100/G429</f>
        <v>0</v>
      </c>
      <c r="I402" s="155">
        <v>0</v>
      </c>
      <c r="J402" s="212">
        <f>I402*100/I429</f>
        <v>0</v>
      </c>
      <c r="K402" s="223">
        <f>0.5*(D402+F402)</f>
        <v>0</v>
      </c>
      <c r="L402" s="224">
        <f t="shared" si="17"/>
        <v>0</v>
      </c>
    </row>
    <row r="403" spans="1:12">
      <c r="A403" s="263">
        <f t="shared" si="18"/>
        <v>3.9999999996</v>
      </c>
      <c r="B403" s="153">
        <v>4</v>
      </c>
      <c r="C403" s="153">
        <v>0</v>
      </c>
      <c r="D403" s="154">
        <f>C403*100/C429</f>
        <v>0</v>
      </c>
      <c r="E403" s="153">
        <v>0</v>
      </c>
      <c r="F403" s="154">
        <f>E403*100/E429</f>
        <v>0</v>
      </c>
      <c r="G403" s="153">
        <v>0</v>
      </c>
      <c r="H403" s="154">
        <f>G403*100/G429</f>
        <v>0</v>
      </c>
      <c r="I403" s="153">
        <v>0</v>
      </c>
      <c r="J403" s="211">
        <f>I403*100/I429</f>
        <v>0</v>
      </c>
      <c r="K403" s="215">
        <f>0.5*(D403+F403)</f>
        <v>0</v>
      </c>
      <c r="L403" s="216">
        <f t="shared" si="17"/>
        <v>0</v>
      </c>
    </row>
    <row r="404" spans="1:12">
      <c r="A404" s="263">
        <f t="shared" si="18"/>
        <v>4.49999999955</v>
      </c>
      <c r="B404" s="155">
        <v>4.5</v>
      </c>
      <c r="C404" s="155">
        <v>0</v>
      </c>
      <c r="D404" s="156">
        <f>C404*100/C429</f>
        <v>0</v>
      </c>
      <c r="E404" s="155">
        <v>0</v>
      </c>
      <c r="F404" s="156">
        <f>E404*100/E429</f>
        <v>0</v>
      </c>
      <c r="G404" s="155">
        <v>0</v>
      </c>
      <c r="H404" s="156">
        <f>G404*100/G429</f>
        <v>0</v>
      </c>
      <c r="I404" s="155">
        <v>0</v>
      </c>
      <c r="J404" s="212">
        <f>I404*100/I429</f>
        <v>0</v>
      </c>
      <c r="K404" s="223">
        <f t="shared" ref="K404:K428" si="19">0.5*(D404+F404)</f>
        <v>0</v>
      </c>
      <c r="L404" s="224">
        <f t="shared" si="17"/>
        <v>0</v>
      </c>
    </row>
    <row r="405" spans="1:12">
      <c r="A405" s="263">
        <f t="shared" si="18"/>
        <v>4.9999999995</v>
      </c>
      <c r="B405" s="153">
        <v>5</v>
      </c>
      <c r="C405" s="153">
        <v>0</v>
      </c>
      <c r="D405" s="154">
        <f>C405*100/C429</f>
        <v>0</v>
      </c>
      <c r="E405" s="153">
        <v>0</v>
      </c>
      <c r="F405" s="154">
        <f>E405*100/E429</f>
        <v>0</v>
      </c>
      <c r="G405" s="153">
        <v>0</v>
      </c>
      <c r="H405" s="154">
        <f>G405*100/G429</f>
        <v>0</v>
      </c>
      <c r="I405" s="153">
        <v>0</v>
      </c>
      <c r="J405" s="211">
        <f>I405*100/I429</f>
        <v>0</v>
      </c>
      <c r="K405" s="215">
        <f t="shared" si="19"/>
        <v>0</v>
      </c>
      <c r="L405" s="216">
        <f t="shared" si="17"/>
        <v>0</v>
      </c>
    </row>
    <row r="406" spans="1:12">
      <c r="A406" s="263">
        <f t="shared" si="18"/>
        <v>5.49999999945</v>
      </c>
      <c r="B406" s="155">
        <v>5.5</v>
      </c>
      <c r="C406" s="155">
        <v>0</v>
      </c>
      <c r="D406" s="156">
        <f>C406*100/C429</f>
        <v>0</v>
      </c>
      <c r="E406" s="155">
        <v>0</v>
      </c>
      <c r="F406" s="156">
        <f>E406*100/E429</f>
        <v>0</v>
      </c>
      <c r="G406" s="155">
        <v>0</v>
      </c>
      <c r="H406" s="156">
        <f>G406*100/G429</f>
        <v>0</v>
      </c>
      <c r="I406" s="155">
        <v>0</v>
      </c>
      <c r="J406" s="212">
        <f>I406*100/I429</f>
        <v>0</v>
      </c>
      <c r="K406" s="223">
        <f t="shared" si="19"/>
        <v>0</v>
      </c>
      <c r="L406" s="224">
        <f t="shared" si="17"/>
        <v>0</v>
      </c>
    </row>
    <row r="407" spans="1:12">
      <c r="A407" s="263">
        <f t="shared" si="18"/>
        <v>5.9999999994</v>
      </c>
      <c r="B407" s="153">
        <v>6</v>
      </c>
      <c r="C407" s="153">
        <v>0</v>
      </c>
      <c r="D407" s="154">
        <f>C407*100/C429</f>
        <v>0</v>
      </c>
      <c r="E407" s="153">
        <v>0</v>
      </c>
      <c r="F407" s="154">
        <f>E407*100/E429</f>
        <v>0</v>
      </c>
      <c r="G407" s="153">
        <v>0</v>
      </c>
      <c r="H407" s="154">
        <f>G407*100/G429</f>
        <v>0</v>
      </c>
      <c r="I407" s="153">
        <v>0</v>
      </c>
      <c r="J407" s="211">
        <f>I407*100/I429</f>
        <v>0</v>
      </c>
      <c r="K407" s="215">
        <f t="shared" si="19"/>
        <v>0</v>
      </c>
      <c r="L407" s="216">
        <f t="shared" si="17"/>
        <v>0</v>
      </c>
    </row>
    <row r="408" spans="1:12">
      <c r="A408" s="263">
        <f t="shared" si="18"/>
        <v>6.4999999993499999</v>
      </c>
      <c r="B408" s="155">
        <v>6.5</v>
      </c>
      <c r="C408" s="155">
        <v>0</v>
      </c>
      <c r="D408" s="156">
        <f>C408*100/C429</f>
        <v>0</v>
      </c>
      <c r="E408" s="155">
        <v>0</v>
      </c>
      <c r="F408" s="156">
        <f>E408*100/E429</f>
        <v>0</v>
      </c>
      <c r="G408" s="155">
        <v>0</v>
      </c>
      <c r="H408" s="156">
        <f>G408*100/G429</f>
        <v>0</v>
      </c>
      <c r="I408" s="155">
        <v>0</v>
      </c>
      <c r="J408" s="212">
        <f>I408*100/I429</f>
        <v>0</v>
      </c>
      <c r="K408" s="223">
        <f t="shared" si="19"/>
        <v>0</v>
      </c>
      <c r="L408" s="224">
        <f t="shared" si="17"/>
        <v>0</v>
      </c>
    </row>
    <row r="409" spans="1:12">
      <c r="A409" s="263">
        <f t="shared" si="18"/>
        <v>6.9999999992999999</v>
      </c>
      <c r="B409" s="153">
        <v>7</v>
      </c>
      <c r="C409" s="153">
        <v>0</v>
      </c>
      <c r="D409" s="154">
        <f>C409*100/C429</f>
        <v>0</v>
      </c>
      <c r="E409" s="153">
        <v>0</v>
      </c>
      <c r="F409" s="154">
        <f>E409*100/E429</f>
        <v>0</v>
      </c>
      <c r="G409" s="153">
        <v>0</v>
      </c>
      <c r="H409" s="154">
        <f>G409*100/G429</f>
        <v>0</v>
      </c>
      <c r="I409" s="153">
        <v>0</v>
      </c>
      <c r="J409" s="211">
        <f>I409*100/I429</f>
        <v>0</v>
      </c>
      <c r="K409" s="215">
        <f t="shared" si="19"/>
        <v>0</v>
      </c>
      <c r="L409" s="216">
        <f t="shared" si="17"/>
        <v>0</v>
      </c>
    </row>
    <row r="410" spans="1:12">
      <c r="A410" s="263">
        <f t="shared" si="18"/>
        <v>7.4999999992499999</v>
      </c>
      <c r="B410" s="155">
        <v>7.5</v>
      </c>
      <c r="C410" s="155">
        <v>0</v>
      </c>
      <c r="D410" s="156">
        <f>C410*100/C429</f>
        <v>0</v>
      </c>
      <c r="E410" s="155">
        <v>0</v>
      </c>
      <c r="F410" s="156">
        <f>E410*100/E429</f>
        <v>0</v>
      </c>
      <c r="G410" s="155">
        <v>0</v>
      </c>
      <c r="H410" s="156">
        <f>G410*100/G429</f>
        <v>0</v>
      </c>
      <c r="I410" s="155">
        <v>0</v>
      </c>
      <c r="J410" s="212">
        <f>I410*100/I429</f>
        <v>0</v>
      </c>
      <c r="K410" s="223">
        <f t="shared" si="19"/>
        <v>0</v>
      </c>
      <c r="L410" s="224">
        <f t="shared" si="17"/>
        <v>0</v>
      </c>
    </row>
    <row r="411" spans="1:12">
      <c r="A411" s="263">
        <f t="shared" si="18"/>
        <v>7.9999999991999999</v>
      </c>
      <c r="B411" s="153">
        <v>8</v>
      </c>
      <c r="C411" s="153">
        <v>0</v>
      </c>
      <c r="D411" s="154">
        <f>C411*100/C429</f>
        <v>0</v>
      </c>
      <c r="E411" s="153">
        <v>0</v>
      </c>
      <c r="F411" s="154">
        <f>E411*100/E429</f>
        <v>0</v>
      </c>
      <c r="G411" s="153">
        <v>0</v>
      </c>
      <c r="H411" s="154">
        <f>G411*100/G429</f>
        <v>0</v>
      </c>
      <c r="I411" s="153">
        <v>0</v>
      </c>
      <c r="J411" s="211">
        <f>I411*100/I429</f>
        <v>0</v>
      </c>
      <c r="K411" s="215">
        <f t="shared" si="19"/>
        <v>0</v>
      </c>
      <c r="L411" s="216">
        <f t="shared" si="17"/>
        <v>0</v>
      </c>
    </row>
    <row r="412" spans="1:12">
      <c r="A412" s="263">
        <f t="shared" si="18"/>
        <v>8.499999999149999</v>
      </c>
      <c r="B412" s="155">
        <v>8.5</v>
      </c>
      <c r="C412" s="155">
        <v>0</v>
      </c>
      <c r="D412" s="156">
        <f>C412*100/C429</f>
        <v>0</v>
      </c>
      <c r="E412" s="155">
        <v>0</v>
      </c>
      <c r="F412" s="156">
        <f>E412*100/E429</f>
        <v>0</v>
      </c>
      <c r="G412" s="155">
        <v>0</v>
      </c>
      <c r="H412" s="156">
        <f>G412*100/G429</f>
        <v>0</v>
      </c>
      <c r="I412" s="155">
        <v>0</v>
      </c>
      <c r="J412" s="212">
        <f>I412*100/I429</f>
        <v>0</v>
      </c>
      <c r="K412" s="223">
        <f t="shared" si="19"/>
        <v>0</v>
      </c>
      <c r="L412" s="224">
        <f t="shared" si="17"/>
        <v>0</v>
      </c>
    </row>
    <row r="413" spans="1:12">
      <c r="A413" s="263">
        <f t="shared" si="18"/>
        <v>8.9999999990999999</v>
      </c>
      <c r="B413" s="153">
        <v>9</v>
      </c>
      <c r="C413" s="153">
        <v>0</v>
      </c>
      <c r="D413" s="154">
        <f>C413*100/C429</f>
        <v>0</v>
      </c>
      <c r="E413" s="153">
        <v>0</v>
      </c>
      <c r="F413" s="154">
        <f>E413*100/E429</f>
        <v>0</v>
      </c>
      <c r="G413" s="153">
        <v>0</v>
      </c>
      <c r="H413" s="154">
        <f>G413*100/G429</f>
        <v>0</v>
      </c>
      <c r="I413" s="153">
        <v>0</v>
      </c>
      <c r="J413" s="211">
        <f>I413*100/I429</f>
        <v>0</v>
      </c>
      <c r="K413" s="215">
        <f t="shared" si="19"/>
        <v>0</v>
      </c>
      <c r="L413" s="216">
        <f t="shared" si="17"/>
        <v>0</v>
      </c>
    </row>
    <row r="414" spans="1:12">
      <c r="A414" s="263">
        <f t="shared" si="18"/>
        <v>9.4999999990500008</v>
      </c>
      <c r="B414" s="155">
        <v>9.5</v>
      </c>
      <c r="C414" s="155">
        <v>0</v>
      </c>
      <c r="D414" s="156">
        <f>C414*100/C429</f>
        <v>0</v>
      </c>
      <c r="E414" s="155">
        <v>0</v>
      </c>
      <c r="F414" s="156">
        <f>E414*100/E429</f>
        <v>0</v>
      </c>
      <c r="G414" s="155">
        <v>0</v>
      </c>
      <c r="H414" s="156">
        <f>G414*100/G429</f>
        <v>0</v>
      </c>
      <c r="I414" s="155">
        <v>0</v>
      </c>
      <c r="J414" s="212">
        <f>I414*100/I429</f>
        <v>0</v>
      </c>
      <c r="K414" s="223">
        <f t="shared" si="19"/>
        <v>0</v>
      </c>
      <c r="L414" s="224">
        <f t="shared" si="17"/>
        <v>0</v>
      </c>
    </row>
    <row r="415" spans="1:12">
      <c r="A415" s="263">
        <f t="shared" si="18"/>
        <v>9.9999999989999999</v>
      </c>
      <c r="B415" s="153">
        <v>10</v>
      </c>
      <c r="C415" s="153">
        <v>0</v>
      </c>
      <c r="D415" s="154">
        <f>C415*100/C429</f>
        <v>0</v>
      </c>
      <c r="E415" s="153">
        <v>0</v>
      </c>
      <c r="F415" s="154">
        <f>E415*100/E429</f>
        <v>0</v>
      </c>
      <c r="G415" s="153">
        <v>0</v>
      </c>
      <c r="H415" s="154">
        <f>G415*100/G429</f>
        <v>0</v>
      </c>
      <c r="I415" s="153">
        <v>0</v>
      </c>
      <c r="J415" s="211">
        <f>I415*100/I429</f>
        <v>0</v>
      </c>
      <c r="K415" s="215">
        <f t="shared" si="19"/>
        <v>0</v>
      </c>
      <c r="L415" s="216">
        <f t="shared" si="17"/>
        <v>0</v>
      </c>
    </row>
    <row r="416" spans="1:12">
      <c r="A416" s="263">
        <f t="shared" si="18"/>
        <v>10.499999998949999</v>
      </c>
      <c r="B416" s="155">
        <v>10.5</v>
      </c>
      <c r="C416" s="155">
        <v>0</v>
      </c>
      <c r="D416" s="156">
        <f>C416*100/C429</f>
        <v>0</v>
      </c>
      <c r="E416" s="155">
        <v>0</v>
      </c>
      <c r="F416" s="156">
        <f>E416*100/E429</f>
        <v>0</v>
      </c>
      <c r="G416" s="155">
        <v>0</v>
      </c>
      <c r="H416" s="156">
        <f>G416*100/G429</f>
        <v>0</v>
      </c>
      <c r="I416" s="155">
        <v>0</v>
      </c>
      <c r="J416" s="212">
        <f>I416*100/I429</f>
        <v>0</v>
      </c>
      <c r="K416" s="223">
        <f t="shared" si="19"/>
        <v>0</v>
      </c>
      <c r="L416" s="224">
        <f t="shared" si="17"/>
        <v>0</v>
      </c>
    </row>
    <row r="417" spans="1:12">
      <c r="A417" s="263">
        <f t="shared" si="18"/>
        <v>10.9999999989</v>
      </c>
      <c r="B417" s="153">
        <v>11</v>
      </c>
      <c r="C417" s="153">
        <v>0</v>
      </c>
      <c r="D417" s="154">
        <f>C417*100/C429</f>
        <v>0</v>
      </c>
      <c r="E417" s="153">
        <v>0</v>
      </c>
      <c r="F417" s="154">
        <f>E417*100/E429</f>
        <v>0</v>
      </c>
      <c r="G417" s="153">
        <v>0</v>
      </c>
      <c r="H417" s="154">
        <f>G417*100/G429</f>
        <v>0</v>
      </c>
      <c r="I417" s="153">
        <v>0</v>
      </c>
      <c r="J417" s="211">
        <f>I417*100/I429</f>
        <v>0</v>
      </c>
      <c r="K417" s="215">
        <f t="shared" si="19"/>
        <v>0</v>
      </c>
      <c r="L417" s="216">
        <f t="shared" si="17"/>
        <v>0</v>
      </c>
    </row>
    <row r="418" spans="1:12">
      <c r="A418" s="263">
        <f t="shared" si="18"/>
        <v>11.499999998850001</v>
      </c>
      <c r="B418" s="155">
        <v>11.5</v>
      </c>
      <c r="C418" s="155">
        <v>0</v>
      </c>
      <c r="D418" s="156">
        <f>C418*100/C429</f>
        <v>0</v>
      </c>
      <c r="E418" s="155">
        <v>0</v>
      </c>
      <c r="F418" s="156">
        <f>E418*100/E429</f>
        <v>0</v>
      </c>
      <c r="G418" s="155">
        <v>1</v>
      </c>
      <c r="H418" s="156">
        <f>G418*100/G429</f>
        <v>99.999999990000006</v>
      </c>
      <c r="I418" s="155">
        <v>0</v>
      </c>
      <c r="J418" s="212">
        <f>I418*100/I429</f>
        <v>0</v>
      </c>
      <c r="K418" s="223">
        <f t="shared" si="19"/>
        <v>0</v>
      </c>
      <c r="L418" s="224">
        <f t="shared" si="17"/>
        <v>49.999999995000003</v>
      </c>
    </row>
    <row r="419" spans="1:12">
      <c r="A419" s="263">
        <f t="shared" si="18"/>
        <v>11.9999999988</v>
      </c>
      <c r="B419" s="153">
        <v>12</v>
      </c>
      <c r="C419" s="153">
        <v>0</v>
      </c>
      <c r="D419" s="154">
        <f>C419*100/C429</f>
        <v>0</v>
      </c>
      <c r="E419" s="153">
        <v>0</v>
      </c>
      <c r="F419" s="154">
        <f>E419*100/E429</f>
        <v>0</v>
      </c>
      <c r="G419" s="153">
        <v>0</v>
      </c>
      <c r="H419" s="154">
        <f>G419*100/G429</f>
        <v>0</v>
      </c>
      <c r="I419" s="153">
        <v>0</v>
      </c>
      <c r="J419" s="211">
        <f>I419*100/I429</f>
        <v>0</v>
      </c>
      <c r="K419" s="215">
        <f t="shared" si="19"/>
        <v>0</v>
      </c>
      <c r="L419" s="216">
        <f t="shared" si="17"/>
        <v>0</v>
      </c>
    </row>
    <row r="420" spans="1:12">
      <c r="A420" s="263">
        <f t="shared" si="18"/>
        <v>12.499999998749999</v>
      </c>
      <c r="B420" s="155">
        <v>12.5</v>
      </c>
      <c r="C420" s="155">
        <v>1</v>
      </c>
      <c r="D420" s="156">
        <f>C420*100/C429</f>
        <v>99.999999990000006</v>
      </c>
      <c r="E420" s="155">
        <v>0</v>
      </c>
      <c r="F420" s="156">
        <f>E420*100/E429</f>
        <v>0</v>
      </c>
      <c r="G420" s="155">
        <v>0</v>
      </c>
      <c r="H420" s="156">
        <f>G420*100/G429</f>
        <v>0</v>
      </c>
      <c r="I420" s="155">
        <v>0</v>
      </c>
      <c r="J420" s="212">
        <f>I420*100/I429</f>
        <v>0</v>
      </c>
      <c r="K420" s="223">
        <f t="shared" si="19"/>
        <v>49.999999995000003</v>
      </c>
      <c r="L420" s="224">
        <f t="shared" si="17"/>
        <v>0</v>
      </c>
    </row>
    <row r="421" spans="1:12">
      <c r="A421" s="263">
        <f t="shared" si="18"/>
        <v>12.9999999987</v>
      </c>
      <c r="B421" s="153">
        <v>13</v>
      </c>
      <c r="C421" s="153">
        <v>0</v>
      </c>
      <c r="D421" s="154">
        <f>C421*100/C429</f>
        <v>0</v>
      </c>
      <c r="E421" s="153">
        <v>0</v>
      </c>
      <c r="F421" s="154">
        <f>E421*100/E429</f>
        <v>0</v>
      </c>
      <c r="G421" s="153">
        <v>0</v>
      </c>
      <c r="H421" s="154">
        <f>G421*100/G429</f>
        <v>0</v>
      </c>
      <c r="I421" s="153">
        <v>0</v>
      </c>
      <c r="J421" s="211">
        <f>I421*100/I429</f>
        <v>0</v>
      </c>
      <c r="K421" s="215">
        <f t="shared" si="19"/>
        <v>0</v>
      </c>
      <c r="L421" s="216">
        <f t="shared" si="17"/>
        <v>0</v>
      </c>
    </row>
    <row r="422" spans="1:12">
      <c r="A422" s="263">
        <f t="shared" si="18"/>
        <v>13.499999998650001</v>
      </c>
      <c r="B422" s="155">
        <v>13.5</v>
      </c>
      <c r="C422" s="155">
        <v>0</v>
      </c>
      <c r="D422" s="157">
        <f>C422*100/C429</f>
        <v>0</v>
      </c>
      <c r="E422" s="158">
        <v>0</v>
      </c>
      <c r="F422" s="157">
        <f>E422*100/E429</f>
        <v>0</v>
      </c>
      <c r="G422" s="158">
        <v>0</v>
      </c>
      <c r="H422" s="157">
        <f>G422*100/G429</f>
        <v>0</v>
      </c>
      <c r="I422" s="158">
        <v>0</v>
      </c>
      <c r="J422" s="213">
        <f>I422*100/I429</f>
        <v>0</v>
      </c>
      <c r="K422" s="223">
        <f t="shared" si="19"/>
        <v>0</v>
      </c>
      <c r="L422" s="224">
        <f t="shared" si="17"/>
        <v>0</v>
      </c>
    </row>
    <row r="423" spans="1:12">
      <c r="A423" s="263">
        <f t="shared" si="18"/>
        <v>13.9999999986</v>
      </c>
      <c r="B423" s="219">
        <v>14</v>
      </c>
      <c r="C423" s="219">
        <v>0</v>
      </c>
      <c r="D423" s="220">
        <f>C423*100/C429</f>
        <v>0</v>
      </c>
      <c r="E423" s="221">
        <v>0</v>
      </c>
      <c r="F423" s="220">
        <f>E423*100/E429</f>
        <v>0</v>
      </c>
      <c r="G423" s="221">
        <v>0</v>
      </c>
      <c r="H423" s="220">
        <f>G423*100/G429</f>
        <v>0</v>
      </c>
      <c r="I423" s="221">
        <v>0</v>
      </c>
      <c r="J423" s="222">
        <f>I423*100/I429</f>
        <v>0</v>
      </c>
      <c r="K423" s="215">
        <f t="shared" si="19"/>
        <v>0</v>
      </c>
      <c r="L423" s="216">
        <f t="shared" si="17"/>
        <v>0</v>
      </c>
    </row>
    <row r="424" spans="1:12">
      <c r="A424" s="263">
        <f t="shared" si="18"/>
        <v>14.499999998549999</v>
      </c>
      <c r="B424" s="155">
        <v>14.5</v>
      </c>
      <c r="C424" s="155">
        <v>0</v>
      </c>
      <c r="D424" s="157">
        <f>C424*100/C429</f>
        <v>0</v>
      </c>
      <c r="E424" s="158">
        <v>0</v>
      </c>
      <c r="F424" s="157">
        <f>E424*100/E429</f>
        <v>0</v>
      </c>
      <c r="G424" s="158">
        <v>0</v>
      </c>
      <c r="H424" s="157">
        <f>G424*100/G429</f>
        <v>0</v>
      </c>
      <c r="I424" s="158">
        <v>0</v>
      </c>
      <c r="J424" s="213">
        <f>I424*100/I429</f>
        <v>0</v>
      </c>
      <c r="K424" s="223">
        <f t="shared" si="19"/>
        <v>0</v>
      </c>
      <c r="L424" s="224">
        <f t="shared" si="17"/>
        <v>0</v>
      </c>
    </row>
    <row r="425" spans="1:12">
      <c r="A425" s="263">
        <f t="shared" si="18"/>
        <v>14.9999999985</v>
      </c>
      <c r="B425" s="219">
        <v>15</v>
      </c>
      <c r="C425" s="219">
        <v>0</v>
      </c>
      <c r="D425" s="220">
        <f>C425*100/C429</f>
        <v>0</v>
      </c>
      <c r="E425" s="221">
        <v>0</v>
      </c>
      <c r="F425" s="220">
        <f>E425*100/E429</f>
        <v>0</v>
      </c>
      <c r="G425" s="221">
        <v>0</v>
      </c>
      <c r="H425" s="220">
        <f>G425*100/G429</f>
        <v>0</v>
      </c>
      <c r="I425" s="221">
        <v>0</v>
      </c>
      <c r="J425" s="222">
        <f>I425*100/I429</f>
        <v>0</v>
      </c>
      <c r="K425" s="215">
        <f t="shared" si="19"/>
        <v>0</v>
      </c>
      <c r="L425" s="216">
        <f t="shared" si="17"/>
        <v>0</v>
      </c>
    </row>
    <row r="426" spans="1:12">
      <c r="A426" s="263">
        <f t="shared" si="18"/>
        <v>15.499999998450001</v>
      </c>
      <c r="B426" s="155">
        <v>15.5</v>
      </c>
      <c r="C426" s="155">
        <v>0</v>
      </c>
      <c r="D426" s="157">
        <f>C426*100/C429</f>
        <v>0</v>
      </c>
      <c r="E426" s="158">
        <v>0</v>
      </c>
      <c r="F426" s="157">
        <f>E426*100/E429</f>
        <v>0</v>
      </c>
      <c r="G426" s="158">
        <v>0</v>
      </c>
      <c r="H426" s="157">
        <f>G426*100/G429</f>
        <v>0</v>
      </c>
      <c r="I426" s="158">
        <v>1</v>
      </c>
      <c r="J426" s="213">
        <f>I426*100/I429</f>
        <v>99.999999990000006</v>
      </c>
      <c r="K426" s="223">
        <f t="shared" si="19"/>
        <v>0</v>
      </c>
      <c r="L426" s="224">
        <f t="shared" si="17"/>
        <v>49.999999995000003</v>
      </c>
    </row>
    <row r="427" spans="1:12">
      <c r="A427" s="263">
        <f t="shared" si="18"/>
        <v>15.9999999984</v>
      </c>
      <c r="B427" s="219">
        <v>16</v>
      </c>
      <c r="C427" s="219">
        <v>0</v>
      </c>
      <c r="D427" s="220">
        <f>C427*100/C429</f>
        <v>0</v>
      </c>
      <c r="E427" s="221">
        <v>0</v>
      </c>
      <c r="F427" s="220">
        <f>E427*100/E429</f>
        <v>0</v>
      </c>
      <c r="G427" s="221">
        <v>0</v>
      </c>
      <c r="H427" s="220">
        <f>G427*100/G429</f>
        <v>0</v>
      </c>
      <c r="I427" s="221">
        <v>0</v>
      </c>
      <c r="J427" s="222">
        <f>I427*100/I429</f>
        <v>0</v>
      </c>
      <c r="K427" s="215">
        <f t="shared" si="19"/>
        <v>0</v>
      </c>
      <c r="L427" s="216">
        <f t="shared" si="17"/>
        <v>0</v>
      </c>
    </row>
    <row r="428" spans="1:12" ht="15" thickBot="1">
      <c r="A428" s="159">
        <f>0.9999999999*B428</f>
        <v>16.499999998349999</v>
      </c>
      <c r="B428" s="160">
        <v>16.5</v>
      </c>
      <c r="C428" s="160">
        <v>0</v>
      </c>
      <c r="D428" s="168">
        <f>C428*100/C429</f>
        <v>0</v>
      </c>
      <c r="E428" s="158">
        <v>0</v>
      </c>
      <c r="F428" s="157">
        <f>E428*100/E429</f>
        <v>0</v>
      </c>
      <c r="G428" s="158">
        <v>0</v>
      </c>
      <c r="H428" s="157">
        <f>G428*100/G429</f>
        <v>0</v>
      </c>
      <c r="I428" s="158">
        <v>0</v>
      </c>
      <c r="J428" s="214">
        <f>I428*100/I429</f>
        <v>0</v>
      </c>
      <c r="K428" s="223">
        <f t="shared" si="19"/>
        <v>0</v>
      </c>
      <c r="L428" s="224">
        <f t="shared" si="17"/>
        <v>0</v>
      </c>
    </row>
    <row r="429" spans="1:12" ht="15" thickBot="1">
      <c r="A429" s="806" t="s">
        <v>396</v>
      </c>
      <c r="B429" s="806"/>
      <c r="C429" s="161">
        <f>SUM(C400:C428)+0.0000000001</f>
        <v>1.0000000001</v>
      </c>
      <c r="D429" s="163">
        <f>SUM(D401:D428)</f>
        <v>99.999999990000006</v>
      </c>
      <c r="E429" s="162">
        <f>SUM(E400:E428)+0.0000000001</f>
        <v>1E-10</v>
      </c>
      <c r="F429" s="163">
        <f>SUM(F400:F428)</f>
        <v>0</v>
      </c>
      <c r="G429" s="162">
        <f>SUM(G400:G428)+0.0000000001</f>
        <v>1.0000000001</v>
      </c>
      <c r="H429" s="163">
        <f>SUM(H400:H428)</f>
        <v>99.999999990000006</v>
      </c>
      <c r="I429" s="162">
        <f>SUM(I400:I428)+0.0000000001</f>
        <v>1.0000000001</v>
      </c>
      <c r="J429" s="279">
        <f>SUM(J400:J428)</f>
        <v>99.999999990000006</v>
      </c>
      <c r="K429" s="227">
        <f>SUM(K400:K428)</f>
        <v>49.999999995000003</v>
      </c>
      <c r="L429" s="217">
        <f>SUM(L400:L428)</f>
        <v>99.999999990000006</v>
      </c>
    </row>
    <row r="430" spans="1:12" ht="15" thickBot="1">
      <c r="A430" s="778">
        <f>C429+E429+G429+I429</f>
        <v>3.0000000004</v>
      </c>
      <c r="B430" s="779"/>
      <c r="C430" s="779"/>
      <c r="D430" s="779"/>
      <c r="E430" s="779"/>
      <c r="F430" s="779"/>
      <c r="G430" s="779"/>
      <c r="H430" s="779"/>
      <c r="I430" s="779"/>
      <c r="J430" s="780"/>
      <c r="K430" s="139"/>
      <c r="L430" s="139"/>
    </row>
    <row r="434" spans="1:19">
      <c r="L434" s="250" t="s">
        <v>544</v>
      </c>
      <c r="M434" s="250" t="s">
        <v>543</v>
      </c>
      <c r="N434" s="139">
        <f>AVERAGE(Discrete!$DH$3:$DH$79,IC!$ED$3:$ED$64)</f>
        <v>12.965784284662087</v>
      </c>
    </row>
    <row r="435" spans="1:19">
      <c r="L435" s="250" t="s">
        <v>545</v>
      </c>
      <c r="M435" s="250" t="s">
        <v>543</v>
      </c>
      <c r="N435" s="139">
        <f>AVERAGE(Discrete!$DI$3:$DI$79,IC!$EE$3:$EE$64)</f>
        <v>13.832848755660422</v>
      </c>
    </row>
    <row r="446" spans="1:19">
      <c r="O446" s="781" t="s">
        <v>901</v>
      </c>
      <c r="P446" s="781"/>
      <c r="Q446" s="781"/>
      <c r="R446" s="781"/>
      <c r="S446" s="781"/>
    </row>
    <row r="447" spans="1:19" ht="15" thickBot="1"/>
    <row r="448" spans="1:19" ht="26.25" customHeight="1" thickBot="1">
      <c r="A448" s="798" t="s">
        <v>499</v>
      </c>
      <c r="B448" s="780"/>
      <c r="C448" s="799" t="s">
        <v>492</v>
      </c>
      <c r="D448" s="803"/>
      <c r="E448" s="800" t="s">
        <v>495</v>
      </c>
      <c r="F448" s="804"/>
      <c r="G448" s="799" t="s">
        <v>493</v>
      </c>
      <c r="H448" s="803"/>
      <c r="I448" s="800" t="s">
        <v>494</v>
      </c>
      <c r="J448" s="805"/>
      <c r="K448" s="794" t="s">
        <v>496</v>
      </c>
      <c r="L448" s="796" t="s">
        <v>497</v>
      </c>
    </row>
    <row r="449" spans="1:12" ht="15" thickBot="1">
      <c r="A449" s="141" t="s">
        <v>887</v>
      </c>
      <c r="B449" s="251" t="s">
        <v>243</v>
      </c>
      <c r="C449" s="143" t="s">
        <v>397</v>
      </c>
      <c r="D449" s="144" t="s">
        <v>945</v>
      </c>
      <c r="E449" s="145" t="s">
        <v>397</v>
      </c>
      <c r="F449" s="146" t="s">
        <v>945</v>
      </c>
      <c r="G449" s="147" t="s">
        <v>397</v>
      </c>
      <c r="H449" s="148" t="s">
        <v>945</v>
      </c>
      <c r="I449" s="145" t="s">
        <v>397</v>
      </c>
      <c r="J449" s="209" t="s">
        <v>945</v>
      </c>
      <c r="K449" s="795"/>
      <c r="L449" s="797"/>
    </row>
    <row r="450" spans="1:12">
      <c r="A450" s="259">
        <f>0.9999999999*B450</f>
        <v>2.49999999975</v>
      </c>
      <c r="B450" s="150">
        <v>2.5</v>
      </c>
      <c r="C450" s="150">
        <f t="array" ref="C450:C478">FREQUENCY(Discrete!DK3:DK79,Hists!A451:A478)</f>
        <v>0</v>
      </c>
      <c r="D450" s="151">
        <f>C450*100/C479</f>
        <v>0</v>
      </c>
      <c r="E450" s="150">
        <f t="array" ref="E450:E478">FREQUENCY(IC!EG3:EG64,Hists!A451:A478)</f>
        <v>0</v>
      </c>
      <c r="F450" s="151">
        <f>E450*100/E479</f>
        <v>0</v>
      </c>
      <c r="G450" s="150">
        <f t="array" ref="G450:G478">FREQUENCY(Discrete!DL3:DL79,Hists!A451:A478)</f>
        <v>0</v>
      </c>
      <c r="H450" s="151">
        <f>G450*100/G479</f>
        <v>0</v>
      </c>
      <c r="I450" s="150">
        <f t="array" ref="I450:I478">FREQUENCY(IC!EH3:EH64,Hists!A451:A478)</f>
        <v>0</v>
      </c>
      <c r="J450" s="210">
        <f>I450*100/I479</f>
        <v>0</v>
      </c>
      <c r="K450" s="225"/>
      <c r="L450" s="226"/>
    </row>
    <row r="451" spans="1:12">
      <c r="A451" s="152">
        <f>0.9999999999*B451</f>
        <v>2.9999999997</v>
      </c>
      <c r="B451" s="153">
        <v>3</v>
      </c>
      <c r="C451" s="153">
        <v>0</v>
      </c>
      <c r="D451" s="154">
        <f>C451*100/C479</f>
        <v>0</v>
      </c>
      <c r="E451" s="153">
        <v>0</v>
      </c>
      <c r="F451" s="154">
        <f>E451*100/E479</f>
        <v>0</v>
      </c>
      <c r="G451" s="153">
        <v>0</v>
      </c>
      <c r="H451" s="154">
        <f>G451*100/G479</f>
        <v>0</v>
      </c>
      <c r="I451" s="153">
        <v>0</v>
      </c>
      <c r="J451" s="211">
        <f>I451*100/I479</f>
        <v>0</v>
      </c>
      <c r="K451" s="215">
        <f>0.5*(D451+F451)</f>
        <v>0</v>
      </c>
      <c r="L451" s="216">
        <f t="shared" ref="L451:L478" si="20">0.5*(H451+J451)</f>
        <v>0</v>
      </c>
    </row>
    <row r="452" spans="1:12">
      <c r="A452" s="263">
        <f t="shared" ref="A452:A477" si="21">0.9999999999*B452</f>
        <v>3.49999999965</v>
      </c>
      <c r="B452" s="155">
        <v>3.5</v>
      </c>
      <c r="C452" s="155">
        <v>0</v>
      </c>
      <c r="D452" s="156">
        <f>C452*100/C479</f>
        <v>0</v>
      </c>
      <c r="E452" s="155">
        <v>0</v>
      </c>
      <c r="F452" s="156">
        <f>E452*100/E479</f>
        <v>0</v>
      </c>
      <c r="G452" s="155">
        <v>0</v>
      </c>
      <c r="H452" s="156">
        <f>G452*100/G479</f>
        <v>0</v>
      </c>
      <c r="I452" s="155">
        <v>0</v>
      </c>
      <c r="J452" s="212">
        <f>I452*100/I479</f>
        <v>0</v>
      </c>
      <c r="K452" s="223">
        <f>0.5*(D452+F452)</f>
        <v>0</v>
      </c>
      <c r="L452" s="224">
        <f t="shared" si="20"/>
        <v>0</v>
      </c>
    </row>
    <row r="453" spans="1:12">
      <c r="A453" s="263">
        <f t="shared" si="21"/>
        <v>3.9999999996</v>
      </c>
      <c r="B453" s="153">
        <v>4</v>
      </c>
      <c r="C453" s="153">
        <v>0</v>
      </c>
      <c r="D453" s="154">
        <f>C453*100/C479</f>
        <v>0</v>
      </c>
      <c r="E453" s="153">
        <v>0</v>
      </c>
      <c r="F453" s="154">
        <f>E453*100/E479</f>
        <v>0</v>
      </c>
      <c r="G453" s="153">
        <v>0</v>
      </c>
      <c r="H453" s="154">
        <f>G453*100/G479</f>
        <v>0</v>
      </c>
      <c r="I453" s="153">
        <v>0</v>
      </c>
      <c r="J453" s="211">
        <f>I453*100/I479</f>
        <v>0</v>
      </c>
      <c r="K453" s="215">
        <f>0.5*(D453+F453)</f>
        <v>0</v>
      </c>
      <c r="L453" s="216">
        <f t="shared" si="20"/>
        <v>0</v>
      </c>
    </row>
    <row r="454" spans="1:12">
      <c r="A454" s="263">
        <f t="shared" si="21"/>
        <v>4.49999999955</v>
      </c>
      <c r="B454" s="155">
        <v>4.5</v>
      </c>
      <c r="C454" s="155">
        <v>0</v>
      </c>
      <c r="D454" s="156">
        <f>C454*100/C479</f>
        <v>0</v>
      </c>
      <c r="E454" s="155">
        <v>0</v>
      </c>
      <c r="F454" s="156">
        <f>E454*100/E479</f>
        <v>0</v>
      </c>
      <c r="G454" s="155">
        <v>0</v>
      </c>
      <c r="H454" s="156">
        <f>G454*100/G479</f>
        <v>0</v>
      </c>
      <c r="I454" s="155">
        <v>0</v>
      </c>
      <c r="J454" s="212">
        <f>I454*100/I479</f>
        <v>0</v>
      </c>
      <c r="K454" s="223">
        <f t="shared" ref="K454:K478" si="22">0.5*(D454+F454)</f>
        <v>0</v>
      </c>
      <c r="L454" s="224">
        <f t="shared" si="20"/>
        <v>0</v>
      </c>
    </row>
    <row r="455" spans="1:12">
      <c r="A455" s="263">
        <f t="shared" si="21"/>
        <v>4.9999999995</v>
      </c>
      <c r="B455" s="153">
        <v>5</v>
      </c>
      <c r="C455" s="153">
        <v>0</v>
      </c>
      <c r="D455" s="154">
        <f>C455*100/C479</f>
        <v>0</v>
      </c>
      <c r="E455" s="153">
        <v>0</v>
      </c>
      <c r="F455" s="154">
        <f>E455*100/E479</f>
        <v>0</v>
      </c>
      <c r="G455" s="153">
        <v>1</v>
      </c>
      <c r="H455" s="154">
        <f>G455*100/G479</f>
        <v>49.999999997499998</v>
      </c>
      <c r="I455" s="153">
        <v>0</v>
      </c>
      <c r="J455" s="211">
        <f>I455*100/I479</f>
        <v>0</v>
      </c>
      <c r="K455" s="215">
        <f t="shared" si="22"/>
        <v>0</v>
      </c>
      <c r="L455" s="216">
        <f t="shared" si="20"/>
        <v>24.999999998749999</v>
      </c>
    </row>
    <row r="456" spans="1:12">
      <c r="A456" s="263">
        <f t="shared" si="21"/>
        <v>5.49999999945</v>
      </c>
      <c r="B456" s="155">
        <v>5.5</v>
      </c>
      <c r="C456" s="155">
        <v>0</v>
      </c>
      <c r="D456" s="156">
        <f>C456*100/C479</f>
        <v>0</v>
      </c>
      <c r="E456" s="155">
        <v>0</v>
      </c>
      <c r="F456" s="156">
        <f>E456*100/E479</f>
        <v>0</v>
      </c>
      <c r="G456" s="155">
        <v>1</v>
      </c>
      <c r="H456" s="156">
        <f>G456*100/G479</f>
        <v>49.999999997499998</v>
      </c>
      <c r="I456" s="155">
        <v>0</v>
      </c>
      <c r="J456" s="212">
        <f>I456*100/I479</f>
        <v>0</v>
      </c>
      <c r="K456" s="223">
        <f t="shared" si="22"/>
        <v>0</v>
      </c>
      <c r="L456" s="224">
        <f t="shared" si="20"/>
        <v>24.999999998749999</v>
      </c>
    </row>
    <row r="457" spans="1:12">
      <c r="A457" s="263">
        <f t="shared" si="21"/>
        <v>5.9999999994</v>
      </c>
      <c r="B457" s="153">
        <v>6</v>
      </c>
      <c r="C457" s="153">
        <v>1</v>
      </c>
      <c r="D457" s="154">
        <f>C457*100/C479</f>
        <v>99.999999990000006</v>
      </c>
      <c r="E457" s="153">
        <v>0</v>
      </c>
      <c r="F457" s="154">
        <f>E457*100/E479</f>
        <v>0</v>
      </c>
      <c r="G457" s="153">
        <v>0</v>
      </c>
      <c r="H457" s="154">
        <f>G457*100/G479</f>
        <v>0</v>
      </c>
      <c r="I457" s="153">
        <v>0</v>
      </c>
      <c r="J457" s="211">
        <f>I457*100/I479</f>
        <v>0</v>
      </c>
      <c r="K457" s="215">
        <f t="shared" si="22"/>
        <v>49.999999995000003</v>
      </c>
      <c r="L457" s="216">
        <f t="shared" si="20"/>
        <v>0</v>
      </c>
    </row>
    <row r="458" spans="1:12">
      <c r="A458" s="263">
        <f t="shared" si="21"/>
        <v>6.4999999993499999</v>
      </c>
      <c r="B458" s="155">
        <v>6.5</v>
      </c>
      <c r="C458" s="155">
        <v>0</v>
      </c>
      <c r="D458" s="156">
        <f>C458*100/C479</f>
        <v>0</v>
      </c>
      <c r="E458" s="155">
        <v>0</v>
      </c>
      <c r="F458" s="156">
        <f>E458*100/E479</f>
        <v>0</v>
      </c>
      <c r="G458" s="155">
        <v>0</v>
      </c>
      <c r="H458" s="156">
        <f>G458*100/G479</f>
        <v>0</v>
      </c>
      <c r="I458" s="155">
        <v>0</v>
      </c>
      <c r="J458" s="212">
        <f>I458*100/I479</f>
        <v>0</v>
      </c>
      <c r="K458" s="223">
        <f t="shared" si="22"/>
        <v>0</v>
      </c>
      <c r="L458" s="224">
        <f t="shared" si="20"/>
        <v>0</v>
      </c>
    </row>
    <row r="459" spans="1:12">
      <c r="A459" s="263">
        <f t="shared" si="21"/>
        <v>6.9999999992999999</v>
      </c>
      <c r="B459" s="153">
        <v>7</v>
      </c>
      <c r="C459" s="153">
        <v>0</v>
      </c>
      <c r="D459" s="154">
        <f>C459*100/C479</f>
        <v>0</v>
      </c>
      <c r="E459" s="153">
        <v>0</v>
      </c>
      <c r="F459" s="154">
        <f>E459*100/E479</f>
        <v>0</v>
      </c>
      <c r="G459" s="153">
        <v>0</v>
      </c>
      <c r="H459" s="154">
        <f>G459*100/G479</f>
        <v>0</v>
      </c>
      <c r="I459" s="153">
        <v>0</v>
      </c>
      <c r="J459" s="211">
        <f>I459*100/I479</f>
        <v>0</v>
      </c>
      <c r="K459" s="215">
        <f t="shared" si="22"/>
        <v>0</v>
      </c>
      <c r="L459" s="216">
        <f t="shared" si="20"/>
        <v>0</v>
      </c>
    </row>
    <row r="460" spans="1:12">
      <c r="A460" s="263">
        <f t="shared" si="21"/>
        <v>7.4999999992499999</v>
      </c>
      <c r="B460" s="155">
        <v>7.5</v>
      </c>
      <c r="C460" s="155">
        <v>0</v>
      </c>
      <c r="D460" s="156">
        <f>C460*100/C479</f>
        <v>0</v>
      </c>
      <c r="E460" s="155">
        <v>0</v>
      </c>
      <c r="F460" s="156">
        <f>E460*100/E479</f>
        <v>0</v>
      </c>
      <c r="G460" s="155">
        <v>0</v>
      </c>
      <c r="H460" s="156">
        <f>G460*100/G479</f>
        <v>0</v>
      </c>
      <c r="I460" s="155">
        <v>0</v>
      </c>
      <c r="J460" s="212">
        <f>I460*100/I479</f>
        <v>0</v>
      </c>
      <c r="K460" s="223">
        <f t="shared" si="22"/>
        <v>0</v>
      </c>
      <c r="L460" s="224">
        <f t="shared" si="20"/>
        <v>0</v>
      </c>
    </row>
    <row r="461" spans="1:12">
      <c r="A461" s="263">
        <f t="shared" si="21"/>
        <v>7.9999999991999999</v>
      </c>
      <c r="B461" s="153">
        <v>8</v>
      </c>
      <c r="C461" s="153">
        <v>0</v>
      </c>
      <c r="D461" s="154">
        <f>C461*100/C479</f>
        <v>0</v>
      </c>
      <c r="E461" s="153">
        <v>0</v>
      </c>
      <c r="F461" s="154">
        <f>E461*100/E479</f>
        <v>0</v>
      </c>
      <c r="G461" s="153">
        <v>0</v>
      </c>
      <c r="H461" s="154">
        <f>G461*100/G479</f>
        <v>0</v>
      </c>
      <c r="I461" s="153">
        <v>0</v>
      </c>
      <c r="J461" s="211">
        <f>I461*100/I479</f>
        <v>0</v>
      </c>
      <c r="K461" s="215">
        <f t="shared" si="22"/>
        <v>0</v>
      </c>
      <c r="L461" s="216">
        <f t="shared" si="20"/>
        <v>0</v>
      </c>
    </row>
    <row r="462" spans="1:12">
      <c r="A462" s="263">
        <f t="shared" si="21"/>
        <v>8.499999999149999</v>
      </c>
      <c r="B462" s="155">
        <v>8.5</v>
      </c>
      <c r="C462" s="155">
        <v>0</v>
      </c>
      <c r="D462" s="156">
        <f>C462*100/C479</f>
        <v>0</v>
      </c>
      <c r="E462" s="155">
        <v>0</v>
      </c>
      <c r="F462" s="156">
        <f>E462*100/E479</f>
        <v>0</v>
      </c>
      <c r="G462" s="155">
        <v>0</v>
      </c>
      <c r="H462" s="156">
        <f>G462*100/G479</f>
        <v>0</v>
      </c>
      <c r="I462" s="155">
        <v>0</v>
      </c>
      <c r="J462" s="212">
        <f>I462*100/I479</f>
        <v>0</v>
      </c>
      <c r="K462" s="223">
        <f t="shared" si="22"/>
        <v>0</v>
      </c>
      <c r="L462" s="224">
        <f t="shared" si="20"/>
        <v>0</v>
      </c>
    </row>
    <row r="463" spans="1:12">
      <c r="A463" s="263">
        <f t="shared" si="21"/>
        <v>8.9999999990999999</v>
      </c>
      <c r="B463" s="153">
        <v>9</v>
      </c>
      <c r="C463" s="153">
        <v>0</v>
      </c>
      <c r="D463" s="154">
        <f>C463*100/C479</f>
        <v>0</v>
      </c>
      <c r="E463" s="153">
        <v>0</v>
      </c>
      <c r="F463" s="154">
        <f>E463*100/E479</f>
        <v>0</v>
      </c>
      <c r="G463" s="153">
        <v>0</v>
      </c>
      <c r="H463" s="154">
        <f>G463*100/G479</f>
        <v>0</v>
      </c>
      <c r="I463" s="153">
        <v>0</v>
      </c>
      <c r="J463" s="211">
        <f>I463*100/I479</f>
        <v>0</v>
      </c>
      <c r="K463" s="215">
        <f t="shared" si="22"/>
        <v>0</v>
      </c>
      <c r="L463" s="216">
        <f t="shared" si="20"/>
        <v>0</v>
      </c>
    </row>
    <row r="464" spans="1:12">
      <c r="A464" s="263">
        <f t="shared" si="21"/>
        <v>9.4999999990500008</v>
      </c>
      <c r="B464" s="155">
        <v>9.5</v>
      </c>
      <c r="C464" s="155">
        <v>0</v>
      </c>
      <c r="D464" s="156">
        <f>C464*100/C479</f>
        <v>0</v>
      </c>
      <c r="E464" s="155">
        <v>0</v>
      </c>
      <c r="F464" s="156">
        <f>E464*100/E479</f>
        <v>0</v>
      </c>
      <c r="G464" s="155">
        <v>0</v>
      </c>
      <c r="H464" s="156">
        <f>G464*100/G479</f>
        <v>0</v>
      </c>
      <c r="I464" s="155">
        <v>0</v>
      </c>
      <c r="J464" s="212">
        <f>I464*100/I479</f>
        <v>0</v>
      </c>
      <c r="K464" s="223">
        <f t="shared" si="22"/>
        <v>0</v>
      </c>
      <c r="L464" s="224">
        <f t="shared" si="20"/>
        <v>0</v>
      </c>
    </row>
    <row r="465" spans="1:12">
      <c r="A465" s="263">
        <f t="shared" si="21"/>
        <v>9.9999999989999999</v>
      </c>
      <c r="B465" s="153">
        <v>10</v>
      </c>
      <c r="C465" s="153">
        <v>0</v>
      </c>
      <c r="D465" s="154">
        <f>C465*100/C479</f>
        <v>0</v>
      </c>
      <c r="E465" s="153">
        <v>0</v>
      </c>
      <c r="F465" s="154">
        <f>E465*100/E479</f>
        <v>0</v>
      </c>
      <c r="G465" s="153">
        <v>0</v>
      </c>
      <c r="H465" s="154">
        <f>G465*100/G479</f>
        <v>0</v>
      </c>
      <c r="I465" s="153">
        <v>0</v>
      </c>
      <c r="J465" s="211">
        <f>I465*100/I479</f>
        <v>0</v>
      </c>
      <c r="K465" s="215">
        <f t="shared" si="22"/>
        <v>0</v>
      </c>
      <c r="L465" s="216">
        <f t="shared" si="20"/>
        <v>0</v>
      </c>
    </row>
    <row r="466" spans="1:12">
      <c r="A466" s="263">
        <f t="shared" si="21"/>
        <v>10.499999998949999</v>
      </c>
      <c r="B466" s="155">
        <v>10.5</v>
      </c>
      <c r="C466" s="155">
        <v>0</v>
      </c>
      <c r="D466" s="156">
        <f>C466*100/C479</f>
        <v>0</v>
      </c>
      <c r="E466" s="155">
        <v>0</v>
      </c>
      <c r="F466" s="156">
        <f>E466*100/E479</f>
        <v>0</v>
      </c>
      <c r="G466" s="155">
        <v>0</v>
      </c>
      <c r="H466" s="156">
        <f>G466*100/G479</f>
        <v>0</v>
      </c>
      <c r="I466" s="155">
        <v>0</v>
      </c>
      <c r="J466" s="212">
        <f>I466*100/I479</f>
        <v>0</v>
      </c>
      <c r="K466" s="223">
        <f t="shared" si="22"/>
        <v>0</v>
      </c>
      <c r="L466" s="224">
        <f t="shared" si="20"/>
        <v>0</v>
      </c>
    </row>
    <row r="467" spans="1:12">
      <c r="A467" s="263">
        <f t="shared" si="21"/>
        <v>10.9999999989</v>
      </c>
      <c r="B467" s="153">
        <v>11</v>
      </c>
      <c r="C467" s="153">
        <v>0</v>
      </c>
      <c r="D467" s="154">
        <f>C467*100/C479</f>
        <v>0</v>
      </c>
      <c r="E467" s="153">
        <v>0</v>
      </c>
      <c r="F467" s="154">
        <f>E467*100/E479</f>
        <v>0</v>
      </c>
      <c r="G467" s="153">
        <v>0</v>
      </c>
      <c r="H467" s="154">
        <f>G467*100/G479</f>
        <v>0</v>
      </c>
      <c r="I467" s="153">
        <v>0</v>
      </c>
      <c r="J467" s="211">
        <f>I467*100/I479</f>
        <v>0</v>
      </c>
      <c r="K467" s="215">
        <f t="shared" si="22"/>
        <v>0</v>
      </c>
      <c r="L467" s="216">
        <f t="shared" si="20"/>
        <v>0</v>
      </c>
    </row>
    <row r="468" spans="1:12">
      <c r="A468" s="263">
        <f t="shared" si="21"/>
        <v>11.499999998850001</v>
      </c>
      <c r="B468" s="155">
        <v>11.5</v>
      </c>
      <c r="C468" s="155">
        <v>0</v>
      </c>
      <c r="D468" s="156">
        <f>C468*100/C479</f>
        <v>0</v>
      </c>
      <c r="E468" s="155">
        <v>0</v>
      </c>
      <c r="F468" s="156">
        <f>E468*100/E479</f>
        <v>0</v>
      </c>
      <c r="G468" s="155">
        <v>0</v>
      </c>
      <c r="H468" s="156">
        <f>G468*100/G479</f>
        <v>0</v>
      </c>
      <c r="I468" s="155">
        <v>0</v>
      </c>
      <c r="J468" s="212">
        <f>I468*100/I479</f>
        <v>0</v>
      </c>
      <c r="K468" s="223">
        <f t="shared" si="22"/>
        <v>0</v>
      </c>
      <c r="L468" s="224">
        <f t="shared" si="20"/>
        <v>0</v>
      </c>
    </row>
    <row r="469" spans="1:12">
      <c r="A469" s="263">
        <f t="shared" si="21"/>
        <v>11.9999999988</v>
      </c>
      <c r="B469" s="153">
        <v>12</v>
      </c>
      <c r="C469" s="153">
        <v>0</v>
      </c>
      <c r="D469" s="154">
        <f>C469*100/C479</f>
        <v>0</v>
      </c>
      <c r="E469" s="153">
        <v>0</v>
      </c>
      <c r="F469" s="154">
        <f>E469*100/E479</f>
        <v>0</v>
      </c>
      <c r="G469" s="153">
        <v>0</v>
      </c>
      <c r="H469" s="154">
        <f>G469*100/G479</f>
        <v>0</v>
      </c>
      <c r="I469" s="153">
        <v>0</v>
      </c>
      <c r="J469" s="211">
        <f>I469*100/I479</f>
        <v>0</v>
      </c>
      <c r="K469" s="215">
        <f t="shared" si="22"/>
        <v>0</v>
      </c>
      <c r="L469" s="216">
        <f t="shared" si="20"/>
        <v>0</v>
      </c>
    </row>
    <row r="470" spans="1:12">
      <c r="A470" s="263">
        <f t="shared" si="21"/>
        <v>12.499999998749999</v>
      </c>
      <c r="B470" s="155">
        <v>12.5</v>
      </c>
      <c r="C470" s="155">
        <v>0</v>
      </c>
      <c r="D470" s="156">
        <f>C470*100/C479</f>
        <v>0</v>
      </c>
      <c r="E470" s="155">
        <v>0</v>
      </c>
      <c r="F470" s="156">
        <f>E470*100/E479</f>
        <v>0</v>
      </c>
      <c r="G470" s="155">
        <v>0</v>
      </c>
      <c r="H470" s="156">
        <f>G470*100/G479</f>
        <v>0</v>
      </c>
      <c r="I470" s="155">
        <v>0</v>
      </c>
      <c r="J470" s="212">
        <f>I470*100/I479</f>
        <v>0</v>
      </c>
      <c r="K470" s="223">
        <f t="shared" si="22"/>
        <v>0</v>
      </c>
      <c r="L470" s="224">
        <f t="shared" si="20"/>
        <v>0</v>
      </c>
    </row>
    <row r="471" spans="1:12">
      <c r="A471" s="263">
        <f t="shared" si="21"/>
        <v>12.9999999987</v>
      </c>
      <c r="B471" s="153">
        <v>13</v>
      </c>
      <c r="C471" s="153">
        <v>0</v>
      </c>
      <c r="D471" s="154">
        <f>C471*100/C479</f>
        <v>0</v>
      </c>
      <c r="E471" s="153">
        <v>0</v>
      </c>
      <c r="F471" s="154">
        <f>E471*100/E479</f>
        <v>0</v>
      </c>
      <c r="G471" s="153">
        <v>0</v>
      </c>
      <c r="H471" s="154">
        <f>G471*100/G479</f>
        <v>0</v>
      </c>
      <c r="I471" s="153">
        <v>0</v>
      </c>
      <c r="J471" s="211">
        <f>I471*100/I479</f>
        <v>0</v>
      </c>
      <c r="K471" s="215">
        <f t="shared" si="22"/>
        <v>0</v>
      </c>
      <c r="L471" s="216">
        <f t="shared" si="20"/>
        <v>0</v>
      </c>
    </row>
    <row r="472" spans="1:12">
      <c r="A472" s="263">
        <f t="shared" si="21"/>
        <v>13.499999998650001</v>
      </c>
      <c r="B472" s="155">
        <v>13.5</v>
      </c>
      <c r="C472" s="155">
        <v>0</v>
      </c>
      <c r="D472" s="157">
        <f>C472*100/C479</f>
        <v>0</v>
      </c>
      <c r="E472" s="158">
        <v>0</v>
      </c>
      <c r="F472" s="157">
        <f>E472*100/E479</f>
        <v>0</v>
      </c>
      <c r="G472" s="158">
        <v>0</v>
      </c>
      <c r="H472" s="157">
        <f>G472*100/G479</f>
        <v>0</v>
      </c>
      <c r="I472" s="158">
        <v>0</v>
      </c>
      <c r="J472" s="213">
        <f>I472*100/I479</f>
        <v>0</v>
      </c>
      <c r="K472" s="223">
        <f t="shared" si="22"/>
        <v>0</v>
      </c>
      <c r="L472" s="224">
        <f t="shared" si="20"/>
        <v>0</v>
      </c>
    </row>
    <row r="473" spans="1:12">
      <c r="A473" s="263">
        <f t="shared" si="21"/>
        <v>13.9999999986</v>
      </c>
      <c r="B473" s="219">
        <v>14</v>
      </c>
      <c r="C473" s="219">
        <v>0</v>
      </c>
      <c r="D473" s="220">
        <f>C473*100/C479</f>
        <v>0</v>
      </c>
      <c r="E473" s="221">
        <v>0</v>
      </c>
      <c r="F473" s="220">
        <f>E473*100/E479</f>
        <v>0</v>
      </c>
      <c r="G473" s="221">
        <v>0</v>
      </c>
      <c r="H473" s="220">
        <f>G473*100/G479</f>
        <v>0</v>
      </c>
      <c r="I473" s="221">
        <v>0</v>
      </c>
      <c r="J473" s="222">
        <f>I473*100/I479</f>
        <v>0</v>
      </c>
      <c r="K473" s="215">
        <f t="shared" si="22"/>
        <v>0</v>
      </c>
      <c r="L473" s="216">
        <f t="shared" si="20"/>
        <v>0</v>
      </c>
    </row>
    <row r="474" spans="1:12">
      <c r="A474" s="263">
        <f t="shared" si="21"/>
        <v>14.499999998549999</v>
      </c>
      <c r="B474" s="155">
        <v>14.5</v>
      </c>
      <c r="C474" s="155">
        <v>0</v>
      </c>
      <c r="D474" s="157">
        <f>C474*100/C479</f>
        <v>0</v>
      </c>
      <c r="E474" s="158">
        <v>0</v>
      </c>
      <c r="F474" s="157">
        <f>E474*100/E479</f>
        <v>0</v>
      </c>
      <c r="G474" s="158">
        <v>0</v>
      </c>
      <c r="H474" s="157">
        <f>G474*100/G479</f>
        <v>0</v>
      </c>
      <c r="I474" s="158">
        <v>0</v>
      </c>
      <c r="J474" s="213">
        <f>I474*100/I479</f>
        <v>0</v>
      </c>
      <c r="K474" s="223">
        <f t="shared" si="22"/>
        <v>0</v>
      </c>
      <c r="L474" s="224">
        <f t="shared" si="20"/>
        <v>0</v>
      </c>
    </row>
    <row r="475" spans="1:12">
      <c r="A475" s="263">
        <f t="shared" si="21"/>
        <v>14.9999999985</v>
      </c>
      <c r="B475" s="219">
        <v>15</v>
      </c>
      <c r="C475" s="219">
        <v>0</v>
      </c>
      <c r="D475" s="220">
        <f>C475*100/C479</f>
        <v>0</v>
      </c>
      <c r="E475" s="221">
        <v>0</v>
      </c>
      <c r="F475" s="220">
        <f>E475*100/E479</f>
        <v>0</v>
      </c>
      <c r="G475" s="221">
        <v>0</v>
      </c>
      <c r="H475" s="220">
        <f>G475*100/G479</f>
        <v>0</v>
      </c>
      <c r="I475" s="221">
        <v>0</v>
      </c>
      <c r="J475" s="222">
        <f>I475*100/I479</f>
        <v>0</v>
      </c>
      <c r="K475" s="215">
        <f t="shared" si="22"/>
        <v>0</v>
      </c>
      <c r="L475" s="216">
        <f t="shared" si="20"/>
        <v>0</v>
      </c>
    </row>
    <row r="476" spans="1:12">
      <c r="A476" s="263">
        <f t="shared" si="21"/>
        <v>15.499999998450001</v>
      </c>
      <c r="B476" s="155">
        <v>15.5</v>
      </c>
      <c r="C476" s="155">
        <v>0</v>
      </c>
      <c r="D476" s="157">
        <f>C476*100/C479</f>
        <v>0</v>
      </c>
      <c r="E476" s="158">
        <v>0</v>
      </c>
      <c r="F476" s="157">
        <f>E476*100/E479</f>
        <v>0</v>
      </c>
      <c r="G476" s="158">
        <v>0</v>
      </c>
      <c r="H476" s="157">
        <f>G476*100/G479</f>
        <v>0</v>
      </c>
      <c r="I476" s="158">
        <v>0</v>
      </c>
      <c r="J476" s="213">
        <f>I476*100/I479</f>
        <v>0</v>
      </c>
      <c r="K476" s="223">
        <f t="shared" si="22"/>
        <v>0</v>
      </c>
      <c r="L476" s="224">
        <f t="shared" si="20"/>
        <v>0</v>
      </c>
    </row>
    <row r="477" spans="1:12">
      <c r="A477" s="263">
        <f t="shared" si="21"/>
        <v>15.9999999984</v>
      </c>
      <c r="B477" s="219">
        <v>16</v>
      </c>
      <c r="C477" s="219">
        <v>0</v>
      </c>
      <c r="D477" s="220">
        <f>C477*100/C479</f>
        <v>0</v>
      </c>
      <c r="E477" s="221">
        <v>0</v>
      </c>
      <c r="F477" s="220">
        <f>E477*100/E479</f>
        <v>0</v>
      </c>
      <c r="G477" s="221">
        <v>0</v>
      </c>
      <c r="H477" s="220">
        <f>G477*100/G479</f>
        <v>0</v>
      </c>
      <c r="I477" s="221">
        <v>0</v>
      </c>
      <c r="J477" s="222">
        <f>I477*100/I479</f>
        <v>0</v>
      </c>
      <c r="K477" s="215">
        <f t="shared" si="22"/>
        <v>0</v>
      </c>
      <c r="L477" s="216">
        <f t="shared" si="20"/>
        <v>0</v>
      </c>
    </row>
    <row r="478" spans="1:12" ht="15" thickBot="1">
      <c r="A478" s="159">
        <f>0.9999999999*B478</f>
        <v>16.499999998349999</v>
      </c>
      <c r="B478" s="160">
        <v>16.5</v>
      </c>
      <c r="C478" s="160">
        <v>0</v>
      </c>
      <c r="D478" s="168">
        <f>C478*100/C479</f>
        <v>0</v>
      </c>
      <c r="E478" s="158">
        <v>0</v>
      </c>
      <c r="F478" s="157">
        <f>E478*100/E479</f>
        <v>0</v>
      </c>
      <c r="G478" s="158">
        <v>0</v>
      </c>
      <c r="H478" s="157">
        <f>G478*100/G479</f>
        <v>0</v>
      </c>
      <c r="I478" s="158">
        <v>0</v>
      </c>
      <c r="J478" s="214">
        <f>I478*100/I479</f>
        <v>0</v>
      </c>
      <c r="K478" s="223">
        <f t="shared" si="22"/>
        <v>0</v>
      </c>
      <c r="L478" s="224">
        <f t="shared" si="20"/>
        <v>0</v>
      </c>
    </row>
    <row r="479" spans="1:12" ht="15" thickBot="1">
      <c r="A479" s="806" t="s">
        <v>396</v>
      </c>
      <c r="B479" s="806"/>
      <c r="C479" s="161">
        <f>SUM(C450:C478)+0.0000000001</f>
        <v>1.0000000001</v>
      </c>
      <c r="D479" s="163">
        <f>SUM(D451:D478)</f>
        <v>99.999999990000006</v>
      </c>
      <c r="E479" s="162">
        <f>SUM(E450:E478)+0.0000000001</f>
        <v>1E-10</v>
      </c>
      <c r="F479" s="163">
        <f>SUM(F450:F478)</f>
        <v>0</v>
      </c>
      <c r="G479" s="162">
        <f>SUM(G450:G478)+0.0000000001</f>
        <v>2.0000000001</v>
      </c>
      <c r="H479" s="163">
        <f>SUM(H450:H478)</f>
        <v>99.999999994999996</v>
      </c>
      <c r="I479" s="162">
        <f>SUM(I450:I478)+0.0000000001</f>
        <v>1E-10</v>
      </c>
      <c r="J479" s="279">
        <f>SUM(J450:J478)</f>
        <v>0</v>
      </c>
      <c r="K479" s="227">
        <f>SUM(K450:K478)</f>
        <v>49.999999995000003</v>
      </c>
      <c r="L479" s="217">
        <f>SUM(L450:L478)</f>
        <v>49.999999997499998</v>
      </c>
    </row>
    <row r="480" spans="1:12" ht="15" thickBot="1">
      <c r="A480" s="778">
        <f>C479+E479+G479+I479</f>
        <v>3.0000000004</v>
      </c>
      <c r="B480" s="779"/>
      <c r="C480" s="779"/>
      <c r="D480" s="779"/>
      <c r="E480" s="779"/>
      <c r="F480" s="779"/>
      <c r="G480" s="779"/>
      <c r="H480" s="779"/>
      <c r="I480" s="779"/>
      <c r="J480" s="780"/>
      <c r="K480" s="139"/>
      <c r="L480" s="139"/>
    </row>
    <row r="496" spans="15:19">
      <c r="O496" s="781" t="s">
        <v>902</v>
      </c>
      <c r="P496" s="781"/>
      <c r="Q496" s="781"/>
      <c r="R496" s="781"/>
      <c r="S496" s="781"/>
    </row>
    <row r="497" spans="1:12" ht="15" thickBot="1"/>
    <row r="498" spans="1:12" ht="33" customHeight="1" thickBot="1">
      <c r="A498" s="778" t="s">
        <v>420</v>
      </c>
      <c r="B498" s="780"/>
      <c r="C498" s="799" t="s">
        <v>492</v>
      </c>
      <c r="D498" s="803"/>
      <c r="E498" s="800" t="s">
        <v>495</v>
      </c>
      <c r="F498" s="804"/>
      <c r="G498" s="799" t="s">
        <v>493</v>
      </c>
      <c r="H498" s="803"/>
      <c r="I498" s="800" t="s">
        <v>494</v>
      </c>
      <c r="J498" s="805"/>
      <c r="K498" s="794" t="s">
        <v>496</v>
      </c>
      <c r="L498" s="796" t="s">
        <v>497</v>
      </c>
    </row>
    <row r="499" spans="1:12" ht="15" thickBot="1">
      <c r="A499" s="141" t="s">
        <v>887</v>
      </c>
      <c r="B499" s="251" t="s">
        <v>243</v>
      </c>
      <c r="C499" s="143" t="s">
        <v>397</v>
      </c>
      <c r="D499" s="144" t="s">
        <v>945</v>
      </c>
      <c r="E499" s="145" t="s">
        <v>397</v>
      </c>
      <c r="F499" s="146" t="s">
        <v>945</v>
      </c>
      <c r="G499" s="147" t="s">
        <v>397</v>
      </c>
      <c r="H499" s="148" t="s">
        <v>945</v>
      </c>
      <c r="I499" s="145" t="s">
        <v>397</v>
      </c>
      <c r="J499" s="209" t="s">
        <v>945</v>
      </c>
      <c r="K499" s="795"/>
      <c r="L499" s="797"/>
    </row>
    <row r="500" spans="1:12">
      <c r="A500" s="259">
        <f>0.9999999999*B500</f>
        <v>2.49999999975</v>
      </c>
      <c r="B500" s="260">
        <v>2.5</v>
      </c>
      <c r="C500" s="150">
        <f t="array" ref="C500:C528">FREQUENCY(Discrete!DP3:DP79,Hists!A501:A528)</f>
        <v>0</v>
      </c>
      <c r="D500" s="151">
        <f>C500*100/C529</f>
        <v>0</v>
      </c>
      <c r="E500" s="150">
        <f t="array" ref="E500:E528">FREQUENCY(IC!EL3:EL64,Hists!A501:A528)</f>
        <v>0</v>
      </c>
      <c r="F500" s="151">
        <f>E500*100/E529</f>
        <v>0</v>
      </c>
      <c r="G500" s="150">
        <f t="array" ref="G500:G528">FREQUENCY(Discrete!DQ3:DQ79,Hists!A501:A528)</f>
        <v>0</v>
      </c>
      <c r="H500" s="151">
        <f>G500*100/G529</f>
        <v>0</v>
      </c>
      <c r="I500" s="150">
        <f t="array" ref="I500:I528">FREQUENCY(IC!EM3:EM64,Hists!A501:A528)</f>
        <v>0</v>
      </c>
      <c r="J500" s="210">
        <f>I500*100/I529</f>
        <v>0</v>
      </c>
      <c r="K500" s="225"/>
      <c r="L500" s="226"/>
    </row>
    <row r="501" spans="1:12">
      <c r="A501" s="152">
        <f>0.9999999999*B501</f>
        <v>2.9999999997</v>
      </c>
      <c r="B501" s="264">
        <v>3</v>
      </c>
      <c r="C501" s="153">
        <v>0</v>
      </c>
      <c r="D501" s="154">
        <f>C501*100/C529</f>
        <v>0</v>
      </c>
      <c r="E501" s="153">
        <v>0</v>
      </c>
      <c r="F501" s="154">
        <f>E501*100/E529</f>
        <v>0</v>
      </c>
      <c r="G501" s="153">
        <v>0</v>
      </c>
      <c r="H501" s="154">
        <f>G501*100/G529</f>
        <v>0</v>
      </c>
      <c r="I501" s="153">
        <v>0</v>
      </c>
      <c r="J501" s="211">
        <f>I501*100/I529</f>
        <v>0</v>
      </c>
      <c r="K501" s="215">
        <f>0.5*(D501+F501)</f>
        <v>0</v>
      </c>
      <c r="L501" s="216">
        <f t="shared" ref="L501:L528" si="23">0.5*(H501+J501)</f>
        <v>0</v>
      </c>
    </row>
    <row r="502" spans="1:12">
      <c r="A502" s="263">
        <f t="shared" ref="A502:A527" si="24">0.9999999999*B502</f>
        <v>3.49999999965</v>
      </c>
      <c r="B502" s="268">
        <v>3.5</v>
      </c>
      <c r="C502" s="155">
        <v>0</v>
      </c>
      <c r="D502" s="156">
        <f>C502*100/C529</f>
        <v>0</v>
      </c>
      <c r="E502" s="155">
        <v>0</v>
      </c>
      <c r="F502" s="156">
        <f>E502*100/E529</f>
        <v>0</v>
      </c>
      <c r="G502" s="155">
        <v>0</v>
      </c>
      <c r="H502" s="156">
        <f>G502*100/G529</f>
        <v>0</v>
      </c>
      <c r="I502" s="155">
        <v>0</v>
      </c>
      <c r="J502" s="212">
        <f>I502*100/I529</f>
        <v>0</v>
      </c>
      <c r="K502" s="223">
        <f>0.5*(D502+F502)</f>
        <v>0</v>
      </c>
      <c r="L502" s="224">
        <f t="shared" si="23"/>
        <v>0</v>
      </c>
    </row>
    <row r="503" spans="1:12">
      <c r="A503" s="263">
        <f t="shared" si="24"/>
        <v>3.9999999996</v>
      </c>
      <c r="B503" s="264">
        <v>4</v>
      </c>
      <c r="C503" s="153">
        <v>0</v>
      </c>
      <c r="D503" s="154">
        <f>C503*100/C529</f>
        <v>0</v>
      </c>
      <c r="E503" s="153">
        <v>0</v>
      </c>
      <c r="F503" s="154">
        <f>E503*100/E529</f>
        <v>0</v>
      </c>
      <c r="G503" s="153">
        <v>1</v>
      </c>
      <c r="H503" s="154">
        <f>G503*100/G529</f>
        <v>99.999999990000006</v>
      </c>
      <c r="I503" s="153">
        <v>0</v>
      </c>
      <c r="J503" s="211">
        <f>I503*100/I529</f>
        <v>0</v>
      </c>
      <c r="K503" s="215">
        <f>0.5*(D503+F503)</f>
        <v>0</v>
      </c>
      <c r="L503" s="216">
        <f t="shared" si="23"/>
        <v>49.999999995000003</v>
      </c>
    </row>
    <row r="504" spans="1:12">
      <c r="A504" s="263">
        <f t="shared" si="24"/>
        <v>4.49999999955</v>
      </c>
      <c r="B504" s="268">
        <v>4.5</v>
      </c>
      <c r="C504" s="155">
        <v>0</v>
      </c>
      <c r="D504" s="156">
        <f>C504*100/C529</f>
        <v>0</v>
      </c>
      <c r="E504" s="155">
        <v>0</v>
      </c>
      <c r="F504" s="156">
        <f>E504*100/E529</f>
        <v>0</v>
      </c>
      <c r="G504" s="155">
        <v>0</v>
      </c>
      <c r="H504" s="156">
        <f>G504*100/G529</f>
        <v>0</v>
      </c>
      <c r="I504" s="155">
        <v>0</v>
      </c>
      <c r="J504" s="212">
        <f>I504*100/I529</f>
        <v>0</v>
      </c>
      <c r="K504" s="223">
        <f t="shared" ref="K504:K528" si="25">0.5*(D504+F504)</f>
        <v>0</v>
      </c>
      <c r="L504" s="224">
        <f t="shared" si="23"/>
        <v>0</v>
      </c>
    </row>
    <row r="505" spans="1:12">
      <c r="A505" s="263">
        <f t="shared" si="24"/>
        <v>4.9999999995</v>
      </c>
      <c r="B505" s="264">
        <v>5</v>
      </c>
      <c r="C505" s="153">
        <v>0</v>
      </c>
      <c r="D505" s="154">
        <f>C505*100/C529</f>
        <v>0</v>
      </c>
      <c r="E505" s="153">
        <v>0</v>
      </c>
      <c r="F505" s="154">
        <f>E505*100/E529</f>
        <v>0</v>
      </c>
      <c r="G505" s="153">
        <v>0</v>
      </c>
      <c r="H505" s="154">
        <f>G505*100/G529</f>
        <v>0</v>
      </c>
      <c r="I505" s="153">
        <v>0</v>
      </c>
      <c r="J505" s="211">
        <f>I505*100/I529</f>
        <v>0</v>
      </c>
      <c r="K505" s="215">
        <f t="shared" si="25"/>
        <v>0</v>
      </c>
      <c r="L505" s="216">
        <f t="shared" si="23"/>
        <v>0</v>
      </c>
    </row>
    <row r="506" spans="1:12">
      <c r="A506" s="263">
        <f t="shared" si="24"/>
        <v>5.49999999945</v>
      </c>
      <c r="B506" s="268">
        <v>5.5</v>
      </c>
      <c r="C506" s="155">
        <v>0</v>
      </c>
      <c r="D506" s="156">
        <f>C506*100/C529</f>
        <v>0</v>
      </c>
      <c r="E506" s="155">
        <v>0</v>
      </c>
      <c r="F506" s="156">
        <f>E506*100/E529</f>
        <v>0</v>
      </c>
      <c r="G506" s="155">
        <v>0</v>
      </c>
      <c r="H506" s="156">
        <f>G506*100/G529</f>
        <v>0</v>
      </c>
      <c r="I506" s="155">
        <v>0</v>
      </c>
      <c r="J506" s="212">
        <f>I506*100/I529</f>
        <v>0</v>
      </c>
      <c r="K506" s="223">
        <f t="shared" si="25"/>
        <v>0</v>
      </c>
      <c r="L506" s="224">
        <f t="shared" si="23"/>
        <v>0</v>
      </c>
    </row>
    <row r="507" spans="1:12">
      <c r="A507" s="263">
        <f t="shared" si="24"/>
        <v>5.9999999994</v>
      </c>
      <c r="B507" s="264">
        <v>6</v>
      </c>
      <c r="C507" s="153">
        <v>0</v>
      </c>
      <c r="D507" s="154">
        <f>C507*100/C529</f>
        <v>0</v>
      </c>
      <c r="E507" s="153">
        <v>0</v>
      </c>
      <c r="F507" s="154">
        <f>E507*100/E529</f>
        <v>0</v>
      </c>
      <c r="G507" s="153">
        <v>0</v>
      </c>
      <c r="H507" s="154">
        <f>G507*100/G529</f>
        <v>0</v>
      </c>
      <c r="I507" s="153">
        <v>0</v>
      </c>
      <c r="J507" s="211">
        <f>I507*100/I529</f>
        <v>0</v>
      </c>
      <c r="K507" s="215">
        <f t="shared" si="25"/>
        <v>0</v>
      </c>
      <c r="L507" s="216">
        <f t="shared" si="23"/>
        <v>0</v>
      </c>
    </row>
    <row r="508" spans="1:12">
      <c r="A508" s="263">
        <f t="shared" si="24"/>
        <v>6.4999999993499999</v>
      </c>
      <c r="B508" s="268">
        <v>6.5</v>
      </c>
      <c r="C508" s="155">
        <v>0</v>
      </c>
      <c r="D508" s="156">
        <f>C508*100/C529</f>
        <v>0</v>
      </c>
      <c r="E508" s="155">
        <v>0</v>
      </c>
      <c r="F508" s="156">
        <f>E508*100/E529</f>
        <v>0</v>
      </c>
      <c r="G508" s="155">
        <v>0</v>
      </c>
      <c r="H508" s="156">
        <f>G508*100/G529</f>
        <v>0</v>
      </c>
      <c r="I508" s="155">
        <v>0</v>
      </c>
      <c r="J508" s="212">
        <f>I508*100/I529</f>
        <v>0</v>
      </c>
      <c r="K508" s="223">
        <f t="shared" si="25"/>
        <v>0</v>
      </c>
      <c r="L508" s="224">
        <f t="shared" si="23"/>
        <v>0</v>
      </c>
    </row>
    <row r="509" spans="1:12">
      <c r="A509" s="263">
        <f t="shared" si="24"/>
        <v>6.9999999992999999</v>
      </c>
      <c r="B509" s="264">
        <v>7</v>
      </c>
      <c r="C509" s="153">
        <v>0</v>
      </c>
      <c r="D509" s="154">
        <f>C509*100/C529</f>
        <v>0</v>
      </c>
      <c r="E509" s="153">
        <v>0</v>
      </c>
      <c r="F509" s="154">
        <f>E509*100/E529</f>
        <v>0</v>
      </c>
      <c r="G509" s="153">
        <v>0</v>
      </c>
      <c r="H509" s="154">
        <f>G509*100/G529</f>
        <v>0</v>
      </c>
      <c r="I509" s="153">
        <v>0</v>
      </c>
      <c r="J509" s="211">
        <f>I509*100/I529</f>
        <v>0</v>
      </c>
      <c r="K509" s="215">
        <f t="shared" si="25"/>
        <v>0</v>
      </c>
      <c r="L509" s="216">
        <f t="shared" si="23"/>
        <v>0</v>
      </c>
    </row>
    <row r="510" spans="1:12">
      <c r="A510" s="263">
        <f t="shared" si="24"/>
        <v>7.4999999992499999</v>
      </c>
      <c r="B510" s="268">
        <v>7.5</v>
      </c>
      <c r="C510" s="155">
        <v>0</v>
      </c>
      <c r="D510" s="156">
        <f>C510*100/C529</f>
        <v>0</v>
      </c>
      <c r="E510" s="155">
        <v>0</v>
      </c>
      <c r="F510" s="156">
        <f>E510*100/E529</f>
        <v>0</v>
      </c>
      <c r="G510" s="155">
        <v>0</v>
      </c>
      <c r="H510" s="156">
        <f>G510*100/G529</f>
        <v>0</v>
      </c>
      <c r="I510" s="155">
        <v>0</v>
      </c>
      <c r="J510" s="212">
        <f>I510*100/I529</f>
        <v>0</v>
      </c>
      <c r="K510" s="223">
        <f t="shared" si="25"/>
        <v>0</v>
      </c>
      <c r="L510" s="224">
        <f t="shared" si="23"/>
        <v>0</v>
      </c>
    </row>
    <row r="511" spans="1:12">
      <c r="A511" s="263">
        <f t="shared" si="24"/>
        <v>7.9999999991999999</v>
      </c>
      <c r="B511" s="264">
        <v>8</v>
      </c>
      <c r="C511" s="153">
        <v>0</v>
      </c>
      <c r="D511" s="154">
        <f>C511*100/C529</f>
        <v>0</v>
      </c>
      <c r="E511" s="153">
        <v>0</v>
      </c>
      <c r="F511" s="154">
        <f>E511*100/E529</f>
        <v>0</v>
      </c>
      <c r="G511" s="153">
        <v>0</v>
      </c>
      <c r="H511" s="154">
        <f>G511*100/G529</f>
        <v>0</v>
      </c>
      <c r="I511" s="153">
        <v>0</v>
      </c>
      <c r="J511" s="211">
        <f>I511*100/I529</f>
        <v>0</v>
      </c>
      <c r="K511" s="215">
        <f t="shared" si="25"/>
        <v>0</v>
      </c>
      <c r="L511" s="216">
        <f t="shared" si="23"/>
        <v>0</v>
      </c>
    </row>
    <row r="512" spans="1:12">
      <c r="A512" s="263">
        <f t="shared" si="24"/>
        <v>8.499999999149999</v>
      </c>
      <c r="B512" s="268">
        <v>8.5</v>
      </c>
      <c r="C512" s="155">
        <v>0</v>
      </c>
      <c r="D512" s="156">
        <f>C512*100/C529</f>
        <v>0</v>
      </c>
      <c r="E512" s="155">
        <v>0</v>
      </c>
      <c r="F512" s="156">
        <f>E512*100/E529</f>
        <v>0</v>
      </c>
      <c r="G512" s="155">
        <v>0</v>
      </c>
      <c r="H512" s="156">
        <f>G512*100/G529</f>
        <v>0</v>
      </c>
      <c r="I512" s="155">
        <v>0</v>
      </c>
      <c r="J512" s="212">
        <f>I512*100/I529</f>
        <v>0</v>
      </c>
      <c r="K512" s="223">
        <f t="shared" si="25"/>
        <v>0</v>
      </c>
      <c r="L512" s="224">
        <f t="shared" si="23"/>
        <v>0</v>
      </c>
    </row>
    <row r="513" spans="1:12">
      <c r="A513" s="263">
        <f t="shared" si="24"/>
        <v>8.9999999990999999</v>
      </c>
      <c r="B513" s="264">
        <v>9</v>
      </c>
      <c r="C513" s="153">
        <v>0</v>
      </c>
      <c r="D513" s="154">
        <f>C513*100/C529</f>
        <v>0</v>
      </c>
      <c r="E513" s="153">
        <v>0</v>
      </c>
      <c r="F513" s="154">
        <f>E513*100/E529</f>
        <v>0</v>
      </c>
      <c r="G513" s="153">
        <v>0</v>
      </c>
      <c r="H513" s="154">
        <f>G513*100/G529</f>
        <v>0</v>
      </c>
      <c r="I513" s="153">
        <v>0</v>
      </c>
      <c r="J513" s="211">
        <f>I513*100/I529</f>
        <v>0</v>
      </c>
      <c r="K513" s="215">
        <f t="shared" si="25"/>
        <v>0</v>
      </c>
      <c r="L513" s="216">
        <f t="shared" si="23"/>
        <v>0</v>
      </c>
    </row>
    <row r="514" spans="1:12">
      <c r="A514" s="263">
        <f t="shared" si="24"/>
        <v>9.4999999990500008</v>
      </c>
      <c r="B514" s="268">
        <v>9.5</v>
      </c>
      <c r="C514" s="155">
        <v>0</v>
      </c>
      <c r="D514" s="156">
        <f>C514*100/C529</f>
        <v>0</v>
      </c>
      <c r="E514" s="155">
        <v>0</v>
      </c>
      <c r="F514" s="156">
        <f>E514*100/E529</f>
        <v>0</v>
      </c>
      <c r="G514" s="155">
        <v>0</v>
      </c>
      <c r="H514" s="156">
        <f>G514*100/G529</f>
        <v>0</v>
      </c>
      <c r="I514" s="155">
        <v>0</v>
      </c>
      <c r="J514" s="212">
        <f>I514*100/I529</f>
        <v>0</v>
      </c>
      <c r="K514" s="223">
        <f t="shared" si="25"/>
        <v>0</v>
      </c>
      <c r="L514" s="224">
        <f t="shared" si="23"/>
        <v>0</v>
      </c>
    </row>
    <row r="515" spans="1:12">
      <c r="A515" s="263">
        <f t="shared" si="24"/>
        <v>9.9999999989999999</v>
      </c>
      <c r="B515" s="264">
        <v>10</v>
      </c>
      <c r="C515" s="153">
        <v>0</v>
      </c>
      <c r="D515" s="154">
        <f>C515*100/C529</f>
        <v>0</v>
      </c>
      <c r="E515" s="153">
        <v>0</v>
      </c>
      <c r="F515" s="154">
        <f>E515*100/E529</f>
        <v>0</v>
      </c>
      <c r="G515" s="153">
        <v>0</v>
      </c>
      <c r="H515" s="154">
        <f>G515*100/G529</f>
        <v>0</v>
      </c>
      <c r="I515" s="153">
        <v>0</v>
      </c>
      <c r="J515" s="211">
        <f>I515*100/I529</f>
        <v>0</v>
      </c>
      <c r="K515" s="215">
        <f t="shared" si="25"/>
        <v>0</v>
      </c>
      <c r="L515" s="216">
        <f t="shared" si="23"/>
        <v>0</v>
      </c>
    </row>
    <row r="516" spans="1:12">
      <c r="A516" s="263">
        <f t="shared" si="24"/>
        <v>10.499999998949999</v>
      </c>
      <c r="B516" s="268">
        <v>10.5</v>
      </c>
      <c r="C516" s="155">
        <v>0</v>
      </c>
      <c r="D516" s="156">
        <f>C516*100/C529</f>
        <v>0</v>
      </c>
      <c r="E516" s="155">
        <v>0</v>
      </c>
      <c r="F516" s="156">
        <f>E516*100/E529</f>
        <v>0</v>
      </c>
      <c r="G516" s="155">
        <v>0</v>
      </c>
      <c r="H516" s="156">
        <f>G516*100/G529</f>
        <v>0</v>
      </c>
      <c r="I516" s="155">
        <v>0</v>
      </c>
      <c r="J516" s="212">
        <f>I516*100/I529</f>
        <v>0</v>
      </c>
      <c r="K516" s="223">
        <f t="shared" si="25"/>
        <v>0</v>
      </c>
      <c r="L516" s="224">
        <f t="shared" si="23"/>
        <v>0</v>
      </c>
    </row>
    <row r="517" spans="1:12">
      <c r="A517" s="263">
        <f t="shared" si="24"/>
        <v>10.9999999989</v>
      </c>
      <c r="B517" s="264">
        <v>11</v>
      </c>
      <c r="C517" s="153">
        <v>0</v>
      </c>
      <c r="D517" s="154">
        <f>C517*100/C529</f>
        <v>0</v>
      </c>
      <c r="E517" s="153">
        <v>0</v>
      </c>
      <c r="F517" s="154">
        <f>E517*100/E529</f>
        <v>0</v>
      </c>
      <c r="G517" s="153">
        <v>0</v>
      </c>
      <c r="H517" s="154">
        <f>G517*100/G529</f>
        <v>0</v>
      </c>
      <c r="I517" s="153">
        <v>0</v>
      </c>
      <c r="J517" s="211">
        <f>I517*100/I529</f>
        <v>0</v>
      </c>
      <c r="K517" s="215">
        <f t="shared" si="25"/>
        <v>0</v>
      </c>
      <c r="L517" s="216">
        <f t="shared" si="23"/>
        <v>0</v>
      </c>
    </row>
    <row r="518" spans="1:12">
      <c r="A518" s="263">
        <f t="shared" si="24"/>
        <v>11.499999998850001</v>
      </c>
      <c r="B518" s="268">
        <v>11.5</v>
      </c>
      <c r="C518" s="155">
        <v>0</v>
      </c>
      <c r="D518" s="156">
        <f>C518*100/C529</f>
        <v>0</v>
      </c>
      <c r="E518" s="155">
        <v>0</v>
      </c>
      <c r="F518" s="156">
        <f>E518*100/E529</f>
        <v>0</v>
      </c>
      <c r="G518" s="155">
        <v>0</v>
      </c>
      <c r="H518" s="156">
        <f>G518*100/G529</f>
        <v>0</v>
      </c>
      <c r="I518" s="155">
        <v>0</v>
      </c>
      <c r="J518" s="212">
        <f>I518*100/I529</f>
        <v>0</v>
      </c>
      <c r="K518" s="223">
        <f t="shared" si="25"/>
        <v>0</v>
      </c>
      <c r="L518" s="224">
        <f t="shared" si="23"/>
        <v>0</v>
      </c>
    </row>
    <row r="519" spans="1:12">
      <c r="A519" s="263">
        <f t="shared" si="24"/>
        <v>11.9999999988</v>
      </c>
      <c r="B519" s="264">
        <v>12</v>
      </c>
      <c r="C519" s="153">
        <v>0</v>
      </c>
      <c r="D519" s="154">
        <f>C519*100/C529</f>
        <v>0</v>
      </c>
      <c r="E519" s="153">
        <v>0</v>
      </c>
      <c r="F519" s="154">
        <f>E519*100/E529</f>
        <v>0</v>
      </c>
      <c r="G519" s="153">
        <v>0</v>
      </c>
      <c r="H519" s="154">
        <f>G519*100/G529</f>
        <v>0</v>
      </c>
      <c r="I519" s="153">
        <v>0</v>
      </c>
      <c r="J519" s="211">
        <f>I519*100/I529</f>
        <v>0</v>
      </c>
      <c r="K519" s="215">
        <f t="shared" si="25"/>
        <v>0</v>
      </c>
      <c r="L519" s="216">
        <f t="shared" si="23"/>
        <v>0</v>
      </c>
    </row>
    <row r="520" spans="1:12">
      <c r="A520" s="263">
        <f t="shared" si="24"/>
        <v>12.499999998749999</v>
      </c>
      <c r="B520" s="268">
        <v>12.5</v>
      </c>
      <c r="C520" s="155">
        <v>0</v>
      </c>
      <c r="D520" s="156">
        <f>C520*100/C529</f>
        <v>0</v>
      </c>
      <c r="E520" s="155">
        <v>0</v>
      </c>
      <c r="F520" s="156">
        <f>E520*100/E529</f>
        <v>0</v>
      </c>
      <c r="G520" s="155">
        <v>0</v>
      </c>
      <c r="H520" s="156">
        <f>G520*100/G529</f>
        <v>0</v>
      </c>
      <c r="I520" s="155">
        <v>0</v>
      </c>
      <c r="J520" s="212">
        <f>I520*100/I529</f>
        <v>0</v>
      </c>
      <c r="K520" s="223">
        <f t="shared" si="25"/>
        <v>0</v>
      </c>
      <c r="L520" s="224">
        <f t="shared" si="23"/>
        <v>0</v>
      </c>
    </row>
    <row r="521" spans="1:12">
      <c r="A521" s="263">
        <f t="shared" si="24"/>
        <v>12.9999999987</v>
      </c>
      <c r="B521" s="264">
        <v>13</v>
      </c>
      <c r="C521" s="153">
        <v>0</v>
      </c>
      <c r="D521" s="154">
        <f>C521*100/C529</f>
        <v>0</v>
      </c>
      <c r="E521" s="153">
        <v>0</v>
      </c>
      <c r="F521" s="154">
        <f>E521*100/E529</f>
        <v>0</v>
      </c>
      <c r="G521" s="153">
        <v>0</v>
      </c>
      <c r="H521" s="154">
        <f>G521*100/G529</f>
        <v>0</v>
      </c>
      <c r="I521" s="153">
        <v>0</v>
      </c>
      <c r="J521" s="211">
        <f>I521*100/I529</f>
        <v>0</v>
      </c>
      <c r="K521" s="215">
        <f t="shared" si="25"/>
        <v>0</v>
      </c>
      <c r="L521" s="216">
        <f t="shared" si="23"/>
        <v>0</v>
      </c>
    </row>
    <row r="522" spans="1:12">
      <c r="A522" s="263">
        <f t="shared" si="24"/>
        <v>13.499999998650001</v>
      </c>
      <c r="B522" s="268">
        <v>13.5</v>
      </c>
      <c r="C522" s="155">
        <v>0</v>
      </c>
      <c r="D522" s="157">
        <f>C522*100/C529</f>
        <v>0</v>
      </c>
      <c r="E522" s="158">
        <v>0</v>
      </c>
      <c r="F522" s="157">
        <f>E522*100/E529</f>
        <v>0</v>
      </c>
      <c r="G522" s="158">
        <v>0</v>
      </c>
      <c r="H522" s="157">
        <f>G522*100/G529</f>
        <v>0</v>
      </c>
      <c r="I522" s="158">
        <v>0</v>
      </c>
      <c r="J522" s="213">
        <f>I522*100/I529</f>
        <v>0</v>
      </c>
      <c r="K522" s="223">
        <f t="shared" si="25"/>
        <v>0</v>
      </c>
      <c r="L522" s="224">
        <f t="shared" si="23"/>
        <v>0</v>
      </c>
    </row>
    <row r="523" spans="1:12">
      <c r="A523" s="263">
        <f t="shared" si="24"/>
        <v>13.9999999986</v>
      </c>
      <c r="B523" s="456">
        <v>14</v>
      </c>
      <c r="C523" s="219">
        <v>0</v>
      </c>
      <c r="D523" s="220">
        <f>C523*100/C529</f>
        <v>0</v>
      </c>
      <c r="E523" s="221">
        <v>0</v>
      </c>
      <c r="F523" s="220">
        <f>E523*100/E529</f>
        <v>0</v>
      </c>
      <c r="G523" s="221">
        <v>0</v>
      </c>
      <c r="H523" s="220">
        <f>G523*100/G529</f>
        <v>0</v>
      </c>
      <c r="I523" s="221">
        <v>0</v>
      </c>
      <c r="J523" s="222">
        <f>I523*100/I529</f>
        <v>0</v>
      </c>
      <c r="K523" s="215">
        <f t="shared" si="25"/>
        <v>0</v>
      </c>
      <c r="L523" s="216">
        <f t="shared" si="23"/>
        <v>0</v>
      </c>
    </row>
    <row r="524" spans="1:12">
      <c r="A524" s="263">
        <f t="shared" si="24"/>
        <v>14.499999998549999</v>
      </c>
      <c r="B524" s="268">
        <v>14.5</v>
      </c>
      <c r="C524" s="155">
        <v>0</v>
      </c>
      <c r="D524" s="157">
        <f>C524*100/C529</f>
        <v>0</v>
      </c>
      <c r="E524" s="158">
        <v>0</v>
      </c>
      <c r="F524" s="157">
        <f>E524*100/E529</f>
        <v>0</v>
      </c>
      <c r="G524" s="158">
        <v>0</v>
      </c>
      <c r="H524" s="157">
        <f>G524*100/G529</f>
        <v>0</v>
      </c>
      <c r="I524" s="158">
        <v>0</v>
      </c>
      <c r="J524" s="213">
        <f>I524*100/I529</f>
        <v>0</v>
      </c>
      <c r="K524" s="223">
        <f t="shared" si="25"/>
        <v>0</v>
      </c>
      <c r="L524" s="224">
        <f t="shared" si="23"/>
        <v>0</v>
      </c>
    </row>
    <row r="525" spans="1:12">
      <c r="A525" s="263">
        <f t="shared" si="24"/>
        <v>14.9999999985</v>
      </c>
      <c r="B525" s="456">
        <v>15</v>
      </c>
      <c r="C525" s="219">
        <v>0</v>
      </c>
      <c r="D525" s="220">
        <f>C525*100/C529</f>
        <v>0</v>
      </c>
      <c r="E525" s="221">
        <v>0</v>
      </c>
      <c r="F525" s="220">
        <f>E525*100/E529</f>
        <v>0</v>
      </c>
      <c r="G525" s="221">
        <v>0</v>
      </c>
      <c r="H525" s="220">
        <f>G525*100/G529</f>
        <v>0</v>
      </c>
      <c r="I525" s="221">
        <v>0</v>
      </c>
      <c r="J525" s="222">
        <f>I525*100/I529</f>
        <v>0</v>
      </c>
      <c r="K525" s="215">
        <f t="shared" si="25"/>
        <v>0</v>
      </c>
      <c r="L525" s="216">
        <f t="shared" si="23"/>
        <v>0</v>
      </c>
    </row>
    <row r="526" spans="1:12">
      <c r="A526" s="263">
        <f t="shared" si="24"/>
        <v>15.499999998450001</v>
      </c>
      <c r="B526" s="268">
        <v>15.5</v>
      </c>
      <c r="C526" s="155">
        <v>0</v>
      </c>
      <c r="D526" s="157">
        <f>C526*100/C529</f>
        <v>0</v>
      </c>
      <c r="E526" s="158">
        <v>0</v>
      </c>
      <c r="F526" s="157">
        <f>E526*100/E529</f>
        <v>0</v>
      </c>
      <c r="G526" s="158">
        <v>0</v>
      </c>
      <c r="H526" s="157">
        <f>G526*100/G529</f>
        <v>0</v>
      </c>
      <c r="I526" s="158">
        <v>0</v>
      </c>
      <c r="J526" s="213">
        <f>I526*100/I529</f>
        <v>0</v>
      </c>
      <c r="K526" s="223">
        <f t="shared" si="25"/>
        <v>0</v>
      </c>
      <c r="L526" s="224">
        <f t="shared" si="23"/>
        <v>0</v>
      </c>
    </row>
    <row r="527" spans="1:12">
      <c r="A527" s="263">
        <f t="shared" si="24"/>
        <v>15.9999999984</v>
      </c>
      <c r="B527" s="456">
        <v>16</v>
      </c>
      <c r="C527" s="219">
        <v>0</v>
      </c>
      <c r="D527" s="220">
        <f>C527*100/C529</f>
        <v>0</v>
      </c>
      <c r="E527" s="221">
        <v>0</v>
      </c>
      <c r="F527" s="220">
        <f>E527*100/E529</f>
        <v>0</v>
      </c>
      <c r="G527" s="221">
        <v>0</v>
      </c>
      <c r="H527" s="220">
        <f>G527*100/G529</f>
        <v>0</v>
      </c>
      <c r="I527" s="221">
        <v>0</v>
      </c>
      <c r="J527" s="222">
        <f>I527*100/I529</f>
        <v>0</v>
      </c>
      <c r="K527" s="215">
        <f t="shared" si="25"/>
        <v>0</v>
      </c>
      <c r="L527" s="216">
        <f t="shared" si="23"/>
        <v>0</v>
      </c>
    </row>
    <row r="528" spans="1:12" ht="15" thickBot="1">
      <c r="A528" s="159">
        <f>0.9999999999*B528</f>
        <v>16.499999998349999</v>
      </c>
      <c r="B528" s="275">
        <v>16.5</v>
      </c>
      <c r="C528" s="160">
        <v>0</v>
      </c>
      <c r="D528" s="168">
        <f>C528*100/C529</f>
        <v>0</v>
      </c>
      <c r="E528" s="158">
        <v>0</v>
      </c>
      <c r="F528" s="157">
        <f>E528*100/E529</f>
        <v>0</v>
      </c>
      <c r="G528" s="158">
        <v>0</v>
      </c>
      <c r="H528" s="157">
        <f>G528*100/G529</f>
        <v>0</v>
      </c>
      <c r="I528" s="158">
        <v>0</v>
      </c>
      <c r="J528" s="214">
        <f>I528*100/I529</f>
        <v>0</v>
      </c>
      <c r="K528" s="223">
        <f t="shared" si="25"/>
        <v>0</v>
      </c>
      <c r="L528" s="224">
        <f t="shared" si="23"/>
        <v>0</v>
      </c>
    </row>
    <row r="529" spans="1:12" ht="15" thickBot="1">
      <c r="A529" s="806" t="s">
        <v>396</v>
      </c>
      <c r="B529" s="806"/>
      <c r="C529" s="161">
        <f>SUM(C500:C528)+0.0000000001</f>
        <v>1E-10</v>
      </c>
      <c r="D529" s="163">
        <f>SUM(D501:D528)</f>
        <v>0</v>
      </c>
      <c r="E529" s="162">
        <f>SUM(E500:E528)+0.0000000001</f>
        <v>1E-10</v>
      </c>
      <c r="F529" s="163">
        <f>SUM(F500:F528)</f>
        <v>0</v>
      </c>
      <c r="G529" s="162">
        <f>SUM(G500:G528)+0.0000000001</f>
        <v>1.0000000001</v>
      </c>
      <c r="H529" s="163">
        <f>SUM(H500:H528)</f>
        <v>99.999999990000006</v>
      </c>
      <c r="I529" s="162">
        <f>SUM(I500:I528)+0.0000000001</f>
        <v>1E-10</v>
      </c>
      <c r="J529" s="279">
        <f>SUM(J500:J528)</f>
        <v>0</v>
      </c>
      <c r="K529" s="227">
        <f>SUM(K500:K528)</f>
        <v>0</v>
      </c>
      <c r="L529" s="217">
        <f>SUM(L500:L528)</f>
        <v>49.999999995000003</v>
      </c>
    </row>
    <row r="530" spans="1:12" ht="15" thickBot="1">
      <c r="A530" s="778">
        <f>C529+E529+G529+I529</f>
        <v>1.0000000004</v>
      </c>
      <c r="B530" s="779"/>
      <c r="C530" s="779"/>
      <c r="D530" s="779"/>
      <c r="E530" s="779"/>
      <c r="F530" s="779"/>
      <c r="G530" s="779"/>
      <c r="H530" s="779"/>
      <c r="I530" s="779"/>
      <c r="J530" s="780"/>
      <c r="K530" s="139"/>
      <c r="L530" s="139"/>
    </row>
    <row r="546" spans="1:19">
      <c r="O546" s="781" t="s">
        <v>903</v>
      </c>
      <c r="P546" s="781"/>
      <c r="Q546" s="781"/>
      <c r="R546" s="781"/>
      <c r="S546" s="781"/>
    </row>
    <row r="547" spans="1:19" ht="15" thickBot="1"/>
    <row r="548" spans="1:19" ht="36" customHeight="1" thickBot="1">
      <c r="A548" s="778" t="s">
        <v>470</v>
      </c>
      <c r="B548" s="780"/>
      <c r="C548" s="799" t="s">
        <v>492</v>
      </c>
      <c r="D548" s="803"/>
      <c r="E548" s="800" t="s">
        <v>495</v>
      </c>
      <c r="F548" s="804"/>
      <c r="G548" s="799" t="s">
        <v>493</v>
      </c>
      <c r="H548" s="803"/>
      <c r="I548" s="800" t="s">
        <v>494</v>
      </c>
      <c r="J548" s="805"/>
      <c r="K548" s="794" t="s">
        <v>496</v>
      </c>
      <c r="L548" s="796" t="s">
        <v>497</v>
      </c>
    </row>
    <row r="549" spans="1:19" ht="15" thickBot="1">
      <c r="A549" s="141" t="s">
        <v>887</v>
      </c>
      <c r="B549" s="251" t="s">
        <v>243</v>
      </c>
      <c r="C549" s="143" t="s">
        <v>397</v>
      </c>
      <c r="D549" s="144" t="s">
        <v>945</v>
      </c>
      <c r="E549" s="145" t="s">
        <v>397</v>
      </c>
      <c r="F549" s="146" t="s">
        <v>945</v>
      </c>
      <c r="G549" s="147" t="s">
        <v>397</v>
      </c>
      <c r="H549" s="148" t="s">
        <v>945</v>
      </c>
      <c r="I549" s="145" t="s">
        <v>397</v>
      </c>
      <c r="J549" s="209" t="s">
        <v>945</v>
      </c>
      <c r="K549" s="795"/>
      <c r="L549" s="797"/>
    </row>
    <row r="550" spans="1:19">
      <c r="A550" s="259">
        <f>0.9999999999*B550</f>
        <v>2.49999999975</v>
      </c>
      <c r="B550" s="260">
        <v>2.5</v>
      </c>
      <c r="C550" s="150">
        <f t="array" ref="C550:C578">FREQUENCY(Discrete!DU3:DU79,Hists!A551:A578)</f>
        <v>0</v>
      </c>
      <c r="D550" s="151">
        <f>C550*100/C579</f>
        <v>0</v>
      </c>
      <c r="E550" s="150">
        <f t="array" ref="E550:E578">FREQUENCY(IC!EQ3:EQ64,Hists!A551:A578)</f>
        <v>0</v>
      </c>
      <c r="F550" s="151">
        <f>E550*100/E579</f>
        <v>0</v>
      </c>
      <c r="G550" s="150">
        <f t="array" ref="G550:G578">FREQUENCY(Discrete!DV3:DV79,Hists!A551:A578)</f>
        <v>0</v>
      </c>
      <c r="H550" s="151">
        <f>G550*100/G579</f>
        <v>0</v>
      </c>
      <c r="I550" s="150">
        <f t="array" ref="I550:I578">FREQUENCY(IC!ER3:ER64,Hists!A551:A578)</f>
        <v>0</v>
      </c>
      <c r="J550" s="210">
        <f>I550*100/I579</f>
        <v>0</v>
      </c>
      <c r="K550" s="225"/>
      <c r="L550" s="226"/>
    </row>
    <row r="551" spans="1:19">
      <c r="A551" s="152">
        <f>0.9999999999*B551</f>
        <v>2.9999999997</v>
      </c>
      <c r="B551" s="264">
        <v>3</v>
      </c>
      <c r="C551" s="153">
        <v>0</v>
      </c>
      <c r="D551" s="154">
        <f>C551*100/C579</f>
        <v>0</v>
      </c>
      <c r="E551" s="153">
        <v>0</v>
      </c>
      <c r="F551" s="154">
        <f>E551*100/E579</f>
        <v>0</v>
      </c>
      <c r="G551" s="153">
        <v>0</v>
      </c>
      <c r="H551" s="154">
        <f>G551*100/G579</f>
        <v>0</v>
      </c>
      <c r="I551" s="153">
        <v>0</v>
      </c>
      <c r="J551" s="211">
        <f>I551*100/I579</f>
        <v>0</v>
      </c>
      <c r="K551" s="215">
        <f>0.5*(D551+F551)</f>
        <v>0</v>
      </c>
      <c r="L551" s="216">
        <f t="shared" ref="L551:L578" si="26">0.5*(H551+J551)</f>
        <v>0</v>
      </c>
    </row>
    <row r="552" spans="1:19">
      <c r="A552" s="263">
        <f t="shared" ref="A552:A577" si="27">0.9999999999*B552</f>
        <v>3.49999999965</v>
      </c>
      <c r="B552" s="268">
        <v>3.5</v>
      </c>
      <c r="C552" s="155">
        <v>0</v>
      </c>
      <c r="D552" s="156">
        <f>C552*100/C579</f>
        <v>0</v>
      </c>
      <c r="E552" s="155">
        <v>0</v>
      </c>
      <c r="F552" s="156">
        <f>E552*100/E579</f>
        <v>0</v>
      </c>
      <c r="G552" s="155">
        <v>0</v>
      </c>
      <c r="H552" s="156">
        <f>G552*100/G579</f>
        <v>0</v>
      </c>
      <c r="I552" s="155">
        <v>0</v>
      </c>
      <c r="J552" s="212">
        <f>I552*100/I579</f>
        <v>0</v>
      </c>
      <c r="K552" s="223">
        <f>0.5*(D552+F552)</f>
        <v>0</v>
      </c>
      <c r="L552" s="224">
        <f t="shared" si="26"/>
        <v>0</v>
      </c>
    </row>
    <row r="553" spans="1:19">
      <c r="A553" s="263">
        <f t="shared" si="27"/>
        <v>3.9999999996</v>
      </c>
      <c r="B553" s="264">
        <v>4</v>
      </c>
      <c r="C553" s="153">
        <v>0</v>
      </c>
      <c r="D553" s="154">
        <f>C553*100/C579</f>
        <v>0</v>
      </c>
      <c r="E553" s="153">
        <v>0</v>
      </c>
      <c r="F553" s="154">
        <f>E553*100/E579</f>
        <v>0</v>
      </c>
      <c r="G553" s="153">
        <v>0</v>
      </c>
      <c r="H553" s="154">
        <f>G553*100/G579</f>
        <v>0</v>
      </c>
      <c r="I553" s="153">
        <v>0</v>
      </c>
      <c r="J553" s="211">
        <f>I553*100/I579</f>
        <v>0</v>
      </c>
      <c r="K553" s="215">
        <f>0.5*(D553+F553)</f>
        <v>0</v>
      </c>
      <c r="L553" s="216">
        <f t="shared" si="26"/>
        <v>0</v>
      </c>
    </row>
    <row r="554" spans="1:19">
      <c r="A554" s="263">
        <f t="shared" si="27"/>
        <v>4.49999999955</v>
      </c>
      <c r="B554" s="268">
        <v>4.5</v>
      </c>
      <c r="C554" s="155">
        <v>0</v>
      </c>
      <c r="D554" s="156">
        <f>C554*100/C579</f>
        <v>0</v>
      </c>
      <c r="E554" s="155">
        <v>0</v>
      </c>
      <c r="F554" s="156">
        <f>E554*100/E579</f>
        <v>0</v>
      </c>
      <c r="G554" s="155">
        <v>0</v>
      </c>
      <c r="H554" s="156">
        <f>G554*100/G579</f>
        <v>0</v>
      </c>
      <c r="I554" s="155">
        <v>0</v>
      </c>
      <c r="J554" s="212">
        <f>I554*100/I579</f>
        <v>0</v>
      </c>
      <c r="K554" s="223">
        <f t="shared" ref="K554:K577" si="28">0.5*(D554+F554)</f>
        <v>0</v>
      </c>
      <c r="L554" s="224">
        <f t="shared" si="26"/>
        <v>0</v>
      </c>
    </row>
    <row r="555" spans="1:19">
      <c r="A555" s="263">
        <f t="shared" si="27"/>
        <v>4.9999999995</v>
      </c>
      <c r="B555" s="264">
        <v>5</v>
      </c>
      <c r="C555" s="153">
        <v>0</v>
      </c>
      <c r="D555" s="154">
        <f>C555*100/C579</f>
        <v>0</v>
      </c>
      <c r="E555" s="153">
        <v>0</v>
      </c>
      <c r="F555" s="154">
        <f>E555*100/E579</f>
        <v>0</v>
      </c>
      <c r="G555" s="153">
        <v>0</v>
      </c>
      <c r="H555" s="154">
        <f>G555*100/G579</f>
        <v>0</v>
      </c>
      <c r="I555" s="153">
        <v>0</v>
      </c>
      <c r="J555" s="211">
        <f>I555*100/I579</f>
        <v>0</v>
      </c>
      <c r="K555" s="215">
        <f t="shared" si="28"/>
        <v>0</v>
      </c>
      <c r="L555" s="216">
        <f t="shared" si="26"/>
        <v>0</v>
      </c>
    </row>
    <row r="556" spans="1:19">
      <c r="A556" s="263">
        <f t="shared" si="27"/>
        <v>5.49999999945</v>
      </c>
      <c r="B556" s="268">
        <v>5.5</v>
      </c>
      <c r="C556" s="155">
        <v>0</v>
      </c>
      <c r="D556" s="156">
        <f>C556*100/C579</f>
        <v>0</v>
      </c>
      <c r="E556" s="155">
        <v>0</v>
      </c>
      <c r="F556" s="156">
        <f>E556*100/E579</f>
        <v>0</v>
      </c>
      <c r="G556" s="155">
        <v>0</v>
      </c>
      <c r="H556" s="156">
        <f>G556*100/G579</f>
        <v>0</v>
      </c>
      <c r="I556" s="155">
        <v>0</v>
      </c>
      <c r="J556" s="212">
        <f>I556*100/I579</f>
        <v>0</v>
      </c>
      <c r="K556" s="223">
        <f t="shared" si="28"/>
        <v>0</v>
      </c>
      <c r="L556" s="224">
        <f t="shared" si="26"/>
        <v>0</v>
      </c>
    </row>
    <row r="557" spans="1:19">
      <c r="A557" s="263">
        <f t="shared" si="27"/>
        <v>5.9999999994</v>
      </c>
      <c r="B557" s="264">
        <v>6</v>
      </c>
      <c r="C557" s="153">
        <v>0</v>
      </c>
      <c r="D557" s="154">
        <f>C557*100/C579</f>
        <v>0</v>
      </c>
      <c r="E557" s="153">
        <v>0</v>
      </c>
      <c r="F557" s="154">
        <f>E557*100/E579</f>
        <v>0</v>
      </c>
      <c r="G557" s="153">
        <v>0</v>
      </c>
      <c r="H557" s="154">
        <f>G557*100/G579</f>
        <v>0</v>
      </c>
      <c r="I557" s="153">
        <v>0</v>
      </c>
      <c r="J557" s="211">
        <f>I557*100/I579</f>
        <v>0</v>
      </c>
      <c r="K557" s="215">
        <f t="shared" si="28"/>
        <v>0</v>
      </c>
      <c r="L557" s="216">
        <f t="shared" si="26"/>
        <v>0</v>
      </c>
    </row>
    <row r="558" spans="1:19">
      <c r="A558" s="263">
        <f t="shared" si="27"/>
        <v>6.4999999993499999</v>
      </c>
      <c r="B558" s="268">
        <v>6.5</v>
      </c>
      <c r="C558" s="155">
        <v>0</v>
      </c>
      <c r="D558" s="156">
        <f>C558*100/C579</f>
        <v>0</v>
      </c>
      <c r="E558" s="155">
        <v>0</v>
      </c>
      <c r="F558" s="156">
        <f>E558*100/E579</f>
        <v>0</v>
      </c>
      <c r="G558" s="155">
        <v>0</v>
      </c>
      <c r="H558" s="156">
        <f>G558*100/G579</f>
        <v>0</v>
      </c>
      <c r="I558" s="155">
        <v>0</v>
      </c>
      <c r="J558" s="212">
        <f>I558*100/I579</f>
        <v>0</v>
      </c>
      <c r="K558" s="223">
        <f t="shared" si="28"/>
        <v>0</v>
      </c>
      <c r="L558" s="224">
        <f t="shared" si="26"/>
        <v>0</v>
      </c>
    </row>
    <row r="559" spans="1:19">
      <c r="A559" s="263">
        <f t="shared" si="27"/>
        <v>6.9999999992999999</v>
      </c>
      <c r="B559" s="264">
        <v>7</v>
      </c>
      <c r="C559" s="153">
        <v>0</v>
      </c>
      <c r="D559" s="154">
        <f>C559*100/C579</f>
        <v>0</v>
      </c>
      <c r="E559" s="153">
        <v>0</v>
      </c>
      <c r="F559" s="154">
        <f>E559*100/E579</f>
        <v>0</v>
      </c>
      <c r="G559" s="153">
        <v>0</v>
      </c>
      <c r="H559" s="154">
        <f>G559*100/G579</f>
        <v>0</v>
      </c>
      <c r="I559" s="153">
        <v>0</v>
      </c>
      <c r="J559" s="211">
        <f>I559*100/I579</f>
        <v>0</v>
      </c>
      <c r="K559" s="215">
        <f t="shared" si="28"/>
        <v>0</v>
      </c>
      <c r="L559" s="216">
        <f t="shared" si="26"/>
        <v>0</v>
      </c>
    </row>
    <row r="560" spans="1:19">
      <c r="A560" s="263">
        <f t="shared" si="27"/>
        <v>7.4999999992499999</v>
      </c>
      <c r="B560" s="268">
        <v>7.5</v>
      </c>
      <c r="C560" s="155">
        <v>0</v>
      </c>
      <c r="D560" s="156">
        <f>C560*100/C579</f>
        <v>0</v>
      </c>
      <c r="E560" s="155">
        <v>0</v>
      </c>
      <c r="F560" s="156">
        <f>E560*100/E579</f>
        <v>0</v>
      </c>
      <c r="G560" s="155">
        <v>0</v>
      </c>
      <c r="H560" s="156">
        <f>G560*100/G579</f>
        <v>0</v>
      </c>
      <c r="I560" s="155">
        <v>0</v>
      </c>
      <c r="J560" s="212">
        <f>I560*100/I579</f>
        <v>0</v>
      </c>
      <c r="K560" s="223">
        <f t="shared" si="28"/>
        <v>0</v>
      </c>
      <c r="L560" s="224">
        <f t="shared" si="26"/>
        <v>0</v>
      </c>
    </row>
    <row r="561" spans="1:12">
      <c r="A561" s="263">
        <f t="shared" si="27"/>
        <v>7.9999999991999999</v>
      </c>
      <c r="B561" s="264">
        <v>8</v>
      </c>
      <c r="C561" s="153">
        <v>0</v>
      </c>
      <c r="D561" s="154">
        <f>C561*100/C579</f>
        <v>0</v>
      </c>
      <c r="E561" s="153">
        <v>0</v>
      </c>
      <c r="F561" s="154">
        <f>E561*100/E579</f>
        <v>0</v>
      </c>
      <c r="G561" s="153">
        <v>0</v>
      </c>
      <c r="H561" s="154">
        <f>G561*100/G579</f>
        <v>0</v>
      </c>
      <c r="I561" s="153">
        <v>0</v>
      </c>
      <c r="J561" s="211">
        <f>I561*100/I579</f>
        <v>0</v>
      </c>
      <c r="K561" s="215">
        <f t="shared" si="28"/>
        <v>0</v>
      </c>
      <c r="L561" s="216">
        <f t="shared" si="26"/>
        <v>0</v>
      </c>
    </row>
    <row r="562" spans="1:12">
      <c r="A562" s="263">
        <f t="shared" si="27"/>
        <v>8.499999999149999</v>
      </c>
      <c r="B562" s="268">
        <v>8.5</v>
      </c>
      <c r="C562" s="155">
        <v>0</v>
      </c>
      <c r="D562" s="156">
        <f>C562*100/C579</f>
        <v>0</v>
      </c>
      <c r="E562" s="155">
        <v>0</v>
      </c>
      <c r="F562" s="156">
        <f>E562*100/E579</f>
        <v>0</v>
      </c>
      <c r="G562" s="155">
        <v>0</v>
      </c>
      <c r="H562" s="156">
        <f>G562*100/G579</f>
        <v>0</v>
      </c>
      <c r="I562" s="155">
        <v>0</v>
      </c>
      <c r="J562" s="212">
        <f>I562*100/I579</f>
        <v>0</v>
      </c>
      <c r="K562" s="223">
        <f t="shared" si="28"/>
        <v>0</v>
      </c>
      <c r="L562" s="224">
        <f t="shared" si="26"/>
        <v>0</v>
      </c>
    </row>
    <row r="563" spans="1:12">
      <c r="A563" s="263">
        <f t="shared" si="27"/>
        <v>8.9999999990999999</v>
      </c>
      <c r="B563" s="264">
        <v>9</v>
      </c>
      <c r="C563" s="153">
        <v>0</v>
      </c>
      <c r="D563" s="154">
        <f>C563*100/C579</f>
        <v>0</v>
      </c>
      <c r="E563" s="153">
        <v>0</v>
      </c>
      <c r="F563" s="154">
        <f>E563*100/E579</f>
        <v>0</v>
      </c>
      <c r="G563" s="153">
        <v>0</v>
      </c>
      <c r="H563" s="154">
        <f>G563*100/G579</f>
        <v>0</v>
      </c>
      <c r="I563" s="153">
        <v>0</v>
      </c>
      <c r="J563" s="211">
        <f>I563*100/I579</f>
        <v>0</v>
      </c>
      <c r="K563" s="215">
        <f t="shared" si="28"/>
        <v>0</v>
      </c>
      <c r="L563" s="216">
        <f t="shared" si="26"/>
        <v>0</v>
      </c>
    </row>
    <row r="564" spans="1:12">
      <c r="A564" s="263">
        <f t="shared" si="27"/>
        <v>9.4999999990500008</v>
      </c>
      <c r="B564" s="268">
        <v>9.5</v>
      </c>
      <c r="C564" s="155">
        <v>0</v>
      </c>
      <c r="D564" s="156">
        <f>C564*100/C579</f>
        <v>0</v>
      </c>
      <c r="E564" s="155">
        <v>0</v>
      </c>
      <c r="F564" s="156">
        <f>E564*100/E579</f>
        <v>0</v>
      </c>
      <c r="G564" s="155">
        <v>0</v>
      </c>
      <c r="H564" s="156">
        <f>G564*100/G579</f>
        <v>0</v>
      </c>
      <c r="I564" s="155">
        <v>0</v>
      </c>
      <c r="J564" s="212">
        <f>I564*100/I579</f>
        <v>0</v>
      </c>
      <c r="K564" s="223">
        <f t="shared" si="28"/>
        <v>0</v>
      </c>
      <c r="L564" s="224">
        <f t="shared" si="26"/>
        <v>0</v>
      </c>
    </row>
    <row r="565" spans="1:12">
      <c r="A565" s="263">
        <f t="shared" si="27"/>
        <v>9.9999999989999999</v>
      </c>
      <c r="B565" s="264">
        <v>10</v>
      </c>
      <c r="C565" s="153">
        <v>0</v>
      </c>
      <c r="D565" s="154">
        <f>C565*100/C579</f>
        <v>0</v>
      </c>
      <c r="E565" s="153">
        <v>0</v>
      </c>
      <c r="F565" s="154">
        <f>E565*100/E579</f>
        <v>0</v>
      </c>
      <c r="G565" s="153">
        <v>0</v>
      </c>
      <c r="H565" s="154">
        <f>G565*100/G579</f>
        <v>0</v>
      </c>
      <c r="I565" s="153">
        <v>0</v>
      </c>
      <c r="J565" s="211">
        <f>I565*100/I579</f>
        <v>0</v>
      </c>
      <c r="K565" s="215">
        <f t="shared" si="28"/>
        <v>0</v>
      </c>
      <c r="L565" s="216">
        <f t="shared" si="26"/>
        <v>0</v>
      </c>
    </row>
    <row r="566" spans="1:12">
      <c r="A566" s="263">
        <f t="shared" si="27"/>
        <v>10.499999998949999</v>
      </c>
      <c r="B566" s="268">
        <v>10.5</v>
      </c>
      <c r="C566" s="155">
        <v>0</v>
      </c>
      <c r="D566" s="156">
        <f>C566*100/C579</f>
        <v>0</v>
      </c>
      <c r="E566" s="155">
        <v>0</v>
      </c>
      <c r="F566" s="156">
        <f>E566*100/E579</f>
        <v>0</v>
      </c>
      <c r="G566" s="155">
        <v>0</v>
      </c>
      <c r="H566" s="156">
        <f>G566*100/G579</f>
        <v>0</v>
      </c>
      <c r="I566" s="155">
        <v>0</v>
      </c>
      <c r="J566" s="212">
        <f>I566*100/I579</f>
        <v>0</v>
      </c>
      <c r="K566" s="223">
        <f t="shared" si="28"/>
        <v>0</v>
      </c>
      <c r="L566" s="224">
        <f t="shared" si="26"/>
        <v>0</v>
      </c>
    </row>
    <row r="567" spans="1:12">
      <c r="A567" s="263">
        <f t="shared" si="27"/>
        <v>10.9999999989</v>
      </c>
      <c r="B567" s="264">
        <v>11</v>
      </c>
      <c r="C567" s="153">
        <v>0</v>
      </c>
      <c r="D567" s="154">
        <f>C567*100/C579</f>
        <v>0</v>
      </c>
      <c r="E567" s="153">
        <v>0</v>
      </c>
      <c r="F567" s="154">
        <f>E567*100/E579</f>
        <v>0</v>
      </c>
      <c r="G567" s="153">
        <v>0</v>
      </c>
      <c r="H567" s="154">
        <f>G567*100/G579</f>
        <v>0</v>
      </c>
      <c r="I567" s="153">
        <v>0</v>
      </c>
      <c r="J567" s="211">
        <f>I567*100/I579</f>
        <v>0</v>
      </c>
      <c r="K567" s="215">
        <f t="shared" si="28"/>
        <v>0</v>
      </c>
      <c r="L567" s="216">
        <f t="shared" si="26"/>
        <v>0</v>
      </c>
    </row>
    <row r="568" spans="1:12">
      <c r="A568" s="263">
        <f t="shared" si="27"/>
        <v>11.499999998850001</v>
      </c>
      <c r="B568" s="268">
        <v>11.5</v>
      </c>
      <c r="C568" s="155">
        <v>0</v>
      </c>
      <c r="D568" s="156">
        <f>C568*100/C579</f>
        <v>0</v>
      </c>
      <c r="E568" s="155">
        <v>0</v>
      </c>
      <c r="F568" s="156">
        <f>E568*100/E579</f>
        <v>0</v>
      </c>
      <c r="G568" s="155">
        <v>0</v>
      </c>
      <c r="H568" s="156">
        <f>G568*100/G579</f>
        <v>0</v>
      </c>
      <c r="I568" s="155">
        <v>0</v>
      </c>
      <c r="J568" s="212">
        <f>I568*100/I579</f>
        <v>0</v>
      </c>
      <c r="K568" s="223">
        <f t="shared" si="28"/>
        <v>0</v>
      </c>
      <c r="L568" s="224">
        <f t="shared" si="26"/>
        <v>0</v>
      </c>
    </row>
    <row r="569" spans="1:12">
      <c r="A569" s="263">
        <f t="shared" si="27"/>
        <v>11.9999999988</v>
      </c>
      <c r="B569" s="264">
        <v>12</v>
      </c>
      <c r="C569" s="153">
        <v>0</v>
      </c>
      <c r="D569" s="154">
        <f>C569*100/C579</f>
        <v>0</v>
      </c>
      <c r="E569" s="153">
        <v>0</v>
      </c>
      <c r="F569" s="154">
        <f>E569*100/E579</f>
        <v>0</v>
      </c>
      <c r="G569" s="153">
        <v>0</v>
      </c>
      <c r="H569" s="154">
        <f>G569*100/G579</f>
        <v>0</v>
      </c>
      <c r="I569" s="153">
        <v>0</v>
      </c>
      <c r="J569" s="211">
        <f>I569*100/I579</f>
        <v>0</v>
      </c>
      <c r="K569" s="215">
        <f t="shared" si="28"/>
        <v>0</v>
      </c>
      <c r="L569" s="216">
        <f t="shared" si="26"/>
        <v>0</v>
      </c>
    </row>
    <row r="570" spans="1:12">
      <c r="A570" s="263">
        <f t="shared" si="27"/>
        <v>12.499999998749999</v>
      </c>
      <c r="B570" s="268">
        <v>12.5</v>
      </c>
      <c r="C570" s="155">
        <v>0</v>
      </c>
      <c r="D570" s="156">
        <f>C570*100/C579</f>
        <v>0</v>
      </c>
      <c r="E570" s="155">
        <v>0</v>
      </c>
      <c r="F570" s="156">
        <f>E570*100/E579</f>
        <v>0</v>
      </c>
      <c r="G570" s="155">
        <v>0</v>
      </c>
      <c r="H570" s="156">
        <f>G570*100/G579</f>
        <v>0</v>
      </c>
      <c r="I570" s="155">
        <v>0</v>
      </c>
      <c r="J570" s="212">
        <f>I570*100/I579</f>
        <v>0</v>
      </c>
      <c r="K570" s="223">
        <f t="shared" si="28"/>
        <v>0</v>
      </c>
      <c r="L570" s="224">
        <f t="shared" si="26"/>
        <v>0</v>
      </c>
    </row>
    <row r="571" spans="1:12">
      <c r="A571" s="263">
        <f t="shared" si="27"/>
        <v>12.9999999987</v>
      </c>
      <c r="B571" s="264">
        <v>13</v>
      </c>
      <c r="C571" s="153">
        <v>0</v>
      </c>
      <c r="D571" s="154">
        <f>C571*100/C579</f>
        <v>0</v>
      </c>
      <c r="E571" s="153">
        <v>0</v>
      </c>
      <c r="F571" s="154">
        <f>E571*100/E579</f>
        <v>0</v>
      </c>
      <c r="G571" s="153">
        <v>0</v>
      </c>
      <c r="H571" s="154">
        <f>G571*100/G579</f>
        <v>0</v>
      </c>
      <c r="I571" s="153">
        <v>1</v>
      </c>
      <c r="J571" s="211">
        <f>I571*100/I579</f>
        <v>99.999999990000006</v>
      </c>
      <c r="K571" s="215">
        <f t="shared" si="28"/>
        <v>0</v>
      </c>
      <c r="L571" s="216">
        <f t="shared" si="26"/>
        <v>49.999999995000003</v>
      </c>
    </row>
    <row r="572" spans="1:12">
      <c r="A572" s="263">
        <f t="shared" si="27"/>
        <v>13.499999998650001</v>
      </c>
      <c r="B572" s="268">
        <v>13.5</v>
      </c>
      <c r="C572" s="155">
        <v>0</v>
      </c>
      <c r="D572" s="157">
        <f>C572*100/C579</f>
        <v>0</v>
      </c>
      <c r="E572" s="158">
        <v>0</v>
      </c>
      <c r="F572" s="157">
        <f>E572*100/E579</f>
        <v>0</v>
      </c>
      <c r="G572" s="158">
        <v>0</v>
      </c>
      <c r="H572" s="157">
        <f>G572*100/G579</f>
        <v>0</v>
      </c>
      <c r="I572" s="158">
        <v>0</v>
      </c>
      <c r="J572" s="213">
        <f>I572*100/I579</f>
        <v>0</v>
      </c>
      <c r="K572" s="223">
        <f t="shared" si="28"/>
        <v>0</v>
      </c>
      <c r="L572" s="224">
        <f t="shared" si="26"/>
        <v>0</v>
      </c>
    </row>
    <row r="573" spans="1:12">
      <c r="A573" s="263">
        <f t="shared" si="27"/>
        <v>13.9999999986</v>
      </c>
      <c r="B573" s="456">
        <v>14</v>
      </c>
      <c r="C573" s="219">
        <v>0</v>
      </c>
      <c r="D573" s="220">
        <f>C573*100/C579</f>
        <v>0</v>
      </c>
      <c r="E573" s="221">
        <v>0</v>
      </c>
      <c r="F573" s="220">
        <f>E573*100/E579</f>
        <v>0</v>
      </c>
      <c r="G573" s="221">
        <v>0</v>
      </c>
      <c r="H573" s="220">
        <f>G573*100/G579</f>
        <v>0</v>
      </c>
      <c r="I573" s="221">
        <v>0</v>
      </c>
      <c r="J573" s="222">
        <f>I573*100/I579</f>
        <v>0</v>
      </c>
      <c r="K573" s="215">
        <f t="shared" si="28"/>
        <v>0</v>
      </c>
      <c r="L573" s="216">
        <f t="shared" si="26"/>
        <v>0</v>
      </c>
    </row>
    <row r="574" spans="1:12">
      <c r="A574" s="263">
        <f t="shared" si="27"/>
        <v>14.499999998549999</v>
      </c>
      <c r="B574" s="268">
        <v>14.5</v>
      </c>
      <c r="C574" s="155">
        <v>0</v>
      </c>
      <c r="D574" s="157">
        <f>C574*100/C579</f>
        <v>0</v>
      </c>
      <c r="E574" s="158">
        <v>0</v>
      </c>
      <c r="F574" s="157">
        <f>E574*100/E579</f>
        <v>0</v>
      </c>
      <c r="G574" s="158">
        <v>0</v>
      </c>
      <c r="H574" s="157">
        <f>G574*100/G579</f>
        <v>0</v>
      </c>
      <c r="I574" s="158">
        <v>0</v>
      </c>
      <c r="J574" s="213">
        <f>I574*100/I579</f>
        <v>0</v>
      </c>
      <c r="K574" s="223">
        <f t="shared" si="28"/>
        <v>0</v>
      </c>
      <c r="L574" s="224">
        <f t="shared" si="26"/>
        <v>0</v>
      </c>
    </row>
    <row r="575" spans="1:12">
      <c r="A575" s="263">
        <f t="shared" si="27"/>
        <v>14.9999999985</v>
      </c>
      <c r="B575" s="456">
        <v>15</v>
      </c>
      <c r="C575" s="219">
        <v>0</v>
      </c>
      <c r="D575" s="220">
        <f>C575*100/C579</f>
        <v>0</v>
      </c>
      <c r="E575" s="221">
        <v>0</v>
      </c>
      <c r="F575" s="220">
        <f>E575*100/E579</f>
        <v>0</v>
      </c>
      <c r="G575" s="221">
        <v>0</v>
      </c>
      <c r="H575" s="220">
        <f>G575*100/G579</f>
        <v>0</v>
      </c>
      <c r="I575" s="221">
        <v>0</v>
      </c>
      <c r="J575" s="222">
        <f>I575*100/I579</f>
        <v>0</v>
      </c>
      <c r="K575" s="215">
        <f t="shared" si="28"/>
        <v>0</v>
      </c>
      <c r="L575" s="216">
        <f t="shared" si="26"/>
        <v>0</v>
      </c>
    </row>
    <row r="576" spans="1:12">
      <c r="A576" s="263">
        <f t="shared" si="27"/>
        <v>15.499999998450001</v>
      </c>
      <c r="B576" s="268">
        <v>15.5</v>
      </c>
      <c r="C576" s="155">
        <v>0</v>
      </c>
      <c r="D576" s="157">
        <f>C576*100/C579</f>
        <v>0</v>
      </c>
      <c r="E576" s="158">
        <v>0</v>
      </c>
      <c r="F576" s="157">
        <f>E576*100/E579</f>
        <v>0</v>
      </c>
      <c r="G576" s="158">
        <v>0</v>
      </c>
      <c r="H576" s="157">
        <f>G576*100/G579</f>
        <v>0</v>
      </c>
      <c r="I576" s="158">
        <v>0</v>
      </c>
      <c r="J576" s="213">
        <f>I576*100/I579</f>
        <v>0</v>
      </c>
      <c r="K576" s="223">
        <f t="shared" si="28"/>
        <v>0</v>
      </c>
      <c r="L576" s="224">
        <f t="shared" si="26"/>
        <v>0</v>
      </c>
    </row>
    <row r="577" spans="1:12">
      <c r="A577" s="263">
        <f t="shared" si="27"/>
        <v>15.9999999984</v>
      </c>
      <c r="B577" s="456">
        <v>16</v>
      </c>
      <c r="C577" s="219">
        <v>0</v>
      </c>
      <c r="D577" s="220">
        <f>C577*100/C579</f>
        <v>0</v>
      </c>
      <c r="E577" s="221">
        <v>0</v>
      </c>
      <c r="F577" s="220">
        <f>E577*100/E579</f>
        <v>0</v>
      </c>
      <c r="G577" s="221">
        <v>0</v>
      </c>
      <c r="H577" s="220">
        <f>G577*100/G579</f>
        <v>0</v>
      </c>
      <c r="I577" s="221">
        <v>0</v>
      </c>
      <c r="J577" s="222">
        <f>I577*100/I579</f>
        <v>0</v>
      </c>
      <c r="K577" s="215">
        <f t="shared" si="28"/>
        <v>0</v>
      </c>
      <c r="L577" s="216">
        <f t="shared" si="26"/>
        <v>0</v>
      </c>
    </row>
    <row r="578" spans="1:12" ht="15" thickBot="1">
      <c r="A578" s="159">
        <f>0.9999999999*B578</f>
        <v>16.499999998349999</v>
      </c>
      <c r="B578" s="275">
        <v>16.5</v>
      </c>
      <c r="C578" s="160">
        <v>0</v>
      </c>
      <c r="D578" s="168">
        <f>C578*100/C579</f>
        <v>0</v>
      </c>
      <c r="E578" s="158">
        <v>1</v>
      </c>
      <c r="F578" s="157">
        <f>E578*100/E579</f>
        <v>99.999999990000006</v>
      </c>
      <c r="G578" s="158">
        <v>0</v>
      </c>
      <c r="H578" s="157">
        <f>G578*100/G579</f>
        <v>0</v>
      </c>
      <c r="I578" s="158">
        <v>0</v>
      </c>
      <c r="J578" s="214">
        <f>I578*100/I579</f>
        <v>0</v>
      </c>
      <c r="K578" s="223">
        <f>0.5*(D578+F578)</f>
        <v>49.999999995000003</v>
      </c>
      <c r="L578" s="224">
        <f t="shared" si="26"/>
        <v>0</v>
      </c>
    </row>
    <row r="579" spans="1:12" ht="15" thickBot="1">
      <c r="A579" s="806" t="s">
        <v>396</v>
      </c>
      <c r="B579" s="806"/>
      <c r="C579" s="229">
        <f>SUM(C550:C578)+0.0000000001</f>
        <v>1E-10</v>
      </c>
      <c r="D579" s="163">
        <f>SUM(D551:D578)</f>
        <v>0</v>
      </c>
      <c r="E579" s="162">
        <f>SUM(E550:E578)+0.0000000001</f>
        <v>1.0000000001</v>
      </c>
      <c r="F579" s="163">
        <f>SUM(F550:F578)</f>
        <v>99.999999990000006</v>
      </c>
      <c r="G579" s="162">
        <f>SUM(G550:G578)+0.0000000001</f>
        <v>1E-10</v>
      </c>
      <c r="H579" s="163">
        <f>SUM(H550:H578)</f>
        <v>0</v>
      </c>
      <c r="I579" s="162">
        <f>SUM(I550:I578)+0.0000000001</f>
        <v>1.0000000001</v>
      </c>
      <c r="J579" s="279">
        <f>SUM(J550:J578)</f>
        <v>99.999999990000006</v>
      </c>
      <c r="K579" s="227">
        <f>SUM(K550:K578)</f>
        <v>49.999999995000003</v>
      </c>
      <c r="L579" s="217">
        <f>SUM(L550:L578)</f>
        <v>49.999999995000003</v>
      </c>
    </row>
    <row r="580" spans="1:12" ht="15" thickBot="1">
      <c r="A580" s="778">
        <f>C579+E579+G579+I579</f>
        <v>2.0000000004</v>
      </c>
      <c r="B580" s="779"/>
      <c r="C580" s="779"/>
      <c r="D580" s="779"/>
      <c r="E580" s="779"/>
      <c r="F580" s="779"/>
      <c r="G580" s="779"/>
      <c r="H580" s="779"/>
      <c r="I580" s="779"/>
      <c r="J580" s="780"/>
      <c r="K580" s="139"/>
      <c r="L580" s="139"/>
    </row>
    <row r="596" spans="1:19">
      <c r="O596" s="781" t="s">
        <v>904</v>
      </c>
      <c r="P596" s="781"/>
      <c r="Q596" s="781"/>
      <c r="R596" s="781"/>
      <c r="S596" s="781"/>
    </row>
    <row r="597" spans="1:19" ht="15" thickBot="1"/>
    <row r="598" spans="1:19" ht="32.25" customHeight="1" thickBot="1">
      <c r="A598" s="778" t="s">
        <v>317</v>
      </c>
      <c r="B598" s="780"/>
      <c r="C598" s="799" t="s">
        <v>492</v>
      </c>
      <c r="D598" s="803"/>
      <c r="E598" s="800" t="s">
        <v>495</v>
      </c>
      <c r="F598" s="804"/>
      <c r="G598" s="799" t="s">
        <v>493</v>
      </c>
      <c r="H598" s="803"/>
      <c r="I598" s="800" t="s">
        <v>494</v>
      </c>
      <c r="J598" s="805"/>
      <c r="K598" s="794" t="s">
        <v>496</v>
      </c>
      <c r="L598" s="796" t="s">
        <v>497</v>
      </c>
    </row>
    <row r="599" spans="1:19" ht="15" thickBot="1">
      <c r="A599" s="141" t="s">
        <v>887</v>
      </c>
      <c r="B599" s="251" t="s">
        <v>243</v>
      </c>
      <c r="C599" s="143" t="s">
        <v>397</v>
      </c>
      <c r="D599" s="144" t="s">
        <v>945</v>
      </c>
      <c r="E599" s="145" t="s">
        <v>397</v>
      </c>
      <c r="F599" s="146" t="s">
        <v>945</v>
      </c>
      <c r="G599" s="147" t="s">
        <v>397</v>
      </c>
      <c r="H599" s="148" t="s">
        <v>945</v>
      </c>
      <c r="I599" s="145" t="s">
        <v>397</v>
      </c>
      <c r="J599" s="209" t="s">
        <v>945</v>
      </c>
      <c r="K599" s="795"/>
      <c r="L599" s="797"/>
    </row>
    <row r="600" spans="1:19">
      <c r="A600" s="259">
        <f>0.9999999999*B600</f>
        <v>2.49999999975</v>
      </c>
      <c r="B600" s="260">
        <v>2.5</v>
      </c>
      <c r="C600" s="150">
        <f t="array" ref="C600:C628">FREQUENCY(Discrete!DZ3:DZ79,Hists!A601:A628)</f>
        <v>0</v>
      </c>
      <c r="D600" s="151">
        <f>C600*100/C629</f>
        <v>0</v>
      </c>
      <c r="E600" s="150">
        <f t="array" ref="E600:E628">FREQUENCY(IC!EV3:EV64,Hists!A601:A628)</f>
        <v>0</v>
      </c>
      <c r="F600" s="151">
        <f>E600*100/E629</f>
        <v>0</v>
      </c>
      <c r="G600" s="150">
        <f t="array" ref="G600:G628">FREQUENCY(Discrete!EA3:EA79,Hists!A601:A628)</f>
        <v>0</v>
      </c>
      <c r="H600" s="151">
        <f>G600*100/G629</f>
        <v>0</v>
      </c>
      <c r="I600" s="150">
        <f t="array" ref="I600:I628">FREQUENCY(IC!EW3:EW64,Hists!A601:A628)</f>
        <v>0</v>
      </c>
      <c r="J600" s="210">
        <f>I600*100/I629</f>
        <v>0</v>
      </c>
      <c r="K600" s="225"/>
      <c r="L600" s="226"/>
    </row>
    <row r="601" spans="1:19">
      <c r="A601" s="152">
        <f>0.9999999999*B601</f>
        <v>2.9999999997</v>
      </c>
      <c r="B601" s="264">
        <v>3</v>
      </c>
      <c r="C601" s="153">
        <v>0</v>
      </c>
      <c r="D601" s="154">
        <f>C601*100/C629</f>
        <v>0</v>
      </c>
      <c r="E601" s="153">
        <v>0</v>
      </c>
      <c r="F601" s="154">
        <f>E601*100/E629</f>
        <v>0</v>
      </c>
      <c r="G601" s="153">
        <v>0</v>
      </c>
      <c r="H601" s="154">
        <f>G601*100/G629</f>
        <v>0</v>
      </c>
      <c r="I601" s="153">
        <v>0</v>
      </c>
      <c r="J601" s="211">
        <f>I601*100/I629</f>
        <v>0</v>
      </c>
      <c r="K601" s="215">
        <f>0.5*(D601+F601)</f>
        <v>0</v>
      </c>
      <c r="L601" s="216">
        <f t="shared" ref="L601:L628" si="29">0.5*(H601+J601)</f>
        <v>0</v>
      </c>
    </row>
    <row r="602" spans="1:19">
      <c r="A602" s="263">
        <f t="shared" ref="A602:A627" si="30">0.9999999999*B602</f>
        <v>3.49999999965</v>
      </c>
      <c r="B602" s="268">
        <v>3.5</v>
      </c>
      <c r="C602" s="155">
        <v>0</v>
      </c>
      <c r="D602" s="156">
        <f>C602*100/C629</f>
        <v>0</v>
      </c>
      <c r="E602" s="155">
        <v>0</v>
      </c>
      <c r="F602" s="156">
        <f>E602*100/E629</f>
        <v>0</v>
      </c>
      <c r="G602" s="155">
        <v>0</v>
      </c>
      <c r="H602" s="156">
        <f>G602*100/G629</f>
        <v>0</v>
      </c>
      <c r="I602" s="155">
        <v>0</v>
      </c>
      <c r="J602" s="212">
        <f>I602*100/I629</f>
        <v>0</v>
      </c>
      <c r="K602" s="223">
        <f>0.5*(D602+F602)</f>
        <v>0</v>
      </c>
      <c r="L602" s="224">
        <f t="shared" si="29"/>
        <v>0</v>
      </c>
    </row>
    <row r="603" spans="1:19">
      <c r="A603" s="263">
        <f t="shared" si="30"/>
        <v>3.9999999996</v>
      </c>
      <c r="B603" s="264">
        <v>4</v>
      </c>
      <c r="C603" s="153">
        <v>0</v>
      </c>
      <c r="D603" s="154">
        <f>C603*100/C629</f>
        <v>0</v>
      </c>
      <c r="E603" s="153">
        <v>0</v>
      </c>
      <c r="F603" s="154">
        <f>E603*100/E629</f>
        <v>0</v>
      </c>
      <c r="G603" s="153">
        <v>0</v>
      </c>
      <c r="H603" s="154">
        <f>G603*100/G629</f>
        <v>0</v>
      </c>
      <c r="I603" s="153">
        <v>0</v>
      </c>
      <c r="J603" s="211">
        <f>I603*100/I629</f>
        <v>0</v>
      </c>
      <c r="K603" s="215">
        <f>0.5*(D603+F603)</f>
        <v>0</v>
      </c>
      <c r="L603" s="216">
        <f t="shared" si="29"/>
        <v>0</v>
      </c>
    </row>
    <row r="604" spans="1:19">
      <c r="A604" s="263">
        <f t="shared" si="30"/>
        <v>4.49999999955</v>
      </c>
      <c r="B604" s="268">
        <v>4.5</v>
      </c>
      <c r="C604" s="155">
        <v>0</v>
      </c>
      <c r="D604" s="156">
        <f>C604*100/C629</f>
        <v>0</v>
      </c>
      <c r="E604" s="155">
        <v>0</v>
      </c>
      <c r="F604" s="156">
        <f>E604*100/E629</f>
        <v>0</v>
      </c>
      <c r="G604" s="155">
        <v>0</v>
      </c>
      <c r="H604" s="156">
        <f>G604*100/G629</f>
        <v>0</v>
      </c>
      <c r="I604" s="155">
        <v>0</v>
      </c>
      <c r="J604" s="212">
        <f>I604*100/I629</f>
        <v>0</v>
      </c>
      <c r="K604" s="223">
        <f t="shared" ref="K604:K628" si="31">0.5*(D604+F604)</f>
        <v>0</v>
      </c>
      <c r="L604" s="224">
        <f t="shared" si="29"/>
        <v>0</v>
      </c>
    </row>
    <row r="605" spans="1:19">
      <c r="A605" s="263">
        <f t="shared" si="30"/>
        <v>4.9999999995</v>
      </c>
      <c r="B605" s="264">
        <v>5</v>
      </c>
      <c r="C605" s="153">
        <v>0</v>
      </c>
      <c r="D605" s="154">
        <f>C605*100/C629</f>
        <v>0</v>
      </c>
      <c r="E605" s="153">
        <v>0</v>
      </c>
      <c r="F605" s="154">
        <f>E605*100/E629</f>
        <v>0</v>
      </c>
      <c r="G605" s="153">
        <v>0</v>
      </c>
      <c r="H605" s="154">
        <f>G605*100/G629</f>
        <v>0</v>
      </c>
      <c r="I605" s="153">
        <v>0</v>
      </c>
      <c r="J605" s="211">
        <f>I605*100/I629</f>
        <v>0</v>
      </c>
      <c r="K605" s="215">
        <f t="shared" si="31"/>
        <v>0</v>
      </c>
      <c r="L605" s="216">
        <f t="shared" si="29"/>
        <v>0</v>
      </c>
    </row>
    <row r="606" spans="1:19">
      <c r="A606" s="263">
        <f t="shared" si="30"/>
        <v>5.49999999945</v>
      </c>
      <c r="B606" s="268">
        <v>5.5</v>
      </c>
      <c r="C606" s="155">
        <v>0</v>
      </c>
      <c r="D606" s="156">
        <f>C606*100/C629</f>
        <v>0</v>
      </c>
      <c r="E606" s="155">
        <v>0</v>
      </c>
      <c r="F606" s="156">
        <f>E606*100/E629</f>
        <v>0</v>
      </c>
      <c r="G606" s="155">
        <v>0</v>
      </c>
      <c r="H606" s="156">
        <f>G606*100/G629</f>
        <v>0</v>
      </c>
      <c r="I606" s="155">
        <v>0</v>
      </c>
      <c r="J606" s="212">
        <f>I606*100/I629</f>
        <v>0</v>
      </c>
      <c r="K606" s="223">
        <f t="shared" si="31"/>
        <v>0</v>
      </c>
      <c r="L606" s="224">
        <f t="shared" si="29"/>
        <v>0</v>
      </c>
    </row>
    <row r="607" spans="1:19">
      <c r="A607" s="263">
        <f t="shared" si="30"/>
        <v>5.9999999994</v>
      </c>
      <c r="B607" s="264">
        <v>6</v>
      </c>
      <c r="C607" s="153">
        <v>0</v>
      </c>
      <c r="D607" s="154">
        <f>C607*100/C629</f>
        <v>0</v>
      </c>
      <c r="E607" s="153">
        <v>0</v>
      </c>
      <c r="F607" s="154">
        <f>E607*100/E629</f>
        <v>0</v>
      </c>
      <c r="G607" s="153">
        <v>0</v>
      </c>
      <c r="H607" s="154">
        <f>G607*100/G629</f>
        <v>0</v>
      </c>
      <c r="I607" s="153">
        <v>0</v>
      </c>
      <c r="J607" s="211">
        <f>I607*100/I629</f>
        <v>0</v>
      </c>
      <c r="K607" s="215">
        <f t="shared" si="31"/>
        <v>0</v>
      </c>
      <c r="L607" s="216">
        <f t="shared" si="29"/>
        <v>0</v>
      </c>
    </row>
    <row r="608" spans="1:19">
      <c r="A608" s="263">
        <f t="shared" si="30"/>
        <v>6.4999999993499999</v>
      </c>
      <c r="B608" s="268">
        <v>6.5</v>
      </c>
      <c r="C608" s="155">
        <v>0</v>
      </c>
      <c r="D608" s="156">
        <f>C608*100/C629</f>
        <v>0</v>
      </c>
      <c r="E608" s="155">
        <v>0</v>
      </c>
      <c r="F608" s="156">
        <f>E608*100/E629</f>
        <v>0</v>
      </c>
      <c r="G608" s="155">
        <v>0</v>
      </c>
      <c r="H608" s="156">
        <f>G608*100/G629</f>
        <v>0</v>
      </c>
      <c r="I608" s="155">
        <v>0</v>
      </c>
      <c r="J608" s="212">
        <f>I608*100/I629</f>
        <v>0</v>
      </c>
      <c r="K608" s="223">
        <f t="shared" si="31"/>
        <v>0</v>
      </c>
      <c r="L608" s="224">
        <f t="shared" si="29"/>
        <v>0</v>
      </c>
    </row>
    <row r="609" spans="1:12">
      <c r="A609" s="263">
        <f t="shared" si="30"/>
        <v>6.9999999992999999</v>
      </c>
      <c r="B609" s="264">
        <v>7</v>
      </c>
      <c r="C609" s="153">
        <v>0</v>
      </c>
      <c r="D609" s="154">
        <f>C609*100/C629</f>
        <v>0</v>
      </c>
      <c r="E609" s="153">
        <v>0</v>
      </c>
      <c r="F609" s="154">
        <f>E609*100/E629</f>
        <v>0</v>
      </c>
      <c r="G609" s="153">
        <v>0</v>
      </c>
      <c r="H609" s="154">
        <f>G609*100/G629</f>
        <v>0</v>
      </c>
      <c r="I609" s="153">
        <v>0</v>
      </c>
      <c r="J609" s="211">
        <f>I609*100/I629</f>
        <v>0</v>
      </c>
      <c r="K609" s="215">
        <f t="shared" si="31"/>
        <v>0</v>
      </c>
      <c r="L609" s="216">
        <f t="shared" si="29"/>
        <v>0</v>
      </c>
    </row>
    <row r="610" spans="1:12">
      <c r="A610" s="263">
        <f t="shared" si="30"/>
        <v>7.4999999992499999</v>
      </c>
      <c r="B610" s="268">
        <v>7.5</v>
      </c>
      <c r="C610" s="155">
        <v>0</v>
      </c>
      <c r="D610" s="156">
        <f>C610*100/C629</f>
        <v>0</v>
      </c>
      <c r="E610" s="155">
        <v>0</v>
      </c>
      <c r="F610" s="156">
        <f>E610*100/E629</f>
        <v>0</v>
      </c>
      <c r="G610" s="155">
        <v>0</v>
      </c>
      <c r="H610" s="156">
        <f>G610*100/G629</f>
        <v>0</v>
      </c>
      <c r="I610" s="155">
        <v>0</v>
      </c>
      <c r="J610" s="212">
        <f>I610*100/I629</f>
        <v>0</v>
      </c>
      <c r="K610" s="223">
        <f t="shared" si="31"/>
        <v>0</v>
      </c>
      <c r="L610" s="224">
        <f t="shared" si="29"/>
        <v>0</v>
      </c>
    </row>
    <row r="611" spans="1:12">
      <c r="A611" s="263">
        <f t="shared" si="30"/>
        <v>7.9999999991999999</v>
      </c>
      <c r="B611" s="264">
        <v>8</v>
      </c>
      <c r="C611" s="153">
        <v>0</v>
      </c>
      <c r="D611" s="154">
        <f>C611*100/C629</f>
        <v>0</v>
      </c>
      <c r="E611" s="153">
        <v>0</v>
      </c>
      <c r="F611" s="154">
        <f>E611*100/E629</f>
        <v>0</v>
      </c>
      <c r="G611" s="153">
        <v>0</v>
      </c>
      <c r="H611" s="154">
        <f>G611*100/G629</f>
        <v>0</v>
      </c>
      <c r="I611" s="153">
        <v>0</v>
      </c>
      <c r="J611" s="211">
        <f>I611*100/I629</f>
        <v>0</v>
      </c>
      <c r="K611" s="215">
        <f t="shared" si="31"/>
        <v>0</v>
      </c>
      <c r="L611" s="216">
        <f t="shared" si="29"/>
        <v>0</v>
      </c>
    </row>
    <row r="612" spans="1:12">
      <c r="A612" s="263">
        <f t="shared" si="30"/>
        <v>8.499999999149999</v>
      </c>
      <c r="B612" s="268">
        <v>8.5</v>
      </c>
      <c r="C612" s="155">
        <v>0</v>
      </c>
      <c r="D612" s="156">
        <f>C612*100/C629</f>
        <v>0</v>
      </c>
      <c r="E612" s="155">
        <v>0</v>
      </c>
      <c r="F612" s="156">
        <f>E612*100/E629</f>
        <v>0</v>
      </c>
      <c r="G612" s="155">
        <v>0</v>
      </c>
      <c r="H612" s="156">
        <f>G612*100/G629</f>
        <v>0</v>
      </c>
      <c r="I612" s="155">
        <v>0</v>
      </c>
      <c r="J612" s="212">
        <f>I612*100/I629</f>
        <v>0</v>
      </c>
      <c r="K612" s="223">
        <f t="shared" si="31"/>
        <v>0</v>
      </c>
      <c r="L612" s="224">
        <f t="shared" si="29"/>
        <v>0</v>
      </c>
    </row>
    <row r="613" spans="1:12">
      <c r="A613" s="263">
        <f t="shared" si="30"/>
        <v>8.9999999990999999</v>
      </c>
      <c r="B613" s="264">
        <v>9</v>
      </c>
      <c r="C613" s="153">
        <v>0</v>
      </c>
      <c r="D613" s="154">
        <f>C613*100/C629</f>
        <v>0</v>
      </c>
      <c r="E613" s="153">
        <v>0</v>
      </c>
      <c r="F613" s="154">
        <f>E613*100/E629</f>
        <v>0</v>
      </c>
      <c r="G613" s="153">
        <v>0</v>
      </c>
      <c r="H613" s="154">
        <f>G613*100/G629</f>
        <v>0</v>
      </c>
      <c r="I613" s="153">
        <v>0</v>
      </c>
      <c r="J613" s="211">
        <f>I613*100/I629</f>
        <v>0</v>
      </c>
      <c r="K613" s="215">
        <f t="shared" si="31"/>
        <v>0</v>
      </c>
      <c r="L613" s="216">
        <f t="shared" si="29"/>
        <v>0</v>
      </c>
    </row>
    <row r="614" spans="1:12">
      <c r="A614" s="263">
        <f t="shared" si="30"/>
        <v>9.4999999990500008</v>
      </c>
      <c r="B614" s="268">
        <v>9.5</v>
      </c>
      <c r="C614" s="155">
        <v>0</v>
      </c>
      <c r="D614" s="156">
        <f>C614*100/C629</f>
        <v>0</v>
      </c>
      <c r="E614" s="155">
        <v>0</v>
      </c>
      <c r="F614" s="156">
        <f>E614*100/E629</f>
        <v>0</v>
      </c>
      <c r="G614" s="155">
        <v>0</v>
      </c>
      <c r="H614" s="156">
        <f>G614*100/G629</f>
        <v>0</v>
      </c>
      <c r="I614" s="155">
        <v>0</v>
      </c>
      <c r="J614" s="212">
        <f>I614*100/I629</f>
        <v>0</v>
      </c>
      <c r="K614" s="223">
        <f t="shared" si="31"/>
        <v>0</v>
      </c>
      <c r="L614" s="224">
        <f t="shared" si="29"/>
        <v>0</v>
      </c>
    </row>
    <row r="615" spans="1:12">
      <c r="A615" s="263">
        <f t="shared" si="30"/>
        <v>9.9999999989999999</v>
      </c>
      <c r="B615" s="264">
        <v>10</v>
      </c>
      <c r="C615" s="153">
        <v>0</v>
      </c>
      <c r="D615" s="154">
        <f>C615*100/C629</f>
        <v>0</v>
      </c>
      <c r="E615" s="153">
        <v>0</v>
      </c>
      <c r="F615" s="154">
        <f>E615*100/E629</f>
        <v>0</v>
      </c>
      <c r="G615" s="153">
        <v>0</v>
      </c>
      <c r="H615" s="154">
        <f>G615*100/G629</f>
        <v>0</v>
      </c>
      <c r="I615" s="153">
        <v>0</v>
      </c>
      <c r="J615" s="211">
        <f>I615*100/I629</f>
        <v>0</v>
      </c>
      <c r="K615" s="215">
        <f t="shared" si="31"/>
        <v>0</v>
      </c>
      <c r="L615" s="216">
        <f t="shared" si="29"/>
        <v>0</v>
      </c>
    </row>
    <row r="616" spans="1:12">
      <c r="A616" s="263">
        <f t="shared" si="30"/>
        <v>10.499999998949999</v>
      </c>
      <c r="B616" s="268">
        <v>10.5</v>
      </c>
      <c r="C616" s="155">
        <v>0</v>
      </c>
      <c r="D616" s="156">
        <f>C616*100/C629</f>
        <v>0</v>
      </c>
      <c r="E616" s="155">
        <v>0</v>
      </c>
      <c r="F616" s="156">
        <f>E616*100/E629</f>
        <v>0</v>
      </c>
      <c r="G616" s="155">
        <v>0</v>
      </c>
      <c r="H616" s="156">
        <f>G616*100/G629</f>
        <v>0</v>
      </c>
      <c r="I616" s="155">
        <v>0</v>
      </c>
      <c r="J616" s="212">
        <f>I616*100/I629</f>
        <v>0</v>
      </c>
      <c r="K616" s="223">
        <f t="shared" si="31"/>
        <v>0</v>
      </c>
      <c r="L616" s="224">
        <f t="shared" si="29"/>
        <v>0</v>
      </c>
    </row>
    <row r="617" spans="1:12">
      <c r="A617" s="263">
        <f t="shared" si="30"/>
        <v>10.9999999989</v>
      </c>
      <c r="B617" s="264">
        <v>11</v>
      </c>
      <c r="C617" s="153">
        <v>0</v>
      </c>
      <c r="D617" s="154">
        <f>C617*100/C629</f>
        <v>0</v>
      </c>
      <c r="E617" s="153">
        <v>0</v>
      </c>
      <c r="F617" s="154">
        <f>E617*100/E629</f>
        <v>0</v>
      </c>
      <c r="G617" s="153">
        <v>0</v>
      </c>
      <c r="H617" s="154">
        <f>G617*100/G629</f>
        <v>0</v>
      </c>
      <c r="I617" s="153">
        <v>0</v>
      </c>
      <c r="J617" s="211">
        <f>I617*100/I629</f>
        <v>0</v>
      </c>
      <c r="K617" s="215">
        <f t="shared" si="31"/>
        <v>0</v>
      </c>
      <c r="L617" s="216">
        <f t="shared" si="29"/>
        <v>0</v>
      </c>
    </row>
    <row r="618" spans="1:12">
      <c r="A618" s="263">
        <f t="shared" si="30"/>
        <v>11.499999998850001</v>
      </c>
      <c r="B618" s="268">
        <v>11.5</v>
      </c>
      <c r="C618" s="155">
        <v>0</v>
      </c>
      <c r="D618" s="156">
        <f>C618*100/C629</f>
        <v>0</v>
      </c>
      <c r="E618" s="155">
        <v>0</v>
      </c>
      <c r="F618" s="156">
        <f>E618*100/E629</f>
        <v>0</v>
      </c>
      <c r="G618" s="155">
        <v>0</v>
      </c>
      <c r="H618" s="156">
        <f>G618*100/G629</f>
        <v>0</v>
      </c>
      <c r="I618" s="155">
        <v>0</v>
      </c>
      <c r="J618" s="212">
        <f>I618*100/I629</f>
        <v>0</v>
      </c>
      <c r="K618" s="223">
        <f t="shared" si="31"/>
        <v>0</v>
      </c>
      <c r="L618" s="224">
        <f t="shared" si="29"/>
        <v>0</v>
      </c>
    </row>
    <row r="619" spans="1:12">
      <c r="A619" s="263">
        <f t="shared" si="30"/>
        <v>11.9999999988</v>
      </c>
      <c r="B619" s="264">
        <v>12</v>
      </c>
      <c r="C619" s="153">
        <v>0</v>
      </c>
      <c r="D619" s="154">
        <f>C619*100/C629</f>
        <v>0</v>
      </c>
      <c r="E619" s="153">
        <v>0</v>
      </c>
      <c r="F619" s="154">
        <f>E619*100/E629</f>
        <v>0</v>
      </c>
      <c r="G619" s="153">
        <v>0</v>
      </c>
      <c r="H619" s="154">
        <f>G619*100/G629</f>
        <v>0</v>
      </c>
      <c r="I619" s="153">
        <v>0</v>
      </c>
      <c r="J619" s="211">
        <f>I619*100/I629</f>
        <v>0</v>
      </c>
      <c r="K619" s="215">
        <f t="shared" si="31"/>
        <v>0</v>
      </c>
      <c r="L619" s="216">
        <f t="shared" si="29"/>
        <v>0</v>
      </c>
    </row>
    <row r="620" spans="1:12">
      <c r="A620" s="263">
        <f t="shared" si="30"/>
        <v>12.499999998749999</v>
      </c>
      <c r="B620" s="268">
        <v>12.5</v>
      </c>
      <c r="C620" s="155">
        <v>0</v>
      </c>
      <c r="D620" s="156">
        <f>C620*100/C629</f>
        <v>0</v>
      </c>
      <c r="E620" s="155">
        <v>0</v>
      </c>
      <c r="F620" s="156">
        <f>E620*100/E629</f>
        <v>0</v>
      </c>
      <c r="G620" s="155">
        <v>0</v>
      </c>
      <c r="H620" s="156">
        <f>G620*100/G629</f>
        <v>0</v>
      </c>
      <c r="I620" s="155">
        <v>0</v>
      </c>
      <c r="J620" s="212">
        <f>I620*100/I629</f>
        <v>0</v>
      </c>
      <c r="K620" s="223">
        <f t="shared" si="31"/>
        <v>0</v>
      </c>
      <c r="L620" s="224">
        <f t="shared" si="29"/>
        <v>0</v>
      </c>
    </row>
    <row r="621" spans="1:12">
      <c r="A621" s="263">
        <f t="shared" si="30"/>
        <v>12.9999999987</v>
      </c>
      <c r="B621" s="264">
        <v>13</v>
      </c>
      <c r="C621" s="153">
        <v>0</v>
      </c>
      <c r="D621" s="154">
        <f>C621*100/C629</f>
        <v>0</v>
      </c>
      <c r="E621" s="153">
        <v>0</v>
      </c>
      <c r="F621" s="154">
        <f>E621*100/E629</f>
        <v>0</v>
      </c>
      <c r="G621" s="153">
        <v>0</v>
      </c>
      <c r="H621" s="154">
        <f>G621*100/G629</f>
        <v>0</v>
      </c>
      <c r="I621" s="153">
        <v>0</v>
      </c>
      <c r="J621" s="211">
        <f>I621*100/I629</f>
        <v>0</v>
      </c>
      <c r="K621" s="215">
        <f t="shared" si="31"/>
        <v>0</v>
      </c>
      <c r="L621" s="216">
        <f t="shared" si="29"/>
        <v>0</v>
      </c>
    </row>
    <row r="622" spans="1:12">
      <c r="A622" s="263">
        <f t="shared" si="30"/>
        <v>13.499999998650001</v>
      </c>
      <c r="B622" s="268">
        <v>13.5</v>
      </c>
      <c r="C622" s="155">
        <v>0</v>
      </c>
      <c r="D622" s="157">
        <f>C622*100/C629</f>
        <v>0</v>
      </c>
      <c r="E622" s="158">
        <v>0</v>
      </c>
      <c r="F622" s="157">
        <f>E622*100/E629</f>
        <v>0</v>
      </c>
      <c r="G622" s="158">
        <v>0</v>
      </c>
      <c r="H622" s="157">
        <f>G622*100/G629</f>
        <v>0</v>
      </c>
      <c r="I622" s="158">
        <v>0</v>
      </c>
      <c r="J622" s="213">
        <f>I622*100/I629</f>
        <v>0</v>
      </c>
      <c r="K622" s="223">
        <f t="shared" si="31"/>
        <v>0</v>
      </c>
      <c r="L622" s="224">
        <f t="shared" si="29"/>
        <v>0</v>
      </c>
    </row>
    <row r="623" spans="1:12">
      <c r="A623" s="263">
        <f t="shared" si="30"/>
        <v>13.9999999986</v>
      </c>
      <c r="B623" s="456">
        <v>14</v>
      </c>
      <c r="C623" s="219">
        <v>0</v>
      </c>
      <c r="D623" s="220">
        <f>C623*100/C629</f>
        <v>0</v>
      </c>
      <c r="E623" s="221">
        <v>0</v>
      </c>
      <c r="F623" s="220">
        <f>E623*100/E629</f>
        <v>0</v>
      </c>
      <c r="G623" s="221">
        <v>0</v>
      </c>
      <c r="H623" s="220">
        <f>G623*100/G629</f>
        <v>0</v>
      </c>
      <c r="I623" s="221">
        <v>0</v>
      </c>
      <c r="J623" s="222">
        <f>I623*100/I629</f>
        <v>0</v>
      </c>
      <c r="K623" s="215">
        <f t="shared" si="31"/>
        <v>0</v>
      </c>
      <c r="L623" s="216">
        <f t="shared" si="29"/>
        <v>0</v>
      </c>
    </row>
    <row r="624" spans="1:12">
      <c r="A624" s="263">
        <f t="shared" si="30"/>
        <v>14.499999998549999</v>
      </c>
      <c r="B624" s="268">
        <v>14.5</v>
      </c>
      <c r="C624" s="155">
        <v>0</v>
      </c>
      <c r="D624" s="157">
        <f>C624*100/C629</f>
        <v>0</v>
      </c>
      <c r="E624" s="158">
        <v>0</v>
      </c>
      <c r="F624" s="157">
        <f>E624*100/E629</f>
        <v>0</v>
      </c>
      <c r="G624" s="158">
        <v>0</v>
      </c>
      <c r="H624" s="157">
        <f>G624*100/G629</f>
        <v>0</v>
      </c>
      <c r="I624" s="158">
        <v>0</v>
      </c>
      <c r="J624" s="213">
        <f>I624*100/I629</f>
        <v>0</v>
      </c>
      <c r="K624" s="223">
        <f t="shared" si="31"/>
        <v>0</v>
      </c>
      <c r="L624" s="224">
        <f t="shared" si="29"/>
        <v>0</v>
      </c>
    </row>
    <row r="625" spans="1:12">
      <c r="A625" s="263">
        <f t="shared" si="30"/>
        <v>14.9999999985</v>
      </c>
      <c r="B625" s="456">
        <v>15</v>
      </c>
      <c r="C625" s="219">
        <v>0</v>
      </c>
      <c r="D625" s="220">
        <f>C625*100/C629</f>
        <v>0</v>
      </c>
      <c r="E625" s="221">
        <v>0</v>
      </c>
      <c r="F625" s="220">
        <f>E625*100/E629</f>
        <v>0</v>
      </c>
      <c r="G625" s="221">
        <v>0</v>
      </c>
      <c r="H625" s="220">
        <f>G625*100/G629</f>
        <v>0</v>
      </c>
      <c r="I625" s="221">
        <v>0</v>
      </c>
      <c r="J625" s="222">
        <f>I625*100/I629</f>
        <v>0</v>
      </c>
      <c r="K625" s="215">
        <f t="shared" si="31"/>
        <v>0</v>
      </c>
      <c r="L625" s="216">
        <f t="shared" si="29"/>
        <v>0</v>
      </c>
    </row>
    <row r="626" spans="1:12">
      <c r="A626" s="263">
        <f t="shared" si="30"/>
        <v>15.499999998450001</v>
      </c>
      <c r="B626" s="268">
        <v>15.5</v>
      </c>
      <c r="C626" s="155">
        <v>0</v>
      </c>
      <c r="D626" s="157">
        <f>C626*100/C629</f>
        <v>0</v>
      </c>
      <c r="E626" s="158">
        <v>0</v>
      </c>
      <c r="F626" s="157">
        <f>E626*100/E629</f>
        <v>0</v>
      </c>
      <c r="G626" s="158">
        <v>0</v>
      </c>
      <c r="H626" s="157">
        <f>G626*100/G629</f>
        <v>0</v>
      </c>
      <c r="I626" s="158">
        <v>0</v>
      </c>
      <c r="J626" s="213">
        <f>I626*100/I629</f>
        <v>0</v>
      </c>
      <c r="K626" s="223">
        <f t="shared" si="31"/>
        <v>0</v>
      </c>
      <c r="L626" s="224">
        <f t="shared" si="29"/>
        <v>0</v>
      </c>
    </row>
    <row r="627" spans="1:12">
      <c r="A627" s="263">
        <f t="shared" si="30"/>
        <v>15.9999999984</v>
      </c>
      <c r="B627" s="456">
        <v>16</v>
      </c>
      <c r="C627" s="219">
        <v>0</v>
      </c>
      <c r="D627" s="220">
        <f>C627*100/C629</f>
        <v>0</v>
      </c>
      <c r="E627" s="221">
        <v>0</v>
      </c>
      <c r="F627" s="220">
        <f>E627*100/E629</f>
        <v>0</v>
      </c>
      <c r="G627" s="221">
        <v>0</v>
      </c>
      <c r="H627" s="220">
        <f>G627*100/G629</f>
        <v>0</v>
      </c>
      <c r="I627" s="221">
        <v>0</v>
      </c>
      <c r="J627" s="222">
        <f>I627*100/I629</f>
        <v>0</v>
      </c>
      <c r="K627" s="215">
        <f t="shared" si="31"/>
        <v>0</v>
      </c>
      <c r="L627" s="216">
        <f t="shared" si="29"/>
        <v>0</v>
      </c>
    </row>
    <row r="628" spans="1:12" ht="15" thickBot="1">
      <c r="A628" s="159">
        <f>0.9999999999*B628</f>
        <v>16.499999998349999</v>
      </c>
      <c r="B628" s="275">
        <v>16.5</v>
      </c>
      <c r="C628" s="160">
        <v>0</v>
      </c>
      <c r="D628" s="168">
        <f>C628*100/C629</f>
        <v>0</v>
      </c>
      <c r="E628" s="158">
        <v>0</v>
      </c>
      <c r="F628" s="157">
        <f>E628*100/E629</f>
        <v>0</v>
      </c>
      <c r="G628" s="158">
        <v>0</v>
      </c>
      <c r="H628" s="157">
        <f>G628*100/G629</f>
        <v>0</v>
      </c>
      <c r="I628" s="158">
        <v>0</v>
      </c>
      <c r="J628" s="214">
        <f>I628*100/I629</f>
        <v>0</v>
      </c>
      <c r="K628" s="223">
        <f t="shared" si="31"/>
        <v>0</v>
      </c>
      <c r="L628" s="224">
        <f t="shared" si="29"/>
        <v>0</v>
      </c>
    </row>
    <row r="629" spans="1:12" ht="15" thickBot="1">
      <c r="A629" s="806" t="s">
        <v>396</v>
      </c>
      <c r="B629" s="806"/>
      <c r="C629" s="229">
        <f>SUM(C600:C628)+0.0000000001</f>
        <v>1E-10</v>
      </c>
      <c r="D629" s="163">
        <f>SUM(D601:D628)</f>
        <v>0</v>
      </c>
      <c r="E629" s="162">
        <f>SUM(E600:E628)+0.0000000001</f>
        <v>1E-10</v>
      </c>
      <c r="F629" s="163">
        <f>SUM(F600:F628)</f>
        <v>0</v>
      </c>
      <c r="G629" s="162">
        <f>SUM(G600:G628)+0.0000000001</f>
        <v>1E-10</v>
      </c>
      <c r="H629" s="163">
        <f>SUM(H600:H628)</f>
        <v>0</v>
      </c>
      <c r="I629" s="162">
        <f>SUM(I600:I628)+0.0000000001</f>
        <v>1E-10</v>
      </c>
      <c r="J629" s="279">
        <f>SUM(J600:J628)</f>
        <v>0</v>
      </c>
      <c r="K629" s="227">
        <f>SUM(K600:K628)</f>
        <v>0</v>
      </c>
      <c r="L629" s="217">
        <f>SUM(L600:L628)</f>
        <v>0</v>
      </c>
    </row>
    <row r="630" spans="1:12" ht="15" thickBot="1">
      <c r="A630" s="778">
        <f>C629+E629+G629+I629</f>
        <v>4.0000000000000001E-10</v>
      </c>
      <c r="B630" s="779"/>
      <c r="C630" s="779"/>
      <c r="D630" s="779"/>
      <c r="E630" s="779"/>
      <c r="F630" s="779"/>
      <c r="G630" s="779"/>
      <c r="H630" s="779"/>
      <c r="I630" s="779"/>
      <c r="J630" s="780"/>
      <c r="K630" s="139"/>
      <c r="L630" s="139"/>
    </row>
    <row r="646" spans="1:19">
      <c r="O646" s="781" t="s">
        <v>422</v>
      </c>
      <c r="P646" s="781"/>
      <c r="Q646" s="781"/>
      <c r="R646" s="781"/>
      <c r="S646" s="781"/>
    </row>
    <row r="647" spans="1:19" ht="15" thickBot="1"/>
    <row r="648" spans="1:19" ht="34.5" customHeight="1" thickBot="1">
      <c r="A648" s="778" t="s">
        <v>422</v>
      </c>
      <c r="B648" s="780"/>
      <c r="C648" s="799" t="s">
        <v>492</v>
      </c>
      <c r="D648" s="803"/>
      <c r="E648" s="800" t="s">
        <v>495</v>
      </c>
      <c r="F648" s="804"/>
      <c r="G648" s="799" t="s">
        <v>493</v>
      </c>
      <c r="H648" s="803"/>
      <c r="I648" s="800" t="s">
        <v>494</v>
      </c>
      <c r="J648" s="805"/>
      <c r="K648" s="794" t="s">
        <v>496</v>
      </c>
      <c r="L648" s="796" t="s">
        <v>497</v>
      </c>
    </row>
    <row r="649" spans="1:19" ht="15" thickBot="1">
      <c r="A649" s="141" t="s">
        <v>887</v>
      </c>
      <c r="B649" s="251" t="s">
        <v>243</v>
      </c>
      <c r="C649" s="143" t="s">
        <v>397</v>
      </c>
      <c r="D649" s="144" t="s">
        <v>945</v>
      </c>
      <c r="E649" s="145" t="s">
        <v>397</v>
      </c>
      <c r="F649" s="146" t="s">
        <v>945</v>
      </c>
      <c r="G649" s="147" t="s">
        <v>397</v>
      </c>
      <c r="H649" s="148" t="s">
        <v>945</v>
      </c>
      <c r="I649" s="145" t="s">
        <v>397</v>
      </c>
      <c r="J649" s="209" t="s">
        <v>945</v>
      </c>
      <c r="K649" s="795"/>
      <c r="L649" s="797"/>
    </row>
    <row r="650" spans="1:19">
      <c r="A650" s="259">
        <f>0.9999999999*B650</f>
        <v>2.49999999975</v>
      </c>
      <c r="B650" s="260">
        <v>2.5</v>
      </c>
      <c r="C650" s="150">
        <f t="array" ref="C650:C678">FREQUENCY(Discrete!EE3:EE79,Hists!A651:A678)</f>
        <v>0</v>
      </c>
      <c r="D650" s="151">
        <f>C650*100/C679</f>
        <v>0</v>
      </c>
      <c r="E650" s="150">
        <f t="array" ref="E650:E678">FREQUENCY(IC!FA3:FA64,Hists!A651:A678)</f>
        <v>0</v>
      </c>
      <c r="F650" s="151">
        <f>E650*100/E679</f>
        <v>0</v>
      </c>
      <c r="G650" s="150">
        <f t="array" ref="G650:G678">FREQUENCY(Discrete!EF3:EF79,Hists!A651:A678)</f>
        <v>0</v>
      </c>
      <c r="H650" s="151">
        <f>G650*100/G679</f>
        <v>0</v>
      </c>
      <c r="I650" s="150">
        <f t="array" ref="I650:I678">FREQUENCY(IC!FB3:FB64,Hists!A651:A678)</f>
        <v>0</v>
      </c>
      <c r="J650" s="210">
        <f>I650*100/I679</f>
        <v>0</v>
      </c>
      <c r="K650" s="225"/>
      <c r="L650" s="226"/>
    </row>
    <row r="651" spans="1:19">
      <c r="A651" s="152">
        <f>0.9999999999*B651</f>
        <v>2.9999999997</v>
      </c>
      <c r="B651" s="264">
        <v>3</v>
      </c>
      <c r="C651" s="153">
        <v>0</v>
      </c>
      <c r="D651" s="154">
        <f>C651*100/C679</f>
        <v>0</v>
      </c>
      <c r="E651" s="153">
        <v>0</v>
      </c>
      <c r="F651" s="154">
        <f>E651*100/E679</f>
        <v>0</v>
      </c>
      <c r="G651" s="153">
        <v>0</v>
      </c>
      <c r="H651" s="154">
        <f>G651*100/G679</f>
        <v>0</v>
      </c>
      <c r="I651" s="153">
        <v>0</v>
      </c>
      <c r="J651" s="211">
        <f>I651*100/I679</f>
        <v>0</v>
      </c>
      <c r="K651" s="215">
        <f>0.5*(D651+F651)</f>
        <v>0</v>
      </c>
      <c r="L651" s="216">
        <f t="shared" ref="L651:L678" si="32">0.5*(H651+J651)</f>
        <v>0</v>
      </c>
    </row>
    <row r="652" spans="1:19">
      <c r="A652" s="263">
        <f t="shared" ref="A652:A677" si="33">0.9999999999*B652</f>
        <v>3.49999999965</v>
      </c>
      <c r="B652" s="268">
        <v>3.5</v>
      </c>
      <c r="C652" s="155">
        <v>0</v>
      </c>
      <c r="D652" s="156">
        <f>C652*100/C679</f>
        <v>0</v>
      </c>
      <c r="E652" s="155">
        <v>0</v>
      </c>
      <c r="F652" s="156">
        <f>E652*100/E679</f>
        <v>0</v>
      </c>
      <c r="G652" s="155">
        <v>0</v>
      </c>
      <c r="H652" s="156">
        <f>G652*100/G679</f>
        <v>0</v>
      </c>
      <c r="I652" s="155">
        <v>0</v>
      </c>
      <c r="J652" s="212">
        <f>I652*100/I679</f>
        <v>0</v>
      </c>
      <c r="K652" s="223">
        <f>0.5*(D652+F652)</f>
        <v>0</v>
      </c>
      <c r="L652" s="224">
        <f t="shared" si="32"/>
        <v>0</v>
      </c>
    </row>
    <row r="653" spans="1:19">
      <c r="A653" s="263">
        <f t="shared" si="33"/>
        <v>3.9999999996</v>
      </c>
      <c r="B653" s="264">
        <v>4</v>
      </c>
      <c r="C653" s="153">
        <v>0</v>
      </c>
      <c r="D653" s="154">
        <f>C653*100/C679</f>
        <v>0</v>
      </c>
      <c r="E653" s="153">
        <v>0</v>
      </c>
      <c r="F653" s="154">
        <f>E653*100/E679</f>
        <v>0</v>
      </c>
      <c r="G653" s="153">
        <v>0</v>
      </c>
      <c r="H653" s="154">
        <f>G653*100/G679</f>
        <v>0</v>
      </c>
      <c r="I653" s="153">
        <v>0</v>
      </c>
      <c r="J653" s="211">
        <f>I653*100/I679</f>
        <v>0</v>
      </c>
      <c r="K653" s="215">
        <f>0.5*(D653+F653)</f>
        <v>0</v>
      </c>
      <c r="L653" s="216">
        <f t="shared" si="32"/>
        <v>0</v>
      </c>
    </row>
    <row r="654" spans="1:19">
      <c r="A654" s="263">
        <f t="shared" si="33"/>
        <v>4.49999999955</v>
      </c>
      <c r="B654" s="268">
        <v>4.5</v>
      </c>
      <c r="C654" s="155">
        <v>0</v>
      </c>
      <c r="D654" s="156">
        <f>C654*100/C679</f>
        <v>0</v>
      </c>
      <c r="E654" s="155">
        <v>0</v>
      </c>
      <c r="F654" s="156">
        <f>E654*100/E679</f>
        <v>0</v>
      </c>
      <c r="G654" s="155">
        <v>0</v>
      </c>
      <c r="H654" s="156">
        <f>G654*100/G679</f>
        <v>0</v>
      </c>
      <c r="I654" s="155">
        <v>0</v>
      </c>
      <c r="J654" s="212">
        <f>I654*100/I679</f>
        <v>0</v>
      </c>
      <c r="K654" s="223">
        <f t="shared" ref="K654:K678" si="34">0.5*(D654+F654)</f>
        <v>0</v>
      </c>
      <c r="L654" s="224">
        <f t="shared" si="32"/>
        <v>0</v>
      </c>
    </row>
    <row r="655" spans="1:19">
      <c r="A655" s="263">
        <f t="shared" si="33"/>
        <v>4.9999999995</v>
      </c>
      <c r="B655" s="264">
        <v>5</v>
      </c>
      <c r="C655" s="153">
        <v>0</v>
      </c>
      <c r="D655" s="154">
        <f>C655*100/C679</f>
        <v>0</v>
      </c>
      <c r="E655" s="153">
        <v>0</v>
      </c>
      <c r="F655" s="154">
        <f>E655*100/E679</f>
        <v>0</v>
      </c>
      <c r="G655" s="153">
        <v>0</v>
      </c>
      <c r="H655" s="154">
        <f>G655*100/G679</f>
        <v>0</v>
      </c>
      <c r="I655" s="153">
        <v>0</v>
      </c>
      <c r="J655" s="211">
        <f>I655*100/I679</f>
        <v>0</v>
      </c>
      <c r="K655" s="215">
        <f t="shared" si="34"/>
        <v>0</v>
      </c>
      <c r="L655" s="216">
        <f t="shared" si="32"/>
        <v>0</v>
      </c>
    </row>
    <row r="656" spans="1:19">
      <c r="A656" s="263">
        <f t="shared" si="33"/>
        <v>5.49999999945</v>
      </c>
      <c r="B656" s="268">
        <v>5.5</v>
      </c>
      <c r="C656" s="155">
        <v>0</v>
      </c>
      <c r="D656" s="156">
        <f>C656*100/C679</f>
        <v>0</v>
      </c>
      <c r="E656" s="155">
        <v>0</v>
      </c>
      <c r="F656" s="156">
        <f>E656*100/E679</f>
        <v>0</v>
      </c>
      <c r="G656" s="155">
        <v>0</v>
      </c>
      <c r="H656" s="156">
        <f>G656*100/G679</f>
        <v>0</v>
      </c>
      <c r="I656" s="155">
        <v>0</v>
      </c>
      <c r="J656" s="212">
        <f>I656*100/I679</f>
        <v>0</v>
      </c>
      <c r="K656" s="223">
        <f t="shared" si="34"/>
        <v>0</v>
      </c>
      <c r="L656" s="224">
        <f t="shared" si="32"/>
        <v>0</v>
      </c>
    </row>
    <row r="657" spans="1:12">
      <c r="A657" s="263">
        <f t="shared" si="33"/>
        <v>5.9999999994</v>
      </c>
      <c r="B657" s="264">
        <v>6</v>
      </c>
      <c r="C657" s="153">
        <v>0</v>
      </c>
      <c r="D657" s="154">
        <f>C657*100/C679</f>
        <v>0</v>
      </c>
      <c r="E657" s="153">
        <v>0</v>
      </c>
      <c r="F657" s="154">
        <f>E657*100/E679</f>
        <v>0</v>
      </c>
      <c r="G657" s="153">
        <v>0</v>
      </c>
      <c r="H657" s="154">
        <f>G657*100/G679</f>
        <v>0</v>
      </c>
      <c r="I657" s="153">
        <v>0</v>
      </c>
      <c r="J657" s="211">
        <f>I657*100/I679</f>
        <v>0</v>
      </c>
      <c r="K657" s="215">
        <f t="shared" si="34"/>
        <v>0</v>
      </c>
      <c r="L657" s="216">
        <f t="shared" si="32"/>
        <v>0</v>
      </c>
    </row>
    <row r="658" spans="1:12">
      <c r="A658" s="263">
        <f t="shared" si="33"/>
        <v>6.4999999993499999</v>
      </c>
      <c r="B658" s="268">
        <v>6.5</v>
      </c>
      <c r="C658" s="155">
        <v>0</v>
      </c>
      <c r="D658" s="156">
        <f>C658*100/C679</f>
        <v>0</v>
      </c>
      <c r="E658" s="155">
        <v>0</v>
      </c>
      <c r="F658" s="156">
        <f>E658*100/E679</f>
        <v>0</v>
      </c>
      <c r="G658" s="155">
        <v>0</v>
      </c>
      <c r="H658" s="156">
        <f>G658*100/G679</f>
        <v>0</v>
      </c>
      <c r="I658" s="155">
        <v>0</v>
      </c>
      <c r="J658" s="212">
        <f>I658*100/I679</f>
        <v>0</v>
      </c>
      <c r="K658" s="223">
        <f t="shared" si="34"/>
        <v>0</v>
      </c>
      <c r="L658" s="224">
        <f t="shared" si="32"/>
        <v>0</v>
      </c>
    </row>
    <row r="659" spans="1:12">
      <c r="A659" s="263">
        <f t="shared" si="33"/>
        <v>6.9999999992999999</v>
      </c>
      <c r="B659" s="264">
        <v>7</v>
      </c>
      <c r="C659" s="153">
        <v>0</v>
      </c>
      <c r="D659" s="154">
        <f>C659*100/C679</f>
        <v>0</v>
      </c>
      <c r="E659" s="153">
        <v>0</v>
      </c>
      <c r="F659" s="154">
        <f>E659*100/E679</f>
        <v>0</v>
      </c>
      <c r="G659" s="153">
        <v>0</v>
      </c>
      <c r="H659" s="154">
        <f>G659*100/G679</f>
        <v>0</v>
      </c>
      <c r="I659" s="153">
        <v>0</v>
      </c>
      <c r="J659" s="211">
        <f>I659*100/I679</f>
        <v>0</v>
      </c>
      <c r="K659" s="215">
        <f t="shared" si="34"/>
        <v>0</v>
      </c>
      <c r="L659" s="216">
        <f t="shared" si="32"/>
        <v>0</v>
      </c>
    </row>
    <row r="660" spans="1:12">
      <c r="A660" s="263">
        <f t="shared" si="33"/>
        <v>7.4999999992499999</v>
      </c>
      <c r="B660" s="268">
        <v>7.5</v>
      </c>
      <c r="C660" s="155">
        <v>0</v>
      </c>
      <c r="D660" s="156">
        <f>C660*100/C679</f>
        <v>0</v>
      </c>
      <c r="E660" s="155">
        <v>0</v>
      </c>
      <c r="F660" s="156">
        <f>E660*100/E679</f>
        <v>0</v>
      </c>
      <c r="G660" s="155">
        <v>0</v>
      </c>
      <c r="H660" s="156">
        <f>G660*100/G679</f>
        <v>0</v>
      </c>
      <c r="I660" s="155">
        <v>0</v>
      </c>
      <c r="J660" s="212">
        <f>I660*100/I679</f>
        <v>0</v>
      </c>
      <c r="K660" s="223">
        <f t="shared" si="34"/>
        <v>0</v>
      </c>
      <c r="L660" s="224">
        <f t="shared" si="32"/>
        <v>0</v>
      </c>
    </row>
    <row r="661" spans="1:12">
      <c r="A661" s="263">
        <f t="shared" si="33"/>
        <v>7.9999999991999999</v>
      </c>
      <c r="B661" s="264">
        <v>8</v>
      </c>
      <c r="C661" s="153">
        <v>0</v>
      </c>
      <c r="D661" s="154">
        <f>C661*100/C679</f>
        <v>0</v>
      </c>
      <c r="E661" s="153">
        <v>0</v>
      </c>
      <c r="F661" s="154">
        <f>E661*100/E679</f>
        <v>0</v>
      </c>
      <c r="G661" s="153">
        <v>0</v>
      </c>
      <c r="H661" s="154">
        <f>G661*100/G679</f>
        <v>0</v>
      </c>
      <c r="I661" s="153">
        <v>0</v>
      </c>
      <c r="J661" s="211">
        <f>I661*100/I679</f>
        <v>0</v>
      </c>
      <c r="K661" s="215">
        <f t="shared" si="34"/>
        <v>0</v>
      </c>
      <c r="L661" s="216">
        <f t="shared" si="32"/>
        <v>0</v>
      </c>
    </row>
    <row r="662" spans="1:12">
      <c r="A662" s="263">
        <f t="shared" si="33"/>
        <v>8.499999999149999</v>
      </c>
      <c r="B662" s="268">
        <v>8.5</v>
      </c>
      <c r="C662" s="155">
        <v>0</v>
      </c>
      <c r="D662" s="156">
        <f>C662*100/C679</f>
        <v>0</v>
      </c>
      <c r="E662" s="155">
        <v>0</v>
      </c>
      <c r="F662" s="156">
        <f>E662*100/E679</f>
        <v>0</v>
      </c>
      <c r="G662" s="155">
        <v>0</v>
      </c>
      <c r="H662" s="156">
        <f>G662*100/G679</f>
        <v>0</v>
      </c>
      <c r="I662" s="155">
        <v>0</v>
      </c>
      <c r="J662" s="212">
        <f>I662*100/I679</f>
        <v>0</v>
      </c>
      <c r="K662" s="223">
        <f t="shared" si="34"/>
        <v>0</v>
      </c>
      <c r="L662" s="224">
        <f t="shared" si="32"/>
        <v>0</v>
      </c>
    </row>
    <row r="663" spans="1:12">
      <c r="A663" s="263">
        <f t="shared" si="33"/>
        <v>8.9999999990999999</v>
      </c>
      <c r="B663" s="264">
        <v>9</v>
      </c>
      <c r="C663" s="153">
        <v>0</v>
      </c>
      <c r="D663" s="154">
        <f>C663*100/C679</f>
        <v>0</v>
      </c>
      <c r="E663" s="153">
        <v>0</v>
      </c>
      <c r="F663" s="154">
        <f>E663*100/E679</f>
        <v>0</v>
      </c>
      <c r="G663" s="153">
        <v>0</v>
      </c>
      <c r="H663" s="154">
        <f>G663*100/G679</f>
        <v>0</v>
      </c>
      <c r="I663" s="153">
        <v>0</v>
      </c>
      <c r="J663" s="211">
        <f>I663*100/I679</f>
        <v>0</v>
      </c>
      <c r="K663" s="215">
        <f t="shared" si="34"/>
        <v>0</v>
      </c>
      <c r="L663" s="216">
        <f t="shared" si="32"/>
        <v>0</v>
      </c>
    </row>
    <row r="664" spans="1:12">
      <c r="A664" s="263">
        <f t="shared" si="33"/>
        <v>9.4999999990500008</v>
      </c>
      <c r="B664" s="268">
        <v>9.5</v>
      </c>
      <c r="C664" s="155">
        <v>0</v>
      </c>
      <c r="D664" s="156">
        <f>C664*100/C679</f>
        <v>0</v>
      </c>
      <c r="E664" s="155">
        <v>0</v>
      </c>
      <c r="F664" s="156">
        <f>E664*100/E679</f>
        <v>0</v>
      </c>
      <c r="G664" s="155">
        <v>0</v>
      </c>
      <c r="H664" s="156">
        <f>G664*100/G679</f>
        <v>0</v>
      </c>
      <c r="I664" s="155">
        <v>0</v>
      </c>
      <c r="J664" s="212">
        <f>I664*100/I679</f>
        <v>0</v>
      </c>
      <c r="K664" s="223">
        <f t="shared" si="34"/>
        <v>0</v>
      </c>
      <c r="L664" s="224">
        <f t="shared" si="32"/>
        <v>0</v>
      </c>
    </row>
    <row r="665" spans="1:12">
      <c r="A665" s="263">
        <f t="shared" si="33"/>
        <v>9.9999999989999999</v>
      </c>
      <c r="B665" s="264">
        <v>10</v>
      </c>
      <c r="C665" s="153">
        <v>0</v>
      </c>
      <c r="D665" s="154">
        <f>C665*100/C679</f>
        <v>0</v>
      </c>
      <c r="E665" s="153">
        <v>0</v>
      </c>
      <c r="F665" s="154">
        <f>E665*100/E679</f>
        <v>0</v>
      </c>
      <c r="G665" s="153">
        <v>0</v>
      </c>
      <c r="H665" s="154">
        <f>G665*100/G679</f>
        <v>0</v>
      </c>
      <c r="I665" s="153">
        <v>0</v>
      </c>
      <c r="J665" s="211">
        <f>I665*100/I679</f>
        <v>0</v>
      </c>
      <c r="K665" s="215">
        <f t="shared" si="34"/>
        <v>0</v>
      </c>
      <c r="L665" s="216">
        <f t="shared" si="32"/>
        <v>0</v>
      </c>
    </row>
    <row r="666" spans="1:12">
      <c r="A666" s="263">
        <f t="shared" si="33"/>
        <v>10.499999998949999</v>
      </c>
      <c r="B666" s="268">
        <v>10.5</v>
      </c>
      <c r="C666" s="155">
        <v>0</v>
      </c>
      <c r="D666" s="156">
        <f>C666*100/C679</f>
        <v>0</v>
      </c>
      <c r="E666" s="155">
        <v>0</v>
      </c>
      <c r="F666" s="156">
        <f>E666*100/E679</f>
        <v>0</v>
      </c>
      <c r="G666" s="155">
        <v>0</v>
      </c>
      <c r="H666" s="156">
        <f>G666*100/G679</f>
        <v>0</v>
      </c>
      <c r="I666" s="155">
        <v>0</v>
      </c>
      <c r="J666" s="212">
        <f>I666*100/I679</f>
        <v>0</v>
      </c>
      <c r="K666" s="223">
        <f t="shared" si="34"/>
        <v>0</v>
      </c>
      <c r="L666" s="224">
        <f t="shared" si="32"/>
        <v>0</v>
      </c>
    </row>
    <row r="667" spans="1:12">
      <c r="A667" s="263">
        <f t="shared" si="33"/>
        <v>10.9999999989</v>
      </c>
      <c r="B667" s="264">
        <v>11</v>
      </c>
      <c r="C667" s="153">
        <v>0</v>
      </c>
      <c r="D667" s="154">
        <f>C667*100/C679</f>
        <v>0</v>
      </c>
      <c r="E667" s="153">
        <v>0</v>
      </c>
      <c r="F667" s="154">
        <f>E667*100/E679</f>
        <v>0</v>
      </c>
      <c r="G667" s="153">
        <v>0</v>
      </c>
      <c r="H667" s="154">
        <f>G667*100/G679</f>
        <v>0</v>
      </c>
      <c r="I667" s="153">
        <v>0</v>
      </c>
      <c r="J667" s="211">
        <f>I667*100/I679</f>
        <v>0</v>
      </c>
      <c r="K667" s="215">
        <f t="shared" si="34"/>
        <v>0</v>
      </c>
      <c r="L667" s="216">
        <f t="shared" si="32"/>
        <v>0</v>
      </c>
    </row>
    <row r="668" spans="1:12">
      <c r="A668" s="263">
        <f t="shared" si="33"/>
        <v>11.499999998850001</v>
      </c>
      <c r="B668" s="268">
        <v>11.5</v>
      </c>
      <c r="C668" s="155">
        <v>0</v>
      </c>
      <c r="D668" s="156">
        <f>C668*100/C679</f>
        <v>0</v>
      </c>
      <c r="E668" s="155">
        <v>0</v>
      </c>
      <c r="F668" s="156">
        <f>E668*100/E679</f>
        <v>0</v>
      </c>
      <c r="G668" s="155">
        <v>0</v>
      </c>
      <c r="H668" s="156">
        <f>G668*100/G679</f>
        <v>0</v>
      </c>
      <c r="I668" s="155">
        <v>0</v>
      </c>
      <c r="J668" s="212">
        <f>I668*100/I679</f>
        <v>0</v>
      </c>
      <c r="K668" s="223">
        <f t="shared" si="34"/>
        <v>0</v>
      </c>
      <c r="L668" s="224">
        <f t="shared" si="32"/>
        <v>0</v>
      </c>
    </row>
    <row r="669" spans="1:12">
      <c r="A669" s="263">
        <f t="shared" si="33"/>
        <v>11.9999999988</v>
      </c>
      <c r="B669" s="264">
        <v>12</v>
      </c>
      <c r="C669" s="153">
        <v>0</v>
      </c>
      <c r="D669" s="154">
        <f>C669*100/C679</f>
        <v>0</v>
      </c>
      <c r="E669" s="153">
        <v>0</v>
      </c>
      <c r="F669" s="154">
        <f>E669*100/E679</f>
        <v>0</v>
      </c>
      <c r="G669" s="153">
        <v>0</v>
      </c>
      <c r="H669" s="154">
        <f>G669*100/G679</f>
        <v>0</v>
      </c>
      <c r="I669" s="153">
        <v>0</v>
      </c>
      <c r="J669" s="211">
        <f>I669*100/I679</f>
        <v>0</v>
      </c>
      <c r="K669" s="215">
        <f t="shared" si="34"/>
        <v>0</v>
      </c>
      <c r="L669" s="216">
        <f t="shared" si="32"/>
        <v>0</v>
      </c>
    </row>
    <row r="670" spans="1:12">
      <c r="A670" s="263">
        <f t="shared" si="33"/>
        <v>12.499999998749999</v>
      </c>
      <c r="B670" s="268">
        <v>12.5</v>
      </c>
      <c r="C670" s="155">
        <v>0</v>
      </c>
      <c r="D670" s="156">
        <f>C670*100/C679</f>
        <v>0</v>
      </c>
      <c r="E670" s="155">
        <v>0</v>
      </c>
      <c r="F670" s="156">
        <f>E670*100/E679</f>
        <v>0</v>
      </c>
      <c r="G670" s="155">
        <v>0</v>
      </c>
      <c r="H670" s="156">
        <f>G670*100/G679</f>
        <v>0</v>
      </c>
      <c r="I670" s="155">
        <v>0</v>
      </c>
      <c r="J670" s="212">
        <f>I670*100/I679</f>
        <v>0</v>
      </c>
      <c r="K670" s="223">
        <f t="shared" si="34"/>
        <v>0</v>
      </c>
      <c r="L670" s="224">
        <f t="shared" si="32"/>
        <v>0</v>
      </c>
    </row>
    <row r="671" spans="1:12">
      <c r="A671" s="263">
        <f t="shared" si="33"/>
        <v>12.9999999987</v>
      </c>
      <c r="B671" s="264">
        <v>13</v>
      </c>
      <c r="C671" s="153">
        <v>0</v>
      </c>
      <c r="D671" s="154">
        <f>C671*100/C679</f>
        <v>0</v>
      </c>
      <c r="E671" s="153">
        <v>0</v>
      </c>
      <c r="F671" s="154">
        <f>E671*100/E679</f>
        <v>0</v>
      </c>
      <c r="G671" s="153">
        <v>0</v>
      </c>
      <c r="H671" s="154">
        <f>G671*100/G679</f>
        <v>0</v>
      </c>
      <c r="I671" s="153">
        <v>0</v>
      </c>
      <c r="J671" s="211">
        <f>I671*100/I679</f>
        <v>0</v>
      </c>
      <c r="K671" s="215">
        <f t="shared" si="34"/>
        <v>0</v>
      </c>
      <c r="L671" s="216">
        <f t="shared" si="32"/>
        <v>0</v>
      </c>
    </row>
    <row r="672" spans="1:12">
      <c r="A672" s="263">
        <f t="shared" si="33"/>
        <v>13.499999998650001</v>
      </c>
      <c r="B672" s="268">
        <v>13.5</v>
      </c>
      <c r="C672" s="155">
        <v>0</v>
      </c>
      <c r="D672" s="157">
        <f>C672*100/C679</f>
        <v>0</v>
      </c>
      <c r="E672" s="158">
        <v>0</v>
      </c>
      <c r="F672" s="157">
        <f>E672*100/E679</f>
        <v>0</v>
      </c>
      <c r="G672" s="158">
        <v>0</v>
      </c>
      <c r="H672" s="157">
        <f>G672*100/G679</f>
        <v>0</v>
      </c>
      <c r="I672" s="158">
        <v>0</v>
      </c>
      <c r="J672" s="213">
        <f>I672*100/I679</f>
        <v>0</v>
      </c>
      <c r="K672" s="223">
        <f t="shared" si="34"/>
        <v>0</v>
      </c>
      <c r="L672" s="224">
        <f t="shared" si="32"/>
        <v>0</v>
      </c>
    </row>
    <row r="673" spans="1:12">
      <c r="A673" s="263">
        <f t="shared" si="33"/>
        <v>13.9999999986</v>
      </c>
      <c r="B673" s="456">
        <v>14</v>
      </c>
      <c r="C673" s="219">
        <v>0</v>
      </c>
      <c r="D673" s="220">
        <f>C673*100/C679</f>
        <v>0</v>
      </c>
      <c r="E673" s="221">
        <v>0</v>
      </c>
      <c r="F673" s="220">
        <f>E673*100/E679</f>
        <v>0</v>
      </c>
      <c r="G673" s="221">
        <v>0</v>
      </c>
      <c r="H673" s="220">
        <f>G673*100/G679</f>
        <v>0</v>
      </c>
      <c r="I673" s="221">
        <v>0</v>
      </c>
      <c r="J673" s="222">
        <f>I673*100/I679</f>
        <v>0</v>
      </c>
      <c r="K673" s="215">
        <f t="shared" si="34"/>
        <v>0</v>
      </c>
      <c r="L673" s="216">
        <f t="shared" si="32"/>
        <v>0</v>
      </c>
    </row>
    <row r="674" spans="1:12">
      <c r="A674" s="263">
        <f t="shared" si="33"/>
        <v>14.499999998549999</v>
      </c>
      <c r="B674" s="268">
        <v>14.5</v>
      </c>
      <c r="C674" s="155">
        <v>0</v>
      </c>
      <c r="D674" s="157">
        <f>C674*100/C679</f>
        <v>0</v>
      </c>
      <c r="E674" s="158">
        <v>0</v>
      </c>
      <c r="F674" s="157">
        <f>E674*100/E679</f>
        <v>0</v>
      </c>
      <c r="G674" s="158">
        <v>0</v>
      </c>
      <c r="H674" s="157">
        <f>G674*100/G679</f>
        <v>0</v>
      </c>
      <c r="I674" s="158">
        <v>0</v>
      </c>
      <c r="J674" s="213">
        <f>I674*100/I679</f>
        <v>0</v>
      </c>
      <c r="K674" s="223">
        <f t="shared" si="34"/>
        <v>0</v>
      </c>
      <c r="L674" s="224">
        <f t="shared" si="32"/>
        <v>0</v>
      </c>
    </row>
    <row r="675" spans="1:12">
      <c r="A675" s="263">
        <f t="shared" si="33"/>
        <v>14.9999999985</v>
      </c>
      <c r="B675" s="456">
        <v>15</v>
      </c>
      <c r="C675" s="219">
        <v>0</v>
      </c>
      <c r="D675" s="220">
        <f>C675*100/C679</f>
        <v>0</v>
      </c>
      <c r="E675" s="221">
        <v>0</v>
      </c>
      <c r="F675" s="220">
        <f>E675*100/E679</f>
        <v>0</v>
      </c>
      <c r="G675" s="221">
        <v>0</v>
      </c>
      <c r="H675" s="220">
        <f>G675*100/G679</f>
        <v>0</v>
      </c>
      <c r="I675" s="221">
        <v>0</v>
      </c>
      <c r="J675" s="222">
        <f>I675*100/I679</f>
        <v>0</v>
      </c>
      <c r="K675" s="215">
        <f t="shared" si="34"/>
        <v>0</v>
      </c>
      <c r="L675" s="216">
        <f t="shared" si="32"/>
        <v>0</v>
      </c>
    </row>
    <row r="676" spans="1:12">
      <c r="A676" s="263">
        <f t="shared" si="33"/>
        <v>15.499999998450001</v>
      </c>
      <c r="B676" s="268">
        <v>15.5</v>
      </c>
      <c r="C676" s="155">
        <v>0</v>
      </c>
      <c r="D676" s="157">
        <f>C676*100/C679</f>
        <v>0</v>
      </c>
      <c r="E676" s="158">
        <v>0</v>
      </c>
      <c r="F676" s="157">
        <f>E676*100/E679</f>
        <v>0</v>
      </c>
      <c r="G676" s="158">
        <v>0</v>
      </c>
      <c r="H676" s="157">
        <f>G676*100/G679</f>
        <v>0</v>
      </c>
      <c r="I676" s="158">
        <v>0</v>
      </c>
      <c r="J676" s="213">
        <f>I676*100/I679</f>
        <v>0</v>
      </c>
      <c r="K676" s="223">
        <f t="shared" si="34"/>
        <v>0</v>
      </c>
      <c r="L676" s="224">
        <f t="shared" si="32"/>
        <v>0</v>
      </c>
    </row>
    <row r="677" spans="1:12">
      <c r="A677" s="263">
        <f t="shared" si="33"/>
        <v>15.9999999984</v>
      </c>
      <c r="B677" s="456">
        <v>16</v>
      </c>
      <c r="C677" s="219">
        <v>0</v>
      </c>
      <c r="D677" s="220">
        <f>C677*100/C679</f>
        <v>0</v>
      </c>
      <c r="E677" s="221">
        <v>0</v>
      </c>
      <c r="F677" s="220">
        <f>E677*100/E679</f>
        <v>0</v>
      </c>
      <c r="G677" s="221">
        <v>0</v>
      </c>
      <c r="H677" s="220">
        <f>G677*100/G679</f>
        <v>0</v>
      </c>
      <c r="I677" s="221">
        <v>0</v>
      </c>
      <c r="J677" s="222">
        <f>I677*100/I679</f>
        <v>0</v>
      </c>
      <c r="K677" s="215">
        <f t="shared" si="34"/>
        <v>0</v>
      </c>
      <c r="L677" s="216">
        <f t="shared" si="32"/>
        <v>0</v>
      </c>
    </row>
    <row r="678" spans="1:12" ht="15" thickBot="1">
      <c r="A678" s="159">
        <f>0.9999999999*B678</f>
        <v>16.499999998349999</v>
      </c>
      <c r="B678" s="275">
        <v>16.5</v>
      </c>
      <c r="C678" s="160">
        <v>0</v>
      </c>
      <c r="D678" s="168">
        <f>C678*100/C679</f>
        <v>0</v>
      </c>
      <c r="E678" s="158">
        <v>0</v>
      </c>
      <c r="F678" s="157">
        <f>E678*100/E679</f>
        <v>0</v>
      </c>
      <c r="G678" s="158">
        <v>0</v>
      </c>
      <c r="H678" s="157">
        <f>G678*100/G679</f>
        <v>0</v>
      </c>
      <c r="I678" s="158">
        <v>0</v>
      </c>
      <c r="J678" s="214">
        <f>I678*100/I679</f>
        <v>0</v>
      </c>
      <c r="K678" s="223">
        <f t="shared" si="34"/>
        <v>0</v>
      </c>
      <c r="L678" s="224">
        <f t="shared" si="32"/>
        <v>0</v>
      </c>
    </row>
    <row r="679" spans="1:12" ht="15" thickBot="1">
      <c r="A679" s="806" t="s">
        <v>396</v>
      </c>
      <c r="B679" s="806"/>
      <c r="C679" s="230">
        <f>SUM(C650:C678)+0.0000000001</f>
        <v>1E-10</v>
      </c>
      <c r="D679" s="163">
        <f>SUM(D651:D678)</f>
        <v>0</v>
      </c>
      <c r="E679" s="162">
        <f>SUM(E650:E678)+0.0000000001</f>
        <v>1E-10</v>
      </c>
      <c r="F679" s="163">
        <f>SUM(F650:F678)</f>
        <v>0</v>
      </c>
      <c r="G679" s="162">
        <f>SUM(G650:G678)+0.0000000001</f>
        <v>1E-10</v>
      </c>
      <c r="H679" s="163">
        <f>SUM(H650:H678)</f>
        <v>0</v>
      </c>
      <c r="I679" s="162">
        <f>SUM(I650:I678)+0.0000000001</f>
        <v>1E-10</v>
      </c>
      <c r="J679" s="279">
        <f>SUM(J650:J678)</f>
        <v>0</v>
      </c>
      <c r="K679" s="227">
        <f>SUM(K650:K678)</f>
        <v>0</v>
      </c>
      <c r="L679" s="217">
        <f>SUM(L650:L678)</f>
        <v>0</v>
      </c>
    </row>
    <row r="680" spans="1:12" ht="15" thickBot="1">
      <c r="A680" s="778">
        <f>C679+E679+G679+I679</f>
        <v>4.0000000000000001E-10</v>
      </c>
      <c r="B680" s="779"/>
      <c r="C680" s="779"/>
      <c r="D680" s="779"/>
      <c r="E680" s="779"/>
      <c r="F680" s="779"/>
      <c r="G680" s="779"/>
      <c r="H680" s="779"/>
      <c r="I680" s="779"/>
      <c r="J680" s="780"/>
      <c r="K680" s="139"/>
      <c r="L680" s="139"/>
    </row>
    <row r="696" spans="1:19">
      <c r="O696" s="781" t="s">
        <v>905</v>
      </c>
      <c r="P696" s="781"/>
      <c r="Q696" s="781"/>
      <c r="R696" s="781"/>
      <c r="S696" s="781"/>
    </row>
    <row r="697" spans="1:19" ht="15" thickBot="1"/>
    <row r="698" spans="1:19" ht="24.75" customHeight="1" thickBot="1">
      <c r="A698" s="798" t="s">
        <v>500</v>
      </c>
      <c r="B698" s="807"/>
      <c r="C698" s="799" t="s">
        <v>492</v>
      </c>
      <c r="D698" s="803"/>
      <c r="E698" s="800" t="s">
        <v>495</v>
      </c>
      <c r="F698" s="804"/>
      <c r="G698" s="799" t="s">
        <v>493</v>
      </c>
      <c r="H698" s="803"/>
      <c r="I698" s="800" t="s">
        <v>494</v>
      </c>
      <c r="J698" s="805"/>
      <c r="K698" s="794" t="s">
        <v>496</v>
      </c>
      <c r="L698" s="796" t="s">
        <v>497</v>
      </c>
    </row>
    <row r="699" spans="1:19" ht="15" thickBot="1">
      <c r="A699" s="141" t="s">
        <v>887</v>
      </c>
      <c r="B699" s="251" t="s">
        <v>243</v>
      </c>
      <c r="C699" s="143" t="s">
        <v>397</v>
      </c>
      <c r="D699" s="144" t="s">
        <v>945</v>
      </c>
      <c r="E699" s="145" t="s">
        <v>397</v>
      </c>
      <c r="F699" s="146" t="s">
        <v>945</v>
      </c>
      <c r="G699" s="147" t="s">
        <v>397</v>
      </c>
      <c r="H699" s="148" t="s">
        <v>945</v>
      </c>
      <c r="I699" s="145" t="s">
        <v>397</v>
      </c>
      <c r="J699" s="209" t="s">
        <v>945</v>
      </c>
      <c r="K699" s="795"/>
      <c r="L699" s="797"/>
    </row>
    <row r="700" spans="1:19">
      <c r="A700" s="259">
        <f>0.9999999999*B700</f>
        <v>2.49999999975</v>
      </c>
      <c r="B700" s="260">
        <v>2.5</v>
      </c>
      <c r="C700" s="150">
        <f t="array" ref="C700:C728">FREQUENCY(Discrete!EJ3:EJ79,Hists!A701:A728)</f>
        <v>0</v>
      </c>
      <c r="D700" s="151">
        <f>C700*100/C729</f>
        <v>0</v>
      </c>
      <c r="E700" s="150">
        <f t="array" ref="E700:E728">FREQUENCY(IC!FF3:FF64,Hists!A701:A728)</f>
        <v>0</v>
      </c>
      <c r="F700" s="151">
        <f>E700*100/E729</f>
        <v>0</v>
      </c>
      <c r="G700" s="150">
        <f t="array" ref="G700:G728">FREQUENCY(Discrete!EK3:EK72,Hists!A701:A728)</f>
        <v>0</v>
      </c>
      <c r="H700" s="151">
        <f>G700*100/G729</f>
        <v>0</v>
      </c>
      <c r="I700" s="150">
        <f t="array" ref="I700:I728">FREQUENCY(IC!FG3:FG64,Hists!A701:A728)</f>
        <v>0</v>
      </c>
      <c r="J700" s="210">
        <f>I700*100/I729</f>
        <v>0</v>
      </c>
      <c r="K700" s="225"/>
      <c r="L700" s="226"/>
    </row>
    <row r="701" spans="1:19">
      <c r="A701" s="152">
        <f>0.9999999999*B701</f>
        <v>2.9999999997</v>
      </c>
      <c r="B701" s="264">
        <v>3</v>
      </c>
      <c r="C701" s="153">
        <v>0</v>
      </c>
      <c r="D701" s="154">
        <f>C701*100/C729</f>
        <v>0</v>
      </c>
      <c r="E701" s="153">
        <v>0</v>
      </c>
      <c r="F701" s="154">
        <f>E701*100/E729</f>
        <v>0</v>
      </c>
      <c r="G701" s="153">
        <v>0</v>
      </c>
      <c r="H701" s="154">
        <f>G701*100/G729</f>
        <v>0</v>
      </c>
      <c r="I701" s="153">
        <v>0</v>
      </c>
      <c r="J701" s="211">
        <f>I701*100/I729</f>
        <v>0</v>
      </c>
      <c r="K701" s="215">
        <f>0.5*(D701+F701)</f>
        <v>0</v>
      </c>
      <c r="L701" s="216">
        <f t="shared" ref="L701:L728" si="35">0.5*(H701+J701)</f>
        <v>0</v>
      </c>
    </row>
    <row r="702" spans="1:19">
      <c r="A702" s="263">
        <f t="shared" ref="A702:A727" si="36">0.9999999999*B702</f>
        <v>3.49999999965</v>
      </c>
      <c r="B702" s="268">
        <v>3.5</v>
      </c>
      <c r="C702" s="155">
        <v>0</v>
      </c>
      <c r="D702" s="156">
        <f>C702*100/C729</f>
        <v>0</v>
      </c>
      <c r="E702" s="155">
        <v>0</v>
      </c>
      <c r="F702" s="156">
        <f>E702*100/E729</f>
        <v>0</v>
      </c>
      <c r="G702" s="155">
        <v>0</v>
      </c>
      <c r="H702" s="156">
        <f>G702*100/G729</f>
        <v>0</v>
      </c>
      <c r="I702" s="155">
        <v>0</v>
      </c>
      <c r="J702" s="212">
        <f>I702*100/I729</f>
        <v>0</v>
      </c>
      <c r="K702" s="223">
        <f>0.5*(D702+F702)</f>
        <v>0</v>
      </c>
      <c r="L702" s="224">
        <f t="shared" si="35"/>
        <v>0</v>
      </c>
    </row>
    <row r="703" spans="1:19">
      <c r="A703" s="263">
        <f t="shared" si="36"/>
        <v>3.9999999996</v>
      </c>
      <c r="B703" s="264">
        <v>4</v>
      </c>
      <c r="C703" s="153">
        <v>0</v>
      </c>
      <c r="D703" s="154">
        <f>C703*100/C729</f>
        <v>0</v>
      </c>
      <c r="E703" s="153">
        <v>0</v>
      </c>
      <c r="F703" s="154">
        <f>E703*100/E729</f>
        <v>0</v>
      </c>
      <c r="G703" s="153">
        <v>0</v>
      </c>
      <c r="H703" s="154">
        <f>G703*100/G729</f>
        <v>0</v>
      </c>
      <c r="I703" s="153">
        <v>0</v>
      </c>
      <c r="J703" s="211">
        <f>I703*100/I729</f>
        <v>0</v>
      </c>
      <c r="K703" s="215">
        <f>0.5*(D703+F703)</f>
        <v>0</v>
      </c>
      <c r="L703" s="216">
        <f t="shared" si="35"/>
        <v>0</v>
      </c>
    </row>
    <row r="704" spans="1:19">
      <c r="A704" s="263">
        <f t="shared" si="36"/>
        <v>4.49999999955</v>
      </c>
      <c r="B704" s="268">
        <v>4.5</v>
      </c>
      <c r="C704" s="155">
        <v>0</v>
      </c>
      <c r="D704" s="156">
        <f>C704*100/C729</f>
        <v>0</v>
      </c>
      <c r="E704" s="155">
        <v>0</v>
      </c>
      <c r="F704" s="156">
        <f>E704*100/E729</f>
        <v>0</v>
      </c>
      <c r="G704" s="155">
        <v>0</v>
      </c>
      <c r="H704" s="156">
        <f>G704*100/G729</f>
        <v>0</v>
      </c>
      <c r="I704" s="155">
        <v>0</v>
      </c>
      <c r="J704" s="212">
        <f>I704*100/I729</f>
        <v>0</v>
      </c>
      <c r="K704" s="223">
        <f t="shared" ref="K704:K728" si="37">0.5*(D704+F704)</f>
        <v>0</v>
      </c>
      <c r="L704" s="224">
        <f t="shared" si="35"/>
        <v>0</v>
      </c>
    </row>
    <row r="705" spans="1:12">
      <c r="A705" s="263">
        <f t="shared" si="36"/>
        <v>4.9999999995</v>
      </c>
      <c r="B705" s="264">
        <v>5</v>
      </c>
      <c r="C705" s="153">
        <v>0</v>
      </c>
      <c r="D705" s="154">
        <f>C705*100/C729</f>
        <v>0</v>
      </c>
      <c r="E705" s="153">
        <v>3</v>
      </c>
      <c r="F705" s="154">
        <f>E705*100/E729</f>
        <v>99.999999996666673</v>
      </c>
      <c r="G705" s="153">
        <v>0</v>
      </c>
      <c r="H705" s="154">
        <f>G705*100/G729</f>
        <v>0</v>
      </c>
      <c r="I705" s="153">
        <v>0</v>
      </c>
      <c r="J705" s="211">
        <f>I705*100/I729</f>
        <v>0</v>
      </c>
      <c r="K705" s="215">
        <f t="shared" si="37"/>
        <v>49.999999998333337</v>
      </c>
      <c r="L705" s="216">
        <f t="shared" si="35"/>
        <v>0</v>
      </c>
    </row>
    <row r="706" spans="1:12">
      <c r="A706" s="263">
        <f t="shared" si="36"/>
        <v>5.49999999945</v>
      </c>
      <c r="B706" s="268">
        <v>5.5</v>
      </c>
      <c r="C706" s="155">
        <v>0</v>
      </c>
      <c r="D706" s="156">
        <f>C706*100/C729</f>
        <v>0</v>
      </c>
      <c r="E706" s="155">
        <v>0</v>
      </c>
      <c r="F706" s="156">
        <f>E706*100/E729</f>
        <v>0</v>
      </c>
      <c r="G706" s="155">
        <v>0</v>
      </c>
      <c r="H706" s="156">
        <f>G706*100/G729</f>
        <v>0</v>
      </c>
      <c r="I706" s="155">
        <v>0</v>
      </c>
      <c r="J706" s="212">
        <f>I706*100/I729</f>
        <v>0</v>
      </c>
      <c r="K706" s="223">
        <f t="shared" si="37"/>
        <v>0</v>
      </c>
      <c r="L706" s="224">
        <f t="shared" si="35"/>
        <v>0</v>
      </c>
    </row>
    <row r="707" spans="1:12">
      <c r="A707" s="263">
        <f t="shared" si="36"/>
        <v>5.9999999994</v>
      </c>
      <c r="B707" s="264">
        <v>6</v>
      </c>
      <c r="C707" s="153">
        <v>0</v>
      </c>
      <c r="D707" s="154">
        <f>C707*100/C729</f>
        <v>0</v>
      </c>
      <c r="E707" s="153">
        <v>0</v>
      </c>
      <c r="F707" s="154">
        <f>E707*100/E729</f>
        <v>0</v>
      </c>
      <c r="G707" s="153">
        <v>0</v>
      </c>
      <c r="H707" s="154">
        <f>G707*100/G729</f>
        <v>0</v>
      </c>
      <c r="I707" s="153">
        <v>0</v>
      </c>
      <c r="J707" s="211">
        <f>I707*100/I729</f>
        <v>0</v>
      </c>
      <c r="K707" s="215">
        <f t="shared" si="37"/>
        <v>0</v>
      </c>
      <c r="L707" s="216">
        <f t="shared" si="35"/>
        <v>0</v>
      </c>
    </row>
    <row r="708" spans="1:12">
      <c r="A708" s="263">
        <f t="shared" si="36"/>
        <v>6.4999999993499999</v>
      </c>
      <c r="B708" s="268">
        <v>6.5</v>
      </c>
      <c r="C708" s="155">
        <v>0</v>
      </c>
      <c r="D708" s="156">
        <f>C708*100/C729</f>
        <v>0</v>
      </c>
      <c r="E708" s="155">
        <v>0</v>
      </c>
      <c r="F708" s="156">
        <f>E708*100/E729</f>
        <v>0</v>
      </c>
      <c r="G708" s="155">
        <v>0</v>
      </c>
      <c r="H708" s="156">
        <f>G708*100/G729</f>
        <v>0</v>
      </c>
      <c r="I708" s="155">
        <v>0</v>
      </c>
      <c r="J708" s="212">
        <f>I708*100/I729</f>
        <v>0</v>
      </c>
      <c r="K708" s="223">
        <f t="shared" si="37"/>
        <v>0</v>
      </c>
      <c r="L708" s="224">
        <f t="shared" si="35"/>
        <v>0</v>
      </c>
    </row>
    <row r="709" spans="1:12">
      <c r="A709" s="263">
        <f t="shared" si="36"/>
        <v>6.9999999992999999</v>
      </c>
      <c r="B709" s="264">
        <v>7</v>
      </c>
      <c r="C709" s="153">
        <v>0</v>
      </c>
      <c r="D709" s="154">
        <f>C709*100/C729</f>
        <v>0</v>
      </c>
      <c r="E709" s="153">
        <v>0</v>
      </c>
      <c r="F709" s="154">
        <f>E709*100/E729</f>
        <v>0</v>
      </c>
      <c r="G709" s="153">
        <v>0</v>
      </c>
      <c r="H709" s="154">
        <f>G709*100/G729</f>
        <v>0</v>
      </c>
      <c r="I709" s="153">
        <v>3</v>
      </c>
      <c r="J709" s="211">
        <f>I709*100/I729</f>
        <v>99.999999996666673</v>
      </c>
      <c r="K709" s="215">
        <f t="shared" si="37"/>
        <v>0</v>
      </c>
      <c r="L709" s="216">
        <f t="shared" si="35"/>
        <v>49.999999998333337</v>
      </c>
    </row>
    <row r="710" spans="1:12">
      <c r="A710" s="263">
        <f t="shared" si="36"/>
        <v>7.4999999992499999</v>
      </c>
      <c r="B710" s="268">
        <v>7.5</v>
      </c>
      <c r="C710" s="155">
        <v>0</v>
      </c>
      <c r="D710" s="156">
        <f>C710*100/C729</f>
        <v>0</v>
      </c>
      <c r="E710" s="155">
        <v>0</v>
      </c>
      <c r="F710" s="156">
        <f>E710*100/E729</f>
        <v>0</v>
      </c>
      <c r="G710" s="155">
        <v>0</v>
      </c>
      <c r="H710" s="156">
        <f>G710*100/G729</f>
        <v>0</v>
      </c>
      <c r="I710" s="155">
        <v>0</v>
      </c>
      <c r="J710" s="212">
        <f>I710*100/I729</f>
        <v>0</v>
      </c>
      <c r="K710" s="223">
        <f t="shared" si="37"/>
        <v>0</v>
      </c>
      <c r="L710" s="224">
        <f t="shared" si="35"/>
        <v>0</v>
      </c>
    </row>
    <row r="711" spans="1:12">
      <c r="A711" s="263">
        <f t="shared" si="36"/>
        <v>7.9999999991999999</v>
      </c>
      <c r="B711" s="264">
        <v>8</v>
      </c>
      <c r="C711" s="153">
        <v>0</v>
      </c>
      <c r="D711" s="154">
        <f>C711*100/C729</f>
        <v>0</v>
      </c>
      <c r="E711" s="153">
        <v>0</v>
      </c>
      <c r="F711" s="154">
        <f>E711*100/E729</f>
        <v>0</v>
      </c>
      <c r="G711" s="153">
        <v>0</v>
      </c>
      <c r="H711" s="154">
        <f>G711*100/G729</f>
        <v>0</v>
      </c>
      <c r="I711" s="153">
        <v>0</v>
      </c>
      <c r="J711" s="211">
        <f>I711*100/I729</f>
        <v>0</v>
      </c>
      <c r="K711" s="215">
        <f t="shared" si="37"/>
        <v>0</v>
      </c>
      <c r="L711" s="216">
        <f t="shared" si="35"/>
        <v>0</v>
      </c>
    </row>
    <row r="712" spans="1:12">
      <c r="A712" s="263">
        <f t="shared" si="36"/>
        <v>8.499999999149999</v>
      </c>
      <c r="B712" s="268">
        <v>8.5</v>
      </c>
      <c r="C712" s="155">
        <v>0</v>
      </c>
      <c r="D712" s="156">
        <f>C712*100/C729</f>
        <v>0</v>
      </c>
      <c r="E712" s="155">
        <v>0</v>
      </c>
      <c r="F712" s="156">
        <f>E712*100/E729</f>
        <v>0</v>
      </c>
      <c r="G712" s="155">
        <v>0</v>
      </c>
      <c r="H712" s="156">
        <f>G712*100/G729</f>
        <v>0</v>
      </c>
      <c r="I712" s="155">
        <v>0</v>
      </c>
      <c r="J712" s="212">
        <f>I712*100/I729</f>
        <v>0</v>
      </c>
      <c r="K712" s="223">
        <f t="shared" si="37"/>
        <v>0</v>
      </c>
      <c r="L712" s="224">
        <f t="shared" si="35"/>
        <v>0</v>
      </c>
    </row>
    <row r="713" spans="1:12">
      <c r="A713" s="263">
        <f t="shared" si="36"/>
        <v>8.9999999990999999</v>
      </c>
      <c r="B713" s="264">
        <v>9</v>
      </c>
      <c r="C713" s="153">
        <v>0</v>
      </c>
      <c r="D713" s="154">
        <f>C713*100/C729</f>
        <v>0</v>
      </c>
      <c r="E713" s="153">
        <v>0</v>
      </c>
      <c r="F713" s="154">
        <f>E713*100/E729</f>
        <v>0</v>
      </c>
      <c r="G713" s="153">
        <v>0</v>
      </c>
      <c r="H713" s="154">
        <f>G713*100/G729</f>
        <v>0</v>
      </c>
      <c r="I713" s="153">
        <v>0</v>
      </c>
      <c r="J713" s="211">
        <f>I713*100/I729</f>
        <v>0</v>
      </c>
      <c r="K713" s="215">
        <f t="shared" si="37"/>
        <v>0</v>
      </c>
      <c r="L713" s="216">
        <f t="shared" si="35"/>
        <v>0</v>
      </c>
    </row>
    <row r="714" spans="1:12">
      <c r="A714" s="263">
        <f t="shared" si="36"/>
        <v>9.4999999990500008</v>
      </c>
      <c r="B714" s="268">
        <v>9.5</v>
      </c>
      <c r="C714" s="155">
        <v>0</v>
      </c>
      <c r="D714" s="156">
        <f>C714*100/C729</f>
        <v>0</v>
      </c>
      <c r="E714" s="155">
        <v>0</v>
      </c>
      <c r="F714" s="156">
        <f>E714*100/E729</f>
        <v>0</v>
      </c>
      <c r="G714" s="155">
        <v>0</v>
      </c>
      <c r="H714" s="156">
        <f>G714*100/G729</f>
        <v>0</v>
      </c>
      <c r="I714" s="155">
        <v>0</v>
      </c>
      <c r="J714" s="212">
        <f>I714*100/I729</f>
        <v>0</v>
      </c>
      <c r="K714" s="223">
        <f t="shared" si="37"/>
        <v>0</v>
      </c>
      <c r="L714" s="224">
        <f t="shared" si="35"/>
        <v>0</v>
      </c>
    </row>
    <row r="715" spans="1:12">
      <c r="A715" s="263">
        <f t="shared" si="36"/>
        <v>9.9999999989999999</v>
      </c>
      <c r="B715" s="264">
        <v>10</v>
      </c>
      <c r="C715" s="153">
        <v>0</v>
      </c>
      <c r="D715" s="154">
        <f>C715*100/C729</f>
        <v>0</v>
      </c>
      <c r="E715" s="153">
        <v>0</v>
      </c>
      <c r="F715" s="154">
        <f>E715*100/E729</f>
        <v>0</v>
      </c>
      <c r="G715" s="153">
        <v>0</v>
      </c>
      <c r="H715" s="154">
        <f>G715*100/G729</f>
        <v>0</v>
      </c>
      <c r="I715" s="153">
        <v>0</v>
      </c>
      <c r="J715" s="211">
        <f>I715*100/I729</f>
        <v>0</v>
      </c>
      <c r="K715" s="215">
        <f t="shared" si="37"/>
        <v>0</v>
      </c>
      <c r="L715" s="216">
        <f t="shared" si="35"/>
        <v>0</v>
      </c>
    </row>
    <row r="716" spans="1:12">
      <c r="A716" s="263">
        <f t="shared" si="36"/>
        <v>10.499999998949999</v>
      </c>
      <c r="B716" s="268">
        <v>10.5</v>
      </c>
      <c r="C716" s="155">
        <v>0</v>
      </c>
      <c r="D716" s="156">
        <f>C716*100/C729</f>
        <v>0</v>
      </c>
      <c r="E716" s="155">
        <v>0</v>
      </c>
      <c r="F716" s="156">
        <f>E716*100/E729</f>
        <v>0</v>
      </c>
      <c r="G716" s="155">
        <v>0</v>
      </c>
      <c r="H716" s="156">
        <f>G716*100/G729</f>
        <v>0</v>
      </c>
      <c r="I716" s="155">
        <v>0</v>
      </c>
      <c r="J716" s="212">
        <f>I716*100/I729</f>
        <v>0</v>
      </c>
      <c r="K716" s="223">
        <f t="shared" si="37"/>
        <v>0</v>
      </c>
      <c r="L716" s="224">
        <f t="shared" si="35"/>
        <v>0</v>
      </c>
    </row>
    <row r="717" spans="1:12">
      <c r="A717" s="263">
        <f t="shared" si="36"/>
        <v>10.9999999989</v>
      </c>
      <c r="B717" s="264">
        <v>11</v>
      </c>
      <c r="C717" s="153">
        <v>0</v>
      </c>
      <c r="D717" s="154">
        <f>C717*100/C729</f>
        <v>0</v>
      </c>
      <c r="E717" s="153">
        <v>0</v>
      </c>
      <c r="F717" s="154">
        <f>E717*100/E729</f>
        <v>0</v>
      </c>
      <c r="G717" s="153">
        <v>0</v>
      </c>
      <c r="H717" s="154">
        <f>G717*100/G729</f>
        <v>0</v>
      </c>
      <c r="I717" s="153">
        <v>0</v>
      </c>
      <c r="J717" s="211">
        <f>I717*100/I729</f>
        <v>0</v>
      </c>
      <c r="K717" s="215">
        <f t="shared" si="37"/>
        <v>0</v>
      </c>
      <c r="L717" s="216">
        <f t="shared" si="35"/>
        <v>0</v>
      </c>
    </row>
    <row r="718" spans="1:12">
      <c r="A718" s="263">
        <f t="shared" si="36"/>
        <v>11.499999998850001</v>
      </c>
      <c r="B718" s="268">
        <v>11.5</v>
      </c>
      <c r="C718" s="155">
        <v>0</v>
      </c>
      <c r="D718" s="156">
        <f>C718*100/C729</f>
        <v>0</v>
      </c>
      <c r="E718" s="155">
        <v>0</v>
      </c>
      <c r="F718" s="156">
        <f>E718*100/E729</f>
        <v>0</v>
      </c>
      <c r="G718" s="155">
        <v>0</v>
      </c>
      <c r="H718" s="156">
        <f>G718*100/G729</f>
        <v>0</v>
      </c>
      <c r="I718" s="155">
        <v>0</v>
      </c>
      <c r="J718" s="212">
        <f>I718*100/I729</f>
        <v>0</v>
      </c>
      <c r="K718" s="223">
        <f t="shared" si="37"/>
        <v>0</v>
      </c>
      <c r="L718" s="224">
        <f t="shared" si="35"/>
        <v>0</v>
      </c>
    </row>
    <row r="719" spans="1:12">
      <c r="A719" s="263">
        <f t="shared" si="36"/>
        <v>11.9999999988</v>
      </c>
      <c r="B719" s="264">
        <v>12</v>
      </c>
      <c r="C719" s="153">
        <v>0</v>
      </c>
      <c r="D719" s="154">
        <f>C719*100/C729</f>
        <v>0</v>
      </c>
      <c r="E719" s="153">
        <v>0</v>
      </c>
      <c r="F719" s="154">
        <f>E719*100/E729</f>
        <v>0</v>
      </c>
      <c r="G719" s="153">
        <v>0</v>
      </c>
      <c r="H719" s="154">
        <f>G719*100/G729</f>
        <v>0</v>
      </c>
      <c r="I719" s="153">
        <v>0</v>
      </c>
      <c r="J719" s="211">
        <f>I719*100/I729</f>
        <v>0</v>
      </c>
      <c r="K719" s="215">
        <f t="shared" si="37"/>
        <v>0</v>
      </c>
      <c r="L719" s="216">
        <f t="shared" si="35"/>
        <v>0</v>
      </c>
    </row>
    <row r="720" spans="1:12">
      <c r="A720" s="263">
        <f t="shared" si="36"/>
        <v>12.499999998749999</v>
      </c>
      <c r="B720" s="268">
        <v>12.5</v>
      </c>
      <c r="C720" s="155">
        <v>0</v>
      </c>
      <c r="D720" s="156">
        <f>C720*100/C729</f>
        <v>0</v>
      </c>
      <c r="E720" s="155">
        <v>0</v>
      </c>
      <c r="F720" s="156">
        <f>E720*100/E729</f>
        <v>0</v>
      </c>
      <c r="G720" s="155">
        <v>0</v>
      </c>
      <c r="H720" s="156">
        <f>G720*100/G729</f>
        <v>0</v>
      </c>
      <c r="I720" s="155">
        <v>0</v>
      </c>
      <c r="J720" s="212">
        <f>I720*100/I729</f>
        <v>0</v>
      </c>
      <c r="K720" s="223">
        <f t="shared" si="37"/>
        <v>0</v>
      </c>
      <c r="L720" s="224">
        <f t="shared" si="35"/>
        <v>0</v>
      </c>
    </row>
    <row r="721" spans="1:12">
      <c r="A721" s="263">
        <f t="shared" si="36"/>
        <v>12.9999999987</v>
      </c>
      <c r="B721" s="264">
        <v>13</v>
      </c>
      <c r="C721" s="153">
        <v>0</v>
      </c>
      <c r="D721" s="154">
        <f>C721*100/C729</f>
        <v>0</v>
      </c>
      <c r="E721" s="153">
        <v>0</v>
      </c>
      <c r="F721" s="154">
        <f>E721*100/E729</f>
        <v>0</v>
      </c>
      <c r="G721" s="153">
        <v>0</v>
      </c>
      <c r="H721" s="154">
        <f>G721*100/G729</f>
        <v>0</v>
      </c>
      <c r="I721" s="153">
        <v>0</v>
      </c>
      <c r="J721" s="211">
        <f>I721*100/I729</f>
        <v>0</v>
      </c>
      <c r="K721" s="215">
        <f t="shared" si="37"/>
        <v>0</v>
      </c>
      <c r="L721" s="216">
        <f t="shared" si="35"/>
        <v>0</v>
      </c>
    </row>
    <row r="722" spans="1:12">
      <c r="A722" s="263">
        <f t="shared" si="36"/>
        <v>13.499999998650001</v>
      </c>
      <c r="B722" s="268">
        <v>13.5</v>
      </c>
      <c r="C722" s="155">
        <v>0</v>
      </c>
      <c r="D722" s="157">
        <f>C722*100/C729</f>
        <v>0</v>
      </c>
      <c r="E722" s="158">
        <v>0</v>
      </c>
      <c r="F722" s="157">
        <f>E722*100/E729</f>
        <v>0</v>
      </c>
      <c r="G722" s="158">
        <v>0</v>
      </c>
      <c r="H722" s="157">
        <f>G722*100/G729</f>
        <v>0</v>
      </c>
      <c r="I722" s="158">
        <v>0</v>
      </c>
      <c r="J722" s="213">
        <f>I722*100/I729</f>
        <v>0</v>
      </c>
      <c r="K722" s="223">
        <f t="shared" si="37"/>
        <v>0</v>
      </c>
      <c r="L722" s="224">
        <f t="shared" si="35"/>
        <v>0</v>
      </c>
    </row>
    <row r="723" spans="1:12">
      <c r="A723" s="263">
        <f t="shared" si="36"/>
        <v>13.9999999986</v>
      </c>
      <c r="B723" s="456">
        <v>14</v>
      </c>
      <c r="C723" s="219">
        <v>0</v>
      </c>
      <c r="D723" s="220">
        <f>C723*100/C729</f>
        <v>0</v>
      </c>
      <c r="E723" s="221">
        <v>0</v>
      </c>
      <c r="F723" s="220">
        <f>E723*100/E729</f>
        <v>0</v>
      </c>
      <c r="G723" s="221">
        <v>0</v>
      </c>
      <c r="H723" s="220">
        <f>G723*100/G729</f>
        <v>0</v>
      </c>
      <c r="I723" s="221">
        <v>0</v>
      </c>
      <c r="J723" s="222">
        <f>I723*100/I729</f>
        <v>0</v>
      </c>
      <c r="K723" s="215">
        <f t="shared" si="37"/>
        <v>0</v>
      </c>
      <c r="L723" s="216">
        <f t="shared" si="35"/>
        <v>0</v>
      </c>
    </row>
    <row r="724" spans="1:12">
      <c r="A724" s="263">
        <f t="shared" si="36"/>
        <v>14.499999998549999</v>
      </c>
      <c r="B724" s="268">
        <v>14.5</v>
      </c>
      <c r="C724" s="155">
        <v>0</v>
      </c>
      <c r="D724" s="157">
        <f>C724*100/C729</f>
        <v>0</v>
      </c>
      <c r="E724" s="158">
        <v>0</v>
      </c>
      <c r="F724" s="157">
        <f>E724*100/E729</f>
        <v>0</v>
      </c>
      <c r="G724" s="158">
        <v>0</v>
      </c>
      <c r="H724" s="157">
        <f>G724*100/G729</f>
        <v>0</v>
      </c>
      <c r="I724" s="158">
        <v>0</v>
      </c>
      <c r="J724" s="213">
        <f>I724*100/I729</f>
        <v>0</v>
      </c>
      <c r="K724" s="223">
        <f t="shared" si="37"/>
        <v>0</v>
      </c>
      <c r="L724" s="224">
        <f t="shared" si="35"/>
        <v>0</v>
      </c>
    </row>
    <row r="725" spans="1:12">
      <c r="A725" s="263">
        <f t="shared" si="36"/>
        <v>14.9999999985</v>
      </c>
      <c r="B725" s="456">
        <v>15</v>
      </c>
      <c r="C725" s="219">
        <v>0</v>
      </c>
      <c r="D725" s="220">
        <f>C725*100/C729</f>
        <v>0</v>
      </c>
      <c r="E725" s="221">
        <v>0</v>
      </c>
      <c r="F725" s="220">
        <f>E725*100/E729</f>
        <v>0</v>
      </c>
      <c r="G725" s="221">
        <v>0</v>
      </c>
      <c r="H725" s="220">
        <f>G725*100/G729</f>
        <v>0</v>
      </c>
      <c r="I725" s="221">
        <v>0</v>
      </c>
      <c r="J725" s="222">
        <f>I725*100/I729</f>
        <v>0</v>
      </c>
      <c r="K725" s="215">
        <f t="shared" si="37"/>
        <v>0</v>
      </c>
      <c r="L725" s="216">
        <f t="shared" si="35"/>
        <v>0</v>
      </c>
    </row>
    <row r="726" spans="1:12">
      <c r="A726" s="263">
        <f t="shared" si="36"/>
        <v>15.499999998450001</v>
      </c>
      <c r="B726" s="268">
        <v>15.5</v>
      </c>
      <c r="C726" s="155">
        <v>0</v>
      </c>
      <c r="D726" s="157">
        <f>C726*100/C729</f>
        <v>0</v>
      </c>
      <c r="E726" s="158">
        <v>0</v>
      </c>
      <c r="F726" s="157">
        <f>E726*100/E729</f>
        <v>0</v>
      </c>
      <c r="G726" s="158">
        <v>0</v>
      </c>
      <c r="H726" s="157">
        <f>G726*100/G729</f>
        <v>0</v>
      </c>
      <c r="I726" s="158">
        <v>0</v>
      </c>
      <c r="J726" s="213">
        <f>I726*100/I729</f>
        <v>0</v>
      </c>
      <c r="K726" s="223">
        <f t="shared" si="37"/>
        <v>0</v>
      </c>
      <c r="L726" s="224">
        <f t="shared" si="35"/>
        <v>0</v>
      </c>
    </row>
    <row r="727" spans="1:12">
      <c r="A727" s="263">
        <f t="shared" si="36"/>
        <v>15.9999999984</v>
      </c>
      <c r="B727" s="456">
        <v>16</v>
      </c>
      <c r="C727" s="219">
        <v>0</v>
      </c>
      <c r="D727" s="220">
        <f>C727*100/C729</f>
        <v>0</v>
      </c>
      <c r="E727" s="221">
        <v>0</v>
      </c>
      <c r="F727" s="220">
        <f>E727*100/E729</f>
        <v>0</v>
      </c>
      <c r="G727" s="221">
        <v>0</v>
      </c>
      <c r="H727" s="220">
        <f>G727*100/G729</f>
        <v>0</v>
      </c>
      <c r="I727" s="221">
        <v>0</v>
      </c>
      <c r="J727" s="222">
        <f>I727*100/I729</f>
        <v>0</v>
      </c>
      <c r="K727" s="215">
        <f t="shared" si="37"/>
        <v>0</v>
      </c>
      <c r="L727" s="216">
        <f t="shared" si="35"/>
        <v>0</v>
      </c>
    </row>
    <row r="728" spans="1:12" ht="15" thickBot="1">
      <c r="A728" s="159">
        <f>0.9999999999*B728</f>
        <v>16.499999998349999</v>
      </c>
      <c r="B728" s="275">
        <v>16.5</v>
      </c>
      <c r="C728" s="160">
        <v>0</v>
      </c>
      <c r="D728" s="168">
        <f>C728*100/C729</f>
        <v>0</v>
      </c>
      <c r="E728" s="158">
        <v>0</v>
      </c>
      <c r="F728" s="157">
        <f>E728*100/E729</f>
        <v>0</v>
      </c>
      <c r="G728" s="158">
        <v>0</v>
      </c>
      <c r="H728" s="157">
        <f>G728*100/G729</f>
        <v>0</v>
      </c>
      <c r="I728" s="158">
        <v>0</v>
      </c>
      <c r="J728" s="214">
        <f>I728*100/I729</f>
        <v>0</v>
      </c>
      <c r="K728" s="223">
        <f t="shared" si="37"/>
        <v>0</v>
      </c>
      <c r="L728" s="224">
        <f t="shared" si="35"/>
        <v>0</v>
      </c>
    </row>
    <row r="729" spans="1:12" ht="15" thickBot="1">
      <c r="A729" s="806" t="s">
        <v>396</v>
      </c>
      <c r="B729" s="806"/>
      <c r="C729" s="230">
        <f>SUM(C700:C728)+0.0000000001</f>
        <v>1E-10</v>
      </c>
      <c r="D729" s="163">
        <f>SUM(D701:D728)</f>
        <v>0</v>
      </c>
      <c r="E729" s="162">
        <f>SUM(E700:E728)+0.0000000001</f>
        <v>3.0000000001</v>
      </c>
      <c r="F729" s="163">
        <f>SUM(F700:F728)</f>
        <v>99.999999996666673</v>
      </c>
      <c r="G729" s="162">
        <f>SUM(G700:G728)+0.0000000001</f>
        <v>1E-10</v>
      </c>
      <c r="H729" s="163">
        <f>SUM(H700:H728)</f>
        <v>0</v>
      </c>
      <c r="I729" s="162">
        <f>SUM(I700:I728)+0.0000000001</f>
        <v>3.0000000001</v>
      </c>
      <c r="J729" s="279">
        <f>SUM(J700:J728)</f>
        <v>99.999999996666673</v>
      </c>
      <c r="K729" s="227">
        <f>SUM(K700:K728)</f>
        <v>49.999999998333337</v>
      </c>
      <c r="L729" s="217">
        <f>SUM(L700:L728)</f>
        <v>49.999999998333337</v>
      </c>
    </row>
    <row r="730" spans="1:12" ht="15" thickBot="1">
      <c r="A730" s="778">
        <f>C729+E729+G729+I729</f>
        <v>6.0000000004</v>
      </c>
      <c r="B730" s="779"/>
      <c r="C730" s="779"/>
      <c r="D730" s="779"/>
      <c r="E730" s="779"/>
      <c r="F730" s="779"/>
      <c r="G730" s="779"/>
      <c r="H730" s="779"/>
      <c r="I730" s="779"/>
      <c r="J730" s="780"/>
      <c r="K730" s="139"/>
      <c r="L730" s="139"/>
    </row>
    <row r="746" spans="1:19">
      <c r="O746" s="781" t="s">
        <v>906</v>
      </c>
      <c r="P746" s="781"/>
      <c r="Q746" s="781"/>
      <c r="R746" s="781"/>
      <c r="S746" s="781"/>
    </row>
    <row r="747" spans="1:19" ht="15" thickBot="1"/>
    <row r="748" spans="1:19" ht="39.75" customHeight="1" thickBot="1">
      <c r="A748" s="798" t="s">
        <v>482</v>
      </c>
      <c r="B748" s="807"/>
      <c r="C748" s="799" t="s">
        <v>492</v>
      </c>
      <c r="D748" s="803"/>
      <c r="E748" s="800" t="s">
        <v>495</v>
      </c>
      <c r="F748" s="804"/>
      <c r="G748" s="799" t="s">
        <v>493</v>
      </c>
      <c r="H748" s="803"/>
      <c r="I748" s="800" t="s">
        <v>494</v>
      </c>
      <c r="J748" s="805"/>
      <c r="K748" s="794" t="s">
        <v>496</v>
      </c>
      <c r="L748" s="796" t="s">
        <v>497</v>
      </c>
    </row>
    <row r="749" spans="1:19" ht="15" thickBot="1">
      <c r="A749" s="141" t="s">
        <v>887</v>
      </c>
      <c r="B749" s="251" t="s">
        <v>243</v>
      </c>
      <c r="C749" s="143" t="s">
        <v>397</v>
      </c>
      <c r="D749" s="144" t="s">
        <v>945</v>
      </c>
      <c r="E749" s="145" t="s">
        <v>397</v>
      </c>
      <c r="F749" s="146" t="s">
        <v>945</v>
      </c>
      <c r="G749" s="147" t="s">
        <v>397</v>
      </c>
      <c r="H749" s="148" t="s">
        <v>945</v>
      </c>
      <c r="I749" s="145" t="s">
        <v>397</v>
      </c>
      <c r="J749" s="209" t="s">
        <v>945</v>
      </c>
      <c r="K749" s="795"/>
      <c r="L749" s="797"/>
    </row>
    <row r="750" spans="1:19">
      <c r="A750" s="259">
        <f>0.9999999999*B750</f>
        <v>2.49999999975</v>
      </c>
      <c r="B750" s="260">
        <v>2.5</v>
      </c>
      <c r="C750" s="150">
        <f t="array" ref="C750:C778">FREQUENCY(Discrete!EO3:EO79,Hists!A751:A778)</f>
        <v>0</v>
      </c>
      <c r="D750" s="151">
        <f>C750*100/C779</f>
        <v>0</v>
      </c>
      <c r="E750" s="150">
        <f t="array" ref="E750:E778">FREQUENCY(IC!FK3:FK64,Hists!A751:A778)</f>
        <v>0</v>
      </c>
      <c r="F750" s="151">
        <f>E750*100/E779</f>
        <v>0</v>
      </c>
      <c r="G750" s="150">
        <f t="array" ref="G750:G778">FREQUENCY(Discrete!EP3:EP79,Hists!A751:A778)</f>
        <v>0</v>
      </c>
      <c r="H750" s="151">
        <f>G750*100/G779</f>
        <v>0</v>
      </c>
      <c r="I750" s="150">
        <f t="array" ref="I750:I778">FREQUENCY(IC!FL3:FL64,Hists!A751:A778)</f>
        <v>0</v>
      </c>
      <c r="J750" s="210">
        <f>I750*100/I779</f>
        <v>0</v>
      </c>
      <c r="K750" s="225"/>
      <c r="L750" s="226"/>
    </row>
    <row r="751" spans="1:19">
      <c r="A751" s="152">
        <f>0.9999999999*B751</f>
        <v>2.9999999997</v>
      </c>
      <c r="B751" s="264">
        <v>3</v>
      </c>
      <c r="C751" s="153">
        <v>0</v>
      </c>
      <c r="D751" s="154">
        <f>C751*100/C779</f>
        <v>0</v>
      </c>
      <c r="E751" s="153">
        <v>0</v>
      </c>
      <c r="F751" s="154">
        <f>E751*100/E779</f>
        <v>0</v>
      </c>
      <c r="G751" s="153">
        <v>0</v>
      </c>
      <c r="H751" s="154">
        <f>G751*100/G779</f>
        <v>0</v>
      </c>
      <c r="I751" s="153">
        <v>0</v>
      </c>
      <c r="J751" s="211">
        <f>I751*100/I779</f>
        <v>0</v>
      </c>
      <c r="K751" s="215">
        <f>0.5*(D751+F751)</f>
        <v>0</v>
      </c>
      <c r="L751" s="216">
        <f t="shared" ref="L751:L778" si="38">0.5*(H751+J751)</f>
        <v>0</v>
      </c>
    </row>
    <row r="752" spans="1:19">
      <c r="A752" s="263">
        <f t="shared" ref="A752:A777" si="39">0.9999999999*B752</f>
        <v>3.49999999965</v>
      </c>
      <c r="B752" s="268">
        <v>3.5</v>
      </c>
      <c r="C752" s="155">
        <v>0</v>
      </c>
      <c r="D752" s="156">
        <f>C752*100/C779</f>
        <v>0</v>
      </c>
      <c r="E752" s="155">
        <v>0</v>
      </c>
      <c r="F752" s="156">
        <f>E752*100/E779</f>
        <v>0</v>
      </c>
      <c r="G752" s="155">
        <v>0</v>
      </c>
      <c r="H752" s="156">
        <f>G752*100/G779</f>
        <v>0</v>
      </c>
      <c r="I752" s="155">
        <v>0</v>
      </c>
      <c r="J752" s="212">
        <f>I752*100/I779</f>
        <v>0</v>
      </c>
      <c r="K752" s="223">
        <f>0.5*(D752+F752)</f>
        <v>0</v>
      </c>
      <c r="L752" s="224">
        <f t="shared" si="38"/>
        <v>0</v>
      </c>
    </row>
    <row r="753" spans="1:12">
      <c r="A753" s="263">
        <f t="shared" si="39"/>
        <v>3.9999999996</v>
      </c>
      <c r="B753" s="264">
        <v>4</v>
      </c>
      <c r="C753" s="153">
        <v>0</v>
      </c>
      <c r="D753" s="154">
        <f>C753*100/C779</f>
        <v>0</v>
      </c>
      <c r="E753" s="153">
        <v>0</v>
      </c>
      <c r="F753" s="154">
        <f>E753*100/E779</f>
        <v>0</v>
      </c>
      <c r="G753" s="153">
        <v>0</v>
      </c>
      <c r="H753" s="154">
        <f>G753*100/G779</f>
        <v>0</v>
      </c>
      <c r="I753" s="153">
        <v>0</v>
      </c>
      <c r="J753" s="211">
        <f>I753*100/I779</f>
        <v>0</v>
      </c>
      <c r="K753" s="215">
        <f>0.5*(D753+F753)</f>
        <v>0</v>
      </c>
      <c r="L753" s="216">
        <f t="shared" si="38"/>
        <v>0</v>
      </c>
    </row>
    <row r="754" spans="1:12">
      <c r="A754" s="263">
        <f t="shared" si="39"/>
        <v>4.49999999955</v>
      </c>
      <c r="B754" s="268">
        <v>4.5</v>
      </c>
      <c r="C754" s="155">
        <v>0</v>
      </c>
      <c r="D754" s="156">
        <f>C754*100/C779</f>
        <v>0</v>
      </c>
      <c r="E754" s="155">
        <v>0</v>
      </c>
      <c r="F754" s="156">
        <f>E754*100/E779</f>
        <v>0</v>
      </c>
      <c r="G754" s="155">
        <v>0</v>
      </c>
      <c r="H754" s="156">
        <f>G754*100/G779</f>
        <v>0</v>
      </c>
      <c r="I754" s="155">
        <v>0</v>
      </c>
      <c r="J754" s="212">
        <f>I754*100/I779</f>
        <v>0</v>
      </c>
      <c r="K754" s="223">
        <f t="shared" ref="K754:K778" si="40">0.5*(D754+F754)</f>
        <v>0</v>
      </c>
      <c r="L754" s="224">
        <f t="shared" si="38"/>
        <v>0</v>
      </c>
    </row>
    <row r="755" spans="1:12">
      <c r="A755" s="263">
        <f t="shared" si="39"/>
        <v>4.9999999995</v>
      </c>
      <c r="B755" s="264">
        <v>5</v>
      </c>
      <c r="C755" s="153">
        <v>0</v>
      </c>
      <c r="D755" s="154">
        <f>C755*100/C779</f>
        <v>0</v>
      </c>
      <c r="E755" s="153">
        <v>0</v>
      </c>
      <c r="F755" s="154">
        <f>E755*100/E779</f>
        <v>0</v>
      </c>
      <c r="G755" s="153">
        <v>0</v>
      </c>
      <c r="H755" s="154">
        <f>G755*100/G779</f>
        <v>0</v>
      </c>
      <c r="I755" s="153">
        <v>0</v>
      </c>
      <c r="J755" s="211">
        <f>I755*100/I779</f>
        <v>0</v>
      </c>
      <c r="K755" s="215">
        <f t="shared" si="40"/>
        <v>0</v>
      </c>
      <c r="L755" s="216">
        <f t="shared" si="38"/>
        <v>0</v>
      </c>
    </row>
    <row r="756" spans="1:12">
      <c r="A756" s="263">
        <f t="shared" si="39"/>
        <v>5.49999999945</v>
      </c>
      <c r="B756" s="268">
        <v>5.5</v>
      </c>
      <c r="C756" s="155">
        <v>0</v>
      </c>
      <c r="D756" s="156">
        <f>C756*100/C779</f>
        <v>0</v>
      </c>
      <c r="E756" s="155">
        <v>0</v>
      </c>
      <c r="F756" s="156">
        <f>E756*100/E779</f>
        <v>0</v>
      </c>
      <c r="G756" s="155">
        <v>0</v>
      </c>
      <c r="H756" s="156">
        <f>G756*100/G779</f>
        <v>0</v>
      </c>
      <c r="I756" s="155">
        <v>0</v>
      </c>
      <c r="J756" s="212">
        <f>I756*100/I779</f>
        <v>0</v>
      </c>
      <c r="K756" s="223">
        <f t="shared" si="40"/>
        <v>0</v>
      </c>
      <c r="L756" s="224">
        <f t="shared" si="38"/>
        <v>0</v>
      </c>
    </row>
    <row r="757" spans="1:12">
      <c r="A757" s="263">
        <f t="shared" si="39"/>
        <v>5.9999999994</v>
      </c>
      <c r="B757" s="264">
        <v>6</v>
      </c>
      <c r="C757" s="153">
        <v>0</v>
      </c>
      <c r="D757" s="154">
        <f>C757*100/C779</f>
        <v>0</v>
      </c>
      <c r="E757" s="153">
        <v>0</v>
      </c>
      <c r="F757" s="154">
        <f>E757*100/E779</f>
        <v>0</v>
      </c>
      <c r="G757" s="153">
        <v>0</v>
      </c>
      <c r="H757" s="154">
        <f>G757*100/G779</f>
        <v>0</v>
      </c>
      <c r="I757" s="153">
        <v>0</v>
      </c>
      <c r="J757" s="211">
        <f>I757*100/I779</f>
        <v>0</v>
      </c>
      <c r="K757" s="215">
        <f t="shared" si="40"/>
        <v>0</v>
      </c>
      <c r="L757" s="216">
        <f t="shared" si="38"/>
        <v>0</v>
      </c>
    </row>
    <row r="758" spans="1:12">
      <c r="A758" s="263">
        <f t="shared" si="39"/>
        <v>6.4999999993499999</v>
      </c>
      <c r="B758" s="268">
        <v>6.5</v>
      </c>
      <c r="C758" s="155">
        <v>0</v>
      </c>
      <c r="D758" s="156">
        <f>C758*100/C779</f>
        <v>0</v>
      </c>
      <c r="E758" s="155">
        <v>0</v>
      </c>
      <c r="F758" s="156">
        <f>E758*100/E779</f>
        <v>0</v>
      </c>
      <c r="G758" s="155">
        <v>0</v>
      </c>
      <c r="H758" s="156">
        <f>G758*100/G779</f>
        <v>0</v>
      </c>
      <c r="I758" s="155">
        <v>0</v>
      </c>
      <c r="J758" s="212">
        <f>I758*100/I779</f>
        <v>0</v>
      </c>
      <c r="K758" s="223">
        <f t="shared" si="40"/>
        <v>0</v>
      </c>
      <c r="L758" s="224">
        <f t="shared" si="38"/>
        <v>0</v>
      </c>
    </row>
    <row r="759" spans="1:12">
      <c r="A759" s="263">
        <f t="shared" si="39"/>
        <v>6.9999999992999999</v>
      </c>
      <c r="B759" s="264">
        <v>7</v>
      </c>
      <c r="C759" s="153">
        <v>0</v>
      </c>
      <c r="D759" s="154">
        <f>C759*100/C779</f>
        <v>0</v>
      </c>
      <c r="E759" s="153">
        <v>0</v>
      </c>
      <c r="F759" s="154">
        <f>E759*100/E779</f>
        <v>0</v>
      </c>
      <c r="G759" s="153">
        <v>0</v>
      </c>
      <c r="H759" s="154">
        <f>G759*100/G779</f>
        <v>0</v>
      </c>
      <c r="I759" s="153">
        <v>0</v>
      </c>
      <c r="J759" s="211">
        <f>I759*100/I779</f>
        <v>0</v>
      </c>
      <c r="K759" s="215">
        <f t="shared" si="40"/>
        <v>0</v>
      </c>
      <c r="L759" s="216">
        <f t="shared" si="38"/>
        <v>0</v>
      </c>
    </row>
    <row r="760" spans="1:12">
      <c r="A760" s="263">
        <f t="shared" si="39"/>
        <v>7.4999999992499999</v>
      </c>
      <c r="B760" s="268">
        <v>7.5</v>
      </c>
      <c r="C760" s="155">
        <v>0</v>
      </c>
      <c r="D760" s="156">
        <f>C760*100/C779</f>
        <v>0</v>
      </c>
      <c r="E760" s="155">
        <v>0</v>
      </c>
      <c r="F760" s="156">
        <f>E760*100/E779</f>
        <v>0</v>
      </c>
      <c r="G760" s="155">
        <v>0</v>
      </c>
      <c r="H760" s="156">
        <f>G760*100/G779</f>
        <v>0</v>
      </c>
      <c r="I760" s="155">
        <v>0</v>
      </c>
      <c r="J760" s="212">
        <f>I760*100/I779</f>
        <v>0</v>
      </c>
      <c r="K760" s="223">
        <f t="shared" si="40"/>
        <v>0</v>
      </c>
      <c r="L760" s="224">
        <f t="shared" si="38"/>
        <v>0</v>
      </c>
    </row>
    <row r="761" spans="1:12">
      <c r="A761" s="263">
        <f t="shared" si="39"/>
        <v>7.9999999991999999</v>
      </c>
      <c r="B761" s="264">
        <v>8</v>
      </c>
      <c r="C761" s="153">
        <v>0</v>
      </c>
      <c r="D761" s="154">
        <f>C761*100/C779</f>
        <v>0</v>
      </c>
      <c r="E761" s="153">
        <v>0</v>
      </c>
      <c r="F761" s="154">
        <f>E761*100/E779</f>
        <v>0</v>
      </c>
      <c r="G761" s="153">
        <v>0</v>
      </c>
      <c r="H761" s="154">
        <f>G761*100/G779</f>
        <v>0</v>
      </c>
      <c r="I761" s="153">
        <v>0</v>
      </c>
      <c r="J761" s="211">
        <f>I761*100/I779</f>
        <v>0</v>
      </c>
      <c r="K761" s="215">
        <f t="shared" si="40"/>
        <v>0</v>
      </c>
      <c r="L761" s="216">
        <f t="shared" si="38"/>
        <v>0</v>
      </c>
    </row>
    <row r="762" spans="1:12">
      <c r="A762" s="263">
        <f t="shared" si="39"/>
        <v>8.499999999149999</v>
      </c>
      <c r="B762" s="268">
        <v>8.5</v>
      </c>
      <c r="C762" s="155">
        <v>0</v>
      </c>
      <c r="D762" s="156">
        <f>C762*100/C779</f>
        <v>0</v>
      </c>
      <c r="E762" s="155">
        <v>0</v>
      </c>
      <c r="F762" s="156">
        <f>E762*100/E779</f>
        <v>0</v>
      </c>
      <c r="G762" s="155">
        <v>0</v>
      </c>
      <c r="H762" s="156">
        <f>G762*100/G779</f>
        <v>0</v>
      </c>
      <c r="I762" s="155">
        <v>0</v>
      </c>
      <c r="J762" s="212">
        <f>I762*100/I779</f>
        <v>0</v>
      </c>
      <c r="K762" s="223">
        <f t="shared" si="40"/>
        <v>0</v>
      </c>
      <c r="L762" s="224">
        <f t="shared" si="38"/>
        <v>0</v>
      </c>
    </row>
    <row r="763" spans="1:12">
      <c r="A763" s="263">
        <f t="shared" si="39"/>
        <v>8.9999999990999999</v>
      </c>
      <c r="B763" s="264">
        <v>9</v>
      </c>
      <c r="C763" s="153">
        <v>0</v>
      </c>
      <c r="D763" s="154">
        <f>C763*100/C779</f>
        <v>0</v>
      </c>
      <c r="E763" s="153">
        <v>0</v>
      </c>
      <c r="F763" s="154">
        <f>E763*100/E779</f>
        <v>0</v>
      </c>
      <c r="G763" s="153">
        <v>0</v>
      </c>
      <c r="H763" s="154">
        <f>G763*100/G779</f>
        <v>0</v>
      </c>
      <c r="I763" s="153">
        <v>0</v>
      </c>
      <c r="J763" s="211">
        <f>I763*100/I779</f>
        <v>0</v>
      </c>
      <c r="K763" s="215">
        <f t="shared" si="40"/>
        <v>0</v>
      </c>
      <c r="L763" s="216">
        <f t="shared" si="38"/>
        <v>0</v>
      </c>
    </row>
    <row r="764" spans="1:12">
      <c r="A764" s="263">
        <f t="shared" si="39"/>
        <v>9.4999999990500008</v>
      </c>
      <c r="B764" s="268">
        <v>9.5</v>
      </c>
      <c r="C764" s="155">
        <v>0</v>
      </c>
      <c r="D764" s="156">
        <f>C764*100/C779</f>
        <v>0</v>
      </c>
      <c r="E764" s="155">
        <v>0</v>
      </c>
      <c r="F764" s="156">
        <f>E764*100/E779</f>
        <v>0</v>
      </c>
      <c r="G764" s="155">
        <v>0</v>
      </c>
      <c r="H764" s="156">
        <f>G764*100/G779</f>
        <v>0</v>
      </c>
      <c r="I764" s="155">
        <v>0</v>
      </c>
      <c r="J764" s="212">
        <f>I764*100/I779</f>
        <v>0</v>
      </c>
      <c r="K764" s="223">
        <f t="shared" si="40"/>
        <v>0</v>
      </c>
      <c r="L764" s="224">
        <f t="shared" si="38"/>
        <v>0</v>
      </c>
    </row>
    <row r="765" spans="1:12">
      <c r="A765" s="263">
        <f t="shared" si="39"/>
        <v>9.9999999989999999</v>
      </c>
      <c r="B765" s="264">
        <v>10</v>
      </c>
      <c r="C765" s="153">
        <v>0</v>
      </c>
      <c r="D765" s="154">
        <f>C765*100/C779</f>
        <v>0</v>
      </c>
      <c r="E765" s="153">
        <v>0</v>
      </c>
      <c r="F765" s="154">
        <f>E765*100/E779</f>
        <v>0</v>
      </c>
      <c r="G765" s="153">
        <v>0</v>
      </c>
      <c r="H765" s="154">
        <f>G765*100/G779</f>
        <v>0</v>
      </c>
      <c r="I765" s="153">
        <v>0</v>
      </c>
      <c r="J765" s="211">
        <f>I765*100/I779</f>
        <v>0</v>
      </c>
      <c r="K765" s="215">
        <f t="shared" si="40"/>
        <v>0</v>
      </c>
      <c r="L765" s="216">
        <f t="shared" si="38"/>
        <v>0</v>
      </c>
    </row>
    <row r="766" spans="1:12">
      <c r="A766" s="263">
        <f t="shared" si="39"/>
        <v>10.499999998949999</v>
      </c>
      <c r="B766" s="268">
        <v>10.5</v>
      </c>
      <c r="C766" s="155">
        <v>0</v>
      </c>
      <c r="D766" s="156">
        <f>C766*100/C779</f>
        <v>0</v>
      </c>
      <c r="E766" s="155">
        <v>0</v>
      </c>
      <c r="F766" s="156">
        <f>E766*100/E779</f>
        <v>0</v>
      </c>
      <c r="G766" s="155">
        <v>0</v>
      </c>
      <c r="H766" s="156">
        <f>G766*100/G779</f>
        <v>0</v>
      </c>
      <c r="I766" s="155">
        <v>0</v>
      </c>
      <c r="J766" s="212">
        <f>I766*100/I779</f>
        <v>0</v>
      </c>
      <c r="K766" s="223">
        <f t="shared" si="40"/>
        <v>0</v>
      </c>
      <c r="L766" s="224">
        <f t="shared" si="38"/>
        <v>0</v>
      </c>
    </row>
    <row r="767" spans="1:12">
      <c r="A767" s="263">
        <f t="shared" si="39"/>
        <v>10.9999999989</v>
      </c>
      <c r="B767" s="264">
        <v>11</v>
      </c>
      <c r="C767" s="153">
        <v>0</v>
      </c>
      <c r="D767" s="154">
        <f>C767*100/C779</f>
        <v>0</v>
      </c>
      <c r="E767" s="153">
        <v>0</v>
      </c>
      <c r="F767" s="154">
        <f>E767*100/E779</f>
        <v>0</v>
      </c>
      <c r="G767" s="153">
        <v>0</v>
      </c>
      <c r="H767" s="154">
        <f>G767*100/G779</f>
        <v>0</v>
      </c>
      <c r="I767" s="153">
        <v>0</v>
      </c>
      <c r="J767" s="211">
        <f>I767*100/I779</f>
        <v>0</v>
      </c>
      <c r="K767" s="215">
        <f t="shared" si="40"/>
        <v>0</v>
      </c>
      <c r="L767" s="216">
        <f t="shared" si="38"/>
        <v>0</v>
      </c>
    </row>
    <row r="768" spans="1:12">
      <c r="A768" s="263">
        <f t="shared" si="39"/>
        <v>11.499999998850001</v>
      </c>
      <c r="B768" s="268">
        <v>11.5</v>
      </c>
      <c r="C768" s="155">
        <v>0</v>
      </c>
      <c r="D768" s="156">
        <f>C768*100/C779</f>
        <v>0</v>
      </c>
      <c r="E768" s="155">
        <v>0</v>
      </c>
      <c r="F768" s="156">
        <f>E768*100/E779</f>
        <v>0</v>
      </c>
      <c r="G768" s="155">
        <v>0</v>
      </c>
      <c r="H768" s="156">
        <f>G768*100/G779</f>
        <v>0</v>
      </c>
      <c r="I768" s="155">
        <v>0</v>
      </c>
      <c r="J768" s="212">
        <f>I768*100/I779</f>
        <v>0</v>
      </c>
      <c r="K768" s="223">
        <f t="shared" si="40"/>
        <v>0</v>
      </c>
      <c r="L768" s="224">
        <f t="shared" si="38"/>
        <v>0</v>
      </c>
    </row>
    <row r="769" spans="1:12">
      <c r="A769" s="263">
        <f t="shared" si="39"/>
        <v>11.9999999988</v>
      </c>
      <c r="B769" s="264">
        <v>12</v>
      </c>
      <c r="C769" s="153">
        <v>0</v>
      </c>
      <c r="D769" s="154">
        <f>C769*100/C779</f>
        <v>0</v>
      </c>
      <c r="E769" s="153">
        <v>0</v>
      </c>
      <c r="F769" s="154">
        <f>E769*100/E779</f>
        <v>0</v>
      </c>
      <c r="G769" s="153">
        <v>0</v>
      </c>
      <c r="H769" s="154">
        <f>G769*100/G779</f>
        <v>0</v>
      </c>
      <c r="I769" s="153">
        <v>0</v>
      </c>
      <c r="J769" s="211">
        <f>I769*100/I779</f>
        <v>0</v>
      </c>
      <c r="K769" s="215">
        <f t="shared" si="40"/>
        <v>0</v>
      </c>
      <c r="L769" s="216">
        <f t="shared" si="38"/>
        <v>0</v>
      </c>
    </row>
    <row r="770" spans="1:12">
      <c r="A770" s="263">
        <f t="shared" si="39"/>
        <v>12.499999998749999</v>
      </c>
      <c r="B770" s="268">
        <v>12.5</v>
      </c>
      <c r="C770" s="155">
        <v>0</v>
      </c>
      <c r="D770" s="156">
        <f>C770*100/C779</f>
        <v>0</v>
      </c>
      <c r="E770" s="155">
        <v>0</v>
      </c>
      <c r="F770" s="156">
        <f>E770*100/E779</f>
        <v>0</v>
      </c>
      <c r="G770" s="155">
        <v>0</v>
      </c>
      <c r="H770" s="156">
        <f>G770*100/G779</f>
        <v>0</v>
      </c>
      <c r="I770" s="155">
        <v>0</v>
      </c>
      <c r="J770" s="212">
        <f>I770*100/I779</f>
        <v>0</v>
      </c>
      <c r="K770" s="223">
        <f t="shared" si="40"/>
        <v>0</v>
      </c>
      <c r="L770" s="224">
        <f t="shared" si="38"/>
        <v>0</v>
      </c>
    </row>
    <row r="771" spans="1:12">
      <c r="A771" s="263">
        <f t="shared" si="39"/>
        <v>12.9999999987</v>
      </c>
      <c r="B771" s="264">
        <v>13</v>
      </c>
      <c r="C771" s="153">
        <v>0</v>
      </c>
      <c r="D771" s="154">
        <f>C771*100/C779</f>
        <v>0</v>
      </c>
      <c r="E771" s="153">
        <v>0</v>
      </c>
      <c r="F771" s="154">
        <f>E771*100/E779</f>
        <v>0</v>
      </c>
      <c r="G771" s="153">
        <v>0</v>
      </c>
      <c r="H771" s="154">
        <f>G771*100/G779</f>
        <v>0</v>
      </c>
      <c r="I771" s="153">
        <v>0</v>
      </c>
      <c r="J771" s="211">
        <f>I771*100/I779</f>
        <v>0</v>
      </c>
      <c r="K771" s="215">
        <f t="shared" si="40"/>
        <v>0</v>
      </c>
      <c r="L771" s="216">
        <f t="shared" si="38"/>
        <v>0</v>
      </c>
    </row>
    <row r="772" spans="1:12">
      <c r="A772" s="263">
        <f t="shared" si="39"/>
        <v>13.499999998650001</v>
      </c>
      <c r="B772" s="268">
        <v>13.5</v>
      </c>
      <c r="C772" s="155">
        <v>0</v>
      </c>
      <c r="D772" s="157">
        <f>C772*100/C779</f>
        <v>0</v>
      </c>
      <c r="E772" s="158">
        <v>0</v>
      </c>
      <c r="F772" s="157">
        <f>E772*100/E779</f>
        <v>0</v>
      </c>
      <c r="G772" s="158">
        <v>0</v>
      </c>
      <c r="H772" s="157">
        <f>G772*100/G779</f>
        <v>0</v>
      </c>
      <c r="I772" s="158">
        <v>0</v>
      </c>
      <c r="J772" s="213">
        <f>I772*100/I779</f>
        <v>0</v>
      </c>
      <c r="K772" s="223">
        <f t="shared" si="40"/>
        <v>0</v>
      </c>
      <c r="L772" s="224">
        <f t="shared" si="38"/>
        <v>0</v>
      </c>
    </row>
    <row r="773" spans="1:12">
      <c r="A773" s="263">
        <f t="shared" si="39"/>
        <v>13.9999999986</v>
      </c>
      <c r="B773" s="456">
        <v>14</v>
      </c>
      <c r="C773" s="219">
        <v>0</v>
      </c>
      <c r="D773" s="220">
        <f>C773*100/C779</f>
        <v>0</v>
      </c>
      <c r="E773" s="221">
        <v>0</v>
      </c>
      <c r="F773" s="220">
        <f>E773*100/E779</f>
        <v>0</v>
      </c>
      <c r="G773" s="221">
        <v>0</v>
      </c>
      <c r="H773" s="220">
        <f>G773*100/G779</f>
        <v>0</v>
      </c>
      <c r="I773" s="221">
        <v>0</v>
      </c>
      <c r="J773" s="222">
        <f>I773*100/I779</f>
        <v>0</v>
      </c>
      <c r="K773" s="215">
        <f t="shared" si="40"/>
        <v>0</v>
      </c>
      <c r="L773" s="216">
        <f t="shared" si="38"/>
        <v>0</v>
      </c>
    </row>
    <row r="774" spans="1:12">
      <c r="A774" s="263">
        <f t="shared" si="39"/>
        <v>14.499999998549999</v>
      </c>
      <c r="B774" s="268">
        <v>14.5</v>
      </c>
      <c r="C774" s="155">
        <v>0</v>
      </c>
      <c r="D774" s="157">
        <f>C774*100/C779</f>
        <v>0</v>
      </c>
      <c r="E774" s="158">
        <v>0</v>
      </c>
      <c r="F774" s="157">
        <f>E774*100/E779</f>
        <v>0</v>
      </c>
      <c r="G774" s="158">
        <v>0</v>
      </c>
      <c r="H774" s="157">
        <f>G774*100/G779</f>
        <v>0</v>
      </c>
      <c r="I774" s="158">
        <v>0</v>
      </c>
      <c r="J774" s="213">
        <f>I774*100/I779</f>
        <v>0</v>
      </c>
      <c r="K774" s="223">
        <f t="shared" si="40"/>
        <v>0</v>
      </c>
      <c r="L774" s="224">
        <f t="shared" si="38"/>
        <v>0</v>
      </c>
    </row>
    <row r="775" spans="1:12">
      <c r="A775" s="263">
        <f t="shared" si="39"/>
        <v>14.9999999985</v>
      </c>
      <c r="B775" s="456">
        <v>15</v>
      </c>
      <c r="C775" s="219">
        <v>0</v>
      </c>
      <c r="D775" s="220">
        <f>C775*100/C779</f>
        <v>0</v>
      </c>
      <c r="E775" s="221">
        <v>0</v>
      </c>
      <c r="F775" s="220">
        <f>E775*100/E779</f>
        <v>0</v>
      </c>
      <c r="G775" s="221">
        <v>0</v>
      </c>
      <c r="H775" s="220">
        <f>G775*100/G779</f>
        <v>0</v>
      </c>
      <c r="I775" s="221">
        <v>0</v>
      </c>
      <c r="J775" s="222">
        <f>I775*100/I779</f>
        <v>0</v>
      </c>
      <c r="K775" s="215">
        <f t="shared" si="40"/>
        <v>0</v>
      </c>
      <c r="L775" s="216">
        <f t="shared" si="38"/>
        <v>0</v>
      </c>
    </row>
    <row r="776" spans="1:12">
      <c r="A776" s="263">
        <f t="shared" si="39"/>
        <v>15.499999998450001</v>
      </c>
      <c r="B776" s="268">
        <v>15.5</v>
      </c>
      <c r="C776" s="155">
        <v>0</v>
      </c>
      <c r="D776" s="157">
        <f>C776*100/C779</f>
        <v>0</v>
      </c>
      <c r="E776" s="158">
        <v>0</v>
      </c>
      <c r="F776" s="157">
        <f>E776*100/E779</f>
        <v>0</v>
      </c>
      <c r="G776" s="158">
        <v>0</v>
      </c>
      <c r="H776" s="157">
        <f>G776*100/G779</f>
        <v>0</v>
      </c>
      <c r="I776" s="158">
        <v>0</v>
      </c>
      <c r="J776" s="213">
        <f>I776*100/I779</f>
        <v>0</v>
      </c>
      <c r="K776" s="223">
        <f t="shared" si="40"/>
        <v>0</v>
      </c>
      <c r="L776" s="224">
        <f t="shared" si="38"/>
        <v>0</v>
      </c>
    </row>
    <row r="777" spans="1:12">
      <c r="A777" s="263">
        <f t="shared" si="39"/>
        <v>15.9999999984</v>
      </c>
      <c r="B777" s="456">
        <v>16</v>
      </c>
      <c r="C777" s="219">
        <v>0</v>
      </c>
      <c r="D777" s="220">
        <f>C777*100/C779</f>
        <v>0</v>
      </c>
      <c r="E777" s="221">
        <v>0</v>
      </c>
      <c r="F777" s="220">
        <f>E777*100/E779</f>
        <v>0</v>
      </c>
      <c r="G777" s="221">
        <v>0</v>
      </c>
      <c r="H777" s="220">
        <f>G777*100/G779</f>
        <v>0</v>
      </c>
      <c r="I777" s="221">
        <v>0</v>
      </c>
      <c r="J777" s="222">
        <f>I777*100/I779</f>
        <v>0</v>
      </c>
      <c r="K777" s="215">
        <f t="shared" si="40"/>
        <v>0</v>
      </c>
      <c r="L777" s="216">
        <f t="shared" si="38"/>
        <v>0</v>
      </c>
    </row>
    <row r="778" spans="1:12" ht="15" thickBot="1">
      <c r="A778" s="159">
        <f>0.9999999999*B778</f>
        <v>16.499999998349999</v>
      </c>
      <c r="B778" s="275">
        <v>16.5</v>
      </c>
      <c r="C778" s="160">
        <v>0</v>
      </c>
      <c r="D778" s="168">
        <f>C778*100/C779</f>
        <v>0</v>
      </c>
      <c r="E778" s="158">
        <v>0</v>
      </c>
      <c r="F778" s="157">
        <f>E778*100/E779</f>
        <v>0</v>
      </c>
      <c r="G778" s="158">
        <v>0</v>
      </c>
      <c r="H778" s="157">
        <f>G778*100/G779</f>
        <v>0</v>
      </c>
      <c r="I778" s="158">
        <v>0</v>
      </c>
      <c r="J778" s="214">
        <f>I778*100/I779</f>
        <v>0</v>
      </c>
      <c r="K778" s="223">
        <f t="shared" si="40"/>
        <v>0</v>
      </c>
      <c r="L778" s="224">
        <f t="shared" si="38"/>
        <v>0</v>
      </c>
    </row>
    <row r="779" spans="1:12" ht="15" thickBot="1">
      <c r="A779" s="806" t="s">
        <v>396</v>
      </c>
      <c r="B779" s="806"/>
      <c r="C779" s="230">
        <f>SUM(C750:C778)+0.0000000001</f>
        <v>1E-10</v>
      </c>
      <c r="D779" s="163">
        <f>SUM(D751:D778)</f>
        <v>0</v>
      </c>
      <c r="E779" s="162">
        <f>SUM(E750:E778)+0.0000000001</f>
        <v>1E-10</v>
      </c>
      <c r="F779" s="163">
        <f>SUM(F750:F778)</f>
        <v>0</v>
      </c>
      <c r="G779" s="162">
        <f>SUM(G750:G778)+0.0000000001</f>
        <v>1E-10</v>
      </c>
      <c r="H779" s="163">
        <f>SUM(H750:H778)</f>
        <v>0</v>
      </c>
      <c r="I779" s="162">
        <f>SUM(I750:I778)+0.0000000001</f>
        <v>1E-10</v>
      </c>
      <c r="J779" s="279">
        <f>SUM(J750:J778)</f>
        <v>0</v>
      </c>
      <c r="K779" s="227">
        <f>SUM(K750:K778)</f>
        <v>0</v>
      </c>
      <c r="L779" s="217">
        <f>SUM(L750:L778)</f>
        <v>0</v>
      </c>
    </row>
    <row r="780" spans="1:12" ht="15" thickBot="1">
      <c r="A780" s="778">
        <f>C779+E779+G779+I779</f>
        <v>4.0000000000000001E-10</v>
      </c>
      <c r="B780" s="779"/>
      <c r="C780" s="779"/>
      <c r="D780" s="779"/>
      <c r="E780" s="779"/>
      <c r="F780" s="779"/>
      <c r="G780" s="779"/>
      <c r="H780" s="779"/>
      <c r="I780" s="779"/>
      <c r="J780" s="780"/>
      <c r="K780" s="139"/>
      <c r="L780" s="139"/>
    </row>
    <row r="796" spans="1:19">
      <c r="O796" s="781" t="s">
        <v>907</v>
      </c>
      <c r="P796" s="781"/>
      <c r="Q796" s="781"/>
      <c r="R796" s="781"/>
      <c r="S796" s="781"/>
    </row>
    <row r="797" spans="1:19" ht="15" thickBot="1"/>
    <row r="798" spans="1:19" ht="27" customHeight="1" thickBot="1">
      <c r="A798" s="778" t="s">
        <v>423</v>
      </c>
      <c r="B798" s="780"/>
      <c r="C798" s="799" t="s">
        <v>492</v>
      </c>
      <c r="D798" s="803"/>
      <c r="E798" s="800" t="s">
        <v>495</v>
      </c>
      <c r="F798" s="804"/>
      <c r="G798" s="799" t="s">
        <v>493</v>
      </c>
      <c r="H798" s="803"/>
      <c r="I798" s="800" t="s">
        <v>494</v>
      </c>
      <c r="J798" s="805"/>
      <c r="K798" s="794" t="s">
        <v>496</v>
      </c>
      <c r="L798" s="796" t="s">
        <v>497</v>
      </c>
    </row>
    <row r="799" spans="1:19" ht="15" thickBot="1">
      <c r="A799" s="141" t="s">
        <v>887</v>
      </c>
      <c r="B799" s="251" t="s">
        <v>243</v>
      </c>
      <c r="C799" s="143" t="s">
        <v>397</v>
      </c>
      <c r="D799" s="144" t="s">
        <v>945</v>
      </c>
      <c r="E799" s="145" t="s">
        <v>397</v>
      </c>
      <c r="F799" s="146" t="s">
        <v>945</v>
      </c>
      <c r="G799" s="147" t="s">
        <v>397</v>
      </c>
      <c r="H799" s="148" t="s">
        <v>945</v>
      </c>
      <c r="I799" s="145" t="s">
        <v>397</v>
      </c>
      <c r="J799" s="209" t="s">
        <v>945</v>
      </c>
      <c r="K799" s="795"/>
      <c r="L799" s="797"/>
    </row>
    <row r="800" spans="1:19">
      <c r="A800" s="259">
        <f>0.9999999999*B800</f>
        <v>2.49999999975</v>
      </c>
      <c r="B800" s="260">
        <v>2.5</v>
      </c>
      <c r="C800" s="150">
        <f t="array" ref="C800:C828">FREQUENCY(Discrete!ET3:ET79,Hists!A801:A828)</f>
        <v>0</v>
      </c>
      <c r="D800" s="151">
        <f>C800*100/C829</f>
        <v>0</v>
      </c>
      <c r="E800" s="150">
        <f t="array" ref="E800:E828">FREQUENCY(IC!FP3:FP64,Hists!A801:A828)</f>
        <v>0</v>
      </c>
      <c r="F800" s="151">
        <f>E800*100/E829</f>
        <v>0</v>
      </c>
      <c r="G800" s="150">
        <f t="array" ref="G800:G828">FREQUENCY(Discrete!EU3:EU79,Hists!A801:A828)</f>
        <v>0</v>
      </c>
      <c r="H800" s="151">
        <f>G800*100/G829</f>
        <v>0</v>
      </c>
      <c r="I800" s="150">
        <f t="array" ref="I800:I828">FREQUENCY(IC!FQ3:FQ64,Hists!A801:A828)</f>
        <v>0</v>
      </c>
      <c r="J800" s="210">
        <f>I800*100/I829</f>
        <v>0</v>
      </c>
      <c r="K800" s="225"/>
      <c r="L800" s="226"/>
    </row>
    <row r="801" spans="1:12">
      <c r="A801" s="152">
        <f>0.9999999999*B801</f>
        <v>2.9999999997</v>
      </c>
      <c r="B801" s="264">
        <v>3</v>
      </c>
      <c r="C801" s="153">
        <v>0</v>
      </c>
      <c r="D801" s="154">
        <f>C801*100/C829</f>
        <v>0</v>
      </c>
      <c r="E801" s="153">
        <v>0</v>
      </c>
      <c r="F801" s="154">
        <f>E801*100/E829</f>
        <v>0</v>
      </c>
      <c r="G801" s="153">
        <v>0</v>
      </c>
      <c r="H801" s="154">
        <f>G801*100/G829</f>
        <v>0</v>
      </c>
      <c r="I801" s="153">
        <v>0</v>
      </c>
      <c r="J801" s="211">
        <f>I801*100/I829</f>
        <v>0</v>
      </c>
      <c r="K801" s="215">
        <f>0.5*(D801+F801)</f>
        <v>0</v>
      </c>
      <c r="L801" s="216">
        <f t="shared" ref="L801:L828" si="41">0.5*(H801+J801)</f>
        <v>0</v>
      </c>
    </row>
    <row r="802" spans="1:12">
      <c r="A802" s="263">
        <f t="shared" ref="A802:A827" si="42">0.9999999999*B802</f>
        <v>3.49999999965</v>
      </c>
      <c r="B802" s="268">
        <v>3.5</v>
      </c>
      <c r="C802" s="155">
        <v>0</v>
      </c>
      <c r="D802" s="156">
        <f>C802*100/C829</f>
        <v>0</v>
      </c>
      <c r="E802" s="155">
        <v>0</v>
      </c>
      <c r="F802" s="156">
        <f>E802*100/E829</f>
        <v>0</v>
      </c>
      <c r="G802" s="155">
        <v>0</v>
      </c>
      <c r="H802" s="156">
        <f>G802*100/G829</f>
        <v>0</v>
      </c>
      <c r="I802" s="155">
        <v>0</v>
      </c>
      <c r="J802" s="212">
        <f>I802*100/I829</f>
        <v>0</v>
      </c>
      <c r="K802" s="223">
        <f>0.5*(D802+F802)</f>
        <v>0</v>
      </c>
      <c r="L802" s="224">
        <f t="shared" si="41"/>
        <v>0</v>
      </c>
    </row>
    <row r="803" spans="1:12">
      <c r="A803" s="263">
        <f t="shared" si="42"/>
        <v>3.9999999996</v>
      </c>
      <c r="B803" s="264">
        <v>4</v>
      </c>
      <c r="C803" s="153">
        <v>0</v>
      </c>
      <c r="D803" s="154">
        <f>C803*100/C829</f>
        <v>0</v>
      </c>
      <c r="E803" s="153">
        <v>0</v>
      </c>
      <c r="F803" s="154">
        <f>E803*100/E829</f>
        <v>0</v>
      </c>
      <c r="G803" s="153">
        <v>0</v>
      </c>
      <c r="H803" s="154">
        <f>G803*100/G829</f>
        <v>0</v>
      </c>
      <c r="I803" s="153">
        <v>0</v>
      </c>
      <c r="J803" s="211">
        <f>I803*100/I829</f>
        <v>0</v>
      </c>
      <c r="K803" s="215">
        <f>0.5*(D803+F803)</f>
        <v>0</v>
      </c>
      <c r="L803" s="216">
        <f t="shared" si="41"/>
        <v>0</v>
      </c>
    </row>
    <row r="804" spans="1:12">
      <c r="A804" s="263">
        <f t="shared" si="42"/>
        <v>4.49999999955</v>
      </c>
      <c r="B804" s="268">
        <v>4.5</v>
      </c>
      <c r="C804" s="155">
        <v>0</v>
      </c>
      <c r="D804" s="156">
        <f>C804*100/C829</f>
        <v>0</v>
      </c>
      <c r="E804" s="155">
        <v>0</v>
      </c>
      <c r="F804" s="156">
        <f>E804*100/E829</f>
        <v>0</v>
      </c>
      <c r="G804" s="155">
        <v>0</v>
      </c>
      <c r="H804" s="156">
        <f>G804*100/G829</f>
        <v>0</v>
      </c>
      <c r="I804" s="155">
        <v>0</v>
      </c>
      <c r="J804" s="212">
        <f>I804*100/I829</f>
        <v>0</v>
      </c>
      <c r="K804" s="223">
        <f t="shared" ref="K804:K828" si="43">0.5*(D804+F804)</f>
        <v>0</v>
      </c>
      <c r="L804" s="224">
        <f t="shared" si="41"/>
        <v>0</v>
      </c>
    </row>
    <row r="805" spans="1:12">
      <c r="A805" s="263">
        <f t="shared" si="42"/>
        <v>4.9999999995</v>
      </c>
      <c r="B805" s="264">
        <v>5</v>
      </c>
      <c r="C805" s="153">
        <v>0</v>
      </c>
      <c r="D805" s="154">
        <f>C805*100/C829</f>
        <v>0</v>
      </c>
      <c r="E805" s="153">
        <v>0</v>
      </c>
      <c r="F805" s="154">
        <f>E805*100/E829</f>
        <v>0</v>
      </c>
      <c r="G805" s="153">
        <v>0</v>
      </c>
      <c r="H805" s="154">
        <f>G805*100/G829</f>
        <v>0</v>
      </c>
      <c r="I805" s="153">
        <v>0</v>
      </c>
      <c r="J805" s="211">
        <f>I805*100/I829</f>
        <v>0</v>
      </c>
      <c r="K805" s="215">
        <f t="shared" si="43"/>
        <v>0</v>
      </c>
      <c r="L805" s="216">
        <f t="shared" si="41"/>
        <v>0</v>
      </c>
    </row>
    <row r="806" spans="1:12">
      <c r="A806" s="263">
        <f t="shared" si="42"/>
        <v>5.49999999945</v>
      </c>
      <c r="B806" s="268">
        <v>5.5</v>
      </c>
      <c r="C806" s="155">
        <v>0</v>
      </c>
      <c r="D806" s="156">
        <f>C806*100/C829</f>
        <v>0</v>
      </c>
      <c r="E806" s="155">
        <v>0</v>
      </c>
      <c r="F806" s="156">
        <f>E806*100/E829</f>
        <v>0</v>
      </c>
      <c r="G806" s="155">
        <v>0</v>
      </c>
      <c r="H806" s="156">
        <f>G806*100/G829</f>
        <v>0</v>
      </c>
      <c r="I806" s="155">
        <v>0</v>
      </c>
      <c r="J806" s="212">
        <f>I806*100/I829</f>
        <v>0</v>
      </c>
      <c r="K806" s="223">
        <f t="shared" si="43"/>
        <v>0</v>
      </c>
      <c r="L806" s="224">
        <f t="shared" si="41"/>
        <v>0</v>
      </c>
    </row>
    <row r="807" spans="1:12">
      <c r="A807" s="263">
        <f t="shared" si="42"/>
        <v>5.9999999994</v>
      </c>
      <c r="B807" s="264">
        <v>6</v>
      </c>
      <c r="C807" s="153">
        <v>0</v>
      </c>
      <c r="D807" s="154">
        <f>C807*100/C829</f>
        <v>0</v>
      </c>
      <c r="E807" s="153">
        <v>0</v>
      </c>
      <c r="F807" s="154">
        <f>E807*100/E829</f>
        <v>0</v>
      </c>
      <c r="G807" s="153">
        <v>0</v>
      </c>
      <c r="H807" s="154">
        <f>G807*100/G829</f>
        <v>0</v>
      </c>
      <c r="I807" s="153">
        <v>0</v>
      </c>
      <c r="J807" s="211">
        <f>I807*100/I829</f>
        <v>0</v>
      </c>
      <c r="K807" s="215">
        <f t="shared" si="43"/>
        <v>0</v>
      </c>
      <c r="L807" s="216">
        <f t="shared" si="41"/>
        <v>0</v>
      </c>
    </row>
    <row r="808" spans="1:12">
      <c r="A808" s="263">
        <f t="shared" si="42"/>
        <v>6.4999999993499999</v>
      </c>
      <c r="B808" s="268">
        <v>6.5</v>
      </c>
      <c r="C808" s="155">
        <v>0</v>
      </c>
      <c r="D808" s="156">
        <f>C808*100/C829</f>
        <v>0</v>
      </c>
      <c r="E808" s="155">
        <v>0</v>
      </c>
      <c r="F808" s="156">
        <f>E808*100/E829</f>
        <v>0</v>
      </c>
      <c r="G808" s="155">
        <v>0</v>
      </c>
      <c r="H808" s="156">
        <f>G808*100/G829</f>
        <v>0</v>
      </c>
      <c r="I808" s="155">
        <v>0</v>
      </c>
      <c r="J808" s="212">
        <f>I808*100/I829</f>
        <v>0</v>
      </c>
      <c r="K808" s="223">
        <f t="shared" si="43"/>
        <v>0</v>
      </c>
      <c r="L808" s="224">
        <f t="shared" si="41"/>
        <v>0</v>
      </c>
    </row>
    <row r="809" spans="1:12">
      <c r="A809" s="263">
        <f t="shared" si="42"/>
        <v>6.9999999992999999</v>
      </c>
      <c r="B809" s="264">
        <v>7</v>
      </c>
      <c r="C809" s="153">
        <v>0</v>
      </c>
      <c r="D809" s="154">
        <f>C809*100/C829</f>
        <v>0</v>
      </c>
      <c r="E809" s="153">
        <v>0</v>
      </c>
      <c r="F809" s="154">
        <f>E809*100/E829</f>
        <v>0</v>
      </c>
      <c r="G809" s="153">
        <v>0</v>
      </c>
      <c r="H809" s="154">
        <f>G809*100/G829</f>
        <v>0</v>
      </c>
      <c r="I809" s="153">
        <v>0</v>
      </c>
      <c r="J809" s="211">
        <f>I809*100/I829</f>
        <v>0</v>
      </c>
      <c r="K809" s="215">
        <f t="shared" si="43"/>
        <v>0</v>
      </c>
      <c r="L809" s="216">
        <f t="shared" si="41"/>
        <v>0</v>
      </c>
    </row>
    <row r="810" spans="1:12">
      <c r="A810" s="263">
        <f t="shared" si="42"/>
        <v>7.4999999992499999</v>
      </c>
      <c r="B810" s="268">
        <v>7.5</v>
      </c>
      <c r="C810" s="155">
        <v>0</v>
      </c>
      <c r="D810" s="156">
        <f>C810*100/C829</f>
        <v>0</v>
      </c>
      <c r="E810" s="155">
        <v>0</v>
      </c>
      <c r="F810" s="156">
        <f>E810*100/E829</f>
        <v>0</v>
      </c>
      <c r="G810" s="155">
        <v>0</v>
      </c>
      <c r="H810" s="156">
        <f>G810*100/G829</f>
        <v>0</v>
      </c>
      <c r="I810" s="155">
        <v>0</v>
      </c>
      <c r="J810" s="212">
        <f>I810*100/I829</f>
        <v>0</v>
      </c>
      <c r="K810" s="223">
        <f t="shared" si="43"/>
        <v>0</v>
      </c>
      <c r="L810" s="224">
        <f t="shared" si="41"/>
        <v>0</v>
      </c>
    </row>
    <row r="811" spans="1:12">
      <c r="A811" s="263">
        <f t="shared" si="42"/>
        <v>7.9999999991999999</v>
      </c>
      <c r="B811" s="264">
        <v>8</v>
      </c>
      <c r="C811" s="153">
        <v>0</v>
      </c>
      <c r="D811" s="154">
        <f>C811*100/C829</f>
        <v>0</v>
      </c>
      <c r="E811" s="153">
        <v>0</v>
      </c>
      <c r="F811" s="154">
        <f>E811*100/E829</f>
        <v>0</v>
      </c>
      <c r="G811" s="153">
        <v>0</v>
      </c>
      <c r="H811" s="154">
        <f>G811*100/G829</f>
        <v>0</v>
      </c>
      <c r="I811" s="153">
        <v>0</v>
      </c>
      <c r="J811" s="211">
        <f>I811*100/I829</f>
        <v>0</v>
      </c>
      <c r="K811" s="215">
        <f t="shared" si="43"/>
        <v>0</v>
      </c>
      <c r="L811" s="216">
        <f t="shared" si="41"/>
        <v>0</v>
      </c>
    </row>
    <row r="812" spans="1:12">
      <c r="A812" s="263">
        <f t="shared" si="42"/>
        <v>8.499999999149999</v>
      </c>
      <c r="B812" s="268">
        <v>8.5</v>
      </c>
      <c r="C812" s="155">
        <v>0</v>
      </c>
      <c r="D812" s="156">
        <f>C812*100/C829</f>
        <v>0</v>
      </c>
      <c r="E812" s="155">
        <v>0</v>
      </c>
      <c r="F812" s="156">
        <f>E812*100/E829</f>
        <v>0</v>
      </c>
      <c r="G812" s="155">
        <v>0</v>
      </c>
      <c r="H812" s="156">
        <f>G812*100/G829</f>
        <v>0</v>
      </c>
      <c r="I812" s="155">
        <v>0</v>
      </c>
      <c r="J812" s="212">
        <f>I812*100/I829</f>
        <v>0</v>
      </c>
      <c r="K812" s="223">
        <f t="shared" si="43"/>
        <v>0</v>
      </c>
      <c r="L812" s="224">
        <f t="shared" si="41"/>
        <v>0</v>
      </c>
    </row>
    <row r="813" spans="1:12">
      <c r="A813" s="263">
        <f t="shared" si="42"/>
        <v>8.9999999990999999</v>
      </c>
      <c r="B813" s="264">
        <v>9</v>
      </c>
      <c r="C813" s="153">
        <v>0</v>
      </c>
      <c r="D813" s="154">
        <f>C813*100/C829</f>
        <v>0</v>
      </c>
      <c r="E813" s="153">
        <v>0</v>
      </c>
      <c r="F813" s="154">
        <f>E813*100/E829</f>
        <v>0</v>
      </c>
      <c r="G813" s="153">
        <v>0</v>
      </c>
      <c r="H813" s="154">
        <f>G813*100/G829</f>
        <v>0</v>
      </c>
      <c r="I813" s="153">
        <v>0</v>
      </c>
      <c r="J813" s="211">
        <f>I813*100/I829</f>
        <v>0</v>
      </c>
      <c r="K813" s="215">
        <f t="shared" si="43"/>
        <v>0</v>
      </c>
      <c r="L813" s="216">
        <f t="shared" si="41"/>
        <v>0</v>
      </c>
    </row>
    <row r="814" spans="1:12">
      <c r="A814" s="263">
        <f t="shared" si="42"/>
        <v>9.4999999990500008</v>
      </c>
      <c r="B814" s="268">
        <v>9.5</v>
      </c>
      <c r="C814" s="155">
        <v>0</v>
      </c>
      <c r="D814" s="156">
        <f>C814*100/C829</f>
        <v>0</v>
      </c>
      <c r="E814" s="155">
        <v>0</v>
      </c>
      <c r="F814" s="156">
        <f>E814*100/E829</f>
        <v>0</v>
      </c>
      <c r="G814" s="155">
        <v>0</v>
      </c>
      <c r="H814" s="156">
        <f>G814*100/G829</f>
        <v>0</v>
      </c>
      <c r="I814" s="155">
        <v>0</v>
      </c>
      <c r="J814" s="212">
        <f>I814*100/I829</f>
        <v>0</v>
      </c>
      <c r="K814" s="223">
        <f t="shared" si="43"/>
        <v>0</v>
      </c>
      <c r="L814" s="224">
        <f t="shared" si="41"/>
        <v>0</v>
      </c>
    </row>
    <row r="815" spans="1:12">
      <c r="A815" s="263">
        <f t="shared" si="42"/>
        <v>9.9999999989999999</v>
      </c>
      <c r="B815" s="264">
        <v>10</v>
      </c>
      <c r="C815" s="153">
        <v>0</v>
      </c>
      <c r="D815" s="154">
        <f>C815*100/C829</f>
        <v>0</v>
      </c>
      <c r="E815" s="153">
        <v>0</v>
      </c>
      <c r="F815" s="154">
        <f>E815*100/E829</f>
        <v>0</v>
      </c>
      <c r="G815" s="153">
        <v>0</v>
      </c>
      <c r="H815" s="154">
        <f>G815*100/G829</f>
        <v>0</v>
      </c>
      <c r="I815" s="153">
        <v>0</v>
      </c>
      <c r="J815" s="211">
        <f>I815*100/I829</f>
        <v>0</v>
      </c>
      <c r="K815" s="215">
        <f t="shared" si="43"/>
        <v>0</v>
      </c>
      <c r="L815" s="216">
        <f t="shared" si="41"/>
        <v>0</v>
      </c>
    </row>
    <row r="816" spans="1:12">
      <c r="A816" s="263">
        <f t="shared" si="42"/>
        <v>10.499999998949999</v>
      </c>
      <c r="B816" s="268">
        <v>10.5</v>
      </c>
      <c r="C816" s="155">
        <v>0</v>
      </c>
      <c r="D816" s="156">
        <f>C816*100/C829</f>
        <v>0</v>
      </c>
      <c r="E816" s="155">
        <v>0</v>
      </c>
      <c r="F816" s="156">
        <f>E816*100/E829</f>
        <v>0</v>
      </c>
      <c r="G816" s="155">
        <v>0</v>
      </c>
      <c r="H816" s="156">
        <f>G816*100/G829</f>
        <v>0</v>
      </c>
      <c r="I816" s="155">
        <v>0</v>
      </c>
      <c r="J816" s="212">
        <f>I816*100/I829</f>
        <v>0</v>
      </c>
      <c r="K816" s="223">
        <f t="shared" si="43"/>
        <v>0</v>
      </c>
      <c r="L816" s="224">
        <f t="shared" si="41"/>
        <v>0</v>
      </c>
    </row>
    <row r="817" spans="1:12">
      <c r="A817" s="263">
        <f t="shared" si="42"/>
        <v>10.9999999989</v>
      </c>
      <c r="B817" s="264">
        <v>11</v>
      </c>
      <c r="C817" s="153">
        <v>0</v>
      </c>
      <c r="D817" s="154">
        <f>C817*100/C829</f>
        <v>0</v>
      </c>
      <c r="E817" s="153">
        <v>0</v>
      </c>
      <c r="F817" s="154">
        <f>E817*100/E829</f>
        <v>0</v>
      </c>
      <c r="G817" s="153">
        <v>0</v>
      </c>
      <c r="H817" s="154">
        <f>G817*100/G829</f>
        <v>0</v>
      </c>
      <c r="I817" s="153">
        <v>0</v>
      </c>
      <c r="J817" s="211">
        <f>I817*100/I829</f>
        <v>0</v>
      </c>
      <c r="K817" s="215">
        <f t="shared" si="43"/>
        <v>0</v>
      </c>
      <c r="L817" s="216">
        <f t="shared" si="41"/>
        <v>0</v>
      </c>
    </row>
    <row r="818" spans="1:12">
      <c r="A818" s="263">
        <f t="shared" si="42"/>
        <v>11.499999998850001</v>
      </c>
      <c r="B818" s="268">
        <v>11.5</v>
      </c>
      <c r="C818" s="155">
        <v>0</v>
      </c>
      <c r="D818" s="156">
        <f>C818*100/C829</f>
        <v>0</v>
      </c>
      <c r="E818" s="155">
        <v>0</v>
      </c>
      <c r="F818" s="156">
        <f>E818*100/E829</f>
        <v>0</v>
      </c>
      <c r="G818" s="155">
        <v>0</v>
      </c>
      <c r="H818" s="156">
        <f>G818*100/G829</f>
        <v>0</v>
      </c>
      <c r="I818" s="155">
        <v>0</v>
      </c>
      <c r="J818" s="212">
        <f>I818*100/I829</f>
        <v>0</v>
      </c>
      <c r="K818" s="223">
        <f t="shared" si="43"/>
        <v>0</v>
      </c>
      <c r="L818" s="224">
        <f t="shared" si="41"/>
        <v>0</v>
      </c>
    </row>
    <row r="819" spans="1:12">
      <c r="A819" s="263">
        <f t="shared" si="42"/>
        <v>11.9999999988</v>
      </c>
      <c r="B819" s="264">
        <v>12</v>
      </c>
      <c r="C819" s="153">
        <v>0</v>
      </c>
      <c r="D819" s="154">
        <f>C819*100/C829</f>
        <v>0</v>
      </c>
      <c r="E819" s="153">
        <v>0</v>
      </c>
      <c r="F819" s="154">
        <f>E819*100/E829</f>
        <v>0</v>
      </c>
      <c r="G819" s="153">
        <v>0</v>
      </c>
      <c r="H819" s="154">
        <f>G819*100/G829</f>
        <v>0</v>
      </c>
      <c r="I819" s="153">
        <v>0</v>
      </c>
      <c r="J819" s="211">
        <f>I819*100/I829</f>
        <v>0</v>
      </c>
      <c r="K819" s="215">
        <f t="shared" si="43"/>
        <v>0</v>
      </c>
      <c r="L819" s="216">
        <f t="shared" si="41"/>
        <v>0</v>
      </c>
    </row>
    <row r="820" spans="1:12">
      <c r="A820" s="263">
        <f t="shared" si="42"/>
        <v>12.499999998749999</v>
      </c>
      <c r="B820" s="268">
        <v>12.5</v>
      </c>
      <c r="C820" s="155">
        <v>0</v>
      </c>
      <c r="D820" s="156">
        <f>C820*100/C829</f>
        <v>0</v>
      </c>
      <c r="E820" s="155">
        <v>0</v>
      </c>
      <c r="F820" s="156">
        <f>E820*100/E829</f>
        <v>0</v>
      </c>
      <c r="G820" s="155">
        <v>0</v>
      </c>
      <c r="H820" s="156">
        <f>G820*100/G829</f>
        <v>0</v>
      </c>
      <c r="I820" s="155">
        <v>0</v>
      </c>
      <c r="J820" s="212">
        <f>I820*100/I829</f>
        <v>0</v>
      </c>
      <c r="K820" s="223">
        <f t="shared" si="43"/>
        <v>0</v>
      </c>
      <c r="L820" s="224">
        <f t="shared" si="41"/>
        <v>0</v>
      </c>
    </row>
    <row r="821" spans="1:12">
      <c r="A821" s="263">
        <f t="shared" si="42"/>
        <v>12.9999999987</v>
      </c>
      <c r="B821" s="264">
        <v>13</v>
      </c>
      <c r="C821" s="153">
        <v>0</v>
      </c>
      <c r="D821" s="154">
        <f>C821*100/C829</f>
        <v>0</v>
      </c>
      <c r="E821" s="153">
        <v>0</v>
      </c>
      <c r="F821" s="154">
        <f>E821*100/E829</f>
        <v>0</v>
      </c>
      <c r="G821" s="153">
        <v>0</v>
      </c>
      <c r="H821" s="154">
        <f>G821*100/G829</f>
        <v>0</v>
      </c>
      <c r="I821" s="153">
        <v>0</v>
      </c>
      <c r="J821" s="211">
        <f>I821*100/I829</f>
        <v>0</v>
      </c>
      <c r="K821" s="215">
        <f t="shared" si="43"/>
        <v>0</v>
      </c>
      <c r="L821" s="216">
        <f t="shared" si="41"/>
        <v>0</v>
      </c>
    </row>
    <row r="822" spans="1:12">
      <c r="A822" s="263">
        <f t="shared" si="42"/>
        <v>13.499999998650001</v>
      </c>
      <c r="B822" s="268">
        <v>13.5</v>
      </c>
      <c r="C822" s="155">
        <v>0</v>
      </c>
      <c r="D822" s="157">
        <f>C822*100/C829</f>
        <v>0</v>
      </c>
      <c r="E822" s="158">
        <v>0</v>
      </c>
      <c r="F822" s="157">
        <f>E822*100/E829</f>
        <v>0</v>
      </c>
      <c r="G822" s="158">
        <v>0</v>
      </c>
      <c r="H822" s="157">
        <f>G822*100/G829</f>
        <v>0</v>
      </c>
      <c r="I822" s="158">
        <v>0</v>
      </c>
      <c r="J822" s="213">
        <f>I822*100/I829</f>
        <v>0</v>
      </c>
      <c r="K822" s="223">
        <f t="shared" si="43"/>
        <v>0</v>
      </c>
      <c r="L822" s="224">
        <f t="shared" si="41"/>
        <v>0</v>
      </c>
    </row>
    <row r="823" spans="1:12">
      <c r="A823" s="263">
        <f t="shared" si="42"/>
        <v>13.9999999986</v>
      </c>
      <c r="B823" s="456">
        <v>14</v>
      </c>
      <c r="C823" s="219">
        <v>0</v>
      </c>
      <c r="D823" s="220">
        <f>C823*100/C829</f>
        <v>0</v>
      </c>
      <c r="E823" s="221">
        <v>0</v>
      </c>
      <c r="F823" s="220">
        <f>E823*100/E829</f>
        <v>0</v>
      </c>
      <c r="G823" s="221">
        <v>0</v>
      </c>
      <c r="H823" s="220">
        <f>G823*100/G829</f>
        <v>0</v>
      </c>
      <c r="I823" s="221">
        <v>0</v>
      </c>
      <c r="J823" s="222">
        <f>I823*100/I829</f>
        <v>0</v>
      </c>
      <c r="K823" s="215">
        <f t="shared" si="43"/>
        <v>0</v>
      </c>
      <c r="L823" s="216">
        <f t="shared" si="41"/>
        <v>0</v>
      </c>
    </row>
    <row r="824" spans="1:12">
      <c r="A824" s="263">
        <f t="shared" si="42"/>
        <v>14.499999998549999</v>
      </c>
      <c r="B824" s="268">
        <v>14.5</v>
      </c>
      <c r="C824" s="155">
        <v>0</v>
      </c>
      <c r="D824" s="157">
        <f>C824*100/C829</f>
        <v>0</v>
      </c>
      <c r="E824" s="158">
        <v>0</v>
      </c>
      <c r="F824" s="157">
        <f>E824*100/E829</f>
        <v>0</v>
      </c>
      <c r="G824" s="158">
        <v>0</v>
      </c>
      <c r="H824" s="157">
        <f>G824*100/G829</f>
        <v>0</v>
      </c>
      <c r="I824" s="158">
        <v>0</v>
      </c>
      <c r="J824" s="213">
        <f>I824*100/I829</f>
        <v>0</v>
      </c>
      <c r="K824" s="223">
        <f t="shared" si="43"/>
        <v>0</v>
      </c>
      <c r="L824" s="224">
        <f t="shared" si="41"/>
        <v>0</v>
      </c>
    </row>
    <row r="825" spans="1:12">
      <c r="A825" s="263">
        <f t="shared" si="42"/>
        <v>14.9999999985</v>
      </c>
      <c r="B825" s="456">
        <v>15</v>
      </c>
      <c r="C825" s="219">
        <v>0</v>
      </c>
      <c r="D825" s="220">
        <f>C825*100/C829</f>
        <v>0</v>
      </c>
      <c r="E825" s="221">
        <v>0</v>
      </c>
      <c r="F825" s="220">
        <f>E825*100/E829</f>
        <v>0</v>
      </c>
      <c r="G825" s="221">
        <v>0</v>
      </c>
      <c r="H825" s="220">
        <f>G825*100/G829</f>
        <v>0</v>
      </c>
      <c r="I825" s="221">
        <v>0</v>
      </c>
      <c r="J825" s="222">
        <f>I825*100/I829</f>
        <v>0</v>
      </c>
      <c r="K825" s="215">
        <f t="shared" si="43"/>
        <v>0</v>
      </c>
      <c r="L825" s="216">
        <f t="shared" si="41"/>
        <v>0</v>
      </c>
    </row>
    <row r="826" spans="1:12">
      <c r="A826" s="263">
        <f t="shared" si="42"/>
        <v>15.499999998450001</v>
      </c>
      <c r="B826" s="268">
        <v>15.5</v>
      </c>
      <c r="C826" s="155">
        <v>0</v>
      </c>
      <c r="D826" s="157">
        <f>C826*100/C829</f>
        <v>0</v>
      </c>
      <c r="E826" s="158">
        <v>0</v>
      </c>
      <c r="F826" s="157">
        <f>E826*100/E829</f>
        <v>0</v>
      </c>
      <c r="G826" s="158">
        <v>0</v>
      </c>
      <c r="H826" s="157">
        <f>G826*100/G829</f>
        <v>0</v>
      </c>
      <c r="I826" s="158">
        <v>0</v>
      </c>
      <c r="J826" s="213">
        <f>I826*100/I829</f>
        <v>0</v>
      </c>
      <c r="K826" s="223">
        <f t="shared" si="43"/>
        <v>0</v>
      </c>
      <c r="L826" s="224">
        <f t="shared" si="41"/>
        <v>0</v>
      </c>
    </row>
    <row r="827" spans="1:12">
      <c r="A827" s="263">
        <f t="shared" si="42"/>
        <v>15.9999999984</v>
      </c>
      <c r="B827" s="456">
        <v>16</v>
      </c>
      <c r="C827" s="219">
        <v>0</v>
      </c>
      <c r="D827" s="220">
        <f>C827*100/C829</f>
        <v>0</v>
      </c>
      <c r="E827" s="221">
        <v>0</v>
      </c>
      <c r="F827" s="220">
        <f>E827*100/E829</f>
        <v>0</v>
      </c>
      <c r="G827" s="221">
        <v>0</v>
      </c>
      <c r="H827" s="220">
        <f>G827*100/G829</f>
        <v>0</v>
      </c>
      <c r="I827" s="221">
        <v>0</v>
      </c>
      <c r="J827" s="222">
        <f>I827*100/I829</f>
        <v>0</v>
      </c>
      <c r="K827" s="215">
        <f t="shared" si="43"/>
        <v>0</v>
      </c>
      <c r="L827" s="216">
        <f t="shared" si="41"/>
        <v>0</v>
      </c>
    </row>
    <row r="828" spans="1:12" ht="15" thickBot="1">
      <c r="A828" s="159">
        <f>0.9999999999*B828</f>
        <v>16.499999998349999</v>
      </c>
      <c r="B828" s="275">
        <v>16.5</v>
      </c>
      <c r="C828" s="160">
        <v>0</v>
      </c>
      <c r="D828" s="168">
        <f>C828*100/C829</f>
        <v>0</v>
      </c>
      <c r="E828" s="158">
        <v>0</v>
      </c>
      <c r="F828" s="157">
        <f>E828*100/E829</f>
        <v>0</v>
      </c>
      <c r="G828" s="158">
        <v>0</v>
      </c>
      <c r="H828" s="157">
        <f>G828*100/G829</f>
        <v>0</v>
      </c>
      <c r="I828" s="158">
        <v>0</v>
      </c>
      <c r="J828" s="214">
        <f>I828*100/I829</f>
        <v>0</v>
      </c>
      <c r="K828" s="223">
        <f t="shared" si="43"/>
        <v>0</v>
      </c>
      <c r="L828" s="224">
        <f t="shared" si="41"/>
        <v>0</v>
      </c>
    </row>
    <row r="829" spans="1:12" ht="15" thickBot="1">
      <c r="A829" s="806" t="s">
        <v>396</v>
      </c>
      <c r="B829" s="806"/>
      <c r="C829" s="161">
        <f>SUM(C800:C828)+0.0000000001</f>
        <v>1E-10</v>
      </c>
      <c r="D829" s="163">
        <f>SUM(D801:D828)</f>
        <v>0</v>
      </c>
      <c r="E829" s="162">
        <f>SUM(E800:E828)+0.0000000001</f>
        <v>1E-10</v>
      </c>
      <c r="F829" s="163">
        <f>SUM(F800:F828)</f>
        <v>0</v>
      </c>
      <c r="G829" s="162">
        <f>SUM(G800:G828)+0.0000000001</f>
        <v>1E-10</v>
      </c>
      <c r="H829" s="163">
        <f>SUM(H800:H828)</f>
        <v>0</v>
      </c>
      <c r="I829" s="162">
        <f>SUM(I800:I828)+0.0000000001</f>
        <v>1E-10</v>
      </c>
      <c r="J829" s="279">
        <f>SUM(J800:J828)</f>
        <v>0</v>
      </c>
      <c r="K829" s="227">
        <f>SUM(K800:K828)</f>
        <v>0</v>
      </c>
      <c r="L829" s="217">
        <f>SUM(L800:L828)</f>
        <v>0</v>
      </c>
    </row>
    <row r="830" spans="1:12" ht="15" thickBot="1">
      <c r="A830" s="778">
        <f>C829+E829+G829+I829</f>
        <v>4.0000000000000001E-10</v>
      </c>
      <c r="B830" s="779"/>
      <c r="C830" s="779"/>
      <c r="D830" s="779"/>
      <c r="E830" s="779"/>
      <c r="F830" s="779"/>
      <c r="G830" s="779"/>
      <c r="H830" s="779"/>
      <c r="I830" s="779"/>
      <c r="J830" s="780"/>
      <c r="K830" s="139"/>
      <c r="L830" s="139"/>
    </row>
    <row r="846" spans="1:19">
      <c r="O846" s="781" t="s">
        <v>908</v>
      </c>
      <c r="P846" s="781"/>
      <c r="Q846" s="781"/>
      <c r="R846" s="781"/>
      <c r="S846" s="781"/>
    </row>
    <row r="847" spans="1:19" ht="15" thickBot="1"/>
    <row r="848" spans="1:19" ht="28.5" customHeight="1" thickBot="1">
      <c r="A848" s="778" t="s">
        <v>424</v>
      </c>
      <c r="B848" s="780"/>
      <c r="C848" s="799" t="s">
        <v>492</v>
      </c>
      <c r="D848" s="803"/>
      <c r="E848" s="800" t="s">
        <v>495</v>
      </c>
      <c r="F848" s="804"/>
      <c r="G848" s="799" t="s">
        <v>493</v>
      </c>
      <c r="H848" s="803"/>
      <c r="I848" s="800" t="s">
        <v>494</v>
      </c>
      <c r="J848" s="805"/>
      <c r="K848" s="794" t="s">
        <v>496</v>
      </c>
      <c r="L848" s="796" t="s">
        <v>497</v>
      </c>
    </row>
    <row r="849" spans="1:12" ht="15" thickBot="1">
      <c r="A849" s="141" t="s">
        <v>887</v>
      </c>
      <c r="B849" s="251" t="s">
        <v>243</v>
      </c>
      <c r="C849" s="143" t="s">
        <v>397</v>
      </c>
      <c r="D849" s="144" t="s">
        <v>945</v>
      </c>
      <c r="E849" s="145" t="s">
        <v>397</v>
      </c>
      <c r="F849" s="146" t="s">
        <v>945</v>
      </c>
      <c r="G849" s="147" t="s">
        <v>397</v>
      </c>
      <c r="H849" s="148" t="s">
        <v>945</v>
      </c>
      <c r="I849" s="145" t="s">
        <v>397</v>
      </c>
      <c r="J849" s="209" t="s">
        <v>945</v>
      </c>
      <c r="K849" s="795"/>
      <c r="L849" s="797"/>
    </row>
    <row r="850" spans="1:12">
      <c r="A850" s="259">
        <f>0.9999999999*B850</f>
        <v>2.49999999975</v>
      </c>
      <c r="B850" s="150">
        <v>2.5</v>
      </c>
      <c r="C850" s="150">
        <f t="array" ref="C850:C878">FREQUENCY(Discrete!EY3:EY79,Hists!A851:A878)</f>
        <v>0</v>
      </c>
      <c r="D850" s="151">
        <f>C850*100/C879</f>
        <v>0</v>
      </c>
      <c r="E850" s="150">
        <f t="array" ref="E850:E878">FREQUENCY(IC!FU3:FU64,Hists!A851:A878)</f>
        <v>0</v>
      </c>
      <c r="F850" s="151">
        <f>E850*100/E879</f>
        <v>0</v>
      </c>
      <c r="G850" s="150">
        <f t="array" ref="G850:G878">FREQUENCY(Discrete!EZ3:EZ79,Hists!A851:A878)</f>
        <v>0</v>
      </c>
      <c r="H850" s="151">
        <f>G850*100/G879</f>
        <v>0</v>
      </c>
      <c r="I850" s="150">
        <f t="array" ref="I850:I878">FREQUENCY(IC!FV3:FV64,Hists!A851:A878)</f>
        <v>0</v>
      </c>
      <c r="J850" s="210">
        <f>I850*100/I879</f>
        <v>0</v>
      </c>
      <c r="K850" s="225"/>
      <c r="L850" s="226"/>
    </row>
    <row r="851" spans="1:12">
      <c r="A851" s="152">
        <f>0.9999999999*B851</f>
        <v>2.9999999997</v>
      </c>
      <c r="B851" s="153">
        <v>3</v>
      </c>
      <c r="C851" s="153">
        <v>0</v>
      </c>
      <c r="D851" s="154">
        <f>C851*100/C879</f>
        <v>0</v>
      </c>
      <c r="E851" s="153">
        <v>0</v>
      </c>
      <c r="F851" s="154">
        <f>E851*100/E879</f>
        <v>0</v>
      </c>
      <c r="G851" s="153">
        <v>0</v>
      </c>
      <c r="H851" s="154">
        <f>G851*100/G879</f>
        <v>0</v>
      </c>
      <c r="I851" s="153">
        <v>0</v>
      </c>
      <c r="J851" s="211">
        <f>I851*100/I879</f>
        <v>0</v>
      </c>
      <c r="K851" s="215">
        <f>0.5*(D851+F851)</f>
        <v>0</v>
      </c>
      <c r="L851" s="216">
        <f t="shared" ref="L851:L878" si="44">0.5*(H851+J851)</f>
        <v>0</v>
      </c>
    </row>
    <row r="852" spans="1:12">
      <c r="A852" s="263">
        <f t="shared" ref="A852:A877" si="45">0.9999999999*B852</f>
        <v>3.49999999965</v>
      </c>
      <c r="B852" s="155">
        <v>3.5</v>
      </c>
      <c r="C852" s="155">
        <v>0</v>
      </c>
      <c r="D852" s="156">
        <f>C852*100/C879</f>
        <v>0</v>
      </c>
      <c r="E852" s="155">
        <v>0</v>
      </c>
      <c r="F852" s="156">
        <f>E852*100/E879</f>
        <v>0</v>
      </c>
      <c r="G852" s="155">
        <v>0</v>
      </c>
      <c r="H852" s="156">
        <f>G852*100/G879</f>
        <v>0</v>
      </c>
      <c r="I852" s="155">
        <v>0</v>
      </c>
      <c r="J852" s="212">
        <f>I852*100/I879</f>
        <v>0</v>
      </c>
      <c r="K852" s="223">
        <f>0.5*(D852+F852)</f>
        <v>0</v>
      </c>
      <c r="L852" s="224">
        <f t="shared" si="44"/>
        <v>0</v>
      </c>
    </row>
    <row r="853" spans="1:12">
      <c r="A853" s="263">
        <f t="shared" si="45"/>
        <v>3.9999999996</v>
      </c>
      <c r="B853" s="153">
        <v>4</v>
      </c>
      <c r="C853" s="153">
        <v>0</v>
      </c>
      <c r="D853" s="154">
        <f>C853*100/C879</f>
        <v>0</v>
      </c>
      <c r="E853" s="153">
        <v>0</v>
      </c>
      <c r="F853" s="154">
        <f>E853*100/E879</f>
        <v>0</v>
      </c>
      <c r="G853" s="153">
        <v>0</v>
      </c>
      <c r="H853" s="154">
        <f>G853*100/G879</f>
        <v>0</v>
      </c>
      <c r="I853" s="153">
        <v>0</v>
      </c>
      <c r="J853" s="211">
        <f>I853*100/I879</f>
        <v>0</v>
      </c>
      <c r="K853" s="215">
        <f>0.5*(D853+F853)</f>
        <v>0</v>
      </c>
      <c r="L853" s="216">
        <f t="shared" si="44"/>
        <v>0</v>
      </c>
    </row>
    <row r="854" spans="1:12">
      <c r="A854" s="263">
        <f t="shared" si="45"/>
        <v>4.49999999955</v>
      </c>
      <c r="B854" s="155">
        <v>4.5</v>
      </c>
      <c r="C854" s="155">
        <v>0</v>
      </c>
      <c r="D854" s="156">
        <f>C854*100/C879</f>
        <v>0</v>
      </c>
      <c r="E854" s="155">
        <v>0</v>
      </c>
      <c r="F854" s="156">
        <f>E854*100/E879</f>
        <v>0</v>
      </c>
      <c r="G854" s="155">
        <v>0</v>
      </c>
      <c r="H854" s="156">
        <f>G854*100/G879</f>
        <v>0</v>
      </c>
      <c r="I854" s="155">
        <v>0</v>
      </c>
      <c r="J854" s="212">
        <f>I854*100/I879</f>
        <v>0</v>
      </c>
      <c r="K854" s="223">
        <f t="shared" ref="K854:K878" si="46">0.5*(D854+F854)</f>
        <v>0</v>
      </c>
      <c r="L854" s="224">
        <f t="shared" si="44"/>
        <v>0</v>
      </c>
    </row>
    <row r="855" spans="1:12">
      <c r="A855" s="263">
        <f t="shared" si="45"/>
        <v>4.9999999995</v>
      </c>
      <c r="B855" s="153">
        <v>5</v>
      </c>
      <c r="C855" s="153">
        <v>0</v>
      </c>
      <c r="D855" s="154">
        <f>C855*100/C879</f>
        <v>0</v>
      </c>
      <c r="E855" s="153">
        <v>0</v>
      </c>
      <c r="F855" s="154">
        <f>E855*100/E879</f>
        <v>0</v>
      </c>
      <c r="G855" s="153">
        <v>0</v>
      </c>
      <c r="H855" s="154">
        <f>G855*100/G879</f>
        <v>0</v>
      </c>
      <c r="I855" s="153">
        <v>0</v>
      </c>
      <c r="J855" s="211">
        <f>I855*100/I879</f>
        <v>0</v>
      </c>
      <c r="K855" s="215">
        <f t="shared" si="46"/>
        <v>0</v>
      </c>
      <c r="L855" s="216">
        <f t="shared" si="44"/>
        <v>0</v>
      </c>
    </row>
    <row r="856" spans="1:12">
      <c r="A856" s="263">
        <f t="shared" si="45"/>
        <v>5.49999999945</v>
      </c>
      <c r="B856" s="155">
        <v>5.5</v>
      </c>
      <c r="C856" s="155">
        <v>0</v>
      </c>
      <c r="D856" s="156">
        <f>C856*100/C879</f>
        <v>0</v>
      </c>
      <c r="E856" s="155">
        <v>0</v>
      </c>
      <c r="F856" s="156">
        <f>E856*100/E879</f>
        <v>0</v>
      </c>
      <c r="G856" s="155">
        <v>0</v>
      </c>
      <c r="H856" s="156">
        <f>G856*100/G879</f>
        <v>0</v>
      </c>
      <c r="I856" s="155">
        <v>0</v>
      </c>
      <c r="J856" s="212">
        <f>I856*100/I879</f>
        <v>0</v>
      </c>
      <c r="K856" s="223">
        <f t="shared" si="46"/>
        <v>0</v>
      </c>
      <c r="L856" s="224">
        <f t="shared" si="44"/>
        <v>0</v>
      </c>
    </row>
    <row r="857" spans="1:12">
      <c r="A857" s="263">
        <f t="shared" si="45"/>
        <v>5.9999999994</v>
      </c>
      <c r="B857" s="153">
        <v>6</v>
      </c>
      <c r="C857" s="153">
        <v>0</v>
      </c>
      <c r="D857" s="154">
        <f>C857*100/C879</f>
        <v>0</v>
      </c>
      <c r="E857" s="153">
        <v>0</v>
      </c>
      <c r="F857" s="154">
        <f>E857*100/E879</f>
        <v>0</v>
      </c>
      <c r="G857" s="153">
        <v>0</v>
      </c>
      <c r="H857" s="154">
        <f>G857*100/G879</f>
        <v>0</v>
      </c>
      <c r="I857" s="153">
        <v>0</v>
      </c>
      <c r="J857" s="211">
        <f>I857*100/I879</f>
        <v>0</v>
      </c>
      <c r="K857" s="215">
        <f t="shared" si="46"/>
        <v>0</v>
      </c>
      <c r="L857" s="216">
        <f t="shared" si="44"/>
        <v>0</v>
      </c>
    </row>
    <row r="858" spans="1:12">
      <c r="A858" s="263">
        <f t="shared" si="45"/>
        <v>6.4999999993499999</v>
      </c>
      <c r="B858" s="155">
        <v>6.5</v>
      </c>
      <c r="C858" s="155">
        <v>0</v>
      </c>
      <c r="D858" s="156">
        <f>C858*100/C879</f>
        <v>0</v>
      </c>
      <c r="E858" s="155">
        <v>0</v>
      </c>
      <c r="F858" s="156">
        <f>E858*100/E879</f>
        <v>0</v>
      </c>
      <c r="G858" s="155">
        <v>0</v>
      </c>
      <c r="H858" s="156">
        <f>G858*100/G879</f>
        <v>0</v>
      </c>
      <c r="I858" s="155">
        <v>0</v>
      </c>
      <c r="J858" s="212">
        <f>I858*100/I879</f>
        <v>0</v>
      </c>
      <c r="K858" s="223">
        <f t="shared" si="46"/>
        <v>0</v>
      </c>
      <c r="L858" s="224">
        <f t="shared" si="44"/>
        <v>0</v>
      </c>
    </row>
    <row r="859" spans="1:12">
      <c r="A859" s="263">
        <f t="shared" si="45"/>
        <v>6.9999999992999999</v>
      </c>
      <c r="B859" s="153">
        <v>7</v>
      </c>
      <c r="C859" s="153">
        <v>0</v>
      </c>
      <c r="D859" s="154">
        <f>C859*100/C879</f>
        <v>0</v>
      </c>
      <c r="E859" s="153">
        <v>0</v>
      </c>
      <c r="F859" s="154">
        <f>E859*100/E879</f>
        <v>0</v>
      </c>
      <c r="G859" s="153">
        <v>0</v>
      </c>
      <c r="H859" s="154">
        <f>G859*100/G879</f>
        <v>0</v>
      </c>
      <c r="I859" s="153">
        <v>0</v>
      </c>
      <c r="J859" s="211">
        <f>I859*100/I879</f>
        <v>0</v>
      </c>
      <c r="K859" s="215">
        <f t="shared" si="46"/>
        <v>0</v>
      </c>
      <c r="L859" s="216">
        <f t="shared" si="44"/>
        <v>0</v>
      </c>
    </row>
    <row r="860" spans="1:12">
      <c r="A860" s="263">
        <f t="shared" si="45"/>
        <v>7.4999999992499999</v>
      </c>
      <c r="B860" s="155">
        <v>7.5</v>
      </c>
      <c r="C860" s="155">
        <v>0</v>
      </c>
      <c r="D860" s="156">
        <f>C860*100/C879</f>
        <v>0</v>
      </c>
      <c r="E860" s="155">
        <v>0</v>
      </c>
      <c r="F860" s="156">
        <f>E860*100/E879</f>
        <v>0</v>
      </c>
      <c r="G860" s="155">
        <v>0</v>
      </c>
      <c r="H860" s="156">
        <f>G860*100/G879</f>
        <v>0</v>
      </c>
      <c r="I860" s="155">
        <v>0</v>
      </c>
      <c r="J860" s="212">
        <f>I860*100/I879</f>
        <v>0</v>
      </c>
      <c r="K860" s="223">
        <f t="shared" si="46"/>
        <v>0</v>
      </c>
      <c r="L860" s="224">
        <f t="shared" si="44"/>
        <v>0</v>
      </c>
    </row>
    <row r="861" spans="1:12">
      <c r="A861" s="263">
        <f t="shared" si="45"/>
        <v>7.9999999991999999</v>
      </c>
      <c r="B861" s="153">
        <v>8</v>
      </c>
      <c r="C861" s="153">
        <v>0</v>
      </c>
      <c r="D861" s="154">
        <f>C861*100/C879</f>
        <v>0</v>
      </c>
      <c r="E861" s="153">
        <v>0</v>
      </c>
      <c r="F861" s="154">
        <f>E861*100/E879</f>
        <v>0</v>
      </c>
      <c r="G861" s="153">
        <v>0</v>
      </c>
      <c r="H861" s="154">
        <f>G861*100/G879</f>
        <v>0</v>
      </c>
      <c r="I861" s="153">
        <v>0</v>
      </c>
      <c r="J861" s="211">
        <f>I861*100/I879</f>
        <v>0</v>
      </c>
      <c r="K861" s="215">
        <f t="shared" si="46"/>
        <v>0</v>
      </c>
      <c r="L861" s="216">
        <f t="shared" si="44"/>
        <v>0</v>
      </c>
    </row>
    <row r="862" spans="1:12">
      <c r="A862" s="263">
        <f t="shared" si="45"/>
        <v>8.499999999149999</v>
      </c>
      <c r="B862" s="155">
        <v>8.5</v>
      </c>
      <c r="C862" s="155">
        <v>0</v>
      </c>
      <c r="D862" s="156">
        <f>C862*100/C879</f>
        <v>0</v>
      </c>
      <c r="E862" s="155">
        <v>0</v>
      </c>
      <c r="F862" s="156">
        <f>E862*100/E879</f>
        <v>0</v>
      </c>
      <c r="G862" s="155">
        <v>0</v>
      </c>
      <c r="H862" s="156">
        <f>G862*100/G879</f>
        <v>0</v>
      </c>
      <c r="I862" s="155">
        <v>0</v>
      </c>
      <c r="J862" s="212">
        <f>I862*100/I879</f>
        <v>0</v>
      </c>
      <c r="K862" s="223">
        <f t="shared" si="46"/>
        <v>0</v>
      </c>
      <c r="L862" s="224">
        <f t="shared" si="44"/>
        <v>0</v>
      </c>
    </row>
    <row r="863" spans="1:12">
      <c r="A863" s="263">
        <f t="shared" si="45"/>
        <v>8.9999999990999999</v>
      </c>
      <c r="B863" s="153">
        <v>9</v>
      </c>
      <c r="C863" s="153">
        <v>0</v>
      </c>
      <c r="D863" s="154">
        <f>C863*100/C879</f>
        <v>0</v>
      </c>
      <c r="E863" s="153">
        <v>0</v>
      </c>
      <c r="F863" s="154">
        <f>E863*100/E879</f>
        <v>0</v>
      </c>
      <c r="G863" s="153">
        <v>0</v>
      </c>
      <c r="H863" s="154">
        <f>G863*100/G879</f>
        <v>0</v>
      </c>
      <c r="I863" s="153">
        <v>0</v>
      </c>
      <c r="J863" s="211">
        <f>I863*100/I879</f>
        <v>0</v>
      </c>
      <c r="K863" s="215">
        <f t="shared" si="46"/>
        <v>0</v>
      </c>
      <c r="L863" s="216">
        <f t="shared" si="44"/>
        <v>0</v>
      </c>
    </row>
    <row r="864" spans="1:12">
      <c r="A864" s="263">
        <f t="shared" si="45"/>
        <v>9.4999999990500008</v>
      </c>
      <c r="B864" s="155">
        <v>9.5</v>
      </c>
      <c r="C864" s="155">
        <v>0</v>
      </c>
      <c r="D864" s="156">
        <f>C864*100/C879</f>
        <v>0</v>
      </c>
      <c r="E864" s="155">
        <v>0</v>
      </c>
      <c r="F864" s="156">
        <f>E864*100/E879</f>
        <v>0</v>
      </c>
      <c r="G864" s="155">
        <v>0</v>
      </c>
      <c r="H864" s="156">
        <f>G864*100/G879</f>
        <v>0</v>
      </c>
      <c r="I864" s="155">
        <v>0</v>
      </c>
      <c r="J864" s="212">
        <f>I864*100/I879</f>
        <v>0</v>
      </c>
      <c r="K864" s="223">
        <f t="shared" si="46"/>
        <v>0</v>
      </c>
      <c r="L864" s="224">
        <f t="shared" si="44"/>
        <v>0</v>
      </c>
    </row>
    <row r="865" spans="1:12">
      <c r="A865" s="263">
        <f t="shared" si="45"/>
        <v>9.9999999989999999</v>
      </c>
      <c r="B865" s="153">
        <v>10</v>
      </c>
      <c r="C865" s="153">
        <v>0</v>
      </c>
      <c r="D865" s="154">
        <f>C865*100/C879</f>
        <v>0</v>
      </c>
      <c r="E865" s="153">
        <v>0</v>
      </c>
      <c r="F865" s="154">
        <f>E865*100/E879</f>
        <v>0</v>
      </c>
      <c r="G865" s="153">
        <v>0</v>
      </c>
      <c r="H865" s="154">
        <f>G865*100/G879</f>
        <v>0</v>
      </c>
      <c r="I865" s="153">
        <v>0</v>
      </c>
      <c r="J865" s="211">
        <f>I865*100/I879</f>
        <v>0</v>
      </c>
      <c r="K865" s="215">
        <f t="shared" si="46"/>
        <v>0</v>
      </c>
      <c r="L865" s="216">
        <f t="shared" si="44"/>
        <v>0</v>
      </c>
    </row>
    <row r="866" spans="1:12">
      <c r="A866" s="263">
        <f t="shared" si="45"/>
        <v>10.499999998949999</v>
      </c>
      <c r="B866" s="155">
        <v>10.5</v>
      </c>
      <c r="C866" s="155">
        <v>0</v>
      </c>
      <c r="D866" s="156">
        <f>C866*100/C879</f>
        <v>0</v>
      </c>
      <c r="E866" s="155">
        <v>0</v>
      </c>
      <c r="F866" s="156">
        <f>E866*100/E879</f>
        <v>0</v>
      </c>
      <c r="G866" s="155">
        <v>0</v>
      </c>
      <c r="H866" s="156">
        <f>G866*100/G879</f>
        <v>0</v>
      </c>
      <c r="I866" s="155">
        <v>0</v>
      </c>
      <c r="J866" s="212">
        <f>I866*100/I879</f>
        <v>0</v>
      </c>
      <c r="K866" s="223">
        <f t="shared" si="46"/>
        <v>0</v>
      </c>
      <c r="L866" s="224">
        <f t="shared" si="44"/>
        <v>0</v>
      </c>
    </row>
    <row r="867" spans="1:12">
      <c r="A867" s="263">
        <f t="shared" si="45"/>
        <v>10.9999999989</v>
      </c>
      <c r="B867" s="153">
        <v>11</v>
      </c>
      <c r="C867" s="153">
        <v>0</v>
      </c>
      <c r="D867" s="154">
        <f>C867*100/C879</f>
        <v>0</v>
      </c>
      <c r="E867" s="153">
        <v>0</v>
      </c>
      <c r="F867" s="154">
        <f>E867*100/E879</f>
        <v>0</v>
      </c>
      <c r="G867" s="153">
        <v>0</v>
      </c>
      <c r="H867" s="154">
        <f>G867*100/G879</f>
        <v>0</v>
      </c>
      <c r="I867" s="153">
        <v>0</v>
      </c>
      <c r="J867" s="211">
        <f>I867*100/I879</f>
        <v>0</v>
      </c>
      <c r="K867" s="215">
        <f t="shared" si="46"/>
        <v>0</v>
      </c>
      <c r="L867" s="216">
        <f t="shared" si="44"/>
        <v>0</v>
      </c>
    </row>
    <row r="868" spans="1:12">
      <c r="A868" s="263">
        <f t="shared" si="45"/>
        <v>11.499999998850001</v>
      </c>
      <c r="B868" s="155">
        <v>11.5</v>
      </c>
      <c r="C868" s="155">
        <v>0</v>
      </c>
      <c r="D868" s="156">
        <f>C868*100/C879</f>
        <v>0</v>
      </c>
      <c r="E868" s="155">
        <v>0</v>
      </c>
      <c r="F868" s="156">
        <f>E868*100/E879</f>
        <v>0</v>
      </c>
      <c r="G868" s="155">
        <v>0</v>
      </c>
      <c r="H868" s="156">
        <f>G868*100/G879</f>
        <v>0</v>
      </c>
      <c r="I868" s="155">
        <v>0</v>
      </c>
      <c r="J868" s="212">
        <f>I868*100/I879</f>
        <v>0</v>
      </c>
      <c r="K868" s="223">
        <f t="shared" si="46"/>
        <v>0</v>
      </c>
      <c r="L868" s="224">
        <f t="shared" si="44"/>
        <v>0</v>
      </c>
    </row>
    <row r="869" spans="1:12">
      <c r="A869" s="263">
        <f t="shared" si="45"/>
        <v>11.9999999988</v>
      </c>
      <c r="B869" s="153">
        <v>12</v>
      </c>
      <c r="C869" s="153">
        <v>0</v>
      </c>
      <c r="D869" s="154">
        <f>C869*100/C879</f>
        <v>0</v>
      </c>
      <c r="E869" s="153">
        <v>0</v>
      </c>
      <c r="F869" s="154">
        <f>E869*100/E879</f>
        <v>0</v>
      </c>
      <c r="G869" s="153">
        <v>0</v>
      </c>
      <c r="H869" s="154">
        <f>G869*100/G879</f>
        <v>0</v>
      </c>
      <c r="I869" s="153">
        <v>0</v>
      </c>
      <c r="J869" s="211">
        <f>I869*100/I879</f>
        <v>0</v>
      </c>
      <c r="K869" s="215">
        <f t="shared" si="46"/>
        <v>0</v>
      </c>
      <c r="L869" s="216">
        <f t="shared" si="44"/>
        <v>0</v>
      </c>
    </row>
    <row r="870" spans="1:12">
      <c r="A870" s="263">
        <f t="shared" si="45"/>
        <v>12.499999998749999</v>
      </c>
      <c r="B870" s="155">
        <v>12.5</v>
      </c>
      <c r="C870" s="155">
        <v>0</v>
      </c>
      <c r="D870" s="156">
        <f>C870*100/C879</f>
        <v>0</v>
      </c>
      <c r="E870" s="155">
        <v>0</v>
      </c>
      <c r="F870" s="156">
        <f>E870*100/E879</f>
        <v>0</v>
      </c>
      <c r="G870" s="155">
        <v>0</v>
      </c>
      <c r="H870" s="156">
        <f>G870*100/G879</f>
        <v>0</v>
      </c>
      <c r="I870" s="155">
        <v>0</v>
      </c>
      <c r="J870" s="212">
        <f>I870*100/I879</f>
        <v>0</v>
      </c>
      <c r="K870" s="223">
        <f t="shared" si="46"/>
        <v>0</v>
      </c>
      <c r="L870" s="224">
        <f t="shared" si="44"/>
        <v>0</v>
      </c>
    </row>
    <row r="871" spans="1:12">
      <c r="A871" s="263">
        <f t="shared" si="45"/>
        <v>12.9999999987</v>
      </c>
      <c r="B871" s="153">
        <v>13</v>
      </c>
      <c r="C871" s="153">
        <v>0</v>
      </c>
      <c r="D871" s="154">
        <f>C871*100/C879</f>
        <v>0</v>
      </c>
      <c r="E871" s="153">
        <v>0</v>
      </c>
      <c r="F871" s="154">
        <f>E871*100/E879</f>
        <v>0</v>
      </c>
      <c r="G871" s="153">
        <v>0</v>
      </c>
      <c r="H871" s="154">
        <f>G871*100/G879</f>
        <v>0</v>
      </c>
      <c r="I871" s="153">
        <v>0</v>
      </c>
      <c r="J871" s="211">
        <f>I871*100/I879</f>
        <v>0</v>
      </c>
      <c r="K871" s="215">
        <f t="shared" si="46"/>
        <v>0</v>
      </c>
      <c r="L871" s="216">
        <f t="shared" si="44"/>
        <v>0</v>
      </c>
    </row>
    <row r="872" spans="1:12">
      <c r="A872" s="263">
        <f t="shared" si="45"/>
        <v>13.499999998650001</v>
      </c>
      <c r="B872" s="155">
        <v>13.5</v>
      </c>
      <c r="C872" s="155">
        <v>0</v>
      </c>
      <c r="D872" s="157">
        <f>C872*100/C879</f>
        <v>0</v>
      </c>
      <c r="E872" s="158">
        <v>0</v>
      </c>
      <c r="F872" s="157">
        <f>E872*100/E879</f>
        <v>0</v>
      </c>
      <c r="G872" s="158">
        <v>0</v>
      </c>
      <c r="H872" s="157">
        <f>G872*100/G879</f>
        <v>0</v>
      </c>
      <c r="I872" s="158">
        <v>0</v>
      </c>
      <c r="J872" s="213">
        <f>I872*100/I879</f>
        <v>0</v>
      </c>
      <c r="K872" s="223">
        <f t="shared" si="46"/>
        <v>0</v>
      </c>
      <c r="L872" s="224">
        <f t="shared" si="44"/>
        <v>0</v>
      </c>
    </row>
    <row r="873" spans="1:12">
      <c r="A873" s="263">
        <f t="shared" si="45"/>
        <v>13.9999999986</v>
      </c>
      <c r="B873" s="219">
        <v>14</v>
      </c>
      <c r="C873" s="219">
        <v>0</v>
      </c>
      <c r="D873" s="220">
        <f>C873*100/C879</f>
        <v>0</v>
      </c>
      <c r="E873" s="221">
        <v>0</v>
      </c>
      <c r="F873" s="220">
        <f>E873*100/E879</f>
        <v>0</v>
      </c>
      <c r="G873" s="221">
        <v>0</v>
      </c>
      <c r="H873" s="220">
        <f>G873*100/G879</f>
        <v>0</v>
      </c>
      <c r="I873" s="221">
        <v>0</v>
      </c>
      <c r="J873" s="222">
        <f>I873*100/I879</f>
        <v>0</v>
      </c>
      <c r="K873" s="215">
        <f t="shared" si="46"/>
        <v>0</v>
      </c>
      <c r="L873" s="216">
        <f t="shared" si="44"/>
        <v>0</v>
      </c>
    </row>
    <row r="874" spans="1:12">
      <c r="A874" s="263">
        <f t="shared" si="45"/>
        <v>14.499999998549999</v>
      </c>
      <c r="B874" s="155">
        <v>14.5</v>
      </c>
      <c r="C874" s="155">
        <v>0</v>
      </c>
      <c r="D874" s="157">
        <f>C874*100/C879</f>
        <v>0</v>
      </c>
      <c r="E874" s="158">
        <v>0</v>
      </c>
      <c r="F874" s="157">
        <f>E874*100/E879</f>
        <v>0</v>
      </c>
      <c r="G874" s="158">
        <v>0</v>
      </c>
      <c r="H874" s="157">
        <f>G874*100/G879</f>
        <v>0</v>
      </c>
      <c r="I874" s="158">
        <v>0</v>
      </c>
      <c r="J874" s="213">
        <f>I874*100/I879</f>
        <v>0</v>
      </c>
      <c r="K874" s="223">
        <f t="shared" si="46"/>
        <v>0</v>
      </c>
      <c r="L874" s="224">
        <f t="shared" si="44"/>
        <v>0</v>
      </c>
    </row>
    <row r="875" spans="1:12">
      <c r="A875" s="263">
        <f t="shared" si="45"/>
        <v>14.9999999985</v>
      </c>
      <c r="B875" s="219">
        <v>15</v>
      </c>
      <c r="C875" s="219">
        <v>0</v>
      </c>
      <c r="D875" s="220">
        <f>C875*100/C879</f>
        <v>0</v>
      </c>
      <c r="E875" s="221">
        <v>0</v>
      </c>
      <c r="F875" s="220">
        <f>E875*100/E879</f>
        <v>0</v>
      </c>
      <c r="G875" s="221">
        <v>0</v>
      </c>
      <c r="H875" s="220">
        <f>G875*100/G879</f>
        <v>0</v>
      </c>
      <c r="I875" s="221">
        <v>0</v>
      </c>
      <c r="J875" s="222">
        <f>I875*100/I879</f>
        <v>0</v>
      </c>
      <c r="K875" s="215">
        <f t="shared" si="46"/>
        <v>0</v>
      </c>
      <c r="L875" s="216">
        <f t="shared" si="44"/>
        <v>0</v>
      </c>
    </row>
    <row r="876" spans="1:12">
      <c r="A876" s="263">
        <f t="shared" si="45"/>
        <v>15.499999998450001</v>
      </c>
      <c r="B876" s="155">
        <v>15.5</v>
      </c>
      <c r="C876" s="155">
        <v>0</v>
      </c>
      <c r="D876" s="157">
        <f>C876*100/C879</f>
        <v>0</v>
      </c>
      <c r="E876" s="158">
        <v>0</v>
      </c>
      <c r="F876" s="157">
        <f>E876*100/E879</f>
        <v>0</v>
      </c>
      <c r="G876" s="158">
        <v>0</v>
      </c>
      <c r="H876" s="157">
        <f>G876*100/G879</f>
        <v>0</v>
      </c>
      <c r="I876" s="158">
        <v>0</v>
      </c>
      <c r="J876" s="213">
        <f>I876*100/I879</f>
        <v>0</v>
      </c>
      <c r="K876" s="223">
        <f t="shared" si="46"/>
        <v>0</v>
      </c>
      <c r="L876" s="224">
        <f t="shared" si="44"/>
        <v>0</v>
      </c>
    </row>
    <row r="877" spans="1:12">
      <c r="A877" s="263">
        <f t="shared" si="45"/>
        <v>15.9999999984</v>
      </c>
      <c r="B877" s="219">
        <v>16</v>
      </c>
      <c r="C877" s="219">
        <v>0</v>
      </c>
      <c r="D877" s="220">
        <f>C877*100/C879</f>
        <v>0</v>
      </c>
      <c r="E877" s="221">
        <v>0</v>
      </c>
      <c r="F877" s="220">
        <f>E877*100/E879</f>
        <v>0</v>
      </c>
      <c r="G877" s="221">
        <v>0</v>
      </c>
      <c r="H877" s="220">
        <f>G877*100/G879</f>
        <v>0</v>
      </c>
      <c r="I877" s="221">
        <v>0</v>
      </c>
      <c r="J877" s="222">
        <f>I877*100/I879</f>
        <v>0</v>
      </c>
      <c r="K877" s="215">
        <f t="shared" si="46"/>
        <v>0</v>
      </c>
      <c r="L877" s="216">
        <f t="shared" si="44"/>
        <v>0</v>
      </c>
    </row>
    <row r="878" spans="1:12" ht="15" thickBot="1">
      <c r="A878" s="159">
        <f>0.9999999999*B878</f>
        <v>16.499999998349999</v>
      </c>
      <c r="B878" s="160">
        <v>16.5</v>
      </c>
      <c r="C878" s="160">
        <v>0</v>
      </c>
      <c r="D878" s="168">
        <f>C878*100/C879</f>
        <v>0</v>
      </c>
      <c r="E878" s="158">
        <v>0</v>
      </c>
      <c r="F878" s="157">
        <f>E878*100/E879</f>
        <v>0</v>
      </c>
      <c r="G878" s="158">
        <v>0</v>
      </c>
      <c r="H878" s="157">
        <f>G878*100/G879</f>
        <v>0</v>
      </c>
      <c r="I878" s="158">
        <v>0</v>
      </c>
      <c r="J878" s="214">
        <f>I878*100/I879</f>
        <v>0</v>
      </c>
      <c r="K878" s="223">
        <f t="shared" si="46"/>
        <v>0</v>
      </c>
      <c r="L878" s="224">
        <f t="shared" si="44"/>
        <v>0</v>
      </c>
    </row>
    <row r="879" spans="1:12" ht="15" thickBot="1">
      <c r="A879" s="806" t="s">
        <v>396</v>
      </c>
      <c r="B879" s="806"/>
      <c r="C879" s="161">
        <f>SUM(C850:C878)+0.0000000001</f>
        <v>1E-10</v>
      </c>
      <c r="D879" s="163">
        <f>SUM(D851:D878)</f>
        <v>0</v>
      </c>
      <c r="E879" s="162">
        <f>SUM(E850:E878)+0.0000000001</f>
        <v>1E-10</v>
      </c>
      <c r="F879" s="163">
        <f>SUM(F850:F878)</f>
        <v>0</v>
      </c>
      <c r="G879" s="162">
        <f>SUM(G850:G878)+0.0000000001</f>
        <v>1E-10</v>
      </c>
      <c r="H879" s="163">
        <f>SUM(H850:H878)</f>
        <v>0</v>
      </c>
      <c r="I879" s="162">
        <f>SUM(I850:I878)+0.0000000001</f>
        <v>1E-10</v>
      </c>
      <c r="J879" s="279">
        <f>SUM(J850:J878)</f>
        <v>0</v>
      </c>
      <c r="K879" s="227">
        <f>SUM(K850:K878)</f>
        <v>0</v>
      </c>
      <c r="L879" s="217">
        <f>SUM(L850:L878)</f>
        <v>0</v>
      </c>
    </row>
    <row r="880" spans="1:12" ht="15" thickBot="1">
      <c r="A880" s="778">
        <f>C879+E879+G879+I879</f>
        <v>4.0000000000000001E-10</v>
      </c>
      <c r="B880" s="779"/>
      <c r="C880" s="779"/>
      <c r="D880" s="779"/>
      <c r="E880" s="779"/>
      <c r="F880" s="779"/>
      <c r="G880" s="779"/>
      <c r="H880" s="779"/>
      <c r="I880" s="779"/>
      <c r="J880" s="780"/>
      <c r="K880" s="139"/>
      <c r="L880" s="139"/>
    </row>
    <row r="896" spans="15:19">
      <c r="O896" s="781" t="s">
        <v>909</v>
      </c>
      <c r="P896" s="781"/>
      <c r="Q896" s="781"/>
      <c r="R896" s="781"/>
      <c r="S896" s="781"/>
    </row>
    <row r="897" spans="1:12" ht="15" thickBot="1"/>
    <row r="898" spans="1:12" ht="30" customHeight="1" thickBot="1">
      <c r="A898" s="778" t="s">
        <v>425</v>
      </c>
      <c r="B898" s="780"/>
      <c r="C898" s="799" t="s">
        <v>492</v>
      </c>
      <c r="D898" s="803"/>
      <c r="E898" s="800" t="s">
        <v>495</v>
      </c>
      <c r="F898" s="804"/>
      <c r="G898" s="799" t="s">
        <v>493</v>
      </c>
      <c r="H898" s="803"/>
      <c r="I898" s="800" t="s">
        <v>494</v>
      </c>
      <c r="J898" s="805"/>
      <c r="K898" s="794" t="s">
        <v>496</v>
      </c>
      <c r="L898" s="796" t="s">
        <v>497</v>
      </c>
    </row>
    <row r="899" spans="1:12" ht="15" thickBot="1">
      <c r="A899" s="141" t="s">
        <v>887</v>
      </c>
      <c r="B899" s="251" t="s">
        <v>243</v>
      </c>
      <c r="C899" s="143" t="s">
        <v>397</v>
      </c>
      <c r="D899" s="144" t="s">
        <v>945</v>
      </c>
      <c r="E899" s="145" t="s">
        <v>397</v>
      </c>
      <c r="F899" s="146" t="s">
        <v>945</v>
      </c>
      <c r="G899" s="147" t="s">
        <v>397</v>
      </c>
      <c r="H899" s="148" t="s">
        <v>945</v>
      </c>
      <c r="I899" s="145" t="s">
        <v>397</v>
      </c>
      <c r="J899" s="209" t="s">
        <v>945</v>
      </c>
      <c r="K899" s="795"/>
      <c r="L899" s="797"/>
    </row>
    <row r="900" spans="1:12">
      <c r="A900" s="259">
        <f>0.9999999999*B900</f>
        <v>2.49999999975</v>
      </c>
      <c r="B900" s="260">
        <v>2.5</v>
      </c>
      <c r="C900" s="150">
        <f t="array" ref="C900:C928">FREQUENCY(Discrete!FD3:FD79,Hists!A901:A928)</f>
        <v>0</v>
      </c>
      <c r="D900" s="151">
        <f>C900*100/C929</f>
        <v>0</v>
      </c>
      <c r="E900" s="150">
        <f t="array" ref="E900:E928">FREQUENCY(IC!FZ3:FZ64,Hists!A901:A928)</f>
        <v>0</v>
      </c>
      <c r="F900" s="151">
        <f>E900*100/E929</f>
        <v>0</v>
      </c>
      <c r="G900" s="150">
        <f t="array" ref="G900:G928">FREQUENCY(Discrete!FE3:FE79,Hists!A901:A928)</f>
        <v>0</v>
      </c>
      <c r="H900" s="151">
        <f>G900*100/G929</f>
        <v>0</v>
      </c>
      <c r="I900" s="150">
        <f t="array" ref="I900:I928">FREQUENCY(IC!GA3:GA64,Hists!A901:A928)</f>
        <v>0</v>
      </c>
      <c r="J900" s="210">
        <f>I900*100/I929</f>
        <v>0</v>
      </c>
      <c r="K900" s="225"/>
      <c r="L900" s="226"/>
    </row>
    <row r="901" spans="1:12">
      <c r="A901" s="152">
        <f>0.9999999999*B901</f>
        <v>2.9999999997</v>
      </c>
      <c r="B901" s="264">
        <v>3</v>
      </c>
      <c r="C901" s="153">
        <v>0</v>
      </c>
      <c r="D901" s="154">
        <f>C901*100/C929</f>
        <v>0</v>
      </c>
      <c r="E901" s="153">
        <v>0</v>
      </c>
      <c r="F901" s="154">
        <f>E901*100/E929</f>
        <v>0</v>
      </c>
      <c r="G901" s="153">
        <v>0</v>
      </c>
      <c r="H901" s="154">
        <f>G901*100/G929</f>
        <v>0</v>
      </c>
      <c r="I901" s="153">
        <v>0</v>
      </c>
      <c r="J901" s="211">
        <f>I901*100/I929</f>
        <v>0</v>
      </c>
      <c r="K901" s="215">
        <f>0.5*(D901+F901)</f>
        <v>0</v>
      </c>
      <c r="L901" s="216">
        <f t="shared" ref="L901:L928" si="47">0.5*(H901+J901)</f>
        <v>0</v>
      </c>
    </row>
    <row r="902" spans="1:12">
      <c r="A902" s="263">
        <f t="shared" ref="A902:A927" si="48">0.9999999999*B902</f>
        <v>3.49999999965</v>
      </c>
      <c r="B902" s="268">
        <v>3.5</v>
      </c>
      <c r="C902" s="155">
        <v>0</v>
      </c>
      <c r="D902" s="156">
        <f>C902*100/C929</f>
        <v>0</v>
      </c>
      <c r="E902" s="155">
        <v>0</v>
      </c>
      <c r="F902" s="156">
        <f>E902*100/E929</f>
        <v>0</v>
      </c>
      <c r="G902" s="155">
        <v>0</v>
      </c>
      <c r="H902" s="156">
        <f>G902*100/G929</f>
        <v>0</v>
      </c>
      <c r="I902" s="155">
        <v>0</v>
      </c>
      <c r="J902" s="212">
        <f>I902*100/I929</f>
        <v>0</v>
      </c>
      <c r="K902" s="223">
        <f>0.5*(D902+F902)</f>
        <v>0</v>
      </c>
      <c r="L902" s="224">
        <f t="shared" si="47"/>
        <v>0</v>
      </c>
    </row>
    <row r="903" spans="1:12">
      <c r="A903" s="263">
        <f t="shared" si="48"/>
        <v>3.9999999996</v>
      </c>
      <c r="B903" s="264">
        <v>4</v>
      </c>
      <c r="C903" s="153">
        <v>0</v>
      </c>
      <c r="D903" s="154">
        <f>C903*100/C929</f>
        <v>0</v>
      </c>
      <c r="E903" s="153">
        <v>0</v>
      </c>
      <c r="F903" s="154">
        <f>E903*100/E929</f>
        <v>0</v>
      </c>
      <c r="G903" s="153">
        <v>0</v>
      </c>
      <c r="H903" s="154">
        <f>G903*100/G929</f>
        <v>0</v>
      </c>
      <c r="I903" s="153">
        <v>0</v>
      </c>
      <c r="J903" s="211">
        <f>I903*100/I929</f>
        <v>0</v>
      </c>
      <c r="K903" s="215">
        <f>0.5*(D903+F903)</f>
        <v>0</v>
      </c>
      <c r="L903" s="216">
        <f t="shared" si="47"/>
        <v>0</v>
      </c>
    </row>
    <row r="904" spans="1:12">
      <c r="A904" s="263">
        <f t="shared" si="48"/>
        <v>4.49999999955</v>
      </c>
      <c r="B904" s="268">
        <v>4.5</v>
      </c>
      <c r="C904" s="155">
        <v>0</v>
      </c>
      <c r="D904" s="156">
        <f>C904*100/C929</f>
        <v>0</v>
      </c>
      <c r="E904" s="155">
        <v>0</v>
      </c>
      <c r="F904" s="156">
        <f>E904*100/E929</f>
        <v>0</v>
      </c>
      <c r="G904" s="155">
        <v>0</v>
      </c>
      <c r="H904" s="156">
        <f>G904*100/G929</f>
        <v>0</v>
      </c>
      <c r="I904" s="155">
        <v>0</v>
      </c>
      <c r="J904" s="212">
        <f>I904*100/I929</f>
        <v>0</v>
      </c>
      <c r="K904" s="223">
        <f t="shared" ref="K904:K928" si="49">0.5*(D904+F904)</f>
        <v>0</v>
      </c>
      <c r="L904" s="224">
        <f t="shared" si="47"/>
        <v>0</v>
      </c>
    </row>
    <row r="905" spans="1:12">
      <c r="A905" s="263">
        <f t="shared" si="48"/>
        <v>4.9999999995</v>
      </c>
      <c r="B905" s="264">
        <v>5</v>
      </c>
      <c r="C905" s="153">
        <v>0</v>
      </c>
      <c r="D905" s="154">
        <f>C905*100/C929</f>
        <v>0</v>
      </c>
      <c r="E905" s="153">
        <v>0</v>
      </c>
      <c r="F905" s="154">
        <f>E905*100/E929</f>
        <v>0</v>
      </c>
      <c r="G905" s="153">
        <v>0</v>
      </c>
      <c r="H905" s="154">
        <f>G905*100/G929</f>
        <v>0</v>
      </c>
      <c r="I905" s="153">
        <v>0</v>
      </c>
      <c r="J905" s="211">
        <f>I905*100/I929</f>
        <v>0</v>
      </c>
      <c r="K905" s="215">
        <f t="shared" si="49"/>
        <v>0</v>
      </c>
      <c r="L905" s="216">
        <f t="shared" si="47"/>
        <v>0</v>
      </c>
    </row>
    <row r="906" spans="1:12">
      <c r="A906" s="263">
        <f t="shared" si="48"/>
        <v>5.49999999945</v>
      </c>
      <c r="B906" s="268">
        <v>5.5</v>
      </c>
      <c r="C906" s="155">
        <v>0</v>
      </c>
      <c r="D906" s="156">
        <f>C906*100/C929</f>
        <v>0</v>
      </c>
      <c r="E906" s="155">
        <v>0</v>
      </c>
      <c r="F906" s="156">
        <f>E906*100/E929</f>
        <v>0</v>
      </c>
      <c r="G906" s="155">
        <v>0</v>
      </c>
      <c r="H906" s="156">
        <f>G906*100/G929</f>
        <v>0</v>
      </c>
      <c r="I906" s="155">
        <v>0</v>
      </c>
      <c r="J906" s="212">
        <f>I906*100/I929</f>
        <v>0</v>
      </c>
      <c r="K906" s="223">
        <f t="shared" si="49"/>
        <v>0</v>
      </c>
      <c r="L906" s="224">
        <f t="shared" si="47"/>
        <v>0</v>
      </c>
    </row>
    <row r="907" spans="1:12">
      <c r="A907" s="263">
        <f t="shared" si="48"/>
        <v>5.9999999994</v>
      </c>
      <c r="B907" s="264">
        <v>6</v>
      </c>
      <c r="C907" s="153">
        <v>0</v>
      </c>
      <c r="D907" s="154">
        <f>C907*100/C929</f>
        <v>0</v>
      </c>
      <c r="E907" s="153">
        <v>0</v>
      </c>
      <c r="F907" s="154">
        <f>E907*100/E929</f>
        <v>0</v>
      </c>
      <c r="G907" s="153">
        <v>0</v>
      </c>
      <c r="H907" s="154">
        <f>G907*100/G929</f>
        <v>0</v>
      </c>
      <c r="I907" s="153">
        <v>0</v>
      </c>
      <c r="J907" s="211">
        <f>I907*100/I929</f>
        <v>0</v>
      </c>
      <c r="K907" s="215">
        <f t="shared" si="49"/>
        <v>0</v>
      </c>
      <c r="L907" s="216">
        <f t="shared" si="47"/>
        <v>0</v>
      </c>
    </row>
    <row r="908" spans="1:12">
      <c r="A908" s="263">
        <f t="shared" si="48"/>
        <v>6.4999999993499999</v>
      </c>
      <c r="B908" s="268">
        <v>6.5</v>
      </c>
      <c r="C908" s="155">
        <v>0</v>
      </c>
      <c r="D908" s="156">
        <f>C908*100/C929</f>
        <v>0</v>
      </c>
      <c r="E908" s="155">
        <v>0</v>
      </c>
      <c r="F908" s="156">
        <f>E908*100/E929</f>
        <v>0</v>
      </c>
      <c r="G908" s="155">
        <v>0</v>
      </c>
      <c r="H908" s="156">
        <f>G908*100/G929</f>
        <v>0</v>
      </c>
      <c r="I908" s="155">
        <v>0</v>
      </c>
      <c r="J908" s="212">
        <f>I908*100/I929</f>
        <v>0</v>
      </c>
      <c r="K908" s="223">
        <f t="shared" si="49"/>
        <v>0</v>
      </c>
      <c r="L908" s="224">
        <f t="shared" si="47"/>
        <v>0</v>
      </c>
    </row>
    <row r="909" spans="1:12">
      <c r="A909" s="263">
        <f t="shared" si="48"/>
        <v>6.9999999992999999</v>
      </c>
      <c r="B909" s="264">
        <v>7</v>
      </c>
      <c r="C909" s="153">
        <v>0</v>
      </c>
      <c r="D909" s="154">
        <f>C909*100/C929</f>
        <v>0</v>
      </c>
      <c r="E909" s="153">
        <v>0</v>
      </c>
      <c r="F909" s="154">
        <f>E909*100/E929</f>
        <v>0</v>
      </c>
      <c r="G909" s="153">
        <v>0</v>
      </c>
      <c r="H909" s="154">
        <f>G909*100/G929</f>
        <v>0</v>
      </c>
      <c r="I909" s="153">
        <v>0</v>
      </c>
      <c r="J909" s="211">
        <f>I909*100/I929</f>
        <v>0</v>
      </c>
      <c r="K909" s="215">
        <f t="shared" si="49"/>
        <v>0</v>
      </c>
      <c r="L909" s="216">
        <f t="shared" si="47"/>
        <v>0</v>
      </c>
    </row>
    <row r="910" spans="1:12">
      <c r="A910" s="263">
        <f t="shared" si="48"/>
        <v>7.4999999992499999</v>
      </c>
      <c r="B910" s="268">
        <v>7.5</v>
      </c>
      <c r="C910" s="155">
        <v>0</v>
      </c>
      <c r="D910" s="156">
        <f>C910*100/C929</f>
        <v>0</v>
      </c>
      <c r="E910" s="155">
        <v>0</v>
      </c>
      <c r="F910" s="156">
        <f>E910*100/E929</f>
        <v>0</v>
      </c>
      <c r="G910" s="155">
        <v>0</v>
      </c>
      <c r="H910" s="156">
        <f>G910*100/G929</f>
        <v>0</v>
      </c>
      <c r="I910" s="155">
        <v>0</v>
      </c>
      <c r="J910" s="212">
        <f>I910*100/I929</f>
        <v>0</v>
      </c>
      <c r="K910" s="223">
        <f t="shared" si="49"/>
        <v>0</v>
      </c>
      <c r="L910" s="224">
        <f t="shared" si="47"/>
        <v>0</v>
      </c>
    </row>
    <row r="911" spans="1:12">
      <c r="A911" s="263">
        <f t="shared" si="48"/>
        <v>7.9999999991999999</v>
      </c>
      <c r="B911" s="264">
        <v>8</v>
      </c>
      <c r="C911" s="153">
        <v>0</v>
      </c>
      <c r="D911" s="154">
        <f>C911*100/C929</f>
        <v>0</v>
      </c>
      <c r="E911" s="153">
        <v>0</v>
      </c>
      <c r="F911" s="154">
        <f>E911*100/E929</f>
        <v>0</v>
      </c>
      <c r="G911" s="153">
        <v>0</v>
      </c>
      <c r="H911" s="154">
        <f>G911*100/G929</f>
        <v>0</v>
      </c>
      <c r="I911" s="153">
        <v>0</v>
      </c>
      <c r="J911" s="211">
        <f>I911*100/I929</f>
        <v>0</v>
      </c>
      <c r="K911" s="215">
        <f t="shared" si="49"/>
        <v>0</v>
      </c>
      <c r="L911" s="216">
        <f t="shared" si="47"/>
        <v>0</v>
      </c>
    </row>
    <row r="912" spans="1:12">
      <c r="A912" s="263">
        <f t="shared" si="48"/>
        <v>8.499999999149999</v>
      </c>
      <c r="B912" s="268">
        <v>8.5</v>
      </c>
      <c r="C912" s="155">
        <v>0</v>
      </c>
      <c r="D912" s="156">
        <f>C912*100/C929</f>
        <v>0</v>
      </c>
      <c r="E912" s="155">
        <v>0</v>
      </c>
      <c r="F912" s="156">
        <f>E912*100/E929</f>
        <v>0</v>
      </c>
      <c r="G912" s="155">
        <v>0</v>
      </c>
      <c r="H912" s="156">
        <f>G912*100/G929</f>
        <v>0</v>
      </c>
      <c r="I912" s="155">
        <v>0</v>
      </c>
      <c r="J912" s="212">
        <f>I912*100/I929</f>
        <v>0</v>
      </c>
      <c r="K912" s="223">
        <f t="shared" si="49"/>
        <v>0</v>
      </c>
      <c r="L912" s="224">
        <f t="shared" si="47"/>
        <v>0</v>
      </c>
    </row>
    <row r="913" spans="1:12">
      <c r="A913" s="263">
        <f t="shared" si="48"/>
        <v>8.9999999990999999</v>
      </c>
      <c r="B913" s="264">
        <v>9</v>
      </c>
      <c r="C913" s="153">
        <v>0</v>
      </c>
      <c r="D913" s="154">
        <f>C913*100/C929</f>
        <v>0</v>
      </c>
      <c r="E913" s="153">
        <v>0</v>
      </c>
      <c r="F913" s="154">
        <f>E913*100/E929</f>
        <v>0</v>
      </c>
      <c r="G913" s="153">
        <v>0</v>
      </c>
      <c r="H913" s="154">
        <f>G913*100/G929</f>
        <v>0</v>
      </c>
      <c r="I913" s="153">
        <v>0</v>
      </c>
      <c r="J913" s="211">
        <f>I913*100/I929</f>
        <v>0</v>
      </c>
      <c r="K913" s="215">
        <f t="shared" si="49"/>
        <v>0</v>
      </c>
      <c r="L913" s="216">
        <f t="shared" si="47"/>
        <v>0</v>
      </c>
    </row>
    <row r="914" spans="1:12">
      <c r="A914" s="263">
        <f t="shared" si="48"/>
        <v>9.4999999990500008</v>
      </c>
      <c r="B914" s="268">
        <v>9.5</v>
      </c>
      <c r="C914" s="155">
        <v>0</v>
      </c>
      <c r="D914" s="156">
        <f>C914*100/C929</f>
        <v>0</v>
      </c>
      <c r="E914" s="155">
        <v>0</v>
      </c>
      <c r="F914" s="156">
        <f>E914*100/E929</f>
        <v>0</v>
      </c>
      <c r="G914" s="155">
        <v>0</v>
      </c>
      <c r="H914" s="156">
        <f>G914*100/G929</f>
        <v>0</v>
      </c>
      <c r="I914" s="155">
        <v>0</v>
      </c>
      <c r="J914" s="212">
        <f>I914*100/I929</f>
        <v>0</v>
      </c>
      <c r="K914" s="223">
        <f t="shared" si="49"/>
        <v>0</v>
      </c>
      <c r="L914" s="224">
        <f t="shared" si="47"/>
        <v>0</v>
      </c>
    </row>
    <row r="915" spans="1:12">
      <c r="A915" s="263">
        <f t="shared" si="48"/>
        <v>9.9999999989999999</v>
      </c>
      <c r="B915" s="264">
        <v>10</v>
      </c>
      <c r="C915" s="153">
        <v>0</v>
      </c>
      <c r="D915" s="154">
        <f>C915*100/C929</f>
        <v>0</v>
      </c>
      <c r="E915" s="153">
        <v>0</v>
      </c>
      <c r="F915" s="154">
        <f>E915*100/E929</f>
        <v>0</v>
      </c>
      <c r="G915" s="153">
        <v>0</v>
      </c>
      <c r="H915" s="154">
        <f>G915*100/G929</f>
        <v>0</v>
      </c>
      <c r="I915" s="153">
        <v>0</v>
      </c>
      <c r="J915" s="211">
        <f>I915*100/I929</f>
        <v>0</v>
      </c>
      <c r="K915" s="215">
        <f t="shared" si="49"/>
        <v>0</v>
      </c>
      <c r="L915" s="216">
        <f t="shared" si="47"/>
        <v>0</v>
      </c>
    </row>
    <row r="916" spans="1:12">
      <c r="A916" s="263">
        <f t="shared" si="48"/>
        <v>10.499999998949999</v>
      </c>
      <c r="B916" s="268">
        <v>10.5</v>
      </c>
      <c r="C916" s="155">
        <v>0</v>
      </c>
      <c r="D916" s="156">
        <f>C916*100/C929</f>
        <v>0</v>
      </c>
      <c r="E916" s="155">
        <v>0</v>
      </c>
      <c r="F916" s="156">
        <f>E916*100/E929</f>
        <v>0</v>
      </c>
      <c r="G916" s="155">
        <v>0</v>
      </c>
      <c r="H916" s="156">
        <f>G916*100/G929</f>
        <v>0</v>
      </c>
      <c r="I916" s="155">
        <v>0</v>
      </c>
      <c r="J916" s="212">
        <f>I916*100/I929</f>
        <v>0</v>
      </c>
      <c r="K916" s="223">
        <f t="shared" si="49"/>
        <v>0</v>
      </c>
      <c r="L916" s="224">
        <f t="shared" si="47"/>
        <v>0</v>
      </c>
    </row>
    <row r="917" spans="1:12">
      <c r="A917" s="263">
        <f t="shared" si="48"/>
        <v>10.9999999989</v>
      </c>
      <c r="B917" s="264">
        <v>11</v>
      </c>
      <c r="C917" s="153">
        <v>0</v>
      </c>
      <c r="D917" s="154">
        <f>C917*100/C929</f>
        <v>0</v>
      </c>
      <c r="E917" s="153">
        <v>0</v>
      </c>
      <c r="F917" s="154">
        <f>E917*100/E929</f>
        <v>0</v>
      </c>
      <c r="G917" s="153">
        <v>0</v>
      </c>
      <c r="H917" s="154">
        <f>G917*100/G929</f>
        <v>0</v>
      </c>
      <c r="I917" s="153">
        <v>0</v>
      </c>
      <c r="J917" s="211">
        <f>I917*100/I929</f>
        <v>0</v>
      </c>
      <c r="K917" s="215">
        <f t="shared" si="49"/>
        <v>0</v>
      </c>
      <c r="L917" s="216">
        <f t="shared" si="47"/>
        <v>0</v>
      </c>
    </row>
    <row r="918" spans="1:12">
      <c r="A918" s="263">
        <f t="shared" si="48"/>
        <v>11.499999998850001</v>
      </c>
      <c r="B918" s="268">
        <v>11.5</v>
      </c>
      <c r="C918" s="155">
        <v>0</v>
      </c>
      <c r="D918" s="156">
        <f>C918*100/C929</f>
        <v>0</v>
      </c>
      <c r="E918" s="155">
        <v>0</v>
      </c>
      <c r="F918" s="156">
        <f>E918*100/E929</f>
        <v>0</v>
      </c>
      <c r="G918" s="155">
        <v>0</v>
      </c>
      <c r="H918" s="156">
        <f>G918*100/G929</f>
        <v>0</v>
      </c>
      <c r="I918" s="155">
        <v>0</v>
      </c>
      <c r="J918" s="212">
        <f>I918*100/I929</f>
        <v>0</v>
      </c>
      <c r="K918" s="223">
        <f t="shared" si="49"/>
        <v>0</v>
      </c>
      <c r="L918" s="224">
        <f t="shared" si="47"/>
        <v>0</v>
      </c>
    </row>
    <row r="919" spans="1:12">
      <c r="A919" s="263">
        <f t="shared" si="48"/>
        <v>11.9999999988</v>
      </c>
      <c r="B919" s="264">
        <v>12</v>
      </c>
      <c r="C919" s="153">
        <v>0</v>
      </c>
      <c r="D919" s="154">
        <f>C919*100/C929</f>
        <v>0</v>
      </c>
      <c r="E919" s="153">
        <v>0</v>
      </c>
      <c r="F919" s="154">
        <f>E919*100/E929</f>
        <v>0</v>
      </c>
      <c r="G919" s="153">
        <v>0</v>
      </c>
      <c r="H919" s="154">
        <f>G919*100/G929</f>
        <v>0</v>
      </c>
      <c r="I919" s="153">
        <v>0</v>
      </c>
      <c r="J919" s="211">
        <f>I919*100/I929</f>
        <v>0</v>
      </c>
      <c r="K919" s="215">
        <f t="shared" si="49"/>
        <v>0</v>
      </c>
      <c r="L919" s="216">
        <f t="shared" si="47"/>
        <v>0</v>
      </c>
    </row>
    <row r="920" spans="1:12">
      <c r="A920" s="263">
        <f t="shared" si="48"/>
        <v>12.499999998749999</v>
      </c>
      <c r="B920" s="268">
        <v>12.5</v>
      </c>
      <c r="C920" s="155">
        <v>0</v>
      </c>
      <c r="D920" s="156">
        <f>C920*100/C929</f>
        <v>0</v>
      </c>
      <c r="E920" s="155">
        <v>0</v>
      </c>
      <c r="F920" s="156">
        <f>E920*100/E929</f>
        <v>0</v>
      </c>
      <c r="G920" s="155">
        <v>0</v>
      </c>
      <c r="H920" s="156">
        <f>G920*100/G929</f>
        <v>0</v>
      </c>
      <c r="I920" s="155">
        <v>0</v>
      </c>
      <c r="J920" s="212">
        <f>I920*100/I929</f>
        <v>0</v>
      </c>
      <c r="K920" s="223">
        <f t="shared" si="49"/>
        <v>0</v>
      </c>
      <c r="L920" s="224">
        <f t="shared" si="47"/>
        <v>0</v>
      </c>
    </row>
    <row r="921" spans="1:12">
      <c r="A921" s="263">
        <f t="shared" si="48"/>
        <v>12.9999999987</v>
      </c>
      <c r="B921" s="264">
        <v>13</v>
      </c>
      <c r="C921" s="153">
        <v>0</v>
      </c>
      <c r="D921" s="154">
        <f>C921*100/C929</f>
        <v>0</v>
      </c>
      <c r="E921" s="153">
        <v>0</v>
      </c>
      <c r="F921" s="154">
        <f>E921*100/E929</f>
        <v>0</v>
      </c>
      <c r="G921" s="153">
        <v>0</v>
      </c>
      <c r="H921" s="154">
        <f>G921*100/G929</f>
        <v>0</v>
      </c>
      <c r="I921" s="153">
        <v>0</v>
      </c>
      <c r="J921" s="211">
        <f>I921*100/I929</f>
        <v>0</v>
      </c>
      <c r="K921" s="215">
        <f t="shared" si="49"/>
        <v>0</v>
      </c>
      <c r="L921" s="216">
        <f t="shared" si="47"/>
        <v>0</v>
      </c>
    </row>
    <row r="922" spans="1:12">
      <c r="A922" s="263">
        <f t="shared" si="48"/>
        <v>13.499999998650001</v>
      </c>
      <c r="B922" s="268">
        <v>13.5</v>
      </c>
      <c r="C922" s="155">
        <v>0</v>
      </c>
      <c r="D922" s="157">
        <f>C922*100/C929</f>
        <v>0</v>
      </c>
      <c r="E922" s="158">
        <v>0</v>
      </c>
      <c r="F922" s="157">
        <f>E922*100/E929</f>
        <v>0</v>
      </c>
      <c r="G922" s="158">
        <v>0</v>
      </c>
      <c r="H922" s="157">
        <f>G922*100/G929</f>
        <v>0</v>
      </c>
      <c r="I922" s="158">
        <v>0</v>
      </c>
      <c r="J922" s="213">
        <f>I922*100/I929</f>
        <v>0</v>
      </c>
      <c r="K922" s="223">
        <f t="shared" si="49"/>
        <v>0</v>
      </c>
      <c r="L922" s="224">
        <f t="shared" si="47"/>
        <v>0</v>
      </c>
    </row>
    <row r="923" spans="1:12">
      <c r="A923" s="263">
        <f t="shared" si="48"/>
        <v>13.9999999986</v>
      </c>
      <c r="B923" s="456">
        <v>14</v>
      </c>
      <c r="C923" s="219">
        <v>0</v>
      </c>
      <c r="D923" s="220">
        <f>C923*100/C929</f>
        <v>0</v>
      </c>
      <c r="E923" s="221">
        <v>0</v>
      </c>
      <c r="F923" s="220">
        <f>E923*100/E929</f>
        <v>0</v>
      </c>
      <c r="G923" s="221">
        <v>0</v>
      </c>
      <c r="H923" s="220">
        <f>G923*100/G929</f>
        <v>0</v>
      </c>
      <c r="I923" s="221">
        <v>0</v>
      </c>
      <c r="J923" s="222">
        <f>I923*100/I929</f>
        <v>0</v>
      </c>
      <c r="K923" s="215">
        <f t="shared" si="49"/>
        <v>0</v>
      </c>
      <c r="L923" s="216">
        <f t="shared" si="47"/>
        <v>0</v>
      </c>
    </row>
    <row r="924" spans="1:12">
      <c r="A924" s="263">
        <f t="shared" si="48"/>
        <v>14.499999998549999</v>
      </c>
      <c r="B924" s="268">
        <v>14.5</v>
      </c>
      <c r="C924" s="155">
        <v>0</v>
      </c>
      <c r="D924" s="157">
        <f>C924*100/C929</f>
        <v>0</v>
      </c>
      <c r="E924" s="158">
        <v>0</v>
      </c>
      <c r="F924" s="157">
        <f>E924*100/E929</f>
        <v>0</v>
      </c>
      <c r="G924" s="158">
        <v>0</v>
      </c>
      <c r="H924" s="157">
        <f>G924*100/G929</f>
        <v>0</v>
      </c>
      <c r="I924" s="158">
        <v>0</v>
      </c>
      <c r="J924" s="213">
        <f>I924*100/I929</f>
        <v>0</v>
      </c>
      <c r="K924" s="223">
        <f t="shared" si="49"/>
        <v>0</v>
      </c>
      <c r="L924" s="224">
        <f t="shared" si="47"/>
        <v>0</v>
      </c>
    </row>
    <row r="925" spans="1:12">
      <c r="A925" s="263">
        <f t="shared" si="48"/>
        <v>14.9999999985</v>
      </c>
      <c r="B925" s="456">
        <v>15</v>
      </c>
      <c r="C925" s="219">
        <v>0</v>
      </c>
      <c r="D925" s="220">
        <f>C925*100/C929</f>
        <v>0</v>
      </c>
      <c r="E925" s="221">
        <v>0</v>
      </c>
      <c r="F925" s="220">
        <f>E925*100/E929</f>
        <v>0</v>
      </c>
      <c r="G925" s="221">
        <v>0</v>
      </c>
      <c r="H925" s="220">
        <f>G925*100/G929</f>
        <v>0</v>
      </c>
      <c r="I925" s="221">
        <v>0</v>
      </c>
      <c r="J925" s="222">
        <f>I925*100/I929</f>
        <v>0</v>
      </c>
      <c r="K925" s="215">
        <f t="shared" si="49"/>
        <v>0</v>
      </c>
      <c r="L925" s="216">
        <f t="shared" si="47"/>
        <v>0</v>
      </c>
    </row>
    <row r="926" spans="1:12">
      <c r="A926" s="263">
        <f t="shared" si="48"/>
        <v>15.499999998450001</v>
      </c>
      <c r="B926" s="268">
        <v>15.5</v>
      </c>
      <c r="C926" s="155">
        <v>0</v>
      </c>
      <c r="D926" s="157">
        <f>C926*100/C929</f>
        <v>0</v>
      </c>
      <c r="E926" s="158">
        <v>0</v>
      </c>
      <c r="F926" s="157">
        <f>E926*100/E929</f>
        <v>0</v>
      </c>
      <c r="G926" s="158">
        <v>0</v>
      </c>
      <c r="H926" s="157">
        <f>G926*100/G929</f>
        <v>0</v>
      </c>
      <c r="I926" s="158">
        <v>0</v>
      </c>
      <c r="J926" s="213">
        <f>I926*100/I929</f>
        <v>0</v>
      </c>
      <c r="K926" s="223">
        <f t="shared" si="49"/>
        <v>0</v>
      </c>
      <c r="L926" s="224">
        <f t="shared" si="47"/>
        <v>0</v>
      </c>
    </row>
    <row r="927" spans="1:12">
      <c r="A927" s="263">
        <f t="shared" si="48"/>
        <v>15.9999999984</v>
      </c>
      <c r="B927" s="456">
        <v>16</v>
      </c>
      <c r="C927" s="219">
        <v>0</v>
      </c>
      <c r="D927" s="220">
        <f>C927*100/C929</f>
        <v>0</v>
      </c>
      <c r="E927" s="221">
        <v>0</v>
      </c>
      <c r="F927" s="220">
        <f>E927*100/E929</f>
        <v>0</v>
      </c>
      <c r="G927" s="221">
        <v>0</v>
      </c>
      <c r="H927" s="220">
        <f>G927*100/G929</f>
        <v>0</v>
      </c>
      <c r="I927" s="221">
        <v>0</v>
      </c>
      <c r="J927" s="222">
        <f>I927*100/I929</f>
        <v>0</v>
      </c>
      <c r="K927" s="215">
        <f t="shared" si="49"/>
        <v>0</v>
      </c>
      <c r="L927" s="216">
        <f t="shared" si="47"/>
        <v>0</v>
      </c>
    </row>
    <row r="928" spans="1:12" ht="15" thickBot="1">
      <c r="A928" s="159">
        <f>0.9999999999*B928</f>
        <v>16.499999998349999</v>
      </c>
      <c r="B928" s="275">
        <v>16.5</v>
      </c>
      <c r="C928" s="160">
        <v>0</v>
      </c>
      <c r="D928" s="168">
        <f>C928*100/C929</f>
        <v>0</v>
      </c>
      <c r="E928" s="158">
        <v>0</v>
      </c>
      <c r="F928" s="157">
        <f>E928*100/E929</f>
        <v>0</v>
      </c>
      <c r="G928" s="158">
        <v>0</v>
      </c>
      <c r="H928" s="157">
        <f>G928*100/G929</f>
        <v>0</v>
      </c>
      <c r="I928" s="158">
        <v>0</v>
      </c>
      <c r="J928" s="214">
        <f>I928*100/I929</f>
        <v>0</v>
      </c>
      <c r="K928" s="223">
        <f t="shared" si="49"/>
        <v>0</v>
      </c>
      <c r="L928" s="224">
        <f t="shared" si="47"/>
        <v>0</v>
      </c>
    </row>
    <row r="929" spans="1:12" ht="15" thickBot="1">
      <c r="A929" s="806" t="s">
        <v>396</v>
      </c>
      <c r="B929" s="806"/>
      <c r="C929" s="161">
        <f>SUM(C900:C928)+0.0000000001</f>
        <v>1E-10</v>
      </c>
      <c r="D929" s="163">
        <f>SUM(D901:D928)</f>
        <v>0</v>
      </c>
      <c r="E929" s="162">
        <f>SUM(E900:E928)+0.0000000001</f>
        <v>1E-10</v>
      </c>
      <c r="F929" s="163">
        <f>SUM(F900:F928)</f>
        <v>0</v>
      </c>
      <c r="G929" s="162">
        <f>SUM(G900:G928)+0.0000000001</f>
        <v>1E-10</v>
      </c>
      <c r="H929" s="163">
        <f>SUM(H900:H928)</f>
        <v>0</v>
      </c>
      <c r="I929" s="162">
        <f>SUM(I900:I928)+0.0000000001</f>
        <v>1E-10</v>
      </c>
      <c r="J929" s="279">
        <f>SUM(J900:J928)</f>
        <v>0</v>
      </c>
      <c r="K929" s="227">
        <f>SUM(K900:K928)</f>
        <v>0</v>
      </c>
      <c r="L929" s="217">
        <f>SUM(L900:L928)</f>
        <v>0</v>
      </c>
    </row>
    <row r="930" spans="1:12" ht="15" thickBot="1">
      <c r="A930" s="778">
        <f>C929+E929+G929+I929</f>
        <v>4.0000000000000001E-10</v>
      </c>
      <c r="B930" s="779"/>
      <c r="C930" s="779"/>
      <c r="D930" s="779"/>
      <c r="E930" s="779"/>
      <c r="F930" s="779"/>
      <c r="G930" s="779"/>
      <c r="H930" s="779"/>
      <c r="I930" s="779"/>
      <c r="J930" s="780"/>
      <c r="K930" s="139"/>
      <c r="L930" s="139"/>
    </row>
    <row r="946" spans="1:19">
      <c r="O946" s="781" t="s">
        <v>910</v>
      </c>
      <c r="P946" s="781"/>
      <c r="Q946" s="781"/>
      <c r="R946" s="781"/>
      <c r="S946" s="781"/>
    </row>
    <row r="947" spans="1:19" ht="15" thickBot="1"/>
    <row r="948" spans="1:19" ht="27" customHeight="1" thickBot="1">
      <c r="A948" s="778" t="s">
        <v>426</v>
      </c>
      <c r="B948" s="780"/>
      <c r="C948" s="799" t="s">
        <v>492</v>
      </c>
      <c r="D948" s="803"/>
      <c r="E948" s="800" t="s">
        <v>495</v>
      </c>
      <c r="F948" s="804"/>
      <c r="G948" s="799" t="s">
        <v>493</v>
      </c>
      <c r="H948" s="803"/>
      <c r="I948" s="800" t="s">
        <v>494</v>
      </c>
      <c r="J948" s="805"/>
      <c r="K948" s="794" t="s">
        <v>496</v>
      </c>
      <c r="L948" s="796" t="s">
        <v>497</v>
      </c>
    </row>
    <row r="949" spans="1:19" ht="15" thickBot="1">
      <c r="A949" s="141" t="s">
        <v>887</v>
      </c>
      <c r="B949" s="251" t="s">
        <v>243</v>
      </c>
      <c r="C949" s="143" t="s">
        <v>397</v>
      </c>
      <c r="D949" s="144" t="s">
        <v>945</v>
      </c>
      <c r="E949" s="145" t="s">
        <v>397</v>
      </c>
      <c r="F949" s="146" t="s">
        <v>945</v>
      </c>
      <c r="G949" s="147" t="s">
        <v>397</v>
      </c>
      <c r="H949" s="148" t="s">
        <v>945</v>
      </c>
      <c r="I949" s="145" t="s">
        <v>397</v>
      </c>
      <c r="J949" s="209" t="s">
        <v>945</v>
      </c>
      <c r="K949" s="795"/>
      <c r="L949" s="797"/>
    </row>
    <row r="950" spans="1:19">
      <c r="A950" s="259">
        <f>0.9999999999*B950</f>
        <v>2.49999999975</v>
      </c>
      <c r="B950" s="260">
        <v>2.5</v>
      </c>
      <c r="C950" s="150">
        <f t="array" ref="C950:C978">FREQUENCY(Discrete!FI3:FI79,Hists!A951:A978)</f>
        <v>0</v>
      </c>
      <c r="D950" s="151">
        <f>C950*100/C979</f>
        <v>0</v>
      </c>
      <c r="E950" s="150">
        <f t="array" ref="E950:E978">FREQUENCY(IC!GE3:GE64,Hists!A951:A978)</f>
        <v>0</v>
      </c>
      <c r="F950" s="151">
        <f>E950*100/E979</f>
        <v>0</v>
      </c>
      <c r="G950" s="150">
        <f t="array" ref="G950:G978">FREQUENCY(Discrete!FJ3:FJ72,Hists!A951:A978)</f>
        <v>0</v>
      </c>
      <c r="H950" s="151">
        <f>G950*100/G979</f>
        <v>0</v>
      </c>
      <c r="I950" s="150">
        <f t="array" ref="I950:I978">FREQUENCY(IC!GF3:GF64,Hists!A951:A978)</f>
        <v>0</v>
      </c>
      <c r="J950" s="210">
        <f>I950*100/I979</f>
        <v>0</v>
      </c>
      <c r="K950" s="225"/>
      <c r="L950" s="226"/>
    </row>
    <row r="951" spans="1:19">
      <c r="A951" s="152">
        <f>0.9999999999*B951</f>
        <v>2.9999999997</v>
      </c>
      <c r="B951" s="264">
        <v>3</v>
      </c>
      <c r="C951" s="153">
        <v>0</v>
      </c>
      <c r="D951" s="154">
        <f>C951*100/C979</f>
        <v>0</v>
      </c>
      <c r="E951" s="153">
        <v>0</v>
      </c>
      <c r="F951" s="154">
        <f>E951*100/E979</f>
        <v>0</v>
      </c>
      <c r="G951" s="153">
        <v>0</v>
      </c>
      <c r="H951" s="154">
        <f>G951*100/G979</f>
        <v>0</v>
      </c>
      <c r="I951" s="153">
        <v>0</v>
      </c>
      <c r="J951" s="211">
        <f>I951*100/I979</f>
        <v>0</v>
      </c>
      <c r="K951" s="215">
        <f>0.5*(D951+F951)</f>
        <v>0</v>
      </c>
      <c r="L951" s="216">
        <f t="shared" ref="L951:L978" si="50">0.5*(H951+J951)</f>
        <v>0</v>
      </c>
    </row>
    <row r="952" spans="1:19">
      <c r="A952" s="263">
        <f t="shared" ref="A952:A977" si="51">0.9999999999*B952</f>
        <v>3.49999999965</v>
      </c>
      <c r="B952" s="268">
        <v>3.5</v>
      </c>
      <c r="C952" s="155">
        <v>0</v>
      </c>
      <c r="D952" s="156">
        <f>C952*100/C979</f>
        <v>0</v>
      </c>
      <c r="E952" s="155">
        <v>0</v>
      </c>
      <c r="F952" s="156">
        <f>E952*100/E979</f>
        <v>0</v>
      </c>
      <c r="G952" s="155">
        <v>0</v>
      </c>
      <c r="H952" s="156">
        <f>G952*100/G979</f>
        <v>0</v>
      </c>
      <c r="I952" s="155">
        <v>0</v>
      </c>
      <c r="J952" s="212">
        <f>I952*100/I979</f>
        <v>0</v>
      </c>
      <c r="K952" s="223">
        <f>0.5*(D952+F952)</f>
        <v>0</v>
      </c>
      <c r="L952" s="224">
        <f t="shared" si="50"/>
        <v>0</v>
      </c>
    </row>
    <row r="953" spans="1:19">
      <c r="A953" s="263">
        <f t="shared" si="51"/>
        <v>3.9999999996</v>
      </c>
      <c r="B953" s="264">
        <v>4</v>
      </c>
      <c r="C953" s="153">
        <v>0</v>
      </c>
      <c r="D953" s="154">
        <f>C953*100/C979</f>
        <v>0</v>
      </c>
      <c r="E953" s="153">
        <v>0</v>
      </c>
      <c r="F953" s="154">
        <f>E953*100/E979</f>
        <v>0</v>
      </c>
      <c r="G953" s="153">
        <v>0</v>
      </c>
      <c r="H953" s="154">
        <f>G953*100/G979</f>
        <v>0</v>
      </c>
      <c r="I953" s="153">
        <v>0</v>
      </c>
      <c r="J953" s="211">
        <f>I953*100/I979</f>
        <v>0</v>
      </c>
      <c r="K953" s="215">
        <f>0.5*(D953+F953)</f>
        <v>0</v>
      </c>
      <c r="L953" s="216">
        <f t="shared" si="50"/>
        <v>0</v>
      </c>
    </row>
    <row r="954" spans="1:19">
      <c r="A954" s="263">
        <f t="shared" si="51"/>
        <v>4.49999999955</v>
      </c>
      <c r="B954" s="268">
        <v>4.5</v>
      </c>
      <c r="C954" s="155">
        <v>0</v>
      </c>
      <c r="D954" s="156">
        <f>C954*100/C979</f>
        <v>0</v>
      </c>
      <c r="E954" s="155">
        <v>0</v>
      </c>
      <c r="F954" s="156">
        <f>E954*100/E979</f>
        <v>0</v>
      </c>
      <c r="G954" s="155">
        <v>0</v>
      </c>
      <c r="H954" s="156">
        <f>G954*100/G979</f>
        <v>0</v>
      </c>
      <c r="I954" s="155">
        <v>0</v>
      </c>
      <c r="J954" s="212">
        <f>I954*100/I979</f>
        <v>0</v>
      </c>
      <c r="K954" s="223">
        <f t="shared" ref="K954:K978" si="52">0.5*(D954+F954)</f>
        <v>0</v>
      </c>
      <c r="L954" s="224">
        <f t="shared" si="50"/>
        <v>0</v>
      </c>
    </row>
    <row r="955" spans="1:19">
      <c r="A955" s="263">
        <f t="shared" si="51"/>
        <v>4.9999999995</v>
      </c>
      <c r="B955" s="264">
        <v>5</v>
      </c>
      <c r="C955" s="153">
        <v>0</v>
      </c>
      <c r="D955" s="154">
        <f>C955*100/C979</f>
        <v>0</v>
      </c>
      <c r="E955" s="153">
        <v>0</v>
      </c>
      <c r="F955" s="154">
        <f>E955*100/E979</f>
        <v>0</v>
      </c>
      <c r="G955" s="153">
        <v>0</v>
      </c>
      <c r="H955" s="154">
        <f>G955*100/G979</f>
        <v>0</v>
      </c>
      <c r="I955" s="153">
        <v>0</v>
      </c>
      <c r="J955" s="211">
        <f>I955*100/I979</f>
        <v>0</v>
      </c>
      <c r="K955" s="215">
        <f t="shared" si="52"/>
        <v>0</v>
      </c>
      <c r="L955" s="216">
        <f t="shared" si="50"/>
        <v>0</v>
      </c>
    </row>
    <row r="956" spans="1:19">
      <c r="A956" s="263">
        <f t="shared" si="51"/>
        <v>5.49999999945</v>
      </c>
      <c r="B956" s="268">
        <v>5.5</v>
      </c>
      <c r="C956" s="155">
        <v>0</v>
      </c>
      <c r="D956" s="156">
        <f>C956*100/C979</f>
        <v>0</v>
      </c>
      <c r="E956" s="155">
        <v>0</v>
      </c>
      <c r="F956" s="156">
        <f>E956*100/E979</f>
        <v>0</v>
      </c>
      <c r="G956" s="155">
        <v>0</v>
      </c>
      <c r="H956" s="156">
        <f>G956*100/G979</f>
        <v>0</v>
      </c>
      <c r="I956" s="155">
        <v>0</v>
      </c>
      <c r="J956" s="212">
        <f>I956*100/I979</f>
        <v>0</v>
      </c>
      <c r="K956" s="223">
        <f t="shared" si="52"/>
        <v>0</v>
      </c>
      <c r="L956" s="224">
        <f t="shared" si="50"/>
        <v>0</v>
      </c>
    </row>
    <row r="957" spans="1:19">
      <c r="A957" s="263">
        <f t="shared" si="51"/>
        <v>5.9999999994</v>
      </c>
      <c r="B957" s="264">
        <v>6</v>
      </c>
      <c r="C957" s="153">
        <v>0</v>
      </c>
      <c r="D957" s="154">
        <f>C957*100/C979</f>
        <v>0</v>
      </c>
      <c r="E957" s="153">
        <v>0</v>
      </c>
      <c r="F957" s="154">
        <f>E957*100/E979</f>
        <v>0</v>
      </c>
      <c r="G957" s="153">
        <v>0</v>
      </c>
      <c r="H957" s="154">
        <f>G957*100/G979</f>
        <v>0</v>
      </c>
      <c r="I957" s="153">
        <v>0</v>
      </c>
      <c r="J957" s="211">
        <f>I957*100/I979</f>
        <v>0</v>
      </c>
      <c r="K957" s="215">
        <f t="shared" si="52"/>
        <v>0</v>
      </c>
      <c r="L957" s="216">
        <f t="shared" si="50"/>
        <v>0</v>
      </c>
    </row>
    <row r="958" spans="1:19">
      <c r="A958" s="263">
        <f t="shared" si="51"/>
        <v>6.4999999993499999</v>
      </c>
      <c r="B958" s="268">
        <v>6.5</v>
      </c>
      <c r="C958" s="155">
        <v>0</v>
      </c>
      <c r="D958" s="156">
        <f>C958*100/C979</f>
        <v>0</v>
      </c>
      <c r="E958" s="155">
        <v>0</v>
      </c>
      <c r="F958" s="156">
        <f>E958*100/E979</f>
        <v>0</v>
      </c>
      <c r="G958" s="155">
        <v>0</v>
      </c>
      <c r="H958" s="156">
        <f>G958*100/G979</f>
        <v>0</v>
      </c>
      <c r="I958" s="155">
        <v>0</v>
      </c>
      <c r="J958" s="212">
        <f>I958*100/I979</f>
        <v>0</v>
      </c>
      <c r="K958" s="223">
        <f t="shared" si="52"/>
        <v>0</v>
      </c>
      <c r="L958" s="224">
        <f t="shared" si="50"/>
        <v>0</v>
      </c>
    </row>
    <row r="959" spans="1:19">
      <c r="A959" s="263">
        <f t="shared" si="51"/>
        <v>6.9999999992999999</v>
      </c>
      <c r="B959" s="264">
        <v>7</v>
      </c>
      <c r="C959" s="153">
        <v>0</v>
      </c>
      <c r="D959" s="154">
        <f>C959*100/C979</f>
        <v>0</v>
      </c>
      <c r="E959" s="153">
        <v>0</v>
      </c>
      <c r="F959" s="154">
        <f>E959*100/E979</f>
        <v>0</v>
      </c>
      <c r="G959" s="153">
        <v>0</v>
      </c>
      <c r="H959" s="154">
        <f>G959*100/G979</f>
        <v>0</v>
      </c>
      <c r="I959" s="153">
        <v>0</v>
      </c>
      <c r="J959" s="211">
        <f>I959*100/I979</f>
        <v>0</v>
      </c>
      <c r="K959" s="215">
        <f t="shared" si="52"/>
        <v>0</v>
      </c>
      <c r="L959" s="216">
        <f t="shared" si="50"/>
        <v>0</v>
      </c>
    </row>
    <row r="960" spans="1:19">
      <c r="A960" s="263">
        <f t="shared" si="51"/>
        <v>7.4999999992499999</v>
      </c>
      <c r="B960" s="268">
        <v>7.5</v>
      </c>
      <c r="C960" s="155">
        <v>0</v>
      </c>
      <c r="D960" s="156">
        <f>C960*100/C979</f>
        <v>0</v>
      </c>
      <c r="E960" s="155">
        <v>0</v>
      </c>
      <c r="F960" s="156">
        <f>E960*100/E979</f>
        <v>0</v>
      </c>
      <c r="G960" s="155">
        <v>0</v>
      </c>
      <c r="H960" s="156">
        <f>G960*100/G979</f>
        <v>0</v>
      </c>
      <c r="I960" s="155">
        <v>0</v>
      </c>
      <c r="J960" s="212">
        <f>I960*100/I979</f>
        <v>0</v>
      </c>
      <c r="K960" s="223">
        <f t="shared" si="52"/>
        <v>0</v>
      </c>
      <c r="L960" s="224">
        <f t="shared" si="50"/>
        <v>0</v>
      </c>
    </row>
    <row r="961" spans="1:12">
      <c r="A961" s="263">
        <f t="shared" si="51"/>
        <v>7.9999999991999999</v>
      </c>
      <c r="B961" s="264">
        <v>8</v>
      </c>
      <c r="C961" s="153">
        <v>0</v>
      </c>
      <c r="D961" s="154">
        <f>C961*100/C979</f>
        <v>0</v>
      </c>
      <c r="E961" s="153">
        <v>0</v>
      </c>
      <c r="F961" s="154">
        <f>E961*100/E979</f>
        <v>0</v>
      </c>
      <c r="G961" s="153">
        <v>0</v>
      </c>
      <c r="H961" s="154">
        <f>G961*100/G979</f>
        <v>0</v>
      </c>
      <c r="I961" s="153">
        <v>0</v>
      </c>
      <c r="J961" s="211">
        <f>I961*100/I979</f>
        <v>0</v>
      </c>
      <c r="K961" s="215">
        <f t="shared" si="52"/>
        <v>0</v>
      </c>
      <c r="L961" s="216">
        <f t="shared" si="50"/>
        <v>0</v>
      </c>
    </row>
    <row r="962" spans="1:12">
      <c r="A962" s="263">
        <f t="shared" si="51"/>
        <v>8.499999999149999</v>
      </c>
      <c r="B962" s="268">
        <v>8.5</v>
      </c>
      <c r="C962" s="155">
        <v>0</v>
      </c>
      <c r="D962" s="156">
        <f>C962*100/C979</f>
        <v>0</v>
      </c>
      <c r="E962" s="155">
        <v>0</v>
      </c>
      <c r="F962" s="156">
        <f>E962*100/E979</f>
        <v>0</v>
      </c>
      <c r="G962" s="155">
        <v>0</v>
      </c>
      <c r="H962" s="156">
        <f>G962*100/G979</f>
        <v>0</v>
      </c>
      <c r="I962" s="155">
        <v>0</v>
      </c>
      <c r="J962" s="212">
        <f>I962*100/I979</f>
        <v>0</v>
      </c>
      <c r="K962" s="223">
        <f t="shared" si="52"/>
        <v>0</v>
      </c>
      <c r="L962" s="224">
        <f t="shared" si="50"/>
        <v>0</v>
      </c>
    </row>
    <row r="963" spans="1:12">
      <c r="A963" s="263">
        <f t="shared" si="51"/>
        <v>8.9999999990999999</v>
      </c>
      <c r="B963" s="264">
        <v>9</v>
      </c>
      <c r="C963" s="153">
        <v>0</v>
      </c>
      <c r="D963" s="154">
        <f>C963*100/C979</f>
        <v>0</v>
      </c>
      <c r="E963" s="153">
        <v>0</v>
      </c>
      <c r="F963" s="154">
        <f>E963*100/E979</f>
        <v>0</v>
      </c>
      <c r="G963" s="153">
        <v>0</v>
      </c>
      <c r="H963" s="154">
        <f>G963*100/G979</f>
        <v>0</v>
      </c>
      <c r="I963" s="153">
        <v>0</v>
      </c>
      <c r="J963" s="211">
        <f>I963*100/I979</f>
        <v>0</v>
      </c>
      <c r="K963" s="215">
        <f t="shared" si="52"/>
        <v>0</v>
      </c>
      <c r="L963" s="216">
        <f t="shared" si="50"/>
        <v>0</v>
      </c>
    </row>
    <row r="964" spans="1:12">
      <c r="A964" s="263">
        <f t="shared" si="51"/>
        <v>9.4999999990500008</v>
      </c>
      <c r="B964" s="268">
        <v>9.5</v>
      </c>
      <c r="C964" s="155">
        <v>0</v>
      </c>
      <c r="D964" s="156">
        <f>C964*100/C979</f>
        <v>0</v>
      </c>
      <c r="E964" s="155">
        <v>0</v>
      </c>
      <c r="F964" s="156">
        <f>E964*100/E979</f>
        <v>0</v>
      </c>
      <c r="G964" s="155">
        <v>0</v>
      </c>
      <c r="H964" s="156">
        <f>G964*100/G979</f>
        <v>0</v>
      </c>
      <c r="I964" s="155">
        <v>0</v>
      </c>
      <c r="J964" s="212">
        <f>I964*100/I979</f>
        <v>0</v>
      </c>
      <c r="K964" s="223">
        <f t="shared" si="52"/>
        <v>0</v>
      </c>
      <c r="L964" s="224">
        <f t="shared" si="50"/>
        <v>0</v>
      </c>
    </row>
    <row r="965" spans="1:12">
      <c r="A965" s="263">
        <f t="shared" si="51"/>
        <v>9.9999999989999999</v>
      </c>
      <c r="B965" s="264">
        <v>10</v>
      </c>
      <c r="C965" s="153">
        <v>0</v>
      </c>
      <c r="D965" s="154">
        <f>C965*100/C979</f>
        <v>0</v>
      </c>
      <c r="E965" s="153">
        <v>0</v>
      </c>
      <c r="F965" s="154">
        <f>E965*100/E979</f>
        <v>0</v>
      </c>
      <c r="G965" s="153">
        <v>0</v>
      </c>
      <c r="H965" s="154">
        <f>G965*100/G979</f>
        <v>0</v>
      </c>
      <c r="I965" s="153">
        <v>0</v>
      </c>
      <c r="J965" s="211">
        <f>I965*100/I979</f>
        <v>0</v>
      </c>
      <c r="K965" s="215">
        <f t="shared" si="52"/>
        <v>0</v>
      </c>
      <c r="L965" s="216">
        <f t="shared" si="50"/>
        <v>0</v>
      </c>
    </row>
    <row r="966" spans="1:12">
      <c r="A966" s="263">
        <f t="shared" si="51"/>
        <v>10.499999998949999</v>
      </c>
      <c r="B966" s="268">
        <v>10.5</v>
      </c>
      <c r="C966" s="155">
        <v>0</v>
      </c>
      <c r="D966" s="156">
        <f>C966*100/C979</f>
        <v>0</v>
      </c>
      <c r="E966" s="155">
        <v>0</v>
      </c>
      <c r="F966" s="156">
        <f>E966*100/E979</f>
        <v>0</v>
      </c>
      <c r="G966" s="155">
        <v>0</v>
      </c>
      <c r="H966" s="156">
        <f>G966*100/G979</f>
        <v>0</v>
      </c>
      <c r="I966" s="155">
        <v>0</v>
      </c>
      <c r="J966" s="212">
        <f>I966*100/I979</f>
        <v>0</v>
      </c>
      <c r="K966" s="223">
        <f t="shared" si="52"/>
        <v>0</v>
      </c>
      <c r="L966" s="224">
        <f t="shared" si="50"/>
        <v>0</v>
      </c>
    </row>
    <row r="967" spans="1:12">
      <c r="A967" s="263">
        <f t="shared" si="51"/>
        <v>10.9999999989</v>
      </c>
      <c r="B967" s="264">
        <v>11</v>
      </c>
      <c r="C967" s="153">
        <v>0</v>
      </c>
      <c r="D967" s="154">
        <f>C967*100/C979</f>
        <v>0</v>
      </c>
      <c r="E967" s="153">
        <v>0</v>
      </c>
      <c r="F967" s="154">
        <f>E967*100/E979</f>
        <v>0</v>
      </c>
      <c r="G967" s="153">
        <v>0</v>
      </c>
      <c r="H967" s="154">
        <f>G967*100/G979</f>
        <v>0</v>
      </c>
      <c r="I967" s="153">
        <v>0</v>
      </c>
      <c r="J967" s="211">
        <f>I967*100/I979</f>
        <v>0</v>
      </c>
      <c r="K967" s="215">
        <f t="shared" si="52"/>
        <v>0</v>
      </c>
      <c r="L967" s="216">
        <f t="shared" si="50"/>
        <v>0</v>
      </c>
    </row>
    <row r="968" spans="1:12">
      <c r="A968" s="263">
        <f t="shared" si="51"/>
        <v>11.499999998850001</v>
      </c>
      <c r="B968" s="268">
        <v>11.5</v>
      </c>
      <c r="C968" s="155">
        <v>0</v>
      </c>
      <c r="D968" s="156">
        <f>C968*100/C979</f>
        <v>0</v>
      </c>
      <c r="E968" s="155">
        <v>0</v>
      </c>
      <c r="F968" s="156">
        <f>E968*100/E979</f>
        <v>0</v>
      </c>
      <c r="G968" s="155">
        <v>0</v>
      </c>
      <c r="H968" s="156">
        <f>G968*100/G979</f>
        <v>0</v>
      </c>
      <c r="I968" s="155">
        <v>0</v>
      </c>
      <c r="J968" s="212">
        <f>I968*100/I979</f>
        <v>0</v>
      </c>
      <c r="K968" s="223">
        <f t="shared" si="52"/>
        <v>0</v>
      </c>
      <c r="L968" s="224">
        <f t="shared" si="50"/>
        <v>0</v>
      </c>
    </row>
    <row r="969" spans="1:12">
      <c r="A969" s="263">
        <f t="shared" si="51"/>
        <v>11.9999999988</v>
      </c>
      <c r="B969" s="264">
        <v>12</v>
      </c>
      <c r="C969" s="153">
        <v>0</v>
      </c>
      <c r="D969" s="154">
        <f>C969*100/C979</f>
        <v>0</v>
      </c>
      <c r="E969" s="153">
        <v>0</v>
      </c>
      <c r="F969" s="154">
        <f>E969*100/E979</f>
        <v>0</v>
      </c>
      <c r="G969" s="153">
        <v>0</v>
      </c>
      <c r="H969" s="154">
        <f>G969*100/G979</f>
        <v>0</v>
      </c>
      <c r="I969" s="153">
        <v>0</v>
      </c>
      <c r="J969" s="211">
        <f>I969*100/I979</f>
        <v>0</v>
      </c>
      <c r="K969" s="215">
        <f t="shared" si="52"/>
        <v>0</v>
      </c>
      <c r="L969" s="216">
        <f t="shared" si="50"/>
        <v>0</v>
      </c>
    </row>
    <row r="970" spans="1:12">
      <c r="A970" s="263">
        <f t="shared" si="51"/>
        <v>12.499999998749999</v>
      </c>
      <c r="B970" s="268">
        <v>12.5</v>
      </c>
      <c r="C970" s="155">
        <v>0</v>
      </c>
      <c r="D970" s="156">
        <f>C970*100/C979</f>
        <v>0</v>
      </c>
      <c r="E970" s="155">
        <v>0</v>
      </c>
      <c r="F970" s="156">
        <f>E970*100/E979</f>
        <v>0</v>
      </c>
      <c r="G970" s="155">
        <v>0</v>
      </c>
      <c r="H970" s="156">
        <f>G970*100/G979</f>
        <v>0</v>
      </c>
      <c r="I970" s="155">
        <v>0</v>
      </c>
      <c r="J970" s="212">
        <f>I970*100/I979</f>
        <v>0</v>
      </c>
      <c r="K970" s="223">
        <f t="shared" si="52"/>
        <v>0</v>
      </c>
      <c r="L970" s="224">
        <f t="shared" si="50"/>
        <v>0</v>
      </c>
    </row>
    <row r="971" spans="1:12">
      <c r="A971" s="263">
        <f t="shared" si="51"/>
        <v>12.9999999987</v>
      </c>
      <c r="B971" s="264">
        <v>13</v>
      </c>
      <c r="C971" s="153">
        <v>0</v>
      </c>
      <c r="D971" s="154">
        <f>C971*100/C979</f>
        <v>0</v>
      </c>
      <c r="E971" s="153">
        <v>0</v>
      </c>
      <c r="F971" s="154">
        <f>E971*100/E979</f>
        <v>0</v>
      </c>
      <c r="G971" s="153">
        <v>0</v>
      </c>
      <c r="H971" s="154">
        <f>G971*100/G979</f>
        <v>0</v>
      </c>
      <c r="I971" s="153">
        <v>0</v>
      </c>
      <c r="J971" s="211">
        <f>I971*100/I979</f>
        <v>0</v>
      </c>
      <c r="K971" s="215">
        <f t="shared" si="52"/>
        <v>0</v>
      </c>
      <c r="L971" s="216">
        <f t="shared" si="50"/>
        <v>0</v>
      </c>
    </row>
    <row r="972" spans="1:12">
      <c r="A972" s="263">
        <f t="shared" si="51"/>
        <v>13.499999998650001</v>
      </c>
      <c r="B972" s="268">
        <v>13.5</v>
      </c>
      <c r="C972" s="155">
        <v>0</v>
      </c>
      <c r="D972" s="157">
        <f>C972*100/C979</f>
        <v>0</v>
      </c>
      <c r="E972" s="158">
        <v>0</v>
      </c>
      <c r="F972" s="157">
        <f>E972*100/E979</f>
        <v>0</v>
      </c>
      <c r="G972" s="158">
        <v>0</v>
      </c>
      <c r="H972" s="157">
        <f>G972*100/G979</f>
        <v>0</v>
      </c>
      <c r="I972" s="158">
        <v>0</v>
      </c>
      <c r="J972" s="213">
        <f>I972*100/I979</f>
        <v>0</v>
      </c>
      <c r="K972" s="223">
        <f t="shared" si="52"/>
        <v>0</v>
      </c>
      <c r="L972" s="224">
        <f t="shared" si="50"/>
        <v>0</v>
      </c>
    </row>
    <row r="973" spans="1:12">
      <c r="A973" s="263">
        <f t="shared" si="51"/>
        <v>13.9999999986</v>
      </c>
      <c r="B973" s="456">
        <v>14</v>
      </c>
      <c r="C973" s="219">
        <v>0</v>
      </c>
      <c r="D973" s="220">
        <f>C973*100/C979</f>
        <v>0</v>
      </c>
      <c r="E973" s="221">
        <v>0</v>
      </c>
      <c r="F973" s="220">
        <f>E973*100/E979</f>
        <v>0</v>
      </c>
      <c r="G973" s="221">
        <v>0</v>
      </c>
      <c r="H973" s="220">
        <f>G973*100/G979</f>
        <v>0</v>
      </c>
      <c r="I973" s="221">
        <v>0</v>
      </c>
      <c r="J973" s="222">
        <f>I973*100/I979</f>
        <v>0</v>
      </c>
      <c r="K973" s="215">
        <f t="shared" si="52"/>
        <v>0</v>
      </c>
      <c r="L973" s="216">
        <f t="shared" si="50"/>
        <v>0</v>
      </c>
    </row>
    <row r="974" spans="1:12">
      <c r="A974" s="263">
        <f t="shared" si="51"/>
        <v>14.499999998549999</v>
      </c>
      <c r="B974" s="268">
        <v>14.5</v>
      </c>
      <c r="C974" s="155">
        <v>0</v>
      </c>
      <c r="D974" s="157">
        <f>C974*100/C979</f>
        <v>0</v>
      </c>
      <c r="E974" s="158">
        <v>0</v>
      </c>
      <c r="F974" s="157">
        <f>E974*100/E979</f>
        <v>0</v>
      </c>
      <c r="G974" s="158">
        <v>0</v>
      </c>
      <c r="H974" s="157">
        <f>G974*100/G979</f>
        <v>0</v>
      </c>
      <c r="I974" s="158">
        <v>0</v>
      </c>
      <c r="J974" s="213">
        <f>I974*100/I979</f>
        <v>0</v>
      </c>
      <c r="K974" s="223">
        <f t="shared" si="52"/>
        <v>0</v>
      </c>
      <c r="L974" s="224">
        <f t="shared" si="50"/>
        <v>0</v>
      </c>
    </row>
    <row r="975" spans="1:12">
      <c r="A975" s="263">
        <f t="shared" si="51"/>
        <v>14.9999999985</v>
      </c>
      <c r="B975" s="456">
        <v>15</v>
      </c>
      <c r="C975" s="219">
        <v>0</v>
      </c>
      <c r="D975" s="220">
        <f>C975*100/C979</f>
        <v>0</v>
      </c>
      <c r="E975" s="221">
        <v>0</v>
      </c>
      <c r="F975" s="220">
        <f>E975*100/E979</f>
        <v>0</v>
      </c>
      <c r="G975" s="221">
        <v>0</v>
      </c>
      <c r="H975" s="220">
        <f>G975*100/G979</f>
        <v>0</v>
      </c>
      <c r="I975" s="221">
        <v>0</v>
      </c>
      <c r="J975" s="222">
        <f>I975*100/I979</f>
        <v>0</v>
      </c>
      <c r="K975" s="215">
        <f t="shared" si="52"/>
        <v>0</v>
      </c>
      <c r="L975" s="216">
        <f t="shared" si="50"/>
        <v>0</v>
      </c>
    </row>
    <row r="976" spans="1:12">
      <c r="A976" s="263">
        <f t="shared" si="51"/>
        <v>15.499999998450001</v>
      </c>
      <c r="B976" s="268">
        <v>15.5</v>
      </c>
      <c r="C976" s="155">
        <v>0</v>
      </c>
      <c r="D976" s="157">
        <f>C976*100/C979</f>
        <v>0</v>
      </c>
      <c r="E976" s="158">
        <v>0</v>
      </c>
      <c r="F976" s="157">
        <f>E976*100/E979</f>
        <v>0</v>
      </c>
      <c r="G976" s="158">
        <v>0</v>
      </c>
      <c r="H976" s="157">
        <f>G976*100/G979</f>
        <v>0</v>
      </c>
      <c r="I976" s="158">
        <v>0</v>
      </c>
      <c r="J976" s="213">
        <f>I976*100/I979</f>
        <v>0</v>
      </c>
      <c r="K976" s="223">
        <f t="shared" si="52"/>
        <v>0</v>
      </c>
      <c r="L976" s="224">
        <f t="shared" si="50"/>
        <v>0</v>
      </c>
    </row>
    <row r="977" spans="1:12">
      <c r="A977" s="263">
        <f t="shared" si="51"/>
        <v>15.9999999984</v>
      </c>
      <c r="B977" s="456">
        <v>16</v>
      </c>
      <c r="C977" s="219">
        <v>0</v>
      </c>
      <c r="D977" s="220">
        <f>C977*100/C979</f>
        <v>0</v>
      </c>
      <c r="E977" s="221">
        <v>0</v>
      </c>
      <c r="F977" s="220">
        <f>E977*100/E979</f>
        <v>0</v>
      </c>
      <c r="G977" s="221">
        <v>0</v>
      </c>
      <c r="H977" s="220">
        <f>G977*100/G979</f>
        <v>0</v>
      </c>
      <c r="I977" s="221">
        <v>0</v>
      </c>
      <c r="J977" s="222">
        <f>I977*100/I979</f>
        <v>0</v>
      </c>
      <c r="K977" s="215">
        <f t="shared" si="52"/>
        <v>0</v>
      </c>
      <c r="L977" s="216">
        <f t="shared" si="50"/>
        <v>0</v>
      </c>
    </row>
    <row r="978" spans="1:12" ht="15" thickBot="1">
      <c r="A978" s="159">
        <f>0.9999999999*B978</f>
        <v>16.499999998349999</v>
      </c>
      <c r="B978" s="275">
        <v>16.5</v>
      </c>
      <c r="C978" s="160">
        <v>0</v>
      </c>
      <c r="D978" s="168">
        <f>C978*100/C979</f>
        <v>0</v>
      </c>
      <c r="E978" s="158">
        <v>0</v>
      </c>
      <c r="F978" s="157">
        <f>E978*100/E979</f>
        <v>0</v>
      </c>
      <c r="G978" s="158">
        <v>0</v>
      </c>
      <c r="H978" s="157">
        <f>G978*100/G979</f>
        <v>0</v>
      </c>
      <c r="I978" s="158">
        <v>0</v>
      </c>
      <c r="J978" s="214">
        <f>I978*100/I979</f>
        <v>0</v>
      </c>
      <c r="K978" s="223">
        <f t="shared" si="52"/>
        <v>0</v>
      </c>
      <c r="L978" s="224">
        <f t="shared" si="50"/>
        <v>0</v>
      </c>
    </row>
    <row r="979" spans="1:12" ht="15" thickBot="1">
      <c r="A979" s="806" t="s">
        <v>396</v>
      </c>
      <c r="B979" s="806"/>
      <c r="C979" s="161">
        <f>SUM(C950:C978)+0.0000000001</f>
        <v>1E-10</v>
      </c>
      <c r="D979" s="163">
        <f>SUM(D951:D978)</f>
        <v>0</v>
      </c>
      <c r="E979" s="162">
        <f>SUM(E950:E978)+0.0000000001</f>
        <v>1E-10</v>
      </c>
      <c r="F979" s="163">
        <f>SUM(F950:F978)</f>
        <v>0</v>
      </c>
      <c r="G979" s="162">
        <f>SUM(G950:G978)+0.0000000001</f>
        <v>1E-10</v>
      </c>
      <c r="H979" s="163">
        <f>SUM(H950:H978)</f>
        <v>0</v>
      </c>
      <c r="I979" s="162">
        <f>SUM(I950:I978)+0.0000000001</f>
        <v>1E-10</v>
      </c>
      <c r="J979" s="279">
        <f>SUM(J950:J978)</f>
        <v>0</v>
      </c>
      <c r="K979" s="227">
        <f>SUM(K950:K978)</f>
        <v>0</v>
      </c>
      <c r="L979" s="217">
        <f>SUM(L950:L978)</f>
        <v>0</v>
      </c>
    </row>
    <row r="980" spans="1:12" ht="15" thickBot="1">
      <c r="A980" s="778">
        <f>C979+E979+G979+I979</f>
        <v>4.0000000000000001E-10</v>
      </c>
      <c r="B980" s="779"/>
      <c r="C980" s="779"/>
      <c r="D980" s="779"/>
      <c r="E980" s="779"/>
      <c r="F980" s="779"/>
      <c r="G980" s="779"/>
      <c r="H980" s="779"/>
      <c r="I980" s="779"/>
      <c r="J980" s="780"/>
      <c r="K980" s="139"/>
      <c r="L980" s="139"/>
    </row>
    <row r="996" spans="1:19">
      <c r="O996" s="781" t="s">
        <v>911</v>
      </c>
      <c r="P996" s="781"/>
      <c r="Q996" s="781"/>
      <c r="R996" s="781"/>
      <c r="S996" s="781"/>
    </row>
    <row r="997" spans="1:19" ht="15" thickBot="1"/>
    <row r="998" spans="1:19" ht="27" customHeight="1" thickBot="1">
      <c r="A998" s="778" t="s">
        <v>501</v>
      </c>
      <c r="B998" s="780"/>
      <c r="C998" s="799" t="s">
        <v>492</v>
      </c>
      <c r="D998" s="803"/>
      <c r="E998" s="800" t="s">
        <v>495</v>
      </c>
      <c r="F998" s="804"/>
      <c r="G998" s="799" t="s">
        <v>493</v>
      </c>
      <c r="H998" s="803"/>
      <c r="I998" s="800" t="s">
        <v>494</v>
      </c>
      <c r="J998" s="805"/>
      <c r="K998" s="794" t="s">
        <v>496</v>
      </c>
      <c r="L998" s="796" t="s">
        <v>497</v>
      </c>
    </row>
    <row r="999" spans="1:19" ht="15" thickBot="1">
      <c r="A999" s="141" t="s">
        <v>887</v>
      </c>
      <c r="B999" s="251" t="s">
        <v>243</v>
      </c>
      <c r="C999" s="143" t="s">
        <v>397</v>
      </c>
      <c r="D999" s="144" t="s">
        <v>945</v>
      </c>
      <c r="E999" s="145" t="s">
        <v>397</v>
      </c>
      <c r="F999" s="146" t="s">
        <v>945</v>
      </c>
      <c r="G999" s="147" t="s">
        <v>397</v>
      </c>
      <c r="H999" s="148" t="s">
        <v>945</v>
      </c>
      <c r="I999" s="145" t="s">
        <v>397</v>
      </c>
      <c r="J999" s="209" t="s">
        <v>945</v>
      </c>
      <c r="K999" s="795"/>
      <c r="L999" s="797"/>
    </row>
    <row r="1000" spans="1:19">
      <c r="A1000" s="259">
        <f>0.9999999999*B1000</f>
        <v>2.49999999975</v>
      </c>
      <c r="B1000" s="260">
        <v>2.5</v>
      </c>
      <c r="C1000" s="150">
        <f t="array" ref="C1000:C1028">FREQUENCY(Discrete!FN3:FN79,Hists!A1001:A1028)</f>
        <v>0</v>
      </c>
      <c r="D1000" s="151">
        <f>C1000*100/C1029</f>
        <v>0</v>
      </c>
      <c r="E1000" s="150">
        <f t="array" ref="E1000:E1028">FREQUENCY(IC!GJ3:GJ64,Hists!A1001:A1028)</f>
        <v>0</v>
      </c>
      <c r="F1000" s="151">
        <f>E1000*100/E1029</f>
        <v>0</v>
      </c>
      <c r="G1000" s="150">
        <f t="array" ref="G1000:G1028">FREQUENCY(Discrete!FO3:FO79,Hists!A1001:A1028)</f>
        <v>0</v>
      </c>
      <c r="H1000" s="151">
        <f>G1000*100/G1029</f>
        <v>0</v>
      </c>
      <c r="I1000" s="150">
        <f t="array" ref="I1000:I1028">FREQUENCY(IC!GK3:GK64,Hists!A1001:A1028)</f>
        <v>0</v>
      </c>
      <c r="J1000" s="210">
        <f>I1000*100/I1029</f>
        <v>0</v>
      </c>
      <c r="K1000" s="225"/>
      <c r="L1000" s="226"/>
    </row>
    <row r="1001" spans="1:19">
      <c r="A1001" s="152">
        <f>0.9999999999*B1001</f>
        <v>2.9999999997</v>
      </c>
      <c r="B1001" s="264">
        <v>3</v>
      </c>
      <c r="C1001" s="153">
        <v>0</v>
      </c>
      <c r="D1001" s="154">
        <f>C1001*100/C1029</f>
        <v>0</v>
      </c>
      <c r="E1001" s="153">
        <v>0</v>
      </c>
      <c r="F1001" s="154">
        <f>E1001*100/E1029</f>
        <v>0</v>
      </c>
      <c r="G1001" s="153">
        <v>0</v>
      </c>
      <c r="H1001" s="154">
        <f>G1001*100/G1029</f>
        <v>0</v>
      </c>
      <c r="I1001" s="153">
        <v>0</v>
      </c>
      <c r="J1001" s="211">
        <f>I1001*100/I1029</f>
        <v>0</v>
      </c>
      <c r="K1001" s="215">
        <f>0.5*(D1001+F1001)</f>
        <v>0</v>
      </c>
      <c r="L1001" s="216">
        <f t="shared" ref="L1001:L1028" si="53">0.5*(H1001+J1001)</f>
        <v>0</v>
      </c>
    </row>
    <row r="1002" spans="1:19">
      <c r="A1002" s="263">
        <f t="shared" ref="A1002:A1027" si="54">0.9999999999*B1002</f>
        <v>3.49999999965</v>
      </c>
      <c r="B1002" s="268">
        <v>3.5</v>
      </c>
      <c r="C1002" s="155">
        <v>0</v>
      </c>
      <c r="D1002" s="156">
        <f>C1002*100/C1029</f>
        <v>0</v>
      </c>
      <c r="E1002" s="155">
        <v>0</v>
      </c>
      <c r="F1002" s="156">
        <f>E1002*100/E1029</f>
        <v>0</v>
      </c>
      <c r="G1002" s="155">
        <v>0</v>
      </c>
      <c r="H1002" s="156">
        <f>G1002*100/G1029</f>
        <v>0</v>
      </c>
      <c r="I1002" s="155">
        <v>0</v>
      </c>
      <c r="J1002" s="212">
        <f>I1002*100/I1029</f>
        <v>0</v>
      </c>
      <c r="K1002" s="223">
        <f>0.5*(D1002+F1002)</f>
        <v>0</v>
      </c>
      <c r="L1002" s="224">
        <f t="shared" si="53"/>
        <v>0</v>
      </c>
    </row>
    <row r="1003" spans="1:19">
      <c r="A1003" s="263">
        <f t="shared" si="54"/>
        <v>3.9999999996</v>
      </c>
      <c r="B1003" s="264">
        <v>4</v>
      </c>
      <c r="C1003" s="153">
        <v>0</v>
      </c>
      <c r="D1003" s="154">
        <f>C1003*100/C1029</f>
        <v>0</v>
      </c>
      <c r="E1003" s="153">
        <v>0</v>
      </c>
      <c r="F1003" s="154">
        <f>E1003*100/E1029</f>
        <v>0</v>
      </c>
      <c r="G1003" s="153">
        <v>0</v>
      </c>
      <c r="H1003" s="154">
        <f>G1003*100/G1029</f>
        <v>0</v>
      </c>
      <c r="I1003" s="153">
        <v>0</v>
      </c>
      <c r="J1003" s="211">
        <f>I1003*100/I1029</f>
        <v>0</v>
      </c>
      <c r="K1003" s="215">
        <f>0.5*(D1003+F1003)</f>
        <v>0</v>
      </c>
      <c r="L1003" s="216">
        <f t="shared" si="53"/>
        <v>0</v>
      </c>
    </row>
    <row r="1004" spans="1:19">
      <c r="A1004" s="263">
        <f t="shared" si="54"/>
        <v>4.49999999955</v>
      </c>
      <c r="B1004" s="268">
        <v>4.5</v>
      </c>
      <c r="C1004" s="155">
        <v>0</v>
      </c>
      <c r="D1004" s="156">
        <f>C1004*100/C1029</f>
        <v>0</v>
      </c>
      <c r="E1004" s="155">
        <v>0</v>
      </c>
      <c r="F1004" s="156">
        <f>E1004*100/E1029</f>
        <v>0</v>
      </c>
      <c r="G1004" s="155">
        <v>0</v>
      </c>
      <c r="H1004" s="156">
        <f>G1004*100/G1029</f>
        <v>0</v>
      </c>
      <c r="I1004" s="155">
        <v>0</v>
      </c>
      <c r="J1004" s="212">
        <f>I1004*100/I1029</f>
        <v>0</v>
      </c>
      <c r="K1004" s="223">
        <f t="shared" ref="K1004:K1028" si="55">0.5*(D1004+F1004)</f>
        <v>0</v>
      </c>
      <c r="L1004" s="224">
        <f t="shared" si="53"/>
        <v>0</v>
      </c>
    </row>
    <row r="1005" spans="1:19">
      <c r="A1005" s="263">
        <f t="shared" si="54"/>
        <v>4.9999999995</v>
      </c>
      <c r="B1005" s="264">
        <v>5</v>
      </c>
      <c r="C1005" s="153">
        <v>0</v>
      </c>
      <c r="D1005" s="154">
        <f>C1005*100/C1029</f>
        <v>0</v>
      </c>
      <c r="E1005" s="153">
        <v>0</v>
      </c>
      <c r="F1005" s="154">
        <f>E1005*100/E1029</f>
        <v>0</v>
      </c>
      <c r="G1005" s="153">
        <v>0</v>
      </c>
      <c r="H1005" s="154">
        <f>G1005*100/G1029</f>
        <v>0</v>
      </c>
      <c r="I1005" s="153">
        <v>0</v>
      </c>
      <c r="J1005" s="211">
        <f>I1005*100/I1029</f>
        <v>0</v>
      </c>
      <c r="K1005" s="215">
        <f t="shared" si="55"/>
        <v>0</v>
      </c>
      <c r="L1005" s="216">
        <f t="shared" si="53"/>
        <v>0</v>
      </c>
    </row>
    <row r="1006" spans="1:19">
      <c r="A1006" s="263">
        <f t="shared" si="54"/>
        <v>5.49999999945</v>
      </c>
      <c r="B1006" s="268">
        <v>5.5</v>
      </c>
      <c r="C1006" s="155">
        <v>0</v>
      </c>
      <c r="D1006" s="156">
        <f>C1006*100/C1029</f>
        <v>0</v>
      </c>
      <c r="E1006" s="155">
        <v>0</v>
      </c>
      <c r="F1006" s="156">
        <f>E1006*100/E1029</f>
        <v>0</v>
      </c>
      <c r="G1006" s="155">
        <v>0</v>
      </c>
      <c r="H1006" s="156">
        <f>G1006*100/G1029</f>
        <v>0</v>
      </c>
      <c r="I1006" s="155">
        <v>0</v>
      </c>
      <c r="J1006" s="212">
        <f>I1006*100/I1029</f>
        <v>0</v>
      </c>
      <c r="K1006" s="223">
        <f t="shared" si="55"/>
        <v>0</v>
      </c>
      <c r="L1006" s="224">
        <f t="shared" si="53"/>
        <v>0</v>
      </c>
    </row>
    <row r="1007" spans="1:19">
      <c r="A1007" s="263">
        <f t="shared" si="54"/>
        <v>5.9999999994</v>
      </c>
      <c r="B1007" s="264">
        <v>6</v>
      </c>
      <c r="C1007" s="153">
        <v>0</v>
      </c>
      <c r="D1007" s="154">
        <f>C1007*100/C1029</f>
        <v>0</v>
      </c>
      <c r="E1007" s="153">
        <v>0</v>
      </c>
      <c r="F1007" s="154">
        <f>E1007*100/E1029</f>
        <v>0</v>
      </c>
      <c r="G1007" s="153">
        <v>0</v>
      </c>
      <c r="H1007" s="154">
        <f>G1007*100/G1029</f>
        <v>0</v>
      </c>
      <c r="I1007" s="153">
        <v>0</v>
      </c>
      <c r="J1007" s="211">
        <f>I1007*100/I1029</f>
        <v>0</v>
      </c>
      <c r="K1007" s="215">
        <f t="shared" si="55"/>
        <v>0</v>
      </c>
      <c r="L1007" s="216">
        <f t="shared" si="53"/>
        <v>0</v>
      </c>
    </row>
    <row r="1008" spans="1:19">
      <c r="A1008" s="263">
        <f t="shared" si="54"/>
        <v>6.4999999993499999</v>
      </c>
      <c r="B1008" s="268">
        <v>6.5</v>
      </c>
      <c r="C1008" s="155">
        <v>0</v>
      </c>
      <c r="D1008" s="156">
        <f>C1008*100/C1029</f>
        <v>0</v>
      </c>
      <c r="E1008" s="155">
        <v>0</v>
      </c>
      <c r="F1008" s="156">
        <f>E1008*100/E1029</f>
        <v>0</v>
      </c>
      <c r="G1008" s="155">
        <v>0</v>
      </c>
      <c r="H1008" s="156">
        <f>G1008*100/G1029</f>
        <v>0</v>
      </c>
      <c r="I1008" s="155">
        <v>0</v>
      </c>
      <c r="J1008" s="212">
        <f>I1008*100/I1029</f>
        <v>0</v>
      </c>
      <c r="K1008" s="223">
        <f t="shared" si="55"/>
        <v>0</v>
      </c>
      <c r="L1008" s="224">
        <f t="shared" si="53"/>
        <v>0</v>
      </c>
    </row>
    <row r="1009" spans="1:12">
      <c r="A1009" s="263">
        <f t="shared" si="54"/>
        <v>6.9999999992999999</v>
      </c>
      <c r="B1009" s="264">
        <v>7</v>
      </c>
      <c r="C1009" s="153">
        <v>0</v>
      </c>
      <c r="D1009" s="154">
        <f>C1009*100/C1029</f>
        <v>0</v>
      </c>
      <c r="E1009" s="153">
        <v>0</v>
      </c>
      <c r="F1009" s="154">
        <f>E1009*100/E1029</f>
        <v>0</v>
      </c>
      <c r="G1009" s="153">
        <v>0</v>
      </c>
      <c r="H1009" s="154">
        <f>G1009*100/G1029</f>
        <v>0</v>
      </c>
      <c r="I1009" s="153">
        <v>0</v>
      </c>
      <c r="J1009" s="211">
        <f>I1009*100/I1029</f>
        <v>0</v>
      </c>
      <c r="K1009" s="215">
        <f t="shared" si="55"/>
        <v>0</v>
      </c>
      <c r="L1009" s="216">
        <f t="shared" si="53"/>
        <v>0</v>
      </c>
    </row>
    <row r="1010" spans="1:12">
      <c r="A1010" s="263">
        <f t="shared" si="54"/>
        <v>7.4999999992499999</v>
      </c>
      <c r="B1010" s="268">
        <v>7.5</v>
      </c>
      <c r="C1010" s="155">
        <v>0</v>
      </c>
      <c r="D1010" s="156">
        <f>C1010*100/C1029</f>
        <v>0</v>
      </c>
      <c r="E1010" s="155">
        <v>0</v>
      </c>
      <c r="F1010" s="156">
        <f>E1010*100/E1029</f>
        <v>0</v>
      </c>
      <c r="G1010" s="155">
        <v>0</v>
      </c>
      <c r="H1010" s="156">
        <f>G1010*100/G1029</f>
        <v>0</v>
      </c>
      <c r="I1010" s="155">
        <v>0</v>
      </c>
      <c r="J1010" s="212">
        <f>I1010*100/I1029</f>
        <v>0</v>
      </c>
      <c r="K1010" s="223">
        <f t="shared" si="55"/>
        <v>0</v>
      </c>
      <c r="L1010" s="224">
        <f t="shared" si="53"/>
        <v>0</v>
      </c>
    </row>
    <row r="1011" spans="1:12">
      <c r="A1011" s="263">
        <f t="shared" si="54"/>
        <v>7.9999999991999999</v>
      </c>
      <c r="B1011" s="264">
        <v>8</v>
      </c>
      <c r="C1011" s="153">
        <v>0</v>
      </c>
      <c r="D1011" s="154">
        <f>C1011*100/C1029</f>
        <v>0</v>
      </c>
      <c r="E1011" s="153">
        <v>0</v>
      </c>
      <c r="F1011" s="154">
        <f>E1011*100/E1029</f>
        <v>0</v>
      </c>
      <c r="G1011" s="153">
        <v>0</v>
      </c>
      <c r="H1011" s="154">
        <f>G1011*100/G1029</f>
        <v>0</v>
      </c>
      <c r="I1011" s="153">
        <v>0</v>
      </c>
      <c r="J1011" s="211">
        <f>I1011*100/I1029</f>
        <v>0</v>
      </c>
      <c r="K1011" s="215">
        <f t="shared" si="55"/>
        <v>0</v>
      </c>
      <c r="L1011" s="216">
        <f t="shared" si="53"/>
        <v>0</v>
      </c>
    </row>
    <row r="1012" spans="1:12">
      <c r="A1012" s="263">
        <f t="shared" si="54"/>
        <v>8.499999999149999</v>
      </c>
      <c r="B1012" s="268">
        <v>8.5</v>
      </c>
      <c r="C1012" s="155">
        <v>0</v>
      </c>
      <c r="D1012" s="156">
        <f>C1012*100/C1029</f>
        <v>0</v>
      </c>
      <c r="E1012" s="155">
        <v>0</v>
      </c>
      <c r="F1012" s="156">
        <f>E1012*100/E1029</f>
        <v>0</v>
      </c>
      <c r="G1012" s="155">
        <v>0</v>
      </c>
      <c r="H1012" s="156">
        <f>G1012*100/G1029</f>
        <v>0</v>
      </c>
      <c r="I1012" s="155">
        <v>0</v>
      </c>
      <c r="J1012" s="212">
        <f>I1012*100/I1029</f>
        <v>0</v>
      </c>
      <c r="K1012" s="223">
        <f t="shared" si="55"/>
        <v>0</v>
      </c>
      <c r="L1012" s="224">
        <f t="shared" si="53"/>
        <v>0</v>
      </c>
    </row>
    <row r="1013" spans="1:12">
      <c r="A1013" s="263">
        <f t="shared" si="54"/>
        <v>8.9999999990999999</v>
      </c>
      <c r="B1013" s="264">
        <v>9</v>
      </c>
      <c r="C1013" s="153">
        <v>0</v>
      </c>
      <c r="D1013" s="154">
        <f>C1013*100/C1029</f>
        <v>0</v>
      </c>
      <c r="E1013" s="153">
        <v>0</v>
      </c>
      <c r="F1013" s="154">
        <f>E1013*100/E1029</f>
        <v>0</v>
      </c>
      <c r="G1013" s="153">
        <v>0</v>
      </c>
      <c r="H1013" s="154">
        <f>G1013*100/G1029</f>
        <v>0</v>
      </c>
      <c r="I1013" s="153">
        <v>0</v>
      </c>
      <c r="J1013" s="211">
        <f>I1013*100/I1029</f>
        <v>0</v>
      </c>
      <c r="K1013" s="215">
        <f t="shared" si="55"/>
        <v>0</v>
      </c>
      <c r="L1013" s="216">
        <f t="shared" si="53"/>
        <v>0</v>
      </c>
    </row>
    <row r="1014" spans="1:12">
      <c r="A1014" s="263">
        <f t="shared" si="54"/>
        <v>9.4999999990500008</v>
      </c>
      <c r="B1014" s="268">
        <v>9.5</v>
      </c>
      <c r="C1014" s="155">
        <v>0</v>
      </c>
      <c r="D1014" s="156">
        <f>C1014*100/C1029</f>
        <v>0</v>
      </c>
      <c r="E1014" s="155">
        <v>0</v>
      </c>
      <c r="F1014" s="156">
        <f>E1014*100/E1029</f>
        <v>0</v>
      </c>
      <c r="G1014" s="155">
        <v>0</v>
      </c>
      <c r="H1014" s="156">
        <f>G1014*100/G1029</f>
        <v>0</v>
      </c>
      <c r="I1014" s="155">
        <v>0</v>
      </c>
      <c r="J1014" s="212">
        <f>I1014*100/I1029</f>
        <v>0</v>
      </c>
      <c r="K1014" s="223">
        <f t="shared" si="55"/>
        <v>0</v>
      </c>
      <c r="L1014" s="224">
        <f t="shared" si="53"/>
        <v>0</v>
      </c>
    </row>
    <row r="1015" spans="1:12">
      <c r="A1015" s="263">
        <f t="shared" si="54"/>
        <v>9.9999999989999999</v>
      </c>
      <c r="B1015" s="264">
        <v>10</v>
      </c>
      <c r="C1015" s="153">
        <v>0</v>
      </c>
      <c r="D1015" s="154">
        <f>C1015*100/C1029</f>
        <v>0</v>
      </c>
      <c r="E1015" s="153">
        <v>0</v>
      </c>
      <c r="F1015" s="154">
        <f>E1015*100/E1029</f>
        <v>0</v>
      </c>
      <c r="G1015" s="153">
        <v>0</v>
      </c>
      <c r="H1015" s="154">
        <f>G1015*100/G1029</f>
        <v>0</v>
      </c>
      <c r="I1015" s="153">
        <v>0</v>
      </c>
      <c r="J1015" s="211">
        <f>I1015*100/I1029</f>
        <v>0</v>
      </c>
      <c r="K1015" s="215">
        <f t="shared" si="55"/>
        <v>0</v>
      </c>
      <c r="L1015" s="216">
        <f t="shared" si="53"/>
        <v>0</v>
      </c>
    </row>
    <row r="1016" spans="1:12">
      <c r="A1016" s="263">
        <f t="shared" si="54"/>
        <v>10.499999998949999</v>
      </c>
      <c r="B1016" s="268">
        <v>10.5</v>
      </c>
      <c r="C1016" s="155">
        <v>0</v>
      </c>
      <c r="D1016" s="156">
        <f>C1016*100/C1029</f>
        <v>0</v>
      </c>
      <c r="E1016" s="155">
        <v>0</v>
      </c>
      <c r="F1016" s="156">
        <f>E1016*100/E1029</f>
        <v>0</v>
      </c>
      <c r="G1016" s="155">
        <v>0</v>
      </c>
      <c r="H1016" s="156">
        <f>G1016*100/G1029</f>
        <v>0</v>
      </c>
      <c r="I1016" s="155">
        <v>0</v>
      </c>
      <c r="J1016" s="212">
        <f>I1016*100/I1029</f>
        <v>0</v>
      </c>
      <c r="K1016" s="223">
        <f t="shared" si="55"/>
        <v>0</v>
      </c>
      <c r="L1016" s="224">
        <f t="shared" si="53"/>
        <v>0</v>
      </c>
    </row>
    <row r="1017" spans="1:12">
      <c r="A1017" s="263">
        <f t="shared" si="54"/>
        <v>10.9999999989</v>
      </c>
      <c r="B1017" s="264">
        <v>11</v>
      </c>
      <c r="C1017" s="153">
        <v>0</v>
      </c>
      <c r="D1017" s="154">
        <f>C1017*100/C1029</f>
        <v>0</v>
      </c>
      <c r="E1017" s="153">
        <v>0</v>
      </c>
      <c r="F1017" s="154">
        <f>E1017*100/E1029</f>
        <v>0</v>
      </c>
      <c r="G1017" s="153">
        <v>0</v>
      </c>
      <c r="H1017" s="154">
        <f>G1017*100/G1029</f>
        <v>0</v>
      </c>
      <c r="I1017" s="153">
        <v>0</v>
      </c>
      <c r="J1017" s="211">
        <f>I1017*100/I1029</f>
        <v>0</v>
      </c>
      <c r="K1017" s="215">
        <f t="shared" si="55"/>
        <v>0</v>
      </c>
      <c r="L1017" s="216">
        <f t="shared" si="53"/>
        <v>0</v>
      </c>
    </row>
    <row r="1018" spans="1:12">
      <c r="A1018" s="263">
        <f t="shared" si="54"/>
        <v>11.499999998850001</v>
      </c>
      <c r="B1018" s="268">
        <v>11.5</v>
      </c>
      <c r="C1018" s="155">
        <v>0</v>
      </c>
      <c r="D1018" s="156">
        <f>C1018*100/C1029</f>
        <v>0</v>
      </c>
      <c r="E1018" s="155">
        <v>0</v>
      </c>
      <c r="F1018" s="156">
        <f>E1018*100/E1029</f>
        <v>0</v>
      </c>
      <c r="G1018" s="155">
        <v>0</v>
      </c>
      <c r="H1018" s="156">
        <f>G1018*100/G1029</f>
        <v>0</v>
      </c>
      <c r="I1018" s="155">
        <v>0</v>
      </c>
      <c r="J1018" s="212">
        <f>I1018*100/I1029</f>
        <v>0</v>
      </c>
      <c r="K1018" s="223">
        <f t="shared" si="55"/>
        <v>0</v>
      </c>
      <c r="L1018" s="224">
        <f t="shared" si="53"/>
        <v>0</v>
      </c>
    </row>
    <row r="1019" spans="1:12">
      <c r="A1019" s="263">
        <f t="shared" si="54"/>
        <v>11.9999999988</v>
      </c>
      <c r="B1019" s="264">
        <v>12</v>
      </c>
      <c r="C1019" s="153">
        <v>0</v>
      </c>
      <c r="D1019" s="154">
        <f>C1019*100/C1029</f>
        <v>0</v>
      </c>
      <c r="E1019" s="153">
        <v>0</v>
      </c>
      <c r="F1019" s="154">
        <f>E1019*100/E1029</f>
        <v>0</v>
      </c>
      <c r="G1019" s="153">
        <v>0</v>
      </c>
      <c r="H1019" s="154">
        <f>G1019*100/G1029</f>
        <v>0</v>
      </c>
      <c r="I1019" s="153">
        <v>1</v>
      </c>
      <c r="J1019" s="211">
        <f>I1019*100/I1029</f>
        <v>99.999999990000006</v>
      </c>
      <c r="K1019" s="215">
        <f t="shared" si="55"/>
        <v>0</v>
      </c>
      <c r="L1019" s="216">
        <f t="shared" si="53"/>
        <v>49.999999995000003</v>
      </c>
    </row>
    <row r="1020" spans="1:12">
      <c r="A1020" s="263">
        <f t="shared" si="54"/>
        <v>12.499999998749999</v>
      </c>
      <c r="B1020" s="268">
        <v>12.5</v>
      </c>
      <c r="C1020" s="155">
        <v>0</v>
      </c>
      <c r="D1020" s="156">
        <f>C1020*100/C1029</f>
        <v>0</v>
      </c>
      <c r="E1020" s="155">
        <v>0</v>
      </c>
      <c r="F1020" s="156">
        <f>E1020*100/E1029</f>
        <v>0</v>
      </c>
      <c r="G1020" s="155">
        <v>0</v>
      </c>
      <c r="H1020" s="156">
        <f>G1020*100/G1029</f>
        <v>0</v>
      </c>
      <c r="I1020" s="155">
        <v>0</v>
      </c>
      <c r="J1020" s="212">
        <f>I1020*100/I1029</f>
        <v>0</v>
      </c>
      <c r="K1020" s="223">
        <f t="shared" si="55"/>
        <v>0</v>
      </c>
      <c r="L1020" s="224">
        <f t="shared" si="53"/>
        <v>0</v>
      </c>
    </row>
    <row r="1021" spans="1:12">
      <c r="A1021" s="263">
        <f t="shared" si="54"/>
        <v>12.9999999987</v>
      </c>
      <c r="B1021" s="264">
        <v>13</v>
      </c>
      <c r="C1021" s="153">
        <v>0</v>
      </c>
      <c r="D1021" s="154">
        <f>C1021*100/C1029</f>
        <v>0</v>
      </c>
      <c r="E1021" s="153">
        <v>0</v>
      </c>
      <c r="F1021" s="154">
        <f>E1021*100/E1029</f>
        <v>0</v>
      </c>
      <c r="G1021" s="153">
        <v>0</v>
      </c>
      <c r="H1021" s="154">
        <f>G1021*100/G1029</f>
        <v>0</v>
      </c>
      <c r="I1021" s="153">
        <v>0</v>
      </c>
      <c r="J1021" s="211">
        <f>I1021*100/I1029</f>
        <v>0</v>
      </c>
      <c r="K1021" s="215">
        <f t="shared" si="55"/>
        <v>0</v>
      </c>
      <c r="L1021" s="216">
        <f t="shared" si="53"/>
        <v>0</v>
      </c>
    </row>
    <row r="1022" spans="1:12">
      <c r="A1022" s="263">
        <f t="shared" si="54"/>
        <v>13.499999998650001</v>
      </c>
      <c r="B1022" s="268">
        <v>13.5</v>
      </c>
      <c r="C1022" s="155">
        <v>0</v>
      </c>
      <c r="D1022" s="157">
        <f>C1022*100/C1029</f>
        <v>0</v>
      </c>
      <c r="E1022" s="158">
        <v>0</v>
      </c>
      <c r="F1022" s="157">
        <f>E1022*100/E1029</f>
        <v>0</v>
      </c>
      <c r="G1022" s="158">
        <v>0</v>
      </c>
      <c r="H1022" s="157">
        <f>G1022*100/G1029</f>
        <v>0</v>
      </c>
      <c r="I1022" s="158">
        <v>0</v>
      </c>
      <c r="J1022" s="213">
        <f>I1022*100/I1029</f>
        <v>0</v>
      </c>
      <c r="K1022" s="223">
        <f t="shared" si="55"/>
        <v>0</v>
      </c>
      <c r="L1022" s="224">
        <f t="shared" si="53"/>
        <v>0</v>
      </c>
    </row>
    <row r="1023" spans="1:12">
      <c r="A1023" s="263">
        <f t="shared" si="54"/>
        <v>13.9999999986</v>
      </c>
      <c r="B1023" s="456">
        <v>14</v>
      </c>
      <c r="C1023" s="219">
        <v>0</v>
      </c>
      <c r="D1023" s="220">
        <f>C1023*100/C1029</f>
        <v>0</v>
      </c>
      <c r="E1023" s="221">
        <v>0</v>
      </c>
      <c r="F1023" s="220">
        <f>E1023*100/E1029</f>
        <v>0</v>
      </c>
      <c r="G1023" s="221">
        <v>0</v>
      </c>
      <c r="H1023" s="220">
        <f>G1023*100/G1029</f>
        <v>0</v>
      </c>
      <c r="I1023" s="221">
        <v>0</v>
      </c>
      <c r="J1023" s="222">
        <f>I1023*100/I1029</f>
        <v>0</v>
      </c>
      <c r="K1023" s="215">
        <f t="shared" si="55"/>
        <v>0</v>
      </c>
      <c r="L1023" s="216">
        <f t="shared" si="53"/>
        <v>0</v>
      </c>
    </row>
    <row r="1024" spans="1:12">
      <c r="A1024" s="263">
        <f t="shared" si="54"/>
        <v>14.499999998549999</v>
      </c>
      <c r="B1024" s="268">
        <v>14.5</v>
      </c>
      <c r="C1024" s="155">
        <v>0</v>
      </c>
      <c r="D1024" s="157">
        <f>C1024*100/C1029</f>
        <v>0</v>
      </c>
      <c r="E1024" s="158">
        <v>0</v>
      </c>
      <c r="F1024" s="157">
        <f>E1024*100/E1029</f>
        <v>0</v>
      </c>
      <c r="G1024" s="158">
        <v>0</v>
      </c>
      <c r="H1024" s="157">
        <f>G1024*100/G1029</f>
        <v>0</v>
      </c>
      <c r="I1024" s="158">
        <v>0</v>
      </c>
      <c r="J1024" s="213">
        <f>I1024*100/I1029</f>
        <v>0</v>
      </c>
      <c r="K1024" s="223">
        <f t="shared" si="55"/>
        <v>0</v>
      </c>
      <c r="L1024" s="224">
        <f t="shared" si="53"/>
        <v>0</v>
      </c>
    </row>
    <row r="1025" spans="1:12">
      <c r="A1025" s="263">
        <f t="shared" si="54"/>
        <v>14.9999999985</v>
      </c>
      <c r="B1025" s="456">
        <v>15</v>
      </c>
      <c r="C1025" s="219">
        <v>0</v>
      </c>
      <c r="D1025" s="220">
        <f>C1025*100/C1029</f>
        <v>0</v>
      </c>
      <c r="E1025" s="221">
        <v>0</v>
      </c>
      <c r="F1025" s="220">
        <f>E1025*100/E1029</f>
        <v>0</v>
      </c>
      <c r="G1025" s="221">
        <v>0</v>
      </c>
      <c r="H1025" s="220">
        <f>G1025*100/G1029</f>
        <v>0</v>
      </c>
      <c r="I1025" s="221">
        <v>0</v>
      </c>
      <c r="J1025" s="222">
        <f>I1025*100/I1029</f>
        <v>0</v>
      </c>
      <c r="K1025" s="215">
        <f t="shared" si="55"/>
        <v>0</v>
      </c>
      <c r="L1025" s="216">
        <f t="shared" si="53"/>
        <v>0</v>
      </c>
    </row>
    <row r="1026" spans="1:12">
      <c r="A1026" s="263">
        <f t="shared" si="54"/>
        <v>15.499999998450001</v>
      </c>
      <c r="B1026" s="268">
        <v>15.5</v>
      </c>
      <c r="C1026" s="155">
        <v>0</v>
      </c>
      <c r="D1026" s="157">
        <f>C1026*100/C1029</f>
        <v>0</v>
      </c>
      <c r="E1026" s="158">
        <v>0</v>
      </c>
      <c r="F1026" s="157">
        <f>E1026*100/E1029</f>
        <v>0</v>
      </c>
      <c r="G1026" s="158">
        <v>0</v>
      </c>
      <c r="H1026" s="157">
        <f>G1026*100/G1029</f>
        <v>0</v>
      </c>
      <c r="I1026" s="158">
        <v>0</v>
      </c>
      <c r="J1026" s="213">
        <f>I1026*100/I1029</f>
        <v>0</v>
      </c>
      <c r="K1026" s="223">
        <f t="shared" si="55"/>
        <v>0</v>
      </c>
      <c r="L1026" s="224">
        <f t="shared" si="53"/>
        <v>0</v>
      </c>
    </row>
    <row r="1027" spans="1:12">
      <c r="A1027" s="263">
        <f t="shared" si="54"/>
        <v>15.9999999984</v>
      </c>
      <c r="B1027" s="456">
        <v>16</v>
      </c>
      <c r="C1027" s="219">
        <v>0</v>
      </c>
      <c r="D1027" s="220">
        <f>C1027*100/C1029</f>
        <v>0</v>
      </c>
      <c r="E1027" s="221">
        <v>0</v>
      </c>
      <c r="F1027" s="220">
        <f>E1027*100/E1029</f>
        <v>0</v>
      </c>
      <c r="G1027" s="221">
        <v>0</v>
      </c>
      <c r="H1027" s="220">
        <f>G1027*100/G1029</f>
        <v>0</v>
      </c>
      <c r="I1027" s="221">
        <v>0</v>
      </c>
      <c r="J1027" s="222">
        <f>I1027*100/I1029</f>
        <v>0</v>
      </c>
      <c r="K1027" s="215">
        <f t="shared" si="55"/>
        <v>0</v>
      </c>
      <c r="L1027" s="216">
        <f t="shared" si="53"/>
        <v>0</v>
      </c>
    </row>
    <row r="1028" spans="1:12" ht="15" thickBot="1">
      <c r="A1028" s="159">
        <f>0.9999999999*B1028</f>
        <v>16.499999998349999</v>
      </c>
      <c r="B1028" s="275">
        <v>16.5</v>
      </c>
      <c r="C1028" s="160">
        <v>0</v>
      </c>
      <c r="D1028" s="168">
        <f>C1028*100/C1029</f>
        <v>0</v>
      </c>
      <c r="E1028" s="158">
        <v>0</v>
      </c>
      <c r="F1028" s="157">
        <f>E1028*100/E1029</f>
        <v>0</v>
      </c>
      <c r="G1028" s="158">
        <v>0</v>
      </c>
      <c r="H1028" s="157">
        <f>G1028*100/G1029</f>
        <v>0</v>
      </c>
      <c r="I1028" s="158">
        <v>0</v>
      </c>
      <c r="J1028" s="214">
        <f>I1028*100/I1029</f>
        <v>0</v>
      </c>
      <c r="K1028" s="223">
        <f t="shared" si="55"/>
        <v>0</v>
      </c>
      <c r="L1028" s="224">
        <f t="shared" si="53"/>
        <v>0</v>
      </c>
    </row>
    <row r="1029" spans="1:12" ht="15" thickBot="1">
      <c r="A1029" s="806" t="s">
        <v>396</v>
      </c>
      <c r="B1029" s="806"/>
      <c r="C1029" s="161">
        <f>SUM(C1000:C1028)+0.0000000001</f>
        <v>1E-10</v>
      </c>
      <c r="D1029" s="163">
        <f>SUM(D1001:D1028)</f>
        <v>0</v>
      </c>
      <c r="E1029" s="162">
        <f>SUM(E1000:E1028)+0.0000000001</f>
        <v>1E-10</v>
      </c>
      <c r="F1029" s="163">
        <f>SUM(F1000:F1028)</f>
        <v>0</v>
      </c>
      <c r="G1029" s="162">
        <f>SUM(G1000:G1028)+0.0000000001</f>
        <v>1E-10</v>
      </c>
      <c r="H1029" s="163">
        <f>SUM(H1000:H1028)</f>
        <v>0</v>
      </c>
      <c r="I1029" s="162">
        <f>SUM(I1000:I1028)+0.0000000001</f>
        <v>1.0000000001</v>
      </c>
      <c r="J1029" s="279">
        <f>SUM(J1000:J1028)</f>
        <v>99.999999990000006</v>
      </c>
      <c r="K1029" s="227">
        <f>SUM(K1000:K1028)</f>
        <v>0</v>
      </c>
      <c r="L1029" s="217">
        <f>SUM(L1000:L1028)</f>
        <v>49.999999995000003</v>
      </c>
    </row>
    <row r="1030" spans="1:12" ht="15" thickBot="1">
      <c r="A1030" s="778">
        <f>C1029+E1029+G1029+I1029</f>
        <v>1.0000000004</v>
      </c>
      <c r="B1030" s="779"/>
      <c r="C1030" s="779"/>
      <c r="D1030" s="779"/>
      <c r="E1030" s="779"/>
      <c r="F1030" s="779"/>
      <c r="G1030" s="779"/>
      <c r="H1030" s="779"/>
      <c r="I1030" s="779"/>
      <c r="J1030" s="780"/>
      <c r="K1030" s="139"/>
      <c r="L1030" s="139"/>
    </row>
    <row r="1046" spans="1:19">
      <c r="O1046" s="781" t="s">
        <v>912</v>
      </c>
      <c r="P1046" s="781"/>
      <c r="Q1046" s="781"/>
      <c r="R1046" s="781"/>
      <c r="S1046" s="781"/>
    </row>
    <row r="1047" spans="1:19" ht="15" thickBot="1"/>
    <row r="1048" spans="1:19" ht="27" customHeight="1" thickBot="1">
      <c r="A1048" s="778" t="s">
        <v>428</v>
      </c>
      <c r="B1048" s="780"/>
      <c r="C1048" s="799" t="s">
        <v>492</v>
      </c>
      <c r="D1048" s="803"/>
      <c r="E1048" s="800" t="s">
        <v>495</v>
      </c>
      <c r="F1048" s="804"/>
      <c r="G1048" s="799" t="s">
        <v>493</v>
      </c>
      <c r="H1048" s="803"/>
      <c r="I1048" s="800" t="s">
        <v>494</v>
      </c>
      <c r="J1048" s="805"/>
      <c r="K1048" s="794" t="s">
        <v>496</v>
      </c>
      <c r="L1048" s="796" t="s">
        <v>497</v>
      </c>
    </row>
    <row r="1049" spans="1:19" ht="15" thickBot="1">
      <c r="A1049" s="141" t="s">
        <v>887</v>
      </c>
      <c r="B1049" s="251" t="s">
        <v>243</v>
      </c>
      <c r="C1049" s="143" t="s">
        <v>397</v>
      </c>
      <c r="D1049" s="144" t="s">
        <v>945</v>
      </c>
      <c r="E1049" s="145" t="s">
        <v>397</v>
      </c>
      <c r="F1049" s="146" t="s">
        <v>945</v>
      </c>
      <c r="G1049" s="147" t="s">
        <v>397</v>
      </c>
      <c r="H1049" s="148" t="s">
        <v>945</v>
      </c>
      <c r="I1049" s="145" t="s">
        <v>397</v>
      </c>
      <c r="J1049" s="209" t="s">
        <v>945</v>
      </c>
      <c r="K1049" s="795"/>
      <c r="L1049" s="797"/>
    </row>
    <row r="1050" spans="1:19">
      <c r="A1050" s="259">
        <f>0.9999999999*B1050</f>
        <v>2.49999999975</v>
      </c>
      <c r="B1050" s="260">
        <v>2.5</v>
      </c>
      <c r="C1050" s="150">
        <f t="array" ref="C1050:C1078">FREQUENCY(Discrete!FS3:FS79,Hists!A1051:A1078)</f>
        <v>0</v>
      </c>
      <c r="D1050" s="151">
        <f>C1050*100/C1079</f>
        <v>0</v>
      </c>
      <c r="E1050" s="150">
        <f t="array" ref="E1050:E1078">FREQUENCY(IC!GO3:GO64,Hists!A1051:A1078)</f>
        <v>0</v>
      </c>
      <c r="F1050" s="151">
        <f>E1050*100/E1079</f>
        <v>0</v>
      </c>
      <c r="G1050" s="150">
        <f t="array" ref="G1050:G1078">FREQUENCY(Discrete!FT3:FT79,Hists!A1051:A1078)</f>
        <v>0</v>
      </c>
      <c r="H1050" s="151">
        <f>G1050*100/G1079</f>
        <v>0</v>
      </c>
      <c r="I1050" s="150">
        <f t="array" ref="I1050:I1078">FREQUENCY(IC!GP3:GP64,Hists!A1051:A1078)</f>
        <v>0</v>
      </c>
      <c r="J1050" s="210">
        <f>I1050*100/I1079</f>
        <v>0</v>
      </c>
      <c r="K1050" s="225"/>
      <c r="L1050" s="226"/>
    </row>
    <row r="1051" spans="1:19">
      <c r="A1051" s="152">
        <f>0.9999999999*B1051</f>
        <v>2.9999999997</v>
      </c>
      <c r="B1051" s="264">
        <v>3</v>
      </c>
      <c r="C1051" s="153">
        <v>0</v>
      </c>
      <c r="D1051" s="154">
        <f>C1051*100/C1079</f>
        <v>0</v>
      </c>
      <c r="E1051" s="153">
        <v>0</v>
      </c>
      <c r="F1051" s="154">
        <f>E1051*100/E1079</f>
        <v>0</v>
      </c>
      <c r="G1051" s="153">
        <v>0</v>
      </c>
      <c r="H1051" s="154">
        <f>G1051*100/G1079</f>
        <v>0</v>
      </c>
      <c r="I1051" s="153">
        <v>0</v>
      </c>
      <c r="J1051" s="211">
        <f>I1051*100/I1079</f>
        <v>0</v>
      </c>
      <c r="K1051" s="215">
        <f>0.5*(D1051+F1051)</f>
        <v>0</v>
      </c>
      <c r="L1051" s="216">
        <f t="shared" ref="L1051:L1078" si="56">0.5*(H1051+J1051)</f>
        <v>0</v>
      </c>
    </row>
    <row r="1052" spans="1:19">
      <c r="A1052" s="263">
        <f t="shared" ref="A1052:A1077" si="57">0.9999999999*B1052</f>
        <v>3.49999999965</v>
      </c>
      <c r="B1052" s="268">
        <v>3.5</v>
      </c>
      <c r="C1052" s="155">
        <v>0</v>
      </c>
      <c r="D1052" s="156">
        <f>C1052*100/C1079</f>
        <v>0</v>
      </c>
      <c r="E1052" s="155">
        <v>0</v>
      </c>
      <c r="F1052" s="156">
        <f>E1052*100/E1079</f>
        <v>0</v>
      </c>
      <c r="G1052" s="155">
        <v>0</v>
      </c>
      <c r="H1052" s="156">
        <f>G1052*100/G1079</f>
        <v>0</v>
      </c>
      <c r="I1052" s="155">
        <v>0</v>
      </c>
      <c r="J1052" s="212">
        <f>I1052*100/I1079</f>
        <v>0</v>
      </c>
      <c r="K1052" s="223">
        <f>0.5*(D1052+F1052)</f>
        <v>0</v>
      </c>
      <c r="L1052" s="224">
        <f t="shared" si="56"/>
        <v>0</v>
      </c>
    </row>
    <row r="1053" spans="1:19">
      <c r="A1053" s="263">
        <f t="shared" si="57"/>
        <v>3.9999999996</v>
      </c>
      <c r="B1053" s="264">
        <v>4</v>
      </c>
      <c r="C1053" s="153">
        <v>0</v>
      </c>
      <c r="D1053" s="154">
        <f>C1053*100/C1079</f>
        <v>0</v>
      </c>
      <c r="E1053" s="153">
        <v>0</v>
      </c>
      <c r="F1053" s="154">
        <f>E1053*100/E1079</f>
        <v>0</v>
      </c>
      <c r="G1053" s="153">
        <v>0</v>
      </c>
      <c r="H1053" s="154">
        <f>G1053*100/G1079</f>
        <v>0</v>
      </c>
      <c r="I1053" s="153">
        <v>0</v>
      </c>
      <c r="J1053" s="211">
        <f>I1053*100/I1079</f>
        <v>0</v>
      </c>
      <c r="K1053" s="215">
        <f>0.5*(D1053+F1053)</f>
        <v>0</v>
      </c>
      <c r="L1053" s="216">
        <f t="shared" si="56"/>
        <v>0</v>
      </c>
    </row>
    <row r="1054" spans="1:19">
      <c r="A1054" s="263">
        <f t="shared" si="57"/>
        <v>4.49999999955</v>
      </c>
      <c r="B1054" s="268">
        <v>4.5</v>
      </c>
      <c r="C1054" s="155">
        <v>0</v>
      </c>
      <c r="D1054" s="156">
        <f>C1054*100/C1079</f>
        <v>0</v>
      </c>
      <c r="E1054" s="155">
        <v>0</v>
      </c>
      <c r="F1054" s="156">
        <f>E1054*100/E1079</f>
        <v>0</v>
      </c>
      <c r="G1054" s="155">
        <v>0</v>
      </c>
      <c r="H1054" s="156">
        <f>G1054*100/G1079</f>
        <v>0</v>
      </c>
      <c r="I1054" s="155">
        <v>0</v>
      </c>
      <c r="J1054" s="212">
        <f>I1054*100/I1079</f>
        <v>0</v>
      </c>
      <c r="K1054" s="223">
        <f t="shared" ref="K1054:K1078" si="58">0.5*(D1054+F1054)</f>
        <v>0</v>
      </c>
      <c r="L1054" s="224">
        <f t="shared" si="56"/>
        <v>0</v>
      </c>
    </row>
    <row r="1055" spans="1:19">
      <c r="A1055" s="263">
        <f t="shared" si="57"/>
        <v>4.9999999995</v>
      </c>
      <c r="B1055" s="264">
        <v>5</v>
      </c>
      <c r="C1055" s="153">
        <v>0</v>
      </c>
      <c r="D1055" s="154">
        <f>C1055*100/C1079</f>
        <v>0</v>
      </c>
      <c r="E1055" s="153">
        <v>0</v>
      </c>
      <c r="F1055" s="154">
        <f>E1055*100/E1079</f>
        <v>0</v>
      </c>
      <c r="G1055" s="153">
        <v>0</v>
      </c>
      <c r="H1055" s="154">
        <f>G1055*100/G1079</f>
        <v>0</v>
      </c>
      <c r="I1055" s="153">
        <v>0</v>
      </c>
      <c r="J1055" s="211">
        <f>I1055*100/I1079</f>
        <v>0</v>
      </c>
      <c r="K1055" s="215">
        <f t="shared" si="58"/>
        <v>0</v>
      </c>
      <c r="L1055" s="216">
        <f t="shared" si="56"/>
        <v>0</v>
      </c>
    </row>
    <row r="1056" spans="1:19">
      <c r="A1056" s="263">
        <f t="shared" si="57"/>
        <v>5.49999999945</v>
      </c>
      <c r="B1056" s="268">
        <v>5.5</v>
      </c>
      <c r="C1056" s="155">
        <v>0</v>
      </c>
      <c r="D1056" s="156">
        <f>C1056*100/C1079</f>
        <v>0</v>
      </c>
      <c r="E1056" s="155">
        <v>0</v>
      </c>
      <c r="F1056" s="156">
        <f>E1056*100/E1079</f>
        <v>0</v>
      </c>
      <c r="G1056" s="155">
        <v>0</v>
      </c>
      <c r="H1056" s="156">
        <f>G1056*100/G1079</f>
        <v>0</v>
      </c>
      <c r="I1056" s="155">
        <v>0</v>
      </c>
      <c r="J1056" s="212">
        <f>I1056*100/I1079</f>
        <v>0</v>
      </c>
      <c r="K1056" s="223">
        <f t="shared" si="58"/>
        <v>0</v>
      </c>
      <c r="L1056" s="224">
        <f t="shared" si="56"/>
        <v>0</v>
      </c>
    </row>
    <row r="1057" spans="1:12">
      <c r="A1057" s="263">
        <f t="shared" si="57"/>
        <v>5.9999999994</v>
      </c>
      <c r="B1057" s="264">
        <v>6</v>
      </c>
      <c r="C1057" s="153">
        <v>0</v>
      </c>
      <c r="D1057" s="154">
        <f>C1057*100/C1079</f>
        <v>0</v>
      </c>
      <c r="E1057" s="153">
        <v>0</v>
      </c>
      <c r="F1057" s="154">
        <f>E1057*100/E1079</f>
        <v>0</v>
      </c>
      <c r="G1057" s="153">
        <v>0</v>
      </c>
      <c r="H1057" s="154">
        <f>G1057*100/G1079</f>
        <v>0</v>
      </c>
      <c r="I1057" s="153">
        <v>0</v>
      </c>
      <c r="J1057" s="211">
        <f>I1057*100/I1079</f>
        <v>0</v>
      </c>
      <c r="K1057" s="215">
        <f t="shared" si="58"/>
        <v>0</v>
      </c>
      <c r="L1057" s="216">
        <f t="shared" si="56"/>
        <v>0</v>
      </c>
    </row>
    <row r="1058" spans="1:12">
      <c r="A1058" s="263">
        <f t="shared" si="57"/>
        <v>6.4999999993499999</v>
      </c>
      <c r="B1058" s="268">
        <v>6.5</v>
      </c>
      <c r="C1058" s="155">
        <v>0</v>
      </c>
      <c r="D1058" s="156">
        <f>C1058*100/C1079</f>
        <v>0</v>
      </c>
      <c r="E1058" s="155">
        <v>0</v>
      </c>
      <c r="F1058" s="156">
        <f>E1058*100/E1079</f>
        <v>0</v>
      </c>
      <c r="G1058" s="155">
        <v>0</v>
      </c>
      <c r="H1058" s="156">
        <f>G1058*100/G1079</f>
        <v>0</v>
      </c>
      <c r="I1058" s="155">
        <v>0</v>
      </c>
      <c r="J1058" s="212">
        <f>I1058*100/I1079</f>
        <v>0</v>
      </c>
      <c r="K1058" s="223">
        <f t="shared" si="58"/>
        <v>0</v>
      </c>
      <c r="L1058" s="224">
        <f t="shared" si="56"/>
        <v>0</v>
      </c>
    </row>
    <row r="1059" spans="1:12">
      <c r="A1059" s="263">
        <f t="shared" si="57"/>
        <v>6.9999999992999999</v>
      </c>
      <c r="B1059" s="264">
        <v>7</v>
      </c>
      <c r="C1059" s="153">
        <v>0</v>
      </c>
      <c r="D1059" s="154">
        <f>C1059*100/C1079</f>
        <v>0</v>
      </c>
      <c r="E1059" s="153">
        <v>0</v>
      </c>
      <c r="F1059" s="154">
        <f>E1059*100/E1079</f>
        <v>0</v>
      </c>
      <c r="G1059" s="153">
        <v>0</v>
      </c>
      <c r="H1059" s="154">
        <f>G1059*100/G1079</f>
        <v>0</v>
      </c>
      <c r="I1059" s="153">
        <v>0</v>
      </c>
      <c r="J1059" s="211">
        <f>I1059*100/I1079</f>
        <v>0</v>
      </c>
      <c r="K1059" s="215">
        <f t="shared" si="58"/>
        <v>0</v>
      </c>
      <c r="L1059" s="216">
        <f t="shared" si="56"/>
        <v>0</v>
      </c>
    </row>
    <row r="1060" spans="1:12">
      <c r="A1060" s="263">
        <f t="shared" si="57"/>
        <v>7.4999999992499999</v>
      </c>
      <c r="B1060" s="268">
        <v>7.5</v>
      </c>
      <c r="C1060" s="155">
        <v>0</v>
      </c>
      <c r="D1060" s="156">
        <f>C1060*100/C1079</f>
        <v>0</v>
      </c>
      <c r="E1060" s="155">
        <v>0</v>
      </c>
      <c r="F1060" s="156">
        <f>E1060*100/E1079</f>
        <v>0</v>
      </c>
      <c r="G1060" s="155">
        <v>0</v>
      </c>
      <c r="H1060" s="156">
        <f>G1060*100/G1079</f>
        <v>0</v>
      </c>
      <c r="I1060" s="155">
        <v>0</v>
      </c>
      <c r="J1060" s="212">
        <f>I1060*100/I1079</f>
        <v>0</v>
      </c>
      <c r="K1060" s="223">
        <f t="shared" si="58"/>
        <v>0</v>
      </c>
      <c r="L1060" s="224">
        <f t="shared" si="56"/>
        <v>0</v>
      </c>
    </row>
    <row r="1061" spans="1:12">
      <c r="A1061" s="263">
        <f t="shared" si="57"/>
        <v>7.9999999991999999</v>
      </c>
      <c r="B1061" s="264">
        <v>8</v>
      </c>
      <c r="C1061" s="153">
        <v>0</v>
      </c>
      <c r="D1061" s="154">
        <f>C1061*100/C1079</f>
        <v>0</v>
      </c>
      <c r="E1061" s="153">
        <v>0</v>
      </c>
      <c r="F1061" s="154">
        <f>E1061*100/E1079</f>
        <v>0</v>
      </c>
      <c r="G1061" s="153">
        <v>0</v>
      </c>
      <c r="H1061" s="154">
        <f>G1061*100/G1079</f>
        <v>0</v>
      </c>
      <c r="I1061" s="153">
        <v>0</v>
      </c>
      <c r="J1061" s="211">
        <f>I1061*100/I1079</f>
        <v>0</v>
      </c>
      <c r="K1061" s="215">
        <f t="shared" si="58"/>
        <v>0</v>
      </c>
      <c r="L1061" s="216">
        <f t="shared" si="56"/>
        <v>0</v>
      </c>
    </row>
    <row r="1062" spans="1:12">
      <c r="A1062" s="263">
        <f t="shared" si="57"/>
        <v>8.499999999149999</v>
      </c>
      <c r="B1062" s="268">
        <v>8.5</v>
      </c>
      <c r="C1062" s="155">
        <v>0</v>
      </c>
      <c r="D1062" s="156">
        <f>C1062*100/C1079</f>
        <v>0</v>
      </c>
      <c r="E1062" s="155">
        <v>0</v>
      </c>
      <c r="F1062" s="156">
        <f>E1062*100/E1079</f>
        <v>0</v>
      </c>
      <c r="G1062" s="155">
        <v>0</v>
      </c>
      <c r="H1062" s="156">
        <f>G1062*100/G1079</f>
        <v>0</v>
      </c>
      <c r="I1062" s="155">
        <v>0</v>
      </c>
      <c r="J1062" s="212">
        <f>I1062*100/I1079</f>
        <v>0</v>
      </c>
      <c r="K1062" s="223">
        <f t="shared" si="58"/>
        <v>0</v>
      </c>
      <c r="L1062" s="224">
        <f t="shared" si="56"/>
        <v>0</v>
      </c>
    </row>
    <row r="1063" spans="1:12">
      <c r="A1063" s="263">
        <f t="shared" si="57"/>
        <v>8.9999999990999999</v>
      </c>
      <c r="B1063" s="264">
        <v>9</v>
      </c>
      <c r="C1063" s="153">
        <v>0</v>
      </c>
      <c r="D1063" s="154">
        <f>C1063*100/C1079</f>
        <v>0</v>
      </c>
      <c r="E1063" s="153">
        <v>0</v>
      </c>
      <c r="F1063" s="154">
        <f>E1063*100/E1079</f>
        <v>0</v>
      </c>
      <c r="G1063" s="153">
        <v>0</v>
      </c>
      <c r="H1063" s="154">
        <f>G1063*100/G1079</f>
        <v>0</v>
      </c>
      <c r="I1063" s="153">
        <v>0</v>
      </c>
      <c r="J1063" s="211">
        <f>I1063*100/I1079</f>
        <v>0</v>
      </c>
      <c r="K1063" s="215">
        <f t="shared" si="58"/>
        <v>0</v>
      </c>
      <c r="L1063" s="216">
        <f t="shared" si="56"/>
        <v>0</v>
      </c>
    </row>
    <row r="1064" spans="1:12">
      <c r="A1064" s="263">
        <f t="shared" si="57"/>
        <v>9.4999999990500008</v>
      </c>
      <c r="B1064" s="268">
        <v>9.5</v>
      </c>
      <c r="C1064" s="155">
        <v>0</v>
      </c>
      <c r="D1064" s="156">
        <f>C1064*100/C1079</f>
        <v>0</v>
      </c>
      <c r="E1064" s="155">
        <v>0</v>
      </c>
      <c r="F1064" s="156">
        <f>E1064*100/E1079</f>
        <v>0</v>
      </c>
      <c r="G1064" s="155">
        <v>0</v>
      </c>
      <c r="H1064" s="156">
        <f>G1064*100/G1079</f>
        <v>0</v>
      </c>
      <c r="I1064" s="155">
        <v>0</v>
      </c>
      <c r="J1064" s="212">
        <f>I1064*100/I1079</f>
        <v>0</v>
      </c>
      <c r="K1064" s="223">
        <f t="shared" si="58"/>
        <v>0</v>
      </c>
      <c r="L1064" s="224">
        <f t="shared" si="56"/>
        <v>0</v>
      </c>
    </row>
    <row r="1065" spans="1:12">
      <c r="A1065" s="263">
        <f t="shared" si="57"/>
        <v>9.9999999989999999</v>
      </c>
      <c r="B1065" s="264">
        <v>10</v>
      </c>
      <c r="C1065" s="153">
        <v>0</v>
      </c>
      <c r="D1065" s="154">
        <f>C1065*100/C1079</f>
        <v>0</v>
      </c>
      <c r="E1065" s="153">
        <v>0</v>
      </c>
      <c r="F1065" s="154">
        <f>E1065*100/E1079</f>
        <v>0</v>
      </c>
      <c r="G1065" s="153">
        <v>0</v>
      </c>
      <c r="H1065" s="154">
        <f>G1065*100/G1079</f>
        <v>0</v>
      </c>
      <c r="I1065" s="153">
        <v>0</v>
      </c>
      <c r="J1065" s="211">
        <f>I1065*100/I1079</f>
        <v>0</v>
      </c>
      <c r="K1065" s="215">
        <f t="shared" si="58"/>
        <v>0</v>
      </c>
      <c r="L1065" s="216">
        <f t="shared" si="56"/>
        <v>0</v>
      </c>
    </row>
    <row r="1066" spans="1:12">
      <c r="A1066" s="263">
        <f t="shared" si="57"/>
        <v>10.499999998949999</v>
      </c>
      <c r="B1066" s="268">
        <v>10.5</v>
      </c>
      <c r="C1066" s="155">
        <v>0</v>
      </c>
      <c r="D1066" s="156">
        <f>C1066*100/C1079</f>
        <v>0</v>
      </c>
      <c r="E1066" s="155">
        <v>0</v>
      </c>
      <c r="F1066" s="156">
        <f>E1066*100/E1079</f>
        <v>0</v>
      </c>
      <c r="G1066" s="155">
        <v>0</v>
      </c>
      <c r="H1066" s="156">
        <f>G1066*100/G1079</f>
        <v>0</v>
      </c>
      <c r="I1066" s="155">
        <v>0</v>
      </c>
      <c r="J1066" s="212">
        <f>I1066*100/I1079</f>
        <v>0</v>
      </c>
      <c r="K1066" s="223">
        <f t="shared" si="58"/>
        <v>0</v>
      </c>
      <c r="L1066" s="224">
        <f t="shared" si="56"/>
        <v>0</v>
      </c>
    </row>
    <row r="1067" spans="1:12">
      <c r="A1067" s="263">
        <f t="shared" si="57"/>
        <v>10.9999999989</v>
      </c>
      <c r="B1067" s="264">
        <v>11</v>
      </c>
      <c r="C1067" s="153">
        <v>0</v>
      </c>
      <c r="D1067" s="154">
        <f>C1067*100/C1079</f>
        <v>0</v>
      </c>
      <c r="E1067" s="153">
        <v>0</v>
      </c>
      <c r="F1067" s="154">
        <f>E1067*100/E1079</f>
        <v>0</v>
      </c>
      <c r="G1067" s="153">
        <v>0</v>
      </c>
      <c r="H1067" s="154">
        <f>G1067*100/G1079</f>
        <v>0</v>
      </c>
      <c r="I1067" s="153">
        <v>0</v>
      </c>
      <c r="J1067" s="211">
        <f>I1067*100/I1079</f>
        <v>0</v>
      </c>
      <c r="K1067" s="215">
        <f t="shared" si="58"/>
        <v>0</v>
      </c>
      <c r="L1067" s="216">
        <f t="shared" si="56"/>
        <v>0</v>
      </c>
    </row>
    <row r="1068" spans="1:12">
      <c r="A1068" s="263">
        <f t="shared" si="57"/>
        <v>11.499999998850001</v>
      </c>
      <c r="B1068" s="268">
        <v>11.5</v>
      </c>
      <c r="C1068" s="155">
        <v>0</v>
      </c>
      <c r="D1068" s="156">
        <f>C1068*100/C1079</f>
        <v>0</v>
      </c>
      <c r="E1068" s="155">
        <v>0</v>
      </c>
      <c r="F1068" s="156">
        <f>E1068*100/E1079</f>
        <v>0</v>
      </c>
      <c r="G1068" s="155">
        <v>0</v>
      </c>
      <c r="H1068" s="156">
        <f>G1068*100/G1079</f>
        <v>0</v>
      </c>
      <c r="I1068" s="155">
        <v>0</v>
      </c>
      <c r="J1068" s="212">
        <f>I1068*100/I1079</f>
        <v>0</v>
      </c>
      <c r="K1068" s="223">
        <f t="shared" si="58"/>
        <v>0</v>
      </c>
      <c r="L1068" s="224">
        <f t="shared" si="56"/>
        <v>0</v>
      </c>
    </row>
    <row r="1069" spans="1:12">
      <c r="A1069" s="263">
        <f t="shared" si="57"/>
        <v>11.9999999988</v>
      </c>
      <c r="B1069" s="264">
        <v>12</v>
      </c>
      <c r="C1069" s="153">
        <v>0</v>
      </c>
      <c r="D1069" s="154">
        <f>C1069*100/C1079</f>
        <v>0</v>
      </c>
      <c r="E1069" s="153">
        <v>0</v>
      </c>
      <c r="F1069" s="154">
        <f>E1069*100/E1079</f>
        <v>0</v>
      </c>
      <c r="G1069" s="153">
        <v>0</v>
      </c>
      <c r="H1069" s="154">
        <f>G1069*100/G1079</f>
        <v>0</v>
      </c>
      <c r="I1069" s="153">
        <v>0</v>
      </c>
      <c r="J1069" s="211">
        <f>I1069*100/I1079</f>
        <v>0</v>
      </c>
      <c r="K1069" s="215">
        <f t="shared" si="58"/>
        <v>0</v>
      </c>
      <c r="L1069" s="216">
        <f t="shared" si="56"/>
        <v>0</v>
      </c>
    </row>
    <row r="1070" spans="1:12">
      <c r="A1070" s="263">
        <f t="shared" si="57"/>
        <v>12.499999998749999</v>
      </c>
      <c r="B1070" s="268">
        <v>12.5</v>
      </c>
      <c r="C1070" s="155">
        <v>0</v>
      </c>
      <c r="D1070" s="156">
        <f>C1070*100/C1079</f>
        <v>0</v>
      </c>
      <c r="E1070" s="155">
        <v>0</v>
      </c>
      <c r="F1070" s="156">
        <f>E1070*100/E1079</f>
        <v>0</v>
      </c>
      <c r="G1070" s="155">
        <v>0</v>
      </c>
      <c r="H1070" s="156">
        <f>G1070*100/G1079</f>
        <v>0</v>
      </c>
      <c r="I1070" s="155">
        <v>0</v>
      </c>
      <c r="J1070" s="212">
        <f>I1070*100/I1079</f>
        <v>0</v>
      </c>
      <c r="K1070" s="223">
        <f t="shared" si="58"/>
        <v>0</v>
      </c>
      <c r="L1070" s="224">
        <f t="shared" si="56"/>
        <v>0</v>
      </c>
    </row>
    <row r="1071" spans="1:12">
      <c r="A1071" s="263">
        <f t="shared" si="57"/>
        <v>12.9999999987</v>
      </c>
      <c r="B1071" s="264">
        <v>13</v>
      </c>
      <c r="C1071" s="153">
        <v>0</v>
      </c>
      <c r="D1071" s="154">
        <f>C1071*100/C1079</f>
        <v>0</v>
      </c>
      <c r="E1071" s="153">
        <v>0</v>
      </c>
      <c r="F1071" s="154">
        <f>E1071*100/E1079</f>
        <v>0</v>
      </c>
      <c r="G1071" s="153">
        <v>0</v>
      </c>
      <c r="H1071" s="154">
        <f>G1071*100/G1079</f>
        <v>0</v>
      </c>
      <c r="I1071" s="153">
        <v>0</v>
      </c>
      <c r="J1071" s="211">
        <f>I1071*100/I1079</f>
        <v>0</v>
      </c>
      <c r="K1071" s="215">
        <f t="shared" si="58"/>
        <v>0</v>
      </c>
      <c r="L1071" s="216">
        <f t="shared" si="56"/>
        <v>0</v>
      </c>
    </row>
    <row r="1072" spans="1:12">
      <c r="A1072" s="263">
        <f t="shared" si="57"/>
        <v>13.499999998650001</v>
      </c>
      <c r="B1072" s="268">
        <v>13.5</v>
      </c>
      <c r="C1072" s="155">
        <v>0</v>
      </c>
      <c r="D1072" s="157">
        <f>C1072*100/C1079</f>
        <v>0</v>
      </c>
      <c r="E1072" s="158">
        <v>0</v>
      </c>
      <c r="F1072" s="157">
        <f>E1072*100/E1079</f>
        <v>0</v>
      </c>
      <c r="G1072" s="158">
        <v>0</v>
      </c>
      <c r="H1072" s="157">
        <f>G1072*100/G1079</f>
        <v>0</v>
      </c>
      <c r="I1072" s="158">
        <v>0</v>
      </c>
      <c r="J1072" s="213">
        <f>I1072*100/I1079</f>
        <v>0</v>
      </c>
      <c r="K1072" s="223">
        <f t="shared" si="58"/>
        <v>0</v>
      </c>
      <c r="L1072" s="224">
        <f t="shared" si="56"/>
        <v>0</v>
      </c>
    </row>
    <row r="1073" spans="1:12">
      <c r="A1073" s="263">
        <f t="shared" si="57"/>
        <v>13.9999999986</v>
      </c>
      <c r="B1073" s="456">
        <v>14</v>
      </c>
      <c r="C1073" s="219">
        <v>0</v>
      </c>
      <c r="D1073" s="220">
        <f>C1073*100/C1079</f>
        <v>0</v>
      </c>
      <c r="E1073" s="221">
        <v>0</v>
      </c>
      <c r="F1073" s="220">
        <f>E1073*100/E1079</f>
        <v>0</v>
      </c>
      <c r="G1073" s="221">
        <v>0</v>
      </c>
      <c r="H1073" s="220">
        <f>G1073*100/G1079</f>
        <v>0</v>
      </c>
      <c r="I1073" s="221">
        <v>0</v>
      </c>
      <c r="J1073" s="222">
        <f>I1073*100/I1079</f>
        <v>0</v>
      </c>
      <c r="K1073" s="215">
        <f t="shared" si="58"/>
        <v>0</v>
      </c>
      <c r="L1073" s="216">
        <f t="shared" si="56"/>
        <v>0</v>
      </c>
    </row>
    <row r="1074" spans="1:12">
      <c r="A1074" s="263">
        <f t="shared" si="57"/>
        <v>14.499999998549999</v>
      </c>
      <c r="B1074" s="268">
        <v>14.5</v>
      </c>
      <c r="C1074" s="155">
        <v>0</v>
      </c>
      <c r="D1074" s="157">
        <f>C1074*100/C1079</f>
        <v>0</v>
      </c>
      <c r="E1074" s="158">
        <v>0</v>
      </c>
      <c r="F1074" s="157">
        <f>E1074*100/E1079</f>
        <v>0</v>
      </c>
      <c r="G1074" s="158">
        <v>0</v>
      </c>
      <c r="H1074" s="157">
        <f>G1074*100/G1079</f>
        <v>0</v>
      </c>
      <c r="I1074" s="158">
        <v>0</v>
      </c>
      <c r="J1074" s="213">
        <f>I1074*100/I1079</f>
        <v>0</v>
      </c>
      <c r="K1074" s="223">
        <f t="shared" si="58"/>
        <v>0</v>
      </c>
      <c r="L1074" s="224">
        <f t="shared" si="56"/>
        <v>0</v>
      </c>
    </row>
    <row r="1075" spans="1:12">
      <c r="A1075" s="263">
        <f t="shared" si="57"/>
        <v>14.9999999985</v>
      </c>
      <c r="B1075" s="456">
        <v>15</v>
      </c>
      <c r="C1075" s="219">
        <v>0</v>
      </c>
      <c r="D1075" s="220">
        <f>C1075*100/C1079</f>
        <v>0</v>
      </c>
      <c r="E1075" s="221">
        <v>0</v>
      </c>
      <c r="F1075" s="220">
        <f>E1075*100/E1079</f>
        <v>0</v>
      </c>
      <c r="G1075" s="221">
        <v>0</v>
      </c>
      <c r="H1075" s="220">
        <f>G1075*100/G1079</f>
        <v>0</v>
      </c>
      <c r="I1075" s="221">
        <v>0</v>
      </c>
      <c r="J1075" s="222">
        <f>I1075*100/I1079</f>
        <v>0</v>
      </c>
      <c r="K1075" s="215">
        <f t="shared" si="58"/>
        <v>0</v>
      </c>
      <c r="L1075" s="216">
        <f t="shared" si="56"/>
        <v>0</v>
      </c>
    </row>
    <row r="1076" spans="1:12">
      <c r="A1076" s="263">
        <f t="shared" si="57"/>
        <v>15.499999998450001</v>
      </c>
      <c r="B1076" s="268">
        <v>15.5</v>
      </c>
      <c r="C1076" s="155">
        <v>0</v>
      </c>
      <c r="D1076" s="157">
        <f>C1076*100/C1079</f>
        <v>0</v>
      </c>
      <c r="E1076" s="158">
        <v>0</v>
      </c>
      <c r="F1076" s="157">
        <f>E1076*100/E1079</f>
        <v>0</v>
      </c>
      <c r="G1076" s="158">
        <v>0</v>
      </c>
      <c r="H1076" s="157">
        <f>G1076*100/G1079</f>
        <v>0</v>
      </c>
      <c r="I1076" s="158">
        <v>0</v>
      </c>
      <c r="J1076" s="213">
        <f>I1076*100/I1079</f>
        <v>0</v>
      </c>
      <c r="K1076" s="223">
        <f t="shared" si="58"/>
        <v>0</v>
      </c>
      <c r="L1076" s="224">
        <f t="shared" si="56"/>
        <v>0</v>
      </c>
    </row>
    <row r="1077" spans="1:12">
      <c r="A1077" s="263">
        <f t="shared" si="57"/>
        <v>15.9999999984</v>
      </c>
      <c r="B1077" s="456">
        <v>16</v>
      </c>
      <c r="C1077" s="219">
        <v>0</v>
      </c>
      <c r="D1077" s="220">
        <f>C1077*100/C1079</f>
        <v>0</v>
      </c>
      <c r="E1077" s="221">
        <v>0</v>
      </c>
      <c r="F1077" s="220">
        <f>E1077*100/E1079</f>
        <v>0</v>
      </c>
      <c r="G1077" s="221">
        <v>0</v>
      </c>
      <c r="H1077" s="220">
        <f>G1077*100/G1079</f>
        <v>0</v>
      </c>
      <c r="I1077" s="221">
        <v>0</v>
      </c>
      <c r="J1077" s="222">
        <f>I1077*100/I1079</f>
        <v>0</v>
      </c>
      <c r="K1077" s="215">
        <f t="shared" si="58"/>
        <v>0</v>
      </c>
      <c r="L1077" s="216">
        <f t="shared" si="56"/>
        <v>0</v>
      </c>
    </row>
    <row r="1078" spans="1:12" ht="15" thickBot="1">
      <c r="A1078" s="159">
        <f>0.9999999999*B1078</f>
        <v>16.499999998349999</v>
      </c>
      <c r="B1078" s="275">
        <v>16.5</v>
      </c>
      <c r="C1078" s="160">
        <v>0</v>
      </c>
      <c r="D1078" s="168">
        <f>C1078*100/C1079</f>
        <v>0</v>
      </c>
      <c r="E1078" s="158">
        <v>0</v>
      </c>
      <c r="F1078" s="157">
        <f>E1078*100/E1079</f>
        <v>0</v>
      </c>
      <c r="G1078" s="158">
        <v>0</v>
      </c>
      <c r="H1078" s="157">
        <f>G1078*100/G1079</f>
        <v>0</v>
      </c>
      <c r="I1078" s="158">
        <v>0</v>
      </c>
      <c r="J1078" s="214">
        <f>I1078*100/I1079</f>
        <v>0</v>
      </c>
      <c r="K1078" s="223">
        <f t="shared" si="58"/>
        <v>0</v>
      </c>
      <c r="L1078" s="224">
        <f t="shared" si="56"/>
        <v>0</v>
      </c>
    </row>
    <row r="1079" spans="1:12" ht="15" thickBot="1">
      <c r="A1079" s="806" t="s">
        <v>396</v>
      </c>
      <c r="B1079" s="806"/>
      <c r="C1079" s="161">
        <f>SUM(C1050:C1078)+0.0000000001</f>
        <v>1E-10</v>
      </c>
      <c r="D1079" s="163">
        <f>SUM(D1051:D1078)</f>
        <v>0</v>
      </c>
      <c r="E1079" s="162">
        <f>SUM(E1050:E1078)+0.0000000001</f>
        <v>1E-10</v>
      </c>
      <c r="F1079" s="163">
        <f>SUM(F1050:F1078)</f>
        <v>0</v>
      </c>
      <c r="G1079" s="162">
        <f>SUM(G1050:G1078)+0.0000000001</f>
        <v>1E-10</v>
      </c>
      <c r="H1079" s="163">
        <f>SUM(H1050:H1078)</f>
        <v>0</v>
      </c>
      <c r="I1079" s="162">
        <f>SUM(I1050:I1078)+0.0000000001</f>
        <v>1E-10</v>
      </c>
      <c r="J1079" s="279">
        <f>SUM(J1050:J1078)</f>
        <v>0</v>
      </c>
      <c r="K1079" s="227">
        <f>SUM(K1050:K1078)</f>
        <v>0</v>
      </c>
      <c r="L1079" s="217">
        <f>SUM(L1050:L1078)</f>
        <v>0</v>
      </c>
    </row>
    <row r="1080" spans="1:12" ht="15" thickBot="1">
      <c r="A1080" s="778">
        <f>C1079+E1079+G1079+I1079</f>
        <v>4.0000000000000001E-10</v>
      </c>
      <c r="B1080" s="779"/>
      <c r="C1080" s="779"/>
      <c r="D1080" s="779"/>
      <c r="E1080" s="779"/>
      <c r="F1080" s="779"/>
      <c r="G1080" s="779"/>
      <c r="H1080" s="779"/>
      <c r="I1080" s="779"/>
      <c r="J1080" s="780"/>
      <c r="K1080" s="139"/>
      <c r="L1080" s="139"/>
    </row>
    <row r="1096" spans="1:19">
      <c r="O1096" s="781" t="s">
        <v>913</v>
      </c>
      <c r="P1096" s="781"/>
      <c r="Q1096" s="781"/>
      <c r="R1096" s="781"/>
      <c r="S1096" s="781"/>
    </row>
    <row r="1097" spans="1:19" ht="15" thickBot="1"/>
    <row r="1098" spans="1:19" ht="23.25" customHeight="1" thickBot="1">
      <c r="A1098" s="778" t="s">
        <v>429</v>
      </c>
      <c r="B1098" s="780"/>
      <c r="C1098" s="799" t="s">
        <v>492</v>
      </c>
      <c r="D1098" s="803"/>
      <c r="E1098" s="800" t="s">
        <v>495</v>
      </c>
      <c r="F1098" s="804"/>
      <c r="G1098" s="799" t="s">
        <v>493</v>
      </c>
      <c r="H1098" s="803"/>
      <c r="I1098" s="800" t="s">
        <v>494</v>
      </c>
      <c r="J1098" s="805"/>
      <c r="K1098" s="794" t="s">
        <v>496</v>
      </c>
      <c r="L1098" s="796" t="s">
        <v>497</v>
      </c>
    </row>
    <row r="1099" spans="1:19" ht="15" thickBot="1">
      <c r="A1099" s="141" t="s">
        <v>887</v>
      </c>
      <c r="B1099" s="251" t="s">
        <v>243</v>
      </c>
      <c r="C1099" s="143" t="s">
        <v>397</v>
      </c>
      <c r="D1099" s="144" t="s">
        <v>945</v>
      </c>
      <c r="E1099" s="145" t="s">
        <v>397</v>
      </c>
      <c r="F1099" s="146" t="s">
        <v>945</v>
      </c>
      <c r="G1099" s="147" t="s">
        <v>397</v>
      </c>
      <c r="H1099" s="148" t="s">
        <v>945</v>
      </c>
      <c r="I1099" s="145" t="s">
        <v>397</v>
      </c>
      <c r="J1099" s="209" t="s">
        <v>945</v>
      </c>
      <c r="K1099" s="795"/>
      <c r="L1099" s="797"/>
    </row>
    <row r="1100" spans="1:19">
      <c r="A1100" s="259">
        <f>0.9999999999*B1100</f>
        <v>2.49999999975</v>
      </c>
      <c r="B1100" s="260">
        <v>2.5</v>
      </c>
      <c r="C1100" s="150">
        <f t="array" ref="C1100:C1128">FREQUENCY(Discrete!FX3:FX79,Hists!A1101:A1128)</f>
        <v>0</v>
      </c>
      <c r="D1100" s="151">
        <f>C1100*100/C1129</f>
        <v>0</v>
      </c>
      <c r="E1100" s="150">
        <f t="array" ref="E1100:E1128">FREQUENCY(IC!GT3:GT64,Hists!A1101:A1128)</f>
        <v>0</v>
      </c>
      <c r="F1100" s="151">
        <f>E1100*100/E1129</f>
        <v>0</v>
      </c>
      <c r="G1100" s="150">
        <f t="array" ref="G1100:G1128">FREQUENCY(Discrete!FY3:FY79,Hists!A1101:A1128)</f>
        <v>0</v>
      </c>
      <c r="H1100" s="151">
        <f>G1100*100/G1129</f>
        <v>0</v>
      </c>
      <c r="I1100" s="150">
        <f t="array" ref="I1100:I1128">FREQUENCY(IC!GU3:GU64,Hists!A1101:A1128)</f>
        <v>0</v>
      </c>
      <c r="J1100" s="210">
        <f>I1100*100/I1129</f>
        <v>0</v>
      </c>
      <c r="K1100" s="225"/>
      <c r="L1100" s="226"/>
    </row>
    <row r="1101" spans="1:19">
      <c r="A1101" s="152">
        <f>0.9999999999*B1101</f>
        <v>2.9999999997</v>
      </c>
      <c r="B1101" s="264">
        <v>3</v>
      </c>
      <c r="C1101" s="153">
        <v>0</v>
      </c>
      <c r="D1101" s="154">
        <f>C1101*100/C1129</f>
        <v>0</v>
      </c>
      <c r="E1101" s="153">
        <v>0</v>
      </c>
      <c r="F1101" s="154">
        <f>E1101*100/E1129</f>
        <v>0</v>
      </c>
      <c r="G1101" s="153">
        <v>0</v>
      </c>
      <c r="H1101" s="154">
        <f>G1101*100/G1129</f>
        <v>0</v>
      </c>
      <c r="I1101" s="153">
        <v>0</v>
      </c>
      <c r="J1101" s="211">
        <f>I1101*100/I1129</f>
        <v>0</v>
      </c>
      <c r="K1101" s="215">
        <f>0.5*(D1101+F1101)</f>
        <v>0</v>
      </c>
      <c r="L1101" s="216">
        <f t="shared" ref="L1101:L1128" si="59">0.5*(H1101+J1101)</f>
        <v>0</v>
      </c>
    </row>
    <row r="1102" spans="1:19">
      <c r="A1102" s="263">
        <f t="shared" ref="A1102:A1127" si="60">0.9999999999*B1102</f>
        <v>3.49999999965</v>
      </c>
      <c r="B1102" s="268">
        <v>3.5</v>
      </c>
      <c r="C1102" s="155">
        <v>0</v>
      </c>
      <c r="D1102" s="156">
        <f>C1102*100/C1129</f>
        <v>0</v>
      </c>
      <c r="E1102" s="155">
        <v>0</v>
      </c>
      <c r="F1102" s="156">
        <f>E1102*100/E1129</f>
        <v>0</v>
      </c>
      <c r="G1102" s="155">
        <v>0</v>
      </c>
      <c r="H1102" s="156">
        <f>G1102*100/G1129</f>
        <v>0</v>
      </c>
      <c r="I1102" s="155">
        <v>0</v>
      </c>
      <c r="J1102" s="212">
        <f>I1102*100/I1129</f>
        <v>0</v>
      </c>
      <c r="K1102" s="223">
        <f>0.5*(D1102+F1102)</f>
        <v>0</v>
      </c>
      <c r="L1102" s="224">
        <f t="shared" si="59"/>
        <v>0</v>
      </c>
    </row>
    <row r="1103" spans="1:19">
      <c r="A1103" s="263">
        <f t="shared" si="60"/>
        <v>3.9999999996</v>
      </c>
      <c r="B1103" s="264">
        <v>4</v>
      </c>
      <c r="C1103" s="153">
        <v>0</v>
      </c>
      <c r="D1103" s="154">
        <f>C1103*100/C1129</f>
        <v>0</v>
      </c>
      <c r="E1103" s="153">
        <v>0</v>
      </c>
      <c r="F1103" s="154">
        <f>E1103*100/E1129</f>
        <v>0</v>
      </c>
      <c r="G1103" s="153">
        <v>0</v>
      </c>
      <c r="H1103" s="154">
        <f>G1103*100/G1129</f>
        <v>0</v>
      </c>
      <c r="I1103" s="153">
        <v>0</v>
      </c>
      <c r="J1103" s="211">
        <f>I1103*100/I1129</f>
        <v>0</v>
      </c>
      <c r="K1103" s="215">
        <f>0.5*(D1103+F1103)</f>
        <v>0</v>
      </c>
      <c r="L1103" s="216">
        <f t="shared" si="59"/>
        <v>0</v>
      </c>
    </row>
    <row r="1104" spans="1:19">
      <c r="A1104" s="263">
        <f t="shared" si="60"/>
        <v>4.49999999955</v>
      </c>
      <c r="B1104" s="268">
        <v>4.5</v>
      </c>
      <c r="C1104" s="155">
        <v>0</v>
      </c>
      <c r="D1104" s="156">
        <f>C1104*100/C1129</f>
        <v>0</v>
      </c>
      <c r="E1104" s="155">
        <v>0</v>
      </c>
      <c r="F1104" s="156">
        <f>E1104*100/E1129</f>
        <v>0</v>
      </c>
      <c r="G1104" s="155">
        <v>0</v>
      </c>
      <c r="H1104" s="156">
        <f>G1104*100/G1129</f>
        <v>0</v>
      </c>
      <c r="I1104" s="155">
        <v>0</v>
      </c>
      <c r="J1104" s="212">
        <f>I1104*100/I1129</f>
        <v>0</v>
      </c>
      <c r="K1104" s="223">
        <f t="shared" ref="K1104:K1128" si="61">0.5*(D1104+F1104)</f>
        <v>0</v>
      </c>
      <c r="L1104" s="224">
        <f t="shared" si="59"/>
        <v>0</v>
      </c>
    </row>
    <row r="1105" spans="1:12">
      <c r="A1105" s="263">
        <f t="shared" si="60"/>
        <v>4.9999999995</v>
      </c>
      <c r="B1105" s="264">
        <v>5</v>
      </c>
      <c r="C1105" s="153">
        <v>0</v>
      </c>
      <c r="D1105" s="154">
        <f>C1105*100/C1129</f>
        <v>0</v>
      </c>
      <c r="E1105" s="153">
        <v>0</v>
      </c>
      <c r="F1105" s="154">
        <f>E1105*100/E1129</f>
        <v>0</v>
      </c>
      <c r="G1105" s="153">
        <v>0</v>
      </c>
      <c r="H1105" s="154">
        <f>G1105*100/G1129</f>
        <v>0</v>
      </c>
      <c r="I1105" s="153">
        <v>0</v>
      </c>
      <c r="J1105" s="211">
        <f>I1105*100/I1129</f>
        <v>0</v>
      </c>
      <c r="K1105" s="215">
        <f t="shared" si="61"/>
        <v>0</v>
      </c>
      <c r="L1105" s="216">
        <f t="shared" si="59"/>
        <v>0</v>
      </c>
    </row>
    <row r="1106" spans="1:12">
      <c r="A1106" s="263">
        <f t="shared" si="60"/>
        <v>5.49999999945</v>
      </c>
      <c r="B1106" s="268">
        <v>5.5</v>
      </c>
      <c r="C1106" s="155">
        <v>0</v>
      </c>
      <c r="D1106" s="156">
        <f>C1106*100/C1129</f>
        <v>0</v>
      </c>
      <c r="E1106" s="155">
        <v>0</v>
      </c>
      <c r="F1106" s="156">
        <f>E1106*100/E1129</f>
        <v>0</v>
      </c>
      <c r="G1106" s="155">
        <v>0</v>
      </c>
      <c r="H1106" s="156">
        <f>G1106*100/G1129</f>
        <v>0</v>
      </c>
      <c r="I1106" s="155">
        <v>0</v>
      </c>
      <c r="J1106" s="212">
        <f>I1106*100/I1129</f>
        <v>0</v>
      </c>
      <c r="K1106" s="223">
        <f t="shared" si="61"/>
        <v>0</v>
      </c>
      <c r="L1106" s="224">
        <f t="shared" si="59"/>
        <v>0</v>
      </c>
    </row>
    <row r="1107" spans="1:12">
      <c r="A1107" s="263">
        <f t="shared" si="60"/>
        <v>5.9999999994</v>
      </c>
      <c r="B1107" s="264">
        <v>6</v>
      </c>
      <c r="C1107" s="153">
        <v>0</v>
      </c>
      <c r="D1107" s="154">
        <f>C1107*100/C1129</f>
        <v>0</v>
      </c>
      <c r="E1107" s="153">
        <v>0</v>
      </c>
      <c r="F1107" s="154">
        <f>E1107*100/E1129</f>
        <v>0</v>
      </c>
      <c r="G1107" s="153">
        <v>0</v>
      </c>
      <c r="H1107" s="154">
        <f>G1107*100/G1129</f>
        <v>0</v>
      </c>
      <c r="I1107" s="153">
        <v>0</v>
      </c>
      <c r="J1107" s="211">
        <f>I1107*100/I1129</f>
        <v>0</v>
      </c>
      <c r="K1107" s="215">
        <f t="shared" si="61"/>
        <v>0</v>
      </c>
      <c r="L1107" s="216">
        <f t="shared" si="59"/>
        <v>0</v>
      </c>
    </row>
    <row r="1108" spans="1:12">
      <c r="A1108" s="263">
        <f t="shared" si="60"/>
        <v>6.4999999993499999</v>
      </c>
      <c r="B1108" s="268">
        <v>6.5</v>
      </c>
      <c r="C1108" s="155">
        <v>0</v>
      </c>
      <c r="D1108" s="156">
        <f>C1108*100/C1129</f>
        <v>0</v>
      </c>
      <c r="E1108" s="155">
        <v>0</v>
      </c>
      <c r="F1108" s="156">
        <f>E1108*100/E1129</f>
        <v>0</v>
      </c>
      <c r="G1108" s="155">
        <v>0</v>
      </c>
      <c r="H1108" s="156">
        <f>G1108*100/G1129</f>
        <v>0</v>
      </c>
      <c r="I1108" s="155">
        <v>0</v>
      </c>
      <c r="J1108" s="212">
        <f>I1108*100/I1129</f>
        <v>0</v>
      </c>
      <c r="K1108" s="223">
        <f t="shared" si="61"/>
        <v>0</v>
      </c>
      <c r="L1108" s="224">
        <f t="shared" si="59"/>
        <v>0</v>
      </c>
    </row>
    <row r="1109" spans="1:12">
      <c r="A1109" s="263">
        <f t="shared" si="60"/>
        <v>6.9999999992999999</v>
      </c>
      <c r="B1109" s="264">
        <v>7</v>
      </c>
      <c r="C1109" s="153">
        <v>0</v>
      </c>
      <c r="D1109" s="154">
        <f>C1109*100/C1129</f>
        <v>0</v>
      </c>
      <c r="E1109" s="153">
        <v>0</v>
      </c>
      <c r="F1109" s="154">
        <f>E1109*100/E1129</f>
        <v>0</v>
      </c>
      <c r="G1109" s="153">
        <v>0</v>
      </c>
      <c r="H1109" s="154">
        <f>G1109*100/G1129</f>
        <v>0</v>
      </c>
      <c r="I1109" s="153">
        <v>0</v>
      </c>
      <c r="J1109" s="211">
        <f>I1109*100/I1129</f>
        <v>0</v>
      </c>
      <c r="K1109" s="215">
        <f t="shared" si="61"/>
        <v>0</v>
      </c>
      <c r="L1109" s="216">
        <f t="shared" si="59"/>
        <v>0</v>
      </c>
    </row>
    <row r="1110" spans="1:12">
      <c r="A1110" s="263">
        <f t="shared" si="60"/>
        <v>7.4999999992499999</v>
      </c>
      <c r="B1110" s="268">
        <v>7.5</v>
      </c>
      <c r="C1110" s="155">
        <v>0</v>
      </c>
      <c r="D1110" s="156">
        <f>C1110*100/C1129</f>
        <v>0</v>
      </c>
      <c r="E1110" s="155">
        <v>0</v>
      </c>
      <c r="F1110" s="156">
        <f>E1110*100/E1129</f>
        <v>0</v>
      </c>
      <c r="G1110" s="155">
        <v>0</v>
      </c>
      <c r="H1110" s="156">
        <f>G1110*100/G1129</f>
        <v>0</v>
      </c>
      <c r="I1110" s="155">
        <v>0</v>
      </c>
      <c r="J1110" s="212">
        <f>I1110*100/I1129</f>
        <v>0</v>
      </c>
      <c r="K1110" s="223">
        <f t="shared" si="61"/>
        <v>0</v>
      </c>
      <c r="L1110" s="224">
        <f t="shared" si="59"/>
        <v>0</v>
      </c>
    </row>
    <row r="1111" spans="1:12">
      <c r="A1111" s="263">
        <f t="shared" si="60"/>
        <v>7.9999999991999999</v>
      </c>
      <c r="B1111" s="264">
        <v>8</v>
      </c>
      <c r="C1111" s="153">
        <v>0</v>
      </c>
      <c r="D1111" s="154">
        <f>C1111*100/C1129</f>
        <v>0</v>
      </c>
      <c r="E1111" s="153">
        <v>0</v>
      </c>
      <c r="F1111" s="154">
        <f>E1111*100/E1129</f>
        <v>0</v>
      </c>
      <c r="G1111" s="153">
        <v>0</v>
      </c>
      <c r="H1111" s="154">
        <f>G1111*100/G1129</f>
        <v>0</v>
      </c>
      <c r="I1111" s="153">
        <v>0</v>
      </c>
      <c r="J1111" s="211">
        <f>I1111*100/I1129</f>
        <v>0</v>
      </c>
      <c r="K1111" s="215">
        <f t="shared" si="61"/>
        <v>0</v>
      </c>
      <c r="L1111" s="216">
        <f t="shared" si="59"/>
        <v>0</v>
      </c>
    </row>
    <row r="1112" spans="1:12">
      <c r="A1112" s="263">
        <f t="shared" si="60"/>
        <v>8.499999999149999</v>
      </c>
      <c r="B1112" s="268">
        <v>8.5</v>
      </c>
      <c r="C1112" s="155">
        <v>0</v>
      </c>
      <c r="D1112" s="156">
        <f>C1112*100/C1129</f>
        <v>0</v>
      </c>
      <c r="E1112" s="155">
        <v>0</v>
      </c>
      <c r="F1112" s="156">
        <f>E1112*100/E1129</f>
        <v>0</v>
      </c>
      <c r="G1112" s="155">
        <v>0</v>
      </c>
      <c r="H1112" s="156">
        <f>G1112*100/G1129</f>
        <v>0</v>
      </c>
      <c r="I1112" s="155">
        <v>0</v>
      </c>
      <c r="J1112" s="212">
        <f>I1112*100/I1129</f>
        <v>0</v>
      </c>
      <c r="K1112" s="223">
        <f t="shared" si="61"/>
        <v>0</v>
      </c>
      <c r="L1112" s="224">
        <f t="shared" si="59"/>
        <v>0</v>
      </c>
    </row>
    <row r="1113" spans="1:12">
      <c r="A1113" s="263">
        <f t="shared" si="60"/>
        <v>8.9999999990999999</v>
      </c>
      <c r="B1113" s="264">
        <v>9</v>
      </c>
      <c r="C1113" s="153">
        <v>0</v>
      </c>
      <c r="D1113" s="154">
        <f>C1113*100/C1129</f>
        <v>0</v>
      </c>
      <c r="E1113" s="153">
        <v>0</v>
      </c>
      <c r="F1113" s="154">
        <f>E1113*100/E1129</f>
        <v>0</v>
      </c>
      <c r="G1113" s="153">
        <v>0</v>
      </c>
      <c r="H1113" s="154">
        <f>G1113*100/G1129</f>
        <v>0</v>
      </c>
      <c r="I1113" s="153">
        <v>0</v>
      </c>
      <c r="J1113" s="211">
        <f>I1113*100/I1129</f>
        <v>0</v>
      </c>
      <c r="K1113" s="215">
        <f t="shared" si="61"/>
        <v>0</v>
      </c>
      <c r="L1113" s="216">
        <f t="shared" si="59"/>
        <v>0</v>
      </c>
    </row>
    <row r="1114" spans="1:12">
      <c r="A1114" s="263">
        <f t="shared" si="60"/>
        <v>9.4999999990500008</v>
      </c>
      <c r="B1114" s="268">
        <v>9.5</v>
      </c>
      <c r="C1114" s="155">
        <v>0</v>
      </c>
      <c r="D1114" s="156">
        <f>C1114*100/C1129</f>
        <v>0</v>
      </c>
      <c r="E1114" s="155">
        <v>0</v>
      </c>
      <c r="F1114" s="156">
        <f>E1114*100/E1129</f>
        <v>0</v>
      </c>
      <c r="G1114" s="155">
        <v>0</v>
      </c>
      <c r="H1114" s="156">
        <f>G1114*100/G1129</f>
        <v>0</v>
      </c>
      <c r="I1114" s="155">
        <v>0</v>
      </c>
      <c r="J1114" s="212">
        <f>I1114*100/I1129</f>
        <v>0</v>
      </c>
      <c r="K1114" s="223">
        <f t="shared" si="61"/>
        <v>0</v>
      </c>
      <c r="L1114" s="224">
        <f t="shared" si="59"/>
        <v>0</v>
      </c>
    </row>
    <row r="1115" spans="1:12">
      <c r="A1115" s="263">
        <f t="shared" si="60"/>
        <v>9.9999999989999999</v>
      </c>
      <c r="B1115" s="264">
        <v>10</v>
      </c>
      <c r="C1115" s="153">
        <v>0</v>
      </c>
      <c r="D1115" s="154">
        <f>C1115*100/C1129</f>
        <v>0</v>
      </c>
      <c r="E1115" s="153">
        <v>0</v>
      </c>
      <c r="F1115" s="154">
        <f>E1115*100/E1129</f>
        <v>0</v>
      </c>
      <c r="G1115" s="153">
        <v>0</v>
      </c>
      <c r="H1115" s="154">
        <f>G1115*100/G1129</f>
        <v>0</v>
      </c>
      <c r="I1115" s="153">
        <v>0</v>
      </c>
      <c r="J1115" s="211">
        <f>I1115*100/I1129</f>
        <v>0</v>
      </c>
      <c r="K1115" s="215">
        <f t="shared" si="61"/>
        <v>0</v>
      </c>
      <c r="L1115" s="216">
        <f t="shared" si="59"/>
        <v>0</v>
      </c>
    </row>
    <row r="1116" spans="1:12">
      <c r="A1116" s="263">
        <f t="shared" si="60"/>
        <v>10.499999998949999</v>
      </c>
      <c r="B1116" s="268">
        <v>10.5</v>
      </c>
      <c r="C1116" s="155">
        <v>0</v>
      </c>
      <c r="D1116" s="156">
        <f>C1116*100/C1129</f>
        <v>0</v>
      </c>
      <c r="E1116" s="155">
        <v>0</v>
      </c>
      <c r="F1116" s="156">
        <f>E1116*100/E1129</f>
        <v>0</v>
      </c>
      <c r="G1116" s="155">
        <v>0</v>
      </c>
      <c r="H1116" s="156">
        <f>G1116*100/G1129</f>
        <v>0</v>
      </c>
      <c r="I1116" s="155">
        <v>0</v>
      </c>
      <c r="J1116" s="212">
        <f>I1116*100/I1129</f>
        <v>0</v>
      </c>
      <c r="K1116" s="223">
        <f t="shared" si="61"/>
        <v>0</v>
      </c>
      <c r="L1116" s="224">
        <f t="shared" si="59"/>
        <v>0</v>
      </c>
    </row>
    <row r="1117" spans="1:12">
      <c r="A1117" s="263">
        <f t="shared" si="60"/>
        <v>10.9999999989</v>
      </c>
      <c r="B1117" s="264">
        <v>11</v>
      </c>
      <c r="C1117" s="153">
        <v>0</v>
      </c>
      <c r="D1117" s="154">
        <f>C1117*100/C1129</f>
        <v>0</v>
      </c>
      <c r="E1117" s="153">
        <v>0</v>
      </c>
      <c r="F1117" s="154">
        <f>E1117*100/E1129</f>
        <v>0</v>
      </c>
      <c r="G1117" s="153">
        <v>0</v>
      </c>
      <c r="H1117" s="154">
        <f>G1117*100/G1129</f>
        <v>0</v>
      </c>
      <c r="I1117" s="153">
        <v>0</v>
      </c>
      <c r="J1117" s="211">
        <f>I1117*100/I1129</f>
        <v>0</v>
      </c>
      <c r="K1117" s="215">
        <f t="shared" si="61"/>
        <v>0</v>
      </c>
      <c r="L1117" s="216">
        <f t="shared" si="59"/>
        <v>0</v>
      </c>
    </row>
    <row r="1118" spans="1:12">
      <c r="A1118" s="263">
        <f t="shared" si="60"/>
        <v>11.499999998850001</v>
      </c>
      <c r="B1118" s="268">
        <v>11.5</v>
      </c>
      <c r="C1118" s="155">
        <v>0</v>
      </c>
      <c r="D1118" s="156">
        <f>C1118*100/C1129</f>
        <v>0</v>
      </c>
      <c r="E1118" s="155">
        <v>0</v>
      </c>
      <c r="F1118" s="156">
        <f>E1118*100/E1129</f>
        <v>0</v>
      </c>
      <c r="G1118" s="155">
        <v>0</v>
      </c>
      <c r="H1118" s="156">
        <f>G1118*100/G1129</f>
        <v>0</v>
      </c>
      <c r="I1118" s="155">
        <v>0</v>
      </c>
      <c r="J1118" s="212">
        <f>I1118*100/I1129</f>
        <v>0</v>
      </c>
      <c r="K1118" s="223">
        <f t="shared" si="61"/>
        <v>0</v>
      </c>
      <c r="L1118" s="224">
        <f t="shared" si="59"/>
        <v>0</v>
      </c>
    </row>
    <row r="1119" spans="1:12">
      <c r="A1119" s="263">
        <f t="shared" si="60"/>
        <v>11.9999999988</v>
      </c>
      <c r="B1119" s="264">
        <v>12</v>
      </c>
      <c r="C1119" s="153">
        <v>0</v>
      </c>
      <c r="D1119" s="154">
        <f>C1119*100/C1129</f>
        <v>0</v>
      </c>
      <c r="E1119" s="153">
        <v>0</v>
      </c>
      <c r="F1119" s="154">
        <f>E1119*100/E1129</f>
        <v>0</v>
      </c>
      <c r="G1119" s="153">
        <v>0</v>
      </c>
      <c r="H1119" s="154">
        <f>G1119*100/G1129</f>
        <v>0</v>
      </c>
      <c r="I1119" s="153">
        <v>0</v>
      </c>
      <c r="J1119" s="211">
        <f>I1119*100/I1129</f>
        <v>0</v>
      </c>
      <c r="K1119" s="215">
        <f t="shared" si="61"/>
        <v>0</v>
      </c>
      <c r="L1119" s="216">
        <f t="shared" si="59"/>
        <v>0</v>
      </c>
    </row>
    <row r="1120" spans="1:12">
      <c r="A1120" s="263">
        <f t="shared" si="60"/>
        <v>12.499999998749999</v>
      </c>
      <c r="B1120" s="268">
        <v>12.5</v>
      </c>
      <c r="C1120" s="155">
        <v>0</v>
      </c>
      <c r="D1120" s="156">
        <f>C1120*100/C1129</f>
        <v>0</v>
      </c>
      <c r="E1120" s="155">
        <v>0</v>
      </c>
      <c r="F1120" s="156">
        <f>E1120*100/E1129</f>
        <v>0</v>
      </c>
      <c r="G1120" s="155">
        <v>0</v>
      </c>
      <c r="H1120" s="156">
        <f>G1120*100/G1129</f>
        <v>0</v>
      </c>
      <c r="I1120" s="155">
        <v>0</v>
      </c>
      <c r="J1120" s="212">
        <f>I1120*100/I1129</f>
        <v>0</v>
      </c>
      <c r="K1120" s="223">
        <f t="shared" si="61"/>
        <v>0</v>
      </c>
      <c r="L1120" s="224">
        <f t="shared" si="59"/>
        <v>0</v>
      </c>
    </row>
    <row r="1121" spans="1:12">
      <c r="A1121" s="263">
        <f t="shared" si="60"/>
        <v>12.9999999987</v>
      </c>
      <c r="B1121" s="264">
        <v>13</v>
      </c>
      <c r="C1121" s="153">
        <v>0</v>
      </c>
      <c r="D1121" s="154">
        <f>C1121*100/C1129</f>
        <v>0</v>
      </c>
      <c r="E1121" s="153">
        <v>0</v>
      </c>
      <c r="F1121" s="154">
        <f>E1121*100/E1129</f>
        <v>0</v>
      </c>
      <c r="G1121" s="153">
        <v>0</v>
      </c>
      <c r="H1121" s="154">
        <f>G1121*100/G1129</f>
        <v>0</v>
      </c>
      <c r="I1121" s="153">
        <v>0</v>
      </c>
      <c r="J1121" s="211">
        <f>I1121*100/I1129</f>
        <v>0</v>
      </c>
      <c r="K1121" s="215">
        <f t="shared" si="61"/>
        <v>0</v>
      </c>
      <c r="L1121" s="216">
        <f t="shared" si="59"/>
        <v>0</v>
      </c>
    </row>
    <row r="1122" spans="1:12">
      <c r="A1122" s="263">
        <f t="shared" si="60"/>
        <v>13.499999998650001</v>
      </c>
      <c r="B1122" s="268">
        <v>13.5</v>
      </c>
      <c r="C1122" s="155">
        <v>0</v>
      </c>
      <c r="D1122" s="157">
        <f>C1122*100/C1129</f>
        <v>0</v>
      </c>
      <c r="E1122" s="158">
        <v>0</v>
      </c>
      <c r="F1122" s="157">
        <f>E1122*100/E1129</f>
        <v>0</v>
      </c>
      <c r="G1122" s="158">
        <v>0</v>
      </c>
      <c r="H1122" s="157">
        <f>G1122*100/G1129</f>
        <v>0</v>
      </c>
      <c r="I1122" s="158">
        <v>0</v>
      </c>
      <c r="J1122" s="213">
        <f>I1122*100/I1129</f>
        <v>0</v>
      </c>
      <c r="K1122" s="223">
        <f t="shared" si="61"/>
        <v>0</v>
      </c>
      <c r="L1122" s="224">
        <f t="shared" si="59"/>
        <v>0</v>
      </c>
    </row>
    <row r="1123" spans="1:12">
      <c r="A1123" s="263">
        <f t="shared" si="60"/>
        <v>13.9999999986</v>
      </c>
      <c r="B1123" s="456">
        <v>14</v>
      </c>
      <c r="C1123" s="219">
        <v>0</v>
      </c>
      <c r="D1123" s="220">
        <f>C1123*100/C1129</f>
        <v>0</v>
      </c>
      <c r="E1123" s="221">
        <v>0</v>
      </c>
      <c r="F1123" s="220">
        <f>E1123*100/E1129</f>
        <v>0</v>
      </c>
      <c r="G1123" s="221">
        <v>0</v>
      </c>
      <c r="H1123" s="220">
        <f>G1123*100/G1129</f>
        <v>0</v>
      </c>
      <c r="I1123" s="221">
        <v>0</v>
      </c>
      <c r="J1123" s="222">
        <f>I1123*100/I1129</f>
        <v>0</v>
      </c>
      <c r="K1123" s="215">
        <f t="shared" si="61"/>
        <v>0</v>
      </c>
      <c r="L1123" s="216">
        <f t="shared" si="59"/>
        <v>0</v>
      </c>
    </row>
    <row r="1124" spans="1:12">
      <c r="A1124" s="263">
        <f t="shared" si="60"/>
        <v>14.499999998549999</v>
      </c>
      <c r="B1124" s="268">
        <v>14.5</v>
      </c>
      <c r="C1124" s="155">
        <v>0</v>
      </c>
      <c r="D1124" s="157">
        <f>C1124*100/C1129</f>
        <v>0</v>
      </c>
      <c r="E1124" s="158">
        <v>0</v>
      </c>
      <c r="F1124" s="157">
        <f>E1124*100/E1129</f>
        <v>0</v>
      </c>
      <c r="G1124" s="158">
        <v>0</v>
      </c>
      <c r="H1124" s="157">
        <f>G1124*100/G1129</f>
        <v>0</v>
      </c>
      <c r="I1124" s="158">
        <v>0</v>
      </c>
      <c r="J1124" s="213">
        <f>I1124*100/I1129</f>
        <v>0</v>
      </c>
      <c r="K1124" s="223">
        <f t="shared" si="61"/>
        <v>0</v>
      </c>
      <c r="L1124" s="224">
        <f t="shared" si="59"/>
        <v>0</v>
      </c>
    </row>
    <row r="1125" spans="1:12">
      <c r="A1125" s="263">
        <f t="shared" si="60"/>
        <v>14.9999999985</v>
      </c>
      <c r="B1125" s="456">
        <v>15</v>
      </c>
      <c r="C1125" s="219">
        <v>0</v>
      </c>
      <c r="D1125" s="220">
        <f>C1125*100/C1129</f>
        <v>0</v>
      </c>
      <c r="E1125" s="221">
        <v>0</v>
      </c>
      <c r="F1125" s="220">
        <f>E1125*100/E1129</f>
        <v>0</v>
      </c>
      <c r="G1125" s="221">
        <v>0</v>
      </c>
      <c r="H1125" s="220">
        <f>G1125*100/G1129</f>
        <v>0</v>
      </c>
      <c r="I1125" s="221">
        <v>0</v>
      </c>
      <c r="J1125" s="222">
        <f>I1125*100/I1129</f>
        <v>0</v>
      </c>
      <c r="K1125" s="215">
        <f t="shared" si="61"/>
        <v>0</v>
      </c>
      <c r="L1125" s="216">
        <f t="shared" si="59"/>
        <v>0</v>
      </c>
    </row>
    <row r="1126" spans="1:12">
      <c r="A1126" s="263">
        <f t="shared" si="60"/>
        <v>15.499999998450001</v>
      </c>
      <c r="B1126" s="268">
        <v>15.5</v>
      </c>
      <c r="C1126" s="155">
        <v>0</v>
      </c>
      <c r="D1126" s="157">
        <f>C1126*100/C1129</f>
        <v>0</v>
      </c>
      <c r="E1126" s="158">
        <v>0</v>
      </c>
      <c r="F1126" s="157">
        <f>E1126*100/E1129</f>
        <v>0</v>
      </c>
      <c r="G1126" s="158">
        <v>0</v>
      </c>
      <c r="H1126" s="157">
        <f>G1126*100/G1129</f>
        <v>0</v>
      </c>
      <c r="I1126" s="158">
        <v>0</v>
      </c>
      <c r="J1126" s="213">
        <f>I1126*100/I1129</f>
        <v>0</v>
      </c>
      <c r="K1126" s="223">
        <f t="shared" si="61"/>
        <v>0</v>
      </c>
      <c r="L1126" s="224">
        <f t="shared" si="59"/>
        <v>0</v>
      </c>
    </row>
    <row r="1127" spans="1:12">
      <c r="A1127" s="263">
        <f t="shared" si="60"/>
        <v>15.9999999984</v>
      </c>
      <c r="B1127" s="456">
        <v>16</v>
      </c>
      <c r="C1127" s="219">
        <v>0</v>
      </c>
      <c r="D1127" s="220">
        <f>C1127*100/C1129</f>
        <v>0</v>
      </c>
      <c r="E1127" s="221">
        <v>0</v>
      </c>
      <c r="F1127" s="220">
        <f>E1127*100/E1129</f>
        <v>0</v>
      </c>
      <c r="G1127" s="221">
        <v>0</v>
      </c>
      <c r="H1127" s="220">
        <f>G1127*100/G1129</f>
        <v>0</v>
      </c>
      <c r="I1127" s="221">
        <v>0</v>
      </c>
      <c r="J1127" s="222">
        <f>I1127*100/I1129</f>
        <v>0</v>
      </c>
      <c r="K1127" s="215">
        <f t="shared" si="61"/>
        <v>0</v>
      </c>
      <c r="L1127" s="216">
        <f t="shared" si="59"/>
        <v>0</v>
      </c>
    </row>
    <row r="1128" spans="1:12" ht="15" thickBot="1">
      <c r="A1128" s="159">
        <f>0.9999999999*B1128</f>
        <v>16.499999998349999</v>
      </c>
      <c r="B1128" s="275">
        <v>16.5</v>
      </c>
      <c r="C1128" s="160">
        <v>0</v>
      </c>
      <c r="D1128" s="168">
        <f>C1128*100/C1129</f>
        <v>0</v>
      </c>
      <c r="E1128" s="158">
        <v>0</v>
      </c>
      <c r="F1128" s="157">
        <f>E1128*100/E1129</f>
        <v>0</v>
      </c>
      <c r="G1128" s="158">
        <v>0</v>
      </c>
      <c r="H1128" s="157">
        <f>G1128*100/G1129</f>
        <v>0</v>
      </c>
      <c r="I1128" s="158">
        <v>0</v>
      </c>
      <c r="J1128" s="214">
        <f>I1128*100/I1129</f>
        <v>0</v>
      </c>
      <c r="K1128" s="223">
        <f t="shared" si="61"/>
        <v>0</v>
      </c>
      <c r="L1128" s="224">
        <f t="shared" si="59"/>
        <v>0</v>
      </c>
    </row>
    <row r="1129" spans="1:12" ht="15" thickBot="1">
      <c r="A1129" s="806" t="s">
        <v>396</v>
      </c>
      <c r="B1129" s="806"/>
      <c r="C1129" s="161">
        <f>SUM(C1100:C1128)+0.0000000001</f>
        <v>1E-10</v>
      </c>
      <c r="D1129" s="163">
        <f>SUM(D1101:D1128)</f>
        <v>0</v>
      </c>
      <c r="E1129" s="162">
        <f>SUM(E1100:E1128)+0.0000000001</f>
        <v>1E-10</v>
      </c>
      <c r="F1129" s="163">
        <f>SUM(F1100:F1128)</f>
        <v>0</v>
      </c>
      <c r="G1129" s="162">
        <f>SUM(G1100:G1128)+0.0000000001</f>
        <v>1E-10</v>
      </c>
      <c r="H1129" s="163">
        <f>SUM(H1100:H1128)</f>
        <v>0</v>
      </c>
      <c r="I1129" s="162">
        <f>SUM(I1100:I1128)+0.0000000001</f>
        <v>1E-10</v>
      </c>
      <c r="J1129" s="279">
        <f>SUM(J1100:J1128)</f>
        <v>0</v>
      </c>
      <c r="K1129" s="227">
        <f>SUM(K1100:K1128)</f>
        <v>0</v>
      </c>
      <c r="L1129" s="217">
        <f>SUM(L1100:L1128)</f>
        <v>0</v>
      </c>
    </row>
    <row r="1130" spans="1:12" ht="15" thickBot="1">
      <c r="A1130" s="778">
        <f>C1129+E1129+G1129+I1129</f>
        <v>4.0000000000000001E-10</v>
      </c>
      <c r="B1130" s="779"/>
      <c r="C1130" s="779"/>
      <c r="D1130" s="779"/>
      <c r="E1130" s="779"/>
      <c r="F1130" s="779"/>
      <c r="G1130" s="779"/>
      <c r="H1130" s="779"/>
      <c r="I1130" s="779"/>
      <c r="J1130" s="780"/>
      <c r="K1130" s="139"/>
      <c r="L1130" s="139"/>
    </row>
    <row r="1147" spans="1:19" ht="15" thickBot="1">
      <c r="A1147" s="250"/>
    </row>
    <row r="1148" spans="1:19" ht="27" customHeight="1" thickBot="1">
      <c r="A1148" s="798" t="s">
        <v>532</v>
      </c>
      <c r="B1148" s="780"/>
      <c r="C1148" s="803" t="s">
        <v>400</v>
      </c>
      <c r="D1148" s="803"/>
      <c r="E1148" s="804" t="s">
        <v>946</v>
      </c>
      <c r="F1148" s="804"/>
      <c r="G1148" s="803" t="s">
        <v>948</v>
      </c>
      <c r="H1148" s="803"/>
      <c r="I1148" s="804" t="s">
        <v>947</v>
      </c>
      <c r="J1148" s="804"/>
      <c r="K1148" s="250"/>
      <c r="L1148" s="250"/>
      <c r="M1148" s="250"/>
      <c r="O1148" s="781" t="s">
        <v>914</v>
      </c>
      <c r="P1148" s="781"/>
      <c r="Q1148" s="781"/>
      <c r="R1148" s="781"/>
      <c r="S1148" s="781"/>
    </row>
    <row r="1149" spans="1:19" ht="15" thickBot="1">
      <c r="A1149" s="141" t="s">
        <v>887</v>
      </c>
      <c r="B1149" s="251" t="s">
        <v>243</v>
      </c>
      <c r="C1149" s="143" t="s">
        <v>397</v>
      </c>
      <c r="D1149" s="144" t="s">
        <v>945</v>
      </c>
      <c r="E1149" s="145" t="s">
        <v>397</v>
      </c>
      <c r="F1149" s="146" t="s">
        <v>945</v>
      </c>
      <c r="G1149" s="147" t="s">
        <v>397</v>
      </c>
      <c r="H1149" s="148" t="s">
        <v>945</v>
      </c>
      <c r="I1149" s="254" t="s">
        <v>397</v>
      </c>
      <c r="J1149" s="258" t="s">
        <v>945</v>
      </c>
      <c r="K1149" s="250"/>
      <c r="L1149" s="250"/>
      <c r="M1149" s="250"/>
    </row>
    <row r="1150" spans="1:19">
      <c r="A1150" s="458">
        <f>0.9999999999*B1150</f>
        <v>0</v>
      </c>
      <c r="B1150" s="458">
        <v>0</v>
      </c>
      <c r="C1150" s="150">
        <f t="array" ref="C1150:C1178">FREQUENCY(Discrete!AQ3:AQ20,Hists!A1151:A1178)</f>
        <v>1</v>
      </c>
      <c r="D1150" s="151">
        <f>C1150*100/C1179</f>
        <v>11.111111110987654</v>
      </c>
      <c r="E1150" s="150">
        <f t="array" ref="E1150:E1178">FREQUENCY(Discrete!AQ21:AQ79,Hists!A1151:A1178)</f>
        <v>0</v>
      </c>
      <c r="F1150" s="151">
        <f>E1150*100/E1179</f>
        <v>0</v>
      </c>
      <c r="G1150" s="150">
        <f t="array" ref="G1150:G1178">FREQUENCY(IC!BM3:BM39,Hists!A1151:A1178)</f>
        <v>0</v>
      </c>
      <c r="H1150" s="151">
        <f>G1150*100/G1179</f>
        <v>0</v>
      </c>
      <c r="I1150" s="260">
        <f t="array" ref="I1150:I1178">FREQUENCY(IC!BM40:BM64,Hists!A1151:A1178)</f>
        <v>0</v>
      </c>
      <c r="J1150" s="262">
        <f>I1150*100/I1179</f>
        <v>0</v>
      </c>
      <c r="K1150" s="250"/>
      <c r="L1150" s="250"/>
      <c r="M1150" s="250"/>
    </row>
    <row r="1151" spans="1:19">
      <c r="A1151" s="458">
        <f>0.9999999999*B1151</f>
        <v>9.9999999989999999</v>
      </c>
      <c r="B1151" s="458">
        <v>10</v>
      </c>
      <c r="C1151" s="153">
        <v>0</v>
      </c>
      <c r="D1151" s="154">
        <f>C1151*100/C1179</f>
        <v>0</v>
      </c>
      <c r="E1151" s="153">
        <v>0</v>
      </c>
      <c r="F1151" s="154">
        <f>E1151*100/E1179</f>
        <v>0</v>
      </c>
      <c r="G1151" s="153">
        <v>0</v>
      </c>
      <c r="H1151" s="154">
        <f>G1151*100/G1179</f>
        <v>0</v>
      </c>
      <c r="I1151" s="264">
        <v>0</v>
      </c>
      <c r="J1151" s="266">
        <f>I1151*100/I1179</f>
        <v>0</v>
      </c>
      <c r="K1151" s="250"/>
      <c r="L1151" s="250"/>
      <c r="M1151" s="250"/>
    </row>
    <row r="1152" spans="1:19">
      <c r="A1152" s="458">
        <f t="shared" ref="A1152:A1177" si="62">0.9999999999*B1152</f>
        <v>19.999999998</v>
      </c>
      <c r="B1152" s="458">
        <v>20</v>
      </c>
      <c r="C1152" s="155">
        <v>0</v>
      </c>
      <c r="D1152" s="156">
        <f>C1152*100/C1179</f>
        <v>0</v>
      </c>
      <c r="E1152" s="155">
        <v>0</v>
      </c>
      <c r="F1152" s="156">
        <f>E1152*100/E1179</f>
        <v>0</v>
      </c>
      <c r="G1152" s="155">
        <v>0</v>
      </c>
      <c r="H1152" s="156">
        <f>G1152*100/G1179</f>
        <v>0</v>
      </c>
      <c r="I1152" s="268">
        <v>0</v>
      </c>
      <c r="J1152" s="270">
        <f>I1152*100/I1179</f>
        <v>0</v>
      </c>
      <c r="K1152" s="250"/>
      <c r="L1152" s="250"/>
      <c r="M1152" s="250"/>
    </row>
    <row r="1153" spans="1:13">
      <c r="A1153" s="458">
        <f t="shared" si="62"/>
        <v>29.999999997</v>
      </c>
      <c r="B1153" s="458">
        <v>30</v>
      </c>
      <c r="C1153" s="153">
        <v>0</v>
      </c>
      <c r="D1153" s="154">
        <f>C1153*100/C1179</f>
        <v>0</v>
      </c>
      <c r="E1153" s="153">
        <v>0</v>
      </c>
      <c r="F1153" s="154">
        <f>E1153*100/E1179</f>
        <v>0</v>
      </c>
      <c r="G1153" s="153">
        <v>0</v>
      </c>
      <c r="H1153" s="154">
        <f>G1153*100/G1179</f>
        <v>0</v>
      </c>
      <c r="I1153" s="264">
        <v>0</v>
      </c>
      <c r="J1153" s="266">
        <f>I1153*100/I1179</f>
        <v>0</v>
      </c>
      <c r="K1153" s="250"/>
      <c r="L1153" s="250"/>
      <c r="M1153" s="250"/>
    </row>
    <row r="1154" spans="1:13">
      <c r="A1154" s="458">
        <f t="shared" si="62"/>
        <v>39.999999996</v>
      </c>
      <c r="B1154" s="458">
        <v>40</v>
      </c>
      <c r="C1154" s="155">
        <v>0</v>
      </c>
      <c r="D1154" s="156">
        <f>C1154*100/C1179</f>
        <v>0</v>
      </c>
      <c r="E1154" s="155">
        <v>0</v>
      </c>
      <c r="F1154" s="156">
        <f>E1154*100/E1179</f>
        <v>0</v>
      </c>
      <c r="G1154" s="155">
        <v>0</v>
      </c>
      <c r="H1154" s="156">
        <f>G1154*100/G1179</f>
        <v>0</v>
      </c>
      <c r="I1154" s="268">
        <v>0</v>
      </c>
      <c r="J1154" s="270">
        <f>I1154*100/I1179</f>
        <v>0</v>
      </c>
      <c r="K1154" s="250"/>
      <c r="L1154" s="250"/>
      <c r="M1154" s="250"/>
    </row>
    <row r="1155" spans="1:13">
      <c r="A1155" s="458">
        <f t="shared" si="62"/>
        <v>49.999999994999996</v>
      </c>
      <c r="B1155" s="458">
        <v>50</v>
      </c>
      <c r="C1155" s="153">
        <v>0</v>
      </c>
      <c r="D1155" s="154">
        <f>C1155*100/C1179</f>
        <v>0</v>
      </c>
      <c r="E1155" s="153">
        <v>0</v>
      </c>
      <c r="F1155" s="154">
        <f>E1155*100/E1179</f>
        <v>0</v>
      </c>
      <c r="G1155" s="153">
        <v>0</v>
      </c>
      <c r="H1155" s="154">
        <f>G1155*100/G1179</f>
        <v>0</v>
      </c>
      <c r="I1155" s="264">
        <v>0</v>
      </c>
      <c r="J1155" s="266">
        <f>I1155*100/I1179</f>
        <v>0</v>
      </c>
      <c r="K1155" s="250"/>
      <c r="L1155" s="250"/>
      <c r="M1155" s="250"/>
    </row>
    <row r="1156" spans="1:13">
      <c r="A1156" s="458">
        <f t="shared" si="62"/>
        <v>59.999999994</v>
      </c>
      <c r="B1156" s="458">
        <v>60</v>
      </c>
      <c r="C1156" s="155">
        <v>0</v>
      </c>
      <c r="D1156" s="156">
        <f>C1156*100/C1179</f>
        <v>0</v>
      </c>
      <c r="E1156" s="155">
        <v>0</v>
      </c>
      <c r="F1156" s="156">
        <f>E1156*100/E1179</f>
        <v>0</v>
      </c>
      <c r="G1156" s="155">
        <v>0</v>
      </c>
      <c r="H1156" s="156">
        <f>G1156*100/G1179</f>
        <v>0</v>
      </c>
      <c r="I1156" s="268">
        <v>0</v>
      </c>
      <c r="J1156" s="270">
        <f>I1156*100/I1179</f>
        <v>0</v>
      </c>
      <c r="K1156" s="250"/>
      <c r="L1156" s="250"/>
      <c r="M1156" s="250"/>
    </row>
    <row r="1157" spans="1:13">
      <c r="A1157" s="458">
        <f t="shared" si="62"/>
        <v>69.999999993000003</v>
      </c>
      <c r="B1157" s="458">
        <v>70</v>
      </c>
      <c r="C1157" s="153">
        <v>0</v>
      </c>
      <c r="D1157" s="154">
        <f>C1157*100/C1179</f>
        <v>0</v>
      </c>
      <c r="E1157" s="153">
        <v>0</v>
      </c>
      <c r="F1157" s="154">
        <f>E1157*100/E1179</f>
        <v>0</v>
      </c>
      <c r="G1157" s="153">
        <v>0</v>
      </c>
      <c r="H1157" s="154">
        <f>G1157*100/G1179</f>
        <v>0</v>
      </c>
      <c r="I1157" s="264">
        <v>0</v>
      </c>
      <c r="J1157" s="266">
        <f>I1157*100/I1179</f>
        <v>0</v>
      </c>
      <c r="K1157" s="250"/>
      <c r="L1157" s="250"/>
      <c r="M1157" s="250"/>
    </row>
    <row r="1158" spans="1:13">
      <c r="A1158" s="458">
        <f t="shared" si="62"/>
        <v>79.999999991999999</v>
      </c>
      <c r="B1158" s="458">
        <v>80</v>
      </c>
      <c r="C1158" s="155">
        <v>0</v>
      </c>
      <c r="D1158" s="156">
        <f>C1158*100/C1179</f>
        <v>0</v>
      </c>
      <c r="E1158" s="155">
        <v>0</v>
      </c>
      <c r="F1158" s="156">
        <f>E1158*100/E1179</f>
        <v>0</v>
      </c>
      <c r="G1158" s="155">
        <v>0</v>
      </c>
      <c r="H1158" s="156">
        <f>G1158*100/G1179</f>
        <v>0</v>
      </c>
      <c r="I1158" s="268">
        <v>0</v>
      </c>
      <c r="J1158" s="270">
        <f>I1158*100/I1179</f>
        <v>0</v>
      </c>
      <c r="K1158" s="250"/>
      <c r="L1158" s="250"/>
      <c r="M1158" s="250"/>
    </row>
    <row r="1159" spans="1:13">
      <c r="A1159" s="458">
        <f t="shared" si="62"/>
        <v>89.999999990999996</v>
      </c>
      <c r="B1159" s="458">
        <v>90</v>
      </c>
      <c r="C1159" s="153">
        <v>1</v>
      </c>
      <c r="D1159" s="154">
        <f>C1159*100/C1179</f>
        <v>11.111111110987654</v>
      </c>
      <c r="E1159" s="153">
        <v>0</v>
      </c>
      <c r="F1159" s="154">
        <f>E1159*100/E1179</f>
        <v>0</v>
      </c>
      <c r="G1159" s="153">
        <v>0</v>
      </c>
      <c r="H1159" s="154">
        <f>G1159*100/G1179</f>
        <v>0</v>
      </c>
      <c r="I1159" s="264">
        <v>0</v>
      </c>
      <c r="J1159" s="266">
        <f>I1159*100/I1179</f>
        <v>0</v>
      </c>
      <c r="K1159" s="250"/>
      <c r="L1159" s="250"/>
      <c r="M1159" s="250"/>
    </row>
    <row r="1160" spans="1:13">
      <c r="A1160" s="458">
        <f t="shared" si="62"/>
        <v>99.999999989999992</v>
      </c>
      <c r="B1160" s="458">
        <v>100</v>
      </c>
      <c r="C1160" s="155">
        <v>0</v>
      </c>
      <c r="D1160" s="156">
        <f>C1160*100/C1179</f>
        <v>0</v>
      </c>
      <c r="E1160" s="155">
        <v>0</v>
      </c>
      <c r="F1160" s="156">
        <f>E1160*100/E1179</f>
        <v>0</v>
      </c>
      <c r="G1160" s="155">
        <v>0</v>
      </c>
      <c r="H1160" s="156">
        <f>G1160*100/G1179</f>
        <v>0</v>
      </c>
      <c r="I1160" s="268">
        <v>0</v>
      </c>
      <c r="J1160" s="270">
        <f>I1160*100/I1179</f>
        <v>0</v>
      </c>
      <c r="K1160" s="250"/>
      <c r="L1160" s="250"/>
      <c r="M1160" s="250"/>
    </row>
    <row r="1161" spans="1:13">
      <c r="A1161" s="458">
        <f t="shared" si="62"/>
        <v>199.99999997999998</v>
      </c>
      <c r="B1161" s="458">
        <v>200</v>
      </c>
      <c r="C1161" s="153">
        <v>1</v>
      </c>
      <c r="D1161" s="154">
        <f>C1161*100/C1179</f>
        <v>11.111111110987654</v>
      </c>
      <c r="E1161" s="153">
        <v>0</v>
      </c>
      <c r="F1161" s="154">
        <f>E1161*100/E1179</f>
        <v>0</v>
      </c>
      <c r="G1161" s="153">
        <v>0</v>
      </c>
      <c r="H1161" s="154">
        <f>G1161*100/G1179</f>
        <v>0</v>
      </c>
      <c r="I1161" s="264">
        <v>0</v>
      </c>
      <c r="J1161" s="266">
        <f>I1161*100/I1179</f>
        <v>0</v>
      </c>
      <c r="K1161" s="250"/>
      <c r="L1161" s="250"/>
      <c r="M1161" s="250"/>
    </row>
    <row r="1162" spans="1:13">
      <c r="A1162" s="458">
        <f t="shared" si="62"/>
        <v>299.99999996999998</v>
      </c>
      <c r="B1162" s="458">
        <v>300</v>
      </c>
      <c r="C1162" s="155">
        <v>1</v>
      </c>
      <c r="D1162" s="156">
        <f>C1162*100/C1179</f>
        <v>11.111111110987654</v>
      </c>
      <c r="E1162" s="155">
        <v>0</v>
      </c>
      <c r="F1162" s="156">
        <f>E1162*100/E1179</f>
        <v>0</v>
      </c>
      <c r="G1162" s="155">
        <v>0</v>
      </c>
      <c r="H1162" s="156">
        <f>G1162*100/G1179</f>
        <v>0</v>
      </c>
      <c r="I1162" s="268">
        <v>0</v>
      </c>
      <c r="J1162" s="270">
        <f>I1162*100/I1179</f>
        <v>0</v>
      </c>
      <c r="K1162" s="250"/>
      <c r="L1162" s="250"/>
      <c r="M1162" s="250"/>
    </row>
    <row r="1163" spans="1:13">
      <c r="A1163" s="458">
        <f t="shared" si="62"/>
        <v>399.99999995999997</v>
      </c>
      <c r="B1163" s="458">
        <v>400</v>
      </c>
      <c r="C1163" s="153">
        <v>0</v>
      </c>
      <c r="D1163" s="154">
        <f>C1163*100/C1179</f>
        <v>0</v>
      </c>
      <c r="E1163" s="153">
        <v>0</v>
      </c>
      <c r="F1163" s="154">
        <f>E1163*100/E1179</f>
        <v>0</v>
      </c>
      <c r="G1163" s="153">
        <v>0</v>
      </c>
      <c r="H1163" s="154">
        <f>G1163*100/G1179</f>
        <v>0</v>
      </c>
      <c r="I1163" s="264">
        <v>0</v>
      </c>
      <c r="J1163" s="266">
        <f>I1163*100/I1179</f>
        <v>0</v>
      </c>
      <c r="K1163" s="250"/>
      <c r="L1163" s="250"/>
      <c r="M1163" s="250"/>
    </row>
    <row r="1164" spans="1:13">
      <c r="A1164" s="458">
        <f t="shared" si="62"/>
        <v>499.99999995000002</v>
      </c>
      <c r="B1164" s="458">
        <v>500</v>
      </c>
      <c r="C1164" s="155">
        <v>0</v>
      </c>
      <c r="D1164" s="156">
        <f>C1164*100/C1179</f>
        <v>0</v>
      </c>
      <c r="E1164" s="155">
        <v>0</v>
      </c>
      <c r="F1164" s="156">
        <f>E1164*100/E1179</f>
        <v>0</v>
      </c>
      <c r="G1164" s="155">
        <v>0</v>
      </c>
      <c r="H1164" s="156">
        <f>G1164*100/G1179</f>
        <v>0</v>
      </c>
      <c r="I1164" s="268">
        <v>0</v>
      </c>
      <c r="J1164" s="270">
        <f>I1164*100/I1179</f>
        <v>0</v>
      </c>
      <c r="K1164" s="250"/>
      <c r="L1164" s="250"/>
      <c r="M1164" s="250"/>
    </row>
    <row r="1165" spans="1:13">
      <c r="A1165" s="458">
        <f t="shared" si="62"/>
        <v>599.99999993999995</v>
      </c>
      <c r="B1165" s="458">
        <v>600</v>
      </c>
      <c r="C1165" s="153">
        <v>0</v>
      </c>
      <c r="D1165" s="154">
        <f>C1165*100/C1179</f>
        <v>0</v>
      </c>
      <c r="E1165" s="153">
        <v>0</v>
      </c>
      <c r="F1165" s="154">
        <f>E1165*100/E1179</f>
        <v>0</v>
      </c>
      <c r="G1165" s="153">
        <v>0</v>
      </c>
      <c r="H1165" s="154">
        <f>G1165*100/G1179</f>
        <v>0</v>
      </c>
      <c r="I1165" s="264">
        <v>0</v>
      </c>
      <c r="J1165" s="266">
        <f>I1165*100/I1179</f>
        <v>0</v>
      </c>
      <c r="K1165" s="250"/>
      <c r="L1165" s="250"/>
      <c r="M1165" s="250"/>
    </row>
    <row r="1166" spans="1:13">
      <c r="A1166" s="458">
        <f t="shared" si="62"/>
        <v>699.99999992999994</v>
      </c>
      <c r="B1166" s="458">
        <v>700</v>
      </c>
      <c r="C1166" s="155">
        <v>0</v>
      </c>
      <c r="D1166" s="156">
        <f>C1166*100/C1179</f>
        <v>0</v>
      </c>
      <c r="E1166" s="155">
        <v>0</v>
      </c>
      <c r="F1166" s="156">
        <f>E1166*100/E1179</f>
        <v>0</v>
      </c>
      <c r="G1166" s="155">
        <v>0</v>
      </c>
      <c r="H1166" s="156">
        <f>G1166*100/G1179</f>
        <v>0</v>
      </c>
      <c r="I1166" s="268">
        <v>0</v>
      </c>
      <c r="J1166" s="270">
        <f>I1166*100/I1179</f>
        <v>0</v>
      </c>
      <c r="K1166" s="250"/>
      <c r="L1166" s="250"/>
      <c r="M1166" s="250"/>
    </row>
    <row r="1167" spans="1:13">
      <c r="A1167" s="458">
        <f t="shared" si="62"/>
        <v>799.99999991999994</v>
      </c>
      <c r="B1167" s="458">
        <v>800</v>
      </c>
      <c r="C1167" s="153">
        <v>0</v>
      </c>
      <c r="D1167" s="154">
        <f>C1167*100/C1179</f>
        <v>0</v>
      </c>
      <c r="E1167" s="153">
        <v>0</v>
      </c>
      <c r="F1167" s="154">
        <f>E1167*100/E1179</f>
        <v>0</v>
      </c>
      <c r="G1167" s="153">
        <v>0</v>
      </c>
      <c r="H1167" s="154">
        <f>G1167*100/G1179</f>
        <v>0</v>
      </c>
      <c r="I1167" s="264">
        <v>0</v>
      </c>
      <c r="J1167" s="266">
        <f>I1167*100/I1179</f>
        <v>0</v>
      </c>
      <c r="K1167" s="250"/>
      <c r="L1167" s="250"/>
      <c r="M1167" s="250"/>
    </row>
    <row r="1168" spans="1:13">
      <c r="A1168" s="458">
        <f t="shared" si="62"/>
        <v>899.99999991000004</v>
      </c>
      <c r="B1168" s="458">
        <v>900</v>
      </c>
      <c r="C1168" s="155">
        <v>0</v>
      </c>
      <c r="D1168" s="156">
        <f>C1168*100/C1179</f>
        <v>0</v>
      </c>
      <c r="E1168" s="155">
        <v>0</v>
      </c>
      <c r="F1168" s="156">
        <f>E1168*100/E1179</f>
        <v>0</v>
      </c>
      <c r="G1168" s="155">
        <v>0</v>
      </c>
      <c r="H1168" s="156">
        <f>G1168*100/G1179</f>
        <v>0</v>
      </c>
      <c r="I1168" s="268">
        <v>0</v>
      </c>
      <c r="J1168" s="270">
        <f>I1168*100/I1179</f>
        <v>0</v>
      </c>
      <c r="K1168" s="250"/>
      <c r="L1168" s="250"/>
      <c r="M1168" s="250"/>
    </row>
    <row r="1169" spans="1:13">
      <c r="A1169" s="458">
        <f t="shared" si="62"/>
        <v>999.99999990000003</v>
      </c>
      <c r="B1169" s="458">
        <v>1000</v>
      </c>
      <c r="C1169" s="153">
        <v>0</v>
      </c>
      <c r="D1169" s="154">
        <f>C1169*100/C1179</f>
        <v>0</v>
      </c>
      <c r="E1169" s="153">
        <v>0</v>
      </c>
      <c r="F1169" s="154">
        <f>E1169*100/E1179</f>
        <v>0</v>
      </c>
      <c r="G1169" s="153">
        <v>0</v>
      </c>
      <c r="H1169" s="154">
        <f>G1169*100/G1179</f>
        <v>0</v>
      </c>
      <c r="I1169" s="264">
        <v>0</v>
      </c>
      <c r="J1169" s="266">
        <f>I1169*100/I1179</f>
        <v>0</v>
      </c>
      <c r="K1169" s="250"/>
      <c r="L1169" s="250"/>
      <c r="M1169" s="250"/>
    </row>
    <row r="1170" spans="1:13">
      <c r="A1170" s="458">
        <f t="shared" si="62"/>
        <v>1999.9999998000001</v>
      </c>
      <c r="B1170" s="458">
        <v>2000</v>
      </c>
      <c r="C1170" s="155">
        <v>0</v>
      </c>
      <c r="D1170" s="156">
        <f>C1170*100/C1179</f>
        <v>0</v>
      </c>
      <c r="E1170" s="155">
        <v>1</v>
      </c>
      <c r="F1170" s="156">
        <f>E1170*100/E1179</f>
        <v>24.999999999375</v>
      </c>
      <c r="G1170" s="155">
        <v>0</v>
      </c>
      <c r="H1170" s="156">
        <f>G1170*100/G1179</f>
        <v>0</v>
      </c>
      <c r="I1170" s="268">
        <v>0</v>
      </c>
      <c r="J1170" s="270">
        <f>I1170*100/I1179</f>
        <v>0</v>
      </c>
      <c r="K1170" s="250"/>
      <c r="L1170" s="250"/>
      <c r="M1170" s="250"/>
    </row>
    <row r="1171" spans="1:13">
      <c r="A1171" s="458">
        <f t="shared" si="62"/>
        <v>2999.9999997</v>
      </c>
      <c r="B1171" s="458">
        <v>3000</v>
      </c>
      <c r="C1171" s="153">
        <v>0</v>
      </c>
      <c r="D1171" s="154">
        <f>C1171*100/C1179</f>
        <v>0</v>
      </c>
      <c r="E1171" s="153">
        <v>0</v>
      </c>
      <c r="F1171" s="154">
        <f>E1171*100/E1179</f>
        <v>0</v>
      </c>
      <c r="G1171" s="153">
        <v>0</v>
      </c>
      <c r="H1171" s="154">
        <f>G1171*100/G1179</f>
        <v>0</v>
      </c>
      <c r="I1171" s="264">
        <v>0</v>
      </c>
      <c r="J1171" s="266">
        <f>I1171*100/I1179</f>
        <v>0</v>
      </c>
      <c r="K1171" s="250"/>
      <c r="L1171" s="250"/>
      <c r="M1171" s="250"/>
    </row>
    <row r="1172" spans="1:13">
      <c r="A1172" s="458">
        <f t="shared" si="62"/>
        <v>3999.9999996000001</v>
      </c>
      <c r="B1172" s="458">
        <v>4000</v>
      </c>
      <c r="C1172" s="155">
        <v>0</v>
      </c>
      <c r="D1172" s="157">
        <f>C1172*100/C1179</f>
        <v>0</v>
      </c>
      <c r="E1172" s="158">
        <v>0</v>
      </c>
      <c r="F1172" s="157">
        <f>E1172*100/E1179</f>
        <v>0</v>
      </c>
      <c r="G1172" s="158">
        <v>0</v>
      </c>
      <c r="H1172" s="157">
        <f>G1172*100/G1179</f>
        <v>0</v>
      </c>
      <c r="I1172" s="272">
        <v>0</v>
      </c>
      <c r="J1172" s="273">
        <f>I1172*100/I1179</f>
        <v>0</v>
      </c>
      <c r="K1172" s="250"/>
      <c r="L1172" s="250"/>
      <c r="M1172" s="250"/>
    </row>
    <row r="1173" spans="1:13">
      <c r="A1173" s="458">
        <f t="shared" si="62"/>
        <v>4999.9999994999998</v>
      </c>
      <c r="B1173" s="458">
        <v>5000</v>
      </c>
      <c r="C1173" s="219">
        <v>3</v>
      </c>
      <c r="D1173" s="220">
        <f>C1173*100/C1179</f>
        <v>33.333333332962965</v>
      </c>
      <c r="E1173" s="221">
        <v>0</v>
      </c>
      <c r="F1173" s="220">
        <f>E1173*100/E1179</f>
        <v>0</v>
      </c>
      <c r="G1173" s="221">
        <v>0</v>
      </c>
      <c r="H1173" s="220">
        <f>G1173*100/G1179</f>
        <v>0</v>
      </c>
      <c r="I1173" s="221">
        <v>0</v>
      </c>
      <c r="J1173" s="281">
        <f>I1173*100/I1179</f>
        <v>0</v>
      </c>
      <c r="K1173" s="250"/>
      <c r="L1173" s="250"/>
      <c r="M1173" s="250"/>
    </row>
    <row r="1174" spans="1:13">
      <c r="A1174" s="458">
        <f t="shared" si="62"/>
        <v>5999.9999994</v>
      </c>
      <c r="B1174" s="458">
        <v>6000</v>
      </c>
      <c r="C1174" s="155">
        <v>0</v>
      </c>
      <c r="D1174" s="157">
        <f>C1174*100/C1179</f>
        <v>0</v>
      </c>
      <c r="E1174" s="158">
        <v>0</v>
      </c>
      <c r="F1174" s="157">
        <f>E1174*100/E1179</f>
        <v>0</v>
      </c>
      <c r="G1174" s="158">
        <v>0</v>
      </c>
      <c r="H1174" s="157">
        <f>G1174*100/G1179</f>
        <v>0</v>
      </c>
      <c r="I1174" s="272">
        <v>0</v>
      </c>
      <c r="J1174" s="273">
        <f>I1174*100/I1179</f>
        <v>0</v>
      </c>
      <c r="K1174" s="250"/>
      <c r="L1174" s="250"/>
      <c r="M1174" s="250"/>
    </row>
    <row r="1175" spans="1:13">
      <c r="A1175" s="458">
        <f t="shared" si="62"/>
        <v>6999.9999993000001</v>
      </c>
      <c r="B1175" s="458">
        <v>7000</v>
      </c>
      <c r="C1175" s="219">
        <v>0</v>
      </c>
      <c r="D1175" s="220">
        <f>C1175*100/C1179</f>
        <v>0</v>
      </c>
      <c r="E1175" s="221">
        <v>0</v>
      </c>
      <c r="F1175" s="220">
        <f>E1175*100/E1179</f>
        <v>0</v>
      </c>
      <c r="G1175" s="221">
        <v>0</v>
      </c>
      <c r="H1175" s="220">
        <f>G1175*100/G1179</f>
        <v>0</v>
      </c>
      <c r="I1175" s="221">
        <v>0</v>
      </c>
      <c r="J1175" s="281">
        <f>I1175*100/I1179</f>
        <v>0</v>
      </c>
      <c r="K1175" s="250"/>
      <c r="L1175" s="250"/>
      <c r="M1175" s="250"/>
    </row>
    <row r="1176" spans="1:13">
      <c r="A1176" s="458">
        <f t="shared" si="62"/>
        <v>7999.9999992000003</v>
      </c>
      <c r="B1176" s="458">
        <v>8000</v>
      </c>
      <c r="C1176" s="155">
        <v>2</v>
      </c>
      <c r="D1176" s="157">
        <f>C1176*100/C1179</f>
        <v>22.222222221975308</v>
      </c>
      <c r="E1176" s="158">
        <v>3</v>
      </c>
      <c r="F1176" s="157">
        <f>E1176*100/E1179</f>
        <v>74.999999998125006</v>
      </c>
      <c r="G1176" s="158">
        <v>0</v>
      </c>
      <c r="H1176" s="157">
        <f>G1176*100/G1179</f>
        <v>0</v>
      </c>
      <c r="I1176" s="272">
        <v>0</v>
      </c>
      <c r="J1176" s="273">
        <f>I1176*100/I1179</f>
        <v>0</v>
      </c>
      <c r="K1176" s="250"/>
      <c r="L1176" s="250"/>
      <c r="M1176" s="250"/>
    </row>
    <row r="1177" spans="1:13">
      <c r="A1177" s="458">
        <f t="shared" si="62"/>
        <v>8999.9999991000004</v>
      </c>
      <c r="B1177" s="458">
        <v>9000</v>
      </c>
      <c r="C1177" s="219">
        <v>0</v>
      </c>
      <c r="D1177" s="220">
        <f>C1177*100/C1179</f>
        <v>0</v>
      </c>
      <c r="E1177" s="221">
        <v>0</v>
      </c>
      <c r="F1177" s="220">
        <f>E1177*100/E1179</f>
        <v>0</v>
      </c>
      <c r="G1177" s="221">
        <v>0</v>
      </c>
      <c r="H1177" s="220">
        <f>G1177*100/G1179</f>
        <v>0</v>
      </c>
      <c r="I1177" s="221">
        <v>0</v>
      </c>
      <c r="J1177" s="281">
        <f>I1177*100/I1179</f>
        <v>0</v>
      </c>
      <c r="K1177" s="250"/>
      <c r="L1177" s="250"/>
      <c r="M1177" s="250"/>
    </row>
    <row r="1178" spans="1:13" ht="15" thickBot="1">
      <c r="A1178" s="457">
        <f>0.9999999999*B1178</f>
        <v>9999.9999989999997</v>
      </c>
      <c r="B1178" s="458">
        <v>10000</v>
      </c>
      <c r="C1178" s="160">
        <v>0</v>
      </c>
      <c r="D1178" s="168">
        <f>C1178*100/C1179</f>
        <v>0</v>
      </c>
      <c r="E1178" s="158">
        <v>0</v>
      </c>
      <c r="F1178" s="157">
        <f>E1178*100/E1179</f>
        <v>0</v>
      </c>
      <c r="G1178" s="158">
        <v>0</v>
      </c>
      <c r="H1178" s="157">
        <f>G1178*100/G1179</f>
        <v>0</v>
      </c>
      <c r="I1178" s="275">
        <v>0</v>
      </c>
      <c r="J1178" s="276">
        <f>I1178*100/I1179</f>
        <v>0</v>
      </c>
      <c r="K1178" s="250"/>
      <c r="L1178" s="250"/>
      <c r="M1178" s="250"/>
    </row>
    <row r="1179" spans="1:13" ht="15" thickBot="1">
      <c r="A1179" s="806" t="s">
        <v>396</v>
      </c>
      <c r="B1179" s="806"/>
      <c r="C1179" s="161">
        <f>SUM(C1150:C1178)+0.0000000001</f>
        <v>9.0000000001</v>
      </c>
      <c r="D1179" s="163">
        <f>SUM(D1151:D1178)</f>
        <v>88.888888887901231</v>
      </c>
      <c r="E1179" s="162">
        <f>SUM(E1150:E1178)+0.0000000001</f>
        <v>4.0000000001</v>
      </c>
      <c r="F1179" s="163">
        <f>SUM(F1150:F1178)</f>
        <v>99.999999997499998</v>
      </c>
      <c r="G1179" s="162">
        <f>SUM(G1150:G1178)+0.0000000001</f>
        <v>1E-10</v>
      </c>
      <c r="H1179" s="163">
        <f>SUM(H1150:H1178)</f>
        <v>0</v>
      </c>
      <c r="I1179" s="162">
        <f>SUM(I1150:I1178)+0.0000000001</f>
        <v>1E-10</v>
      </c>
      <c r="J1179" s="279">
        <f>SUM(J1150:J1178)</f>
        <v>0</v>
      </c>
      <c r="K1179" s="250"/>
      <c r="L1179" s="250"/>
      <c r="M1179" s="250"/>
    </row>
    <row r="1180" spans="1:13" ht="15" thickBot="1">
      <c r="A1180" s="778">
        <f>C1179+E1179+G1179+I1179</f>
        <v>13.0000000004</v>
      </c>
      <c r="B1180" s="779"/>
      <c r="C1180" s="779"/>
      <c r="D1180" s="779"/>
      <c r="E1180" s="779"/>
      <c r="F1180" s="779"/>
      <c r="G1180" s="779"/>
      <c r="H1180" s="779"/>
      <c r="I1180" s="779"/>
      <c r="J1180" s="780"/>
      <c r="K1180" s="139"/>
      <c r="L1180" s="139"/>
    </row>
    <row r="1197" spans="1:19" ht="15" thickBot="1">
      <c r="A1197" s="250"/>
    </row>
    <row r="1198" spans="1:19" ht="34.5" customHeight="1" thickBot="1">
      <c r="A1198" s="798" t="s">
        <v>533</v>
      </c>
      <c r="B1198" s="780"/>
      <c r="C1198" s="799" t="s">
        <v>400</v>
      </c>
      <c r="D1198" s="799"/>
      <c r="E1198" s="800" t="s">
        <v>946</v>
      </c>
      <c r="F1198" s="800"/>
      <c r="G1198" s="799" t="s">
        <v>948</v>
      </c>
      <c r="H1198" s="799"/>
      <c r="I1198" s="800" t="s">
        <v>947</v>
      </c>
      <c r="J1198" s="800"/>
      <c r="O1198" s="845" t="s">
        <v>897</v>
      </c>
      <c r="P1198" s="781"/>
      <c r="Q1198" s="781"/>
      <c r="R1198" s="781"/>
      <c r="S1198" s="781"/>
    </row>
    <row r="1199" spans="1:19" ht="15" thickBot="1">
      <c r="A1199" s="251" t="s">
        <v>887</v>
      </c>
      <c r="B1199" s="251" t="s">
        <v>243</v>
      </c>
      <c r="C1199" s="252" t="s">
        <v>397</v>
      </c>
      <c r="D1199" s="253" t="s">
        <v>945</v>
      </c>
      <c r="E1199" s="254" t="s">
        <v>397</v>
      </c>
      <c r="F1199" s="255" t="s">
        <v>945</v>
      </c>
      <c r="G1199" s="256" t="s">
        <v>397</v>
      </c>
      <c r="H1199" s="257" t="s">
        <v>945</v>
      </c>
      <c r="I1199" s="254" t="s">
        <v>397</v>
      </c>
      <c r="J1199" s="258" t="s">
        <v>945</v>
      </c>
    </row>
    <row r="1200" spans="1:19">
      <c r="A1200" s="259">
        <f>0.9999999999*B1200</f>
        <v>0</v>
      </c>
      <c r="B1200" s="259">
        <v>0</v>
      </c>
      <c r="C1200" s="260">
        <f t="array" ref="C1200:C1228">FREQUENCY(Discrete!AR3:AR20,Hists!A1201:A1228)</f>
        <v>0</v>
      </c>
      <c r="D1200" s="261">
        <f>C1200*100/C1229</f>
        <v>0</v>
      </c>
      <c r="E1200" s="260">
        <f t="array" ref="E1200:E1228">FREQUENCY(Discrete!AR21:AR78,Hists!A1201:A1228)</f>
        <v>0</v>
      </c>
      <c r="F1200" s="261">
        <f>E1200*100/E1229</f>
        <v>0</v>
      </c>
      <c r="G1200" s="260">
        <f t="array" ref="G1200:G1228">FREQUENCY(IC!BN3:BN39,Hists!A1201:A1228)</f>
        <v>0</v>
      </c>
      <c r="H1200" s="261">
        <f>G1200*100/G1229</f>
        <v>0</v>
      </c>
      <c r="I1200" s="260">
        <f t="array" ref="I1200:I1228">FREQUENCY(IC!BN40:BN64,Hists!A1201:A1228)</f>
        <v>0</v>
      </c>
      <c r="J1200" s="262">
        <f>I1200*100/I1229</f>
        <v>0</v>
      </c>
    </row>
    <row r="1201" spans="1:10">
      <c r="A1201" s="267">
        <f>0.9999999999*B1201</f>
        <v>99.999999989999992</v>
      </c>
      <c r="B1201" s="263">
        <v>100</v>
      </c>
      <c r="C1201" s="264">
        <v>0</v>
      </c>
      <c r="D1201" s="265">
        <f>C1201*100/C1229</f>
        <v>0</v>
      </c>
      <c r="E1201" s="264">
        <v>0</v>
      </c>
      <c r="F1201" s="265">
        <f>E1201*100/E1229</f>
        <v>0</v>
      </c>
      <c r="G1201" s="264">
        <v>0</v>
      </c>
      <c r="H1201" s="265">
        <f>G1201*100/G1229</f>
        <v>0</v>
      </c>
      <c r="I1201" s="264">
        <v>0</v>
      </c>
      <c r="J1201" s="266">
        <f>I1201*100/I1229</f>
        <v>0</v>
      </c>
    </row>
    <row r="1202" spans="1:10">
      <c r="A1202" s="267">
        <f t="shared" ref="A1202:A1227" si="63">0.9999999999*B1202</f>
        <v>199.99999997999998</v>
      </c>
      <c r="B1202" s="267">
        <v>200</v>
      </c>
      <c r="C1202" s="268">
        <v>0</v>
      </c>
      <c r="D1202" s="269">
        <f>C1202*100/C1229</f>
        <v>0</v>
      </c>
      <c r="E1202" s="268">
        <v>0</v>
      </c>
      <c r="F1202" s="269">
        <f>E1202*100/E1229</f>
        <v>0</v>
      </c>
      <c r="G1202" s="268">
        <v>0</v>
      </c>
      <c r="H1202" s="269">
        <f>G1202*100/G1229</f>
        <v>0</v>
      </c>
      <c r="I1202" s="268">
        <v>0</v>
      </c>
      <c r="J1202" s="270">
        <f>I1202*100/I1229</f>
        <v>0</v>
      </c>
    </row>
    <row r="1203" spans="1:10">
      <c r="A1203" s="267">
        <f t="shared" si="63"/>
        <v>299.99999996999998</v>
      </c>
      <c r="B1203" s="267">
        <v>300</v>
      </c>
      <c r="C1203" s="264">
        <v>0</v>
      </c>
      <c r="D1203" s="265">
        <f>C1203*100/C1229</f>
        <v>0</v>
      </c>
      <c r="E1203" s="264">
        <v>0</v>
      </c>
      <c r="F1203" s="265">
        <f>E1203*100/E1229</f>
        <v>0</v>
      </c>
      <c r="G1203" s="264">
        <v>0</v>
      </c>
      <c r="H1203" s="265">
        <f>G1203*100/G1229</f>
        <v>0</v>
      </c>
      <c r="I1203" s="264">
        <v>0</v>
      </c>
      <c r="J1203" s="266">
        <f>I1203*100/I1229</f>
        <v>0</v>
      </c>
    </row>
    <row r="1204" spans="1:10">
      <c r="A1204" s="267">
        <f t="shared" si="63"/>
        <v>399.99999995999997</v>
      </c>
      <c r="B1204" s="267">
        <v>400</v>
      </c>
      <c r="C1204" s="268">
        <v>0</v>
      </c>
      <c r="D1204" s="269">
        <f>C1204*100/C1229</f>
        <v>0</v>
      </c>
      <c r="E1204" s="268">
        <v>2</v>
      </c>
      <c r="F1204" s="269">
        <f>E1204*100/E1229</f>
        <v>15.384615384497041</v>
      </c>
      <c r="G1204" s="268">
        <v>0</v>
      </c>
      <c r="H1204" s="269">
        <f>G1204*100/G1229</f>
        <v>0</v>
      </c>
      <c r="I1204" s="268">
        <v>0</v>
      </c>
      <c r="J1204" s="270">
        <f>I1204*100/I1229</f>
        <v>0</v>
      </c>
    </row>
    <row r="1205" spans="1:10">
      <c r="A1205" s="267">
        <f t="shared" si="63"/>
        <v>499.99999995000002</v>
      </c>
      <c r="B1205" s="267">
        <v>500</v>
      </c>
      <c r="C1205" s="264">
        <v>0</v>
      </c>
      <c r="D1205" s="265">
        <f>C1205*100/C1229</f>
        <v>0</v>
      </c>
      <c r="E1205" s="264">
        <v>0</v>
      </c>
      <c r="F1205" s="265">
        <f>E1205*100/E1229</f>
        <v>0</v>
      </c>
      <c r="G1205" s="264">
        <v>0</v>
      </c>
      <c r="H1205" s="265">
        <f>G1205*100/G1229</f>
        <v>0</v>
      </c>
      <c r="I1205" s="264">
        <v>0</v>
      </c>
      <c r="J1205" s="266">
        <f>I1205*100/I1229</f>
        <v>0</v>
      </c>
    </row>
    <row r="1206" spans="1:10">
      <c r="A1206" s="267">
        <f t="shared" si="63"/>
        <v>599.99999993999995</v>
      </c>
      <c r="B1206" s="267">
        <v>600</v>
      </c>
      <c r="C1206" s="268">
        <v>0</v>
      </c>
      <c r="D1206" s="269">
        <f>C1206*100/C1229</f>
        <v>0</v>
      </c>
      <c r="E1206" s="268">
        <v>0</v>
      </c>
      <c r="F1206" s="269">
        <f>E1206*100/E1229</f>
        <v>0</v>
      </c>
      <c r="G1206" s="268">
        <v>0</v>
      </c>
      <c r="H1206" s="269">
        <f>G1206*100/G1229</f>
        <v>0</v>
      </c>
      <c r="I1206" s="268">
        <v>0</v>
      </c>
      <c r="J1206" s="270">
        <f>I1206*100/I1229</f>
        <v>0</v>
      </c>
    </row>
    <row r="1207" spans="1:10">
      <c r="A1207" s="267">
        <f t="shared" si="63"/>
        <v>699.99999992999994</v>
      </c>
      <c r="B1207" s="267">
        <v>700</v>
      </c>
      <c r="C1207" s="264">
        <v>0</v>
      </c>
      <c r="D1207" s="265">
        <f>C1207*100/C1229</f>
        <v>0</v>
      </c>
      <c r="E1207" s="264">
        <v>0</v>
      </c>
      <c r="F1207" s="265">
        <f>E1207*100/E1229</f>
        <v>0</v>
      </c>
      <c r="G1207" s="264">
        <v>0</v>
      </c>
      <c r="H1207" s="265">
        <f>G1207*100/G1229</f>
        <v>0</v>
      </c>
      <c r="I1207" s="264">
        <v>0</v>
      </c>
      <c r="J1207" s="266">
        <f>I1207*100/I1229</f>
        <v>0</v>
      </c>
    </row>
    <row r="1208" spans="1:10">
      <c r="A1208" s="267">
        <f t="shared" si="63"/>
        <v>799.99999991999994</v>
      </c>
      <c r="B1208" s="267">
        <v>800</v>
      </c>
      <c r="C1208" s="268">
        <v>0</v>
      </c>
      <c r="D1208" s="269">
        <f>C1208*100/C1229</f>
        <v>0</v>
      </c>
      <c r="E1208" s="268">
        <v>0</v>
      </c>
      <c r="F1208" s="269">
        <f>E1208*100/E1229</f>
        <v>0</v>
      </c>
      <c r="G1208" s="268">
        <v>0</v>
      </c>
      <c r="H1208" s="269">
        <f>G1208*100/G1229</f>
        <v>0</v>
      </c>
      <c r="I1208" s="268">
        <v>0</v>
      </c>
      <c r="J1208" s="270">
        <f>I1208*100/I1229</f>
        <v>0</v>
      </c>
    </row>
    <row r="1209" spans="1:10">
      <c r="A1209" s="267">
        <f t="shared" si="63"/>
        <v>899.99999991000004</v>
      </c>
      <c r="B1209" s="267">
        <v>900</v>
      </c>
      <c r="C1209" s="264">
        <v>0</v>
      </c>
      <c r="D1209" s="265">
        <f>C1209*100/C1229</f>
        <v>0</v>
      </c>
      <c r="E1209" s="264">
        <v>0</v>
      </c>
      <c r="F1209" s="265">
        <f>E1209*100/E1229</f>
        <v>0</v>
      </c>
      <c r="G1209" s="264">
        <v>0</v>
      </c>
      <c r="H1209" s="265">
        <f>G1209*100/G1229</f>
        <v>0</v>
      </c>
      <c r="I1209" s="264">
        <v>0</v>
      </c>
      <c r="J1209" s="266">
        <f>I1209*100/I1229</f>
        <v>0</v>
      </c>
    </row>
    <row r="1210" spans="1:10">
      <c r="A1210" s="267">
        <f t="shared" si="63"/>
        <v>999.99999990000003</v>
      </c>
      <c r="B1210" s="267">
        <v>1000</v>
      </c>
      <c r="C1210" s="268">
        <v>1</v>
      </c>
      <c r="D1210" s="269">
        <f>C1210*100/C1229</f>
        <v>49.999999997499998</v>
      </c>
      <c r="E1210" s="268">
        <v>0</v>
      </c>
      <c r="F1210" s="269">
        <f>E1210*100/E1229</f>
        <v>0</v>
      </c>
      <c r="G1210" s="268">
        <v>0</v>
      </c>
      <c r="H1210" s="269">
        <f>G1210*100/G1229</f>
        <v>0</v>
      </c>
      <c r="I1210" s="268">
        <v>0</v>
      </c>
      <c r="J1210" s="270">
        <f>I1210*100/I1229</f>
        <v>0</v>
      </c>
    </row>
    <row r="1211" spans="1:10">
      <c r="A1211" s="267">
        <f t="shared" si="63"/>
        <v>1999.9999998000001</v>
      </c>
      <c r="B1211" s="267">
        <v>2000</v>
      </c>
      <c r="C1211" s="264">
        <v>0</v>
      </c>
      <c r="D1211" s="265">
        <f>C1211*100/C1229</f>
        <v>0</v>
      </c>
      <c r="E1211" s="264">
        <v>1</v>
      </c>
      <c r="F1211" s="265">
        <f>E1211*100/E1229</f>
        <v>7.6923076922485203</v>
      </c>
      <c r="G1211" s="264">
        <v>0</v>
      </c>
      <c r="H1211" s="265">
        <f>G1211*100/G1229</f>
        <v>0</v>
      </c>
      <c r="I1211" s="264">
        <v>0</v>
      </c>
      <c r="J1211" s="266">
        <f>I1211*100/I1229</f>
        <v>0</v>
      </c>
    </row>
    <row r="1212" spans="1:10">
      <c r="A1212" s="267">
        <f t="shared" si="63"/>
        <v>2999.9999997</v>
      </c>
      <c r="B1212" s="267">
        <v>3000</v>
      </c>
      <c r="C1212" s="268">
        <v>0</v>
      </c>
      <c r="D1212" s="269">
        <f>C1212*100/C1229</f>
        <v>0</v>
      </c>
      <c r="E1212" s="268">
        <v>2</v>
      </c>
      <c r="F1212" s="269">
        <f>E1212*100/E1229</f>
        <v>15.384615384497041</v>
      </c>
      <c r="G1212" s="268">
        <v>0</v>
      </c>
      <c r="H1212" s="269">
        <f>G1212*100/G1229</f>
        <v>0</v>
      </c>
      <c r="I1212" s="268">
        <v>0</v>
      </c>
      <c r="J1212" s="270">
        <f>I1212*100/I1229</f>
        <v>0</v>
      </c>
    </row>
    <row r="1213" spans="1:10">
      <c r="A1213" s="267">
        <f t="shared" si="63"/>
        <v>3999.9999996000001</v>
      </c>
      <c r="B1213" s="267">
        <v>4000</v>
      </c>
      <c r="C1213" s="264">
        <v>0</v>
      </c>
      <c r="D1213" s="265">
        <f>C1213*100/C1229</f>
        <v>0</v>
      </c>
      <c r="E1213" s="264">
        <v>1</v>
      </c>
      <c r="F1213" s="265">
        <f>E1213*100/E1229</f>
        <v>7.6923076922485203</v>
      </c>
      <c r="G1213" s="264">
        <v>0</v>
      </c>
      <c r="H1213" s="265">
        <f>G1213*100/G1229</f>
        <v>0</v>
      </c>
      <c r="I1213" s="264">
        <v>0</v>
      </c>
      <c r="J1213" s="266">
        <f>I1213*100/I1229</f>
        <v>0</v>
      </c>
    </row>
    <row r="1214" spans="1:10">
      <c r="A1214" s="267">
        <f t="shared" si="63"/>
        <v>4999.9999994999998</v>
      </c>
      <c r="B1214" s="267">
        <v>5000</v>
      </c>
      <c r="C1214" s="268">
        <v>0</v>
      </c>
      <c r="D1214" s="269">
        <f>C1214*100/C1229</f>
        <v>0</v>
      </c>
      <c r="E1214" s="268">
        <v>0</v>
      </c>
      <c r="F1214" s="269">
        <f>E1214*100/E1229</f>
        <v>0</v>
      </c>
      <c r="G1214" s="268">
        <v>0</v>
      </c>
      <c r="H1214" s="269">
        <f>G1214*100/G1229</f>
        <v>0</v>
      </c>
      <c r="I1214" s="268">
        <v>0</v>
      </c>
      <c r="J1214" s="270">
        <f>I1214*100/I1229</f>
        <v>0</v>
      </c>
    </row>
    <row r="1215" spans="1:10">
      <c r="A1215" s="267">
        <f t="shared" si="63"/>
        <v>5999.9999994</v>
      </c>
      <c r="B1215" s="267">
        <v>6000</v>
      </c>
      <c r="C1215" s="264">
        <v>0</v>
      </c>
      <c r="D1215" s="265">
        <f>C1215*100/C1229</f>
        <v>0</v>
      </c>
      <c r="E1215" s="264">
        <v>0</v>
      </c>
      <c r="F1215" s="265">
        <f>E1215*100/E1229</f>
        <v>0</v>
      </c>
      <c r="G1215" s="264">
        <v>0</v>
      </c>
      <c r="H1215" s="265">
        <f>G1215*100/G1229</f>
        <v>0</v>
      </c>
      <c r="I1215" s="264">
        <v>0</v>
      </c>
      <c r="J1215" s="266">
        <f>I1215*100/I1229</f>
        <v>0</v>
      </c>
    </row>
    <row r="1216" spans="1:10">
      <c r="A1216" s="267">
        <f t="shared" si="63"/>
        <v>6999.9999993000001</v>
      </c>
      <c r="B1216" s="267">
        <v>7000</v>
      </c>
      <c r="C1216" s="268">
        <v>0</v>
      </c>
      <c r="D1216" s="269">
        <f>C1216*100/C1229</f>
        <v>0</v>
      </c>
      <c r="E1216" s="268">
        <v>0</v>
      </c>
      <c r="F1216" s="269">
        <f>E1216*100/E1229</f>
        <v>0</v>
      </c>
      <c r="G1216" s="268">
        <v>0</v>
      </c>
      <c r="H1216" s="269">
        <f>G1216*100/G1229</f>
        <v>0</v>
      </c>
      <c r="I1216" s="268">
        <v>0</v>
      </c>
      <c r="J1216" s="270">
        <f>I1216*100/I1229</f>
        <v>0</v>
      </c>
    </row>
    <row r="1217" spans="1:14">
      <c r="A1217" s="267">
        <f t="shared" si="63"/>
        <v>7999.9999992000003</v>
      </c>
      <c r="B1217" s="267">
        <v>8000</v>
      </c>
      <c r="C1217" s="264">
        <v>0</v>
      </c>
      <c r="D1217" s="265">
        <f>C1217*100/C1229</f>
        <v>0</v>
      </c>
      <c r="E1217" s="264">
        <v>0</v>
      </c>
      <c r="F1217" s="265">
        <f>E1217*100/E1229</f>
        <v>0</v>
      </c>
      <c r="G1217" s="264">
        <v>0</v>
      </c>
      <c r="H1217" s="265">
        <f>G1217*100/G1229</f>
        <v>0</v>
      </c>
      <c r="I1217" s="264">
        <v>0</v>
      </c>
      <c r="J1217" s="266">
        <f>I1217*100/I1229</f>
        <v>0</v>
      </c>
    </row>
    <row r="1218" spans="1:14">
      <c r="A1218" s="267">
        <f t="shared" si="63"/>
        <v>8999.9999991000004</v>
      </c>
      <c r="B1218" s="267">
        <v>9000</v>
      </c>
      <c r="C1218" s="268">
        <v>0</v>
      </c>
      <c r="D1218" s="269">
        <f>C1218*100/C1229</f>
        <v>0</v>
      </c>
      <c r="E1218" s="268">
        <v>1</v>
      </c>
      <c r="F1218" s="269">
        <f>E1218*100/E1229</f>
        <v>7.6923076922485203</v>
      </c>
      <c r="G1218" s="268">
        <v>0</v>
      </c>
      <c r="H1218" s="269">
        <f>G1218*100/G1229</f>
        <v>0</v>
      </c>
      <c r="I1218" s="268">
        <v>0</v>
      </c>
      <c r="J1218" s="270">
        <f>I1218*100/I1229</f>
        <v>0</v>
      </c>
    </row>
    <row r="1219" spans="1:14">
      <c r="A1219" s="267">
        <f t="shared" si="63"/>
        <v>9999.9999989999997</v>
      </c>
      <c r="B1219" s="267">
        <v>10000</v>
      </c>
      <c r="C1219" s="264">
        <v>0</v>
      </c>
      <c r="D1219" s="265">
        <f>C1219*100/C1229</f>
        <v>0</v>
      </c>
      <c r="E1219" s="264">
        <v>4</v>
      </c>
      <c r="F1219" s="265">
        <f>E1219*100/E1229</f>
        <v>30.769230768994081</v>
      </c>
      <c r="G1219" s="264">
        <v>0</v>
      </c>
      <c r="H1219" s="265">
        <f>G1219*100/G1229</f>
        <v>0</v>
      </c>
      <c r="I1219" s="264">
        <v>0</v>
      </c>
      <c r="J1219" s="266">
        <f>I1219*100/I1229</f>
        <v>0</v>
      </c>
    </row>
    <row r="1220" spans="1:14">
      <c r="A1220" s="267">
        <f t="shared" si="63"/>
        <v>19999.999997999999</v>
      </c>
      <c r="B1220" s="267">
        <v>20000</v>
      </c>
      <c r="C1220" s="268">
        <v>0</v>
      </c>
      <c r="D1220" s="269">
        <f>C1220*100/C1229</f>
        <v>0</v>
      </c>
      <c r="E1220" s="268">
        <v>2</v>
      </c>
      <c r="F1220" s="269">
        <f>E1220*100/E1229</f>
        <v>15.384615384497041</v>
      </c>
      <c r="G1220" s="268">
        <v>0</v>
      </c>
      <c r="H1220" s="269">
        <f>G1220*100/G1229</f>
        <v>0</v>
      </c>
      <c r="I1220" s="268">
        <v>0</v>
      </c>
      <c r="J1220" s="270">
        <f>I1220*100/I1229</f>
        <v>0</v>
      </c>
    </row>
    <row r="1221" spans="1:14">
      <c r="A1221" s="267">
        <f t="shared" si="63"/>
        <v>29999.999996999999</v>
      </c>
      <c r="B1221" s="267">
        <v>30000</v>
      </c>
      <c r="C1221" s="264">
        <v>0</v>
      </c>
      <c r="D1221" s="265">
        <f>C1221*100/C1229</f>
        <v>0</v>
      </c>
      <c r="E1221" s="264">
        <v>0</v>
      </c>
      <c r="F1221" s="265">
        <f>E1221*100/E1229</f>
        <v>0</v>
      </c>
      <c r="G1221" s="264">
        <v>0</v>
      </c>
      <c r="H1221" s="265">
        <f>G1221*100/G1229</f>
        <v>0</v>
      </c>
      <c r="I1221" s="264">
        <v>0</v>
      </c>
      <c r="J1221" s="266">
        <f>I1221*100/I1229</f>
        <v>0</v>
      </c>
    </row>
    <row r="1222" spans="1:14">
      <c r="A1222" s="267">
        <f t="shared" si="63"/>
        <v>39999.999995999999</v>
      </c>
      <c r="B1222" s="267">
        <v>40000</v>
      </c>
      <c r="C1222" s="268">
        <v>0</v>
      </c>
      <c r="D1222" s="271">
        <f>C1222*100/C1229</f>
        <v>0</v>
      </c>
      <c r="E1222" s="272">
        <v>0</v>
      </c>
      <c r="F1222" s="271">
        <f>E1222*100/E1229</f>
        <v>0</v>
      </c>
      <c r="G1222" s="272">
        <v>0</v>
      </c>
      <c r="H1222" s="271">
        <f>G1222*100/G1229</f>
        <v>0</v>
      </c>
      <c r="I1222" s="272">
        <v>0</v>
      </c>
      <c r="J1222" s="273">
        <f>I1222*100/I1229</f>
        <v>0</v>
      </c>
    </row>
    <row r="1223" spans="1:14">
      <c r="A1223" s="267">
        <f t="shared" si="63"/>
        <v>49999.999994999998</v>
      </c>
      <c r="B1223" s="267">
        <v>50000</v>
      </c>
      <c r="C1223" s="219">
        <v>0</v>
      </c>
      <c r="D1223" s="220">
        <f>C1223*100/C1229</f>
        <v>0</v>
      </c>
      <c r="E1223" s="221">
        <v>0</v>
      </c>
      <c r="F1223" s="220">
        <f>E1223*100/E1229</f>
        <v>0</v>
      </c>
      <c r="G1223" s="221">
        <v>0</v>
      </c>
      <c r="H1223" s="220">
        <f>G1223*100/G1229</f>
        <v>0</v>
      </c>
      <c r="I1223" s="221">
        <v>0</v>
      </c>
      <c r="J1223" s="281">
        <f>I1223*100/I1229</f>
        <v>0</v>
      </c>
    </row>
    <row r="1224" spans="1:14">
      <c r="A1224" s="267">
        <f t="shared" si="63"/>
        <v>59999.999993999998</v>
      </c>
      <c r="B1224" s="267">
        <v>60000</v>
      </c>
      <c r="C1224" s="268">
        <v>0</v>
      </c>
      <c r="D1224" s="271">
        <f>C1224*100/C1229</f>
        <v>0</v>
      </c>
      <c r="E1224" s="272">
        <v>0</v>
      </c>
      <c r="F1224" s="271">
        <f>E1224*100/E1229</f>
        <v>0</v>
      </c>
      <c r="G1224" s="272">
        <v>0</v>
      </c>
      <c r="H1224" s="271">
        <f>G1224*100/G1229</f>
        <v>0</v>
      </c>
      <c r="I1224" s="272">
        <v>0</v>
      </c>
      <c r="J1224" s="273">
        <f>I1224*100/I1229</f>
        <v>0</v>
      </c>
    </row>
    <row r="1225" spans="1:14">
      <c r="A1225" s="267">
        <f t="shared" si="63"/>
        <v>69999.999993000005</v>
      </c>
      <c r="B1225" s="267">
        <v>70000</v>
      </c>
      <c r="C1225" s="219">
        <v>0</v>
      </c>
      <c r="D1225" s="220">
        <f>C1225*100/C1229</f>
        <v>0</v>
      </c>
      <c r="E1225" s="221">
        <v>0</v>
      </c>
      <c r="F1225" s="220">
        <f>E1225*100/E1229</f>
        <v>0</v>
      </c>
      <c r="G1225" s="221">
        <v>0</v>
      </c>
      <c r="H1225" s="220">
        <f>G1225*100/G1229</f>
        <v>0</v>
      </c>
      <c r="I1225" s="221">
        <v>0</v>
      </c>
      <c r="J1225" s="281">
        <f>I1225*100/I1229</f>
        <v>0</v>
      </c>
    </row>
    <row r="1226" spans="1:14">
      <c r="A1226" s="267">
        <f t="shared" si="63"/>
        <v>79999.999991999997</v>
      </c>
      <c r="B1226" s="267">
        <v>80000</v>
      </c>
      <c r="C1226" s="268">
        <v>0</v>
      </c>
      <c r="D1226" s="271">
        <f>C1226*100/C1229</f>
        <v>0</v>
      </c>
      <c r="E1226" s="272">
        <v>0</v>
      </c>
      <c r="F1226" s="271">
        <f>E1226*100/E1229</f>
        <v>0</v>
      </c>
      <c r="G1226" s="272">
        <v>0</v>
      </c>
      <c r="H1226" s="271">
        <f>G1226*100/G1229</f>
        <v>0</v>
      </c>
      <c r="I1226" s="272">
        <v>0</v>
      </c>
      <c r="J1226" s="273">
        <f>I1226*100/I1229</f>
        <v>0</v>
      </c>
    </row>
    <row r="1227" spans="1:14">
      <c r="A1227" s="267">
        <f t="shared" si="63"/>
        <v>89999.999991000004</v>
      </c>
      <c r="B1227" s="267">
        <v>90000</v>
      </c>
      <c r="C1227" s="219">
        <v>0</v>
      </c>
      <c r="D1227" s="220">
        <f>C1227*100/C1229</f>
        <v>0</v>
      </c>
      <c r="E1227" s="221">
        <v>0</v>
      </c>
      <c r="F1227" s="220">
        <f>E1227*100/E1229</f>
        <v>0</v>
      </c>
      <c r="G1227" s="221">
        <v>0</v>
      </c>
      <c r="H1227" s="220">
        <f>G1227*100/G1229</f>
        <v>0</v>
      </c>
      <c r="I1227" s="221">
        <v>0</v>
      </c>
      <c r="J1227" s="281">
        <f>I1227*100/I1229</f>
        <v>0</v>
      </c>
    </row>
    <row r="1228" spans="1:14" ht="15" thickBot="1">
      <c r="A1228" s="645">
        <v>100000</v>
      </c>
      <c r="B1228" s="457">
        <v>100000</v>
      </c>
      <c r="C1228" s="275">
        <v>1</v>
      </c>
      <c r="D1228" s="280">
        <f>C1228*100/C1229</f>
        <v>49.999999997499998</v>
      </c>
      <c r="E1228" s="272">
        <v>0</v>
      </c>
      <c r="F1228" s="271">
        <f>E1228*100/E1229</f>
        <v>0</v>
      </c>
      <c r="G1228" s="272">
        <v>0</v>
      </c>
      <c r="H1228" s="271">
        <f>G1228*100/G1229</f>
        <v>0</v>
      </c>
      <c r="I1228" s="275">
        <v>0</v>
      </c>
      <c r="J1228" s="276">
        <f>I1228*100/I1229</f>
        <v>0</v>
      </c>
      <c r="L1228" s="250" t="s">
        <v>400</v>
      </c>
      <c r="M1228" s="250" t="s">
        <v>543</v>
      </c>
      <c r="N1228" s="286">
        <f>AVERAGE(Discrete!AR3:AR20)</f>
        <v>375665.09015666571</v>
      </c>
    </row>
    <row r="1229" spans="1:14" ht="15" thickBot="1">
      <c r="A1229" s="806" t="s">
        <v>396</v>
      </c>
      <c r="B1229" s="806"/>
      <c r="C1229" s="277">
        <f>SUM(C1200:C1228)+0.0000000001</f>
        <v>2.0000000001</v>
      </c>
      <c r="D1229" s="279">
        <f>SUM(D1201:D1228)</f>
        <v>99.999999994999996</v>
      </c>
      <c r="E1229" s="278">
        <f>SUM(E1200:E1228)+0.0000000001</f>
        <v>13.0000000001</v>
      </c>
      <c r="F1229" s="279">
        <f>SUM(F1200:F1228)</f>
        <v>99.999999999230766</v>
      </c>
      <c r="G1229" s="278">
        <f>SUM(G1200:G1228)+0.0000000001</f>
        <v>1E-10</v>
      </c>
      <c r="H1229" s="279">
        <f>SUM(H1200:H1228)</f>
        <v>0</v>
      </c>
      <c r="I1229" s="278">
        <f>SUM(I1200:I1228)+0.0000000001</f>
        <v>1E-10</v>
      </c>
      <c r="J1229" s="279">
        <f>SUM(J1200:J1228)</f>
        <v>0</v>
      </c>
      <c r="L1229" s="250" t="s">
        <v>398</v>
      </c>
      <c r="M1229" s="250" t="s">
        <v>543</v>
      </c>
      <c r="N1229" s="286">
        <f>AVERAGE(Discrete!AR21:AR78)</f>
        <v>9921.1542939303017</v>
      </c>
    </row>
    <row r="1230" spans="1:14" ht="15" thickBot="1">
      <c r="A1230" s="778">
        <f>C1229+E1229+G1229+I1229</f>
        <v>15.0000000004</v>
      </c>
      <c r="B1230" s="779"/>
      <c r="C1230" s="779"/>
      <c r="D1230" s="779"/>
      <c r="E1230" s="779"/>
      <c r="F1230" s="779"/>
      <c r="G1230" s="779"/>
      <c r="H1230" s="779"/>
      <c r="I1230" s="779"/>
      <c r="J1230" s="780"/>
      <c r="L1230" s="250" t="s">
        <v>546</v>
      </c>
      <c r="M1230" s="250" t="s">
        <v>543</v>
      </c>
      <c r="N1230" s="286">
        <f>AVERAGE(IC!BO3:BO39)</f>
        <v>1900.4843394174088</v>
      </c>
    </row>
    <row r="1231" spans="1:14">
      <c r="L1231" s="250" t="s">
        <v>531</v>
      </c>
      <c r="M1231" s="250" t="s">
        <v>543</v>
      </c>
      <c r="N1231" s="286">
        <f>AVERAGE(IC!BO40:BO64)</f>
        <v>745016.99869396514</v>
      </c>
    </row>
    <row r="1247" spans="1:19" ht="15" thickBot="1">
      <c r="A1247" s="250"/>
    </row>
    <row r="1248" spans="1:19" ht="41.25" customHeight="1" thickBot="1">
      <c r="A1248" s="798" t="s">
        <v>534</v>
      </c>
      <c r="B1248" s="780"/>
      <c r="C1248" s="799" t="s">
        <v>400</v>
      </c>
      <c r="D1248" s="799"/>
      <c r="E1248" s="800" t="s">
        <v>946</v>
      </c>
      <c r="F1248" s="800"/>
      <c r="G1248" s="799" t="s">
        <v>948</v>
      </c>
      <c r="H1248" s="799"/>
      <c r="I1248" s="800" t="s">
        <v>947</v>
      </c>
      <c r="J1248" s="800"/>
      <c r="O1248" s="781" t="s">
        <v>915</v>
      </c>
      <c r="P1248" s="781"/>
      <c r="Q1248" s="781"/>
      <c r="R1248" s="781"/>
      <c r="S1248" s="781"/>
    </row>
    <row r="1249" spans="1:10" ht="15" thickBot="1">
      <c r="A1249" s="251" t="s">
        <v>887</v>
      </c>
      <c r="B1249" s="251" t="s">
        <v>243</v>
      </c>
      <c r="C1249" s="252" t="s">
        <v>397</v>
      </c>
      <c r="D1249" s="253" t="s">
        <v>945</v>
      </c>
      <c r="E1249" s="254" t="s">
        <v>397</v>
      </c>
      <c r="F1249" s="255" t="s">
        <v>945</v>
      </c>
      <c r="G1249" s="256" t="s">
        <v>397</v>
      </c>
      <c r="H1249" s="257" t="s">
        <v>945</v>
      </c>
      <c r="I1249" s="254" t="s">
        <v>397</v>
      </c>
      <c r="J1249" s="258" t="s">
        <v>945</v>
      </c>
    </row>
    <row r="1250" spans="1:10">
      <c r="A1250" s="259">
        <f>0.9999999999*B1250</f>
        <v>0</v>
      </c>
      <c r="B1250" s="259">
        <v>0</v>
      </c>
      <c r="C1250" s="260">
        <f t="array" ref="C1250:C1278">FREQUENCY(Discrete!AS3:AS20,Hists!A1251:A1278)</f>
        <v>0</v>
      </c>
      <c r="D1250" s="261">
        <f>C1250*100/C1279</f>
        <v>0</v>
      </c>
      <c r="E1250" s="260">
        <f t="array" ref="E1250:E1278">FREQUENCY(Discrete!AS21:AS79,Hists!A1251:A1278)</f>
        <v>5</v>
      </c>
      <c r="F1250" s="261">
        <f>E1250*100/E1279</f>
        <v>19.999999991999999</v>
      </c>
      <c r="G1250" s="260">
        <f t="array" ref="G1250:G1278">FREQUENCY(IC!BO3:BO39,Hists!A1251:A1278)</f>
        <v>0</v>
      </c>
      <c r="H1250" s="261">
        <f>G1250*100/G1279</f>
        <v>0</v>
      </c>
      <c r="I1250" s="260">
        <f t="array" ref="I1250:I1278">FREQUENCY(IC!BO40:BO64,Hists!A1251:A1278)</f>
        <v>0</v>
      </c>
      <c r="J1250" s="262">
        <f>I1250*100/I1279</f>
        <v>0</v>
      </c>
    </row>
    <row r="1251" spans="1:10">
      <c r="A1251" s="267">
        <f>0.9999999999*B1251</f>
        <v>99.999999989999992</v>
      </c>
      <c r="B1251" s="267">
        <v>100</v>
      </c>
      <c r="C1251" s="264">
        <v>0</v>
      </c>
      <c r="D1251" s="265">
        <f>C1251*100/C1279</f>
        <v>0</v>
      </c>
      <c r="E1251" s="264">
        <v>2</v>
      </c>
      <c r="F1251" s="265">
        <f>E1251*100/E1279</f>
        <v>7.9999999967999997</v>
      </c>
      <c r="G1251" s="264">
        <v>0</v>
      </c>
      <c r="H1251" s="265">
        <f>G1251*100/G1279</f>
        <v>0</v>
      </c>
      <c r="I1251" s="264">
        <v>0</v>
      </c>
      <c r="J1251" s="266">
        <f>I1251*100/I1279</f>
        <v>0</v>
      </c>
    </row>
    <row r="1252" spans="1:10">
      <c r="A1252" s="267">
        <f t="shared" ref="A1252:A1277" si="64">0.9999999999*B1252</f>
        <v>199.99999997999998</v>
      </c>
      <c r="B1252" s="263">
        <v>200</v>
      </c>
      <c r="C1252" s="268">
        <v>0</v>
      </c>
      <c r="D1252" s="269">
        <f>C1252*100/C1279</f>
        <v>0</v>
      </c>
      <c r="E1252" s="268">
        <v>0</v>
      </c>
      <c r="F1252" s="269">
        <f>E1252*100/E1279</f>
        <v>0</v>
      </c>
      <c r="G1252" s="268">
        <v>3</v>
      </c>
      <c r="H1252" s="269">
        <f>G1252*100/G1279</f>
        <v>24.999999999791665</v>
      </c>
      <c r="I1252" s="268">
        <v>0</v>
      </c>
      <c r="J1252" s="270">
        <f>I1252*100/I1279</f>
        <v>0</v>
      </c>
    </row>
    <row r="1253" spans="1:10">
      <c r="A1253" s="267">
        <f t="shared" si="64"/>
        <v>299.99999996999998</v>
      </c>
      <c r="B1253" s="267">
        <v>300</v>
      </c>
      <c r="C1253" s="264">
        <v>0</v>
      </c>
      <c r="D1253" s="265">
        <f>C1253*100/C1279</f>
        <v>0</v>
      </c>
      <c r="E1253" s="264">
        <v>3</v>
      </c>
      <c r="F1253" s="265">
        <f>E1253*100/E1279</f>
        <v>11.9999999952</v>
      </c>
      <c r="G1253" s="264">
        <v>0</v>
      </c>
      <c r="H1253" s="265">
        <f>G1253*100/G1279</f>
        <v>0</v>
      </c>
      <c r="I1253" s="264">
        <v>0</v>
      </c>
      <c r="J1253" s="266">
        <f>I1253*100/I1279</f>
        <v>0</v>
      </c>
    </row>
    <row r="1254" spans="1:10">
      <c r="A1254" s="267">
        <f t="shared" si="64"/>
        <v>399.99999995999997</v>
      </c>
      <c r="B1254" s="263">
        <v>400</v>
      </c>
      <c r="C1254" s="268">
        <v>0</v>
      </c>
      <c r="D1254" s="269">
        <f>C1254*100/C1279</f>
        <v>0</v>
      </c>
      <c r="E1254" s="268">
        <v>2</v>
      </c>
      <c r="F1254" s="269">
        <f>E1254*100/E1279</f>
        <v>7.9999999967999997</v>
      </c>
      <c r="G1254" s="268">
        <v>1</v>
      </c>
      <c r="H1254" s="269">
        <f>G1254*100/G1279</f>
        <v>8.333333333263889</v>
      </c>
      <c r="I1254" s="268">
        <v>0</v>
      </c>
      <c r="J1254" s="270">
        <f>I1254*100/I1279</f>
        <v>0</v>
      </c>
    </row>
    <row r="1255" spans="1:10">
      <c r="A1255" s="267">
        <f t="shared" si="64"/>
        <v>499.99999995000002</v>
      </c>
      <c r="B1255" s="267">
        <v>500</v>
      </c>
      <c r="C1255" s="264">
        <v>1</v>
      </c>
      <c r="D1255" s="265">
        <f>C1255*100/C1279</f>
        <v>49.999999997499998</v>
      </c>
      <c r="E1255" s="264">
        <v>3</v>
      </c>
      <c r="F1255" s="265">
        <f>E1255*100/E1279</f>
        <v>11.9999999952</v>
      </c>
      <c r="G1255" s="264">
        <v>1</v>
      </c>
      <c r="H1255" s="265">
        <f>G1255*100/G1279</f>
        <v>8.333333333263889</v>
      </c>
      <c r="I1255" s="264">
        <v>0</v>
      </c>
      <c r="J1255" s="266">
        <f>I1255*100/I1279</f>
        <v>0</v>
      </c>
    </row>
    <row r="1256" spans="1:10">
      <c r="A1256" s="267">
        <f t="shared" si="64"/>
        <v>599.99999993999995</v>
      </c>
      <c r="B1256" s="263">
        <v>600</v>
      </c>
      <c r="C1256" s="268">
        <v>0</v>
      </c>
      <c r="D1256" s="269">
        <f>C1256*100/C1279</f>
        <v>0</v>
      </c>
      <c r="E1256" s="268">
        <v>1</v>
      </c>
      <c r="F1256" s="269">
        <f>E1256*100/E1279</f>
        <v>3.9999999983999999</v>
      </c>
      <c r="G1256" s="268">
        <v>0</v>
      </c>
      <c r="H1256" s="269">
        <f>G1256*100/G1279</f>
        <v>0</v>
      </c>
      <c r="I1256" s="268">
        <v>0</v>
      </c>
      <c r="J1256" s="270">
        <f>I1256*100/I1279</f>
        <v>0</v>
      </c>
    </row>
    <row r="1257" spans="1:10">
      <c r="A1257" s="267">
        <f t="shared" si="64"/>
        <v>699.99999992999994</v>
      </c>
      <c r="B1257" s="267">
        <v>700</v>
      </c>
      <c r="C1257" s="264">
        <v>0</v>
      </c>
      <c r="D1257" s="265">
        <f>C1257*100/C1279</f>
        <v>0</v>
      </c>
      <c r="E1257" s="264">
        <v>2</v>
      </c>
      <c r="F1257" s="265">
        <f>E1257*100/E1279</f>
        <v>7.9999999967999997</v>
      </c>
      <c r="G1257" s="264">
        <v>1</v>
      </c>
      <c r="H1257" s="265">
        <f>G1257*100/G1279</f>
        <v>8.333333333263889</v>
      </c>
      <c r="I1257" s="264">
        <v>0</v>
      </c>
      <c r="J1257" s="266">
        <f>I1257*100/I1279</f>
        <v>0</v>
      </c>
    </row>
    <row r="1258" spans="1:10">
      <c r="A1258" s="267">
        <f t="shared" si="64"/>
        <v>799.99999991999994</v>
      </c>
      <c r="B1258" s="263">
        <v>800</v>
      </c>
      <c r="C1258" s="268">
        <v>0</v>
      </c>
      <c r="D1258" s="269">
        <f>C1258*100/C1279</f>
        <v>0</v>
      </c>
      <c r="E1258" s="268">
        <v>0</v>
      </c>
      <c r="F1258" s="269">
        <f>E1258*100/E1279</f>
        <v>0</v>
      </c>
      <c r="G1258" s="268">
        <v>0</v>
      </c>
      <c r="H1258" s="269">
        <f>G1258*100/G1279</f>
        <v>0</v>
      </c>
      <c r="I1258" s="268">
        <v>0</v>
      </c>
      <c r="J1258" s="270">
        <f>I1258*100/I1279</f>
        <v>0</v>
      </c>
    </row>
    <row r="1259" spans="1:10">
      <c r="A1259" s="267">
        <f t="shared" si="64"/>
        <v>899.99999991000004</v>
      </c>
      <c r="B1259" s="267">
        <v>900</v>
      </c>
      <c r="C1259" s="264">
        <v>0</v>
      </c>
      <c r="D1259" s="265">
        <f>C1259*100/C1279</f>
        <v>0</v>
      </c>
      <c r="E1259" s="264">
        <v>0</v>
      </c>
      <c r="F1259" s="265">
        <f>E1259*100/E1279</f>
        <v>0</v>
      </c>
      <c r="G1259" s="264">
        <v>0</v>
      </c>
      <c r="H1259" s="265">
        <f>G1259*100/G1279</f>
        <v>0</v>
      </c>
      <c r="I1259" s="264">
        <v>0</v>
      </c>
      <c r="J1259" s="266">
        <f>I1259*100/I1279</f>
        <v>0</v>
      </c>
    </row>
    <row r="1260" spans="1:10">
      <c r="A1260" s="267">
        <f t="shared" si="64"/>
        <v>999.99999990000003</v>
      </c>
      <c r="B1260" s="263">
        <v>1000</v>
      </c>
      <c r="C1260" s="268">
        <v>0</v>
      </c>
      <c r="D1260" s="269">
        <f>C1260*100/C1279</f>
        <v>0</v>
      </c>
      <c r="E1260" s="268">
        <v>0</v>
      </c>
      <c r="F1260" s="269">
        <f>E1260*100/E1279</f>
        <v>0</v>
      </c>
      <c r="G1260" s="268">
        <v>1</v>
      </c>
      <c r="H1260" s="269">
        <f>G1260*100/G1279</f>
        <v>8.333333333263889</v>
      </c>
      <c r="I1260" s="268">
        <v>0</v>
      </c>
      <c r="J1260" s="270">
        <f>I1260*100/I1279</f>
        <v>0</v>
      </c>
    </row>
    <row r="1261" spans="1:10">
      <c r="A1261" s="267">
        <f t="shared" si="64"/>
        <v>1999.9999998000001</v>
      </c>
      <c r="B1261" s="267">
        <v>2000</v>
      </c>
      <c r="C1261" s="264">
        <v>0</v>
      </c>
      <c r="D1261" s="265">
        <f>C1261*100/C1279</f>
        <v>0</v>
      </c>
      <c r="E1261" s="264">
        <v>2</v>
      </c>
      <c r="F1261" s="265">
        <f>E1261*100/E1279</f>
        <v>7.9999999967999997</v>
      </c>
      <c r="G1261" s="264">
        <v>1</v>
      </c>
      <c r="H1261" s="265">
        <f>G1261*100/G1279</f>
        <v>8.333333333263889</v>
      </c>
      <c r="I1261" s="264">
        <v>0</v>
      </c>
      <c r="J1261" s="266">
        <f>I1261*100/I1279</f>
        <v>0</v>
      </c>
    </row>
    <row r="1262" spans="1:10">
      <c r="A1262" s="267">
        <f t="shared" si="64"/>
        <v>2999.9999997</v>
      </c>
      <c r="B1262" s="263">
        <v>3000</v>
      </c>
      <c r="C1262" s="268">
        <v>0</v>
      </c>
      <c r="D1262" s="269">
        <f>C1262*100/C1279</f>
        <v>0</v>
      </c>
      <c r="E1262" s="268">
        <v>2</v>
      </c>
      <c r="F1262" s="269">
        <f>E1262*100/E1279</f>
        <v>7.9999999967999997</v>
      </c>
      <c r="G1262" s="268">
        <v>1</v>
      </c>
      <c r="H1262" s="269">
        <f>G1262*100/G1279</f>
        <v>8.333333333263889</v>
      </c>
      <c r="I1262" s="268">
        <v>1</v>
      </c>
      <c r="J1262" s="270">
        <f>I1262*100/I1279</f>
        <v>7.6923076922485203</v>
      </c>
    </row>
    <row r="1263" spans="1:10">
      <c r="A1263" s="267">
        <f t="shared" si="64"/>
        <v>3999.9999996000001</v>
      </c>
      <c r="B1263" s="267">
        <v>4000</v>
      </c>
      <c r="C1263" s="264">
        <v>0</v>
      </c>
      <c r="D1263" s="265">
        <f>C1263*100/C1279</f>
        <v>0</v>
      </c>
      <c r="E1263" s="264">
        <v>0</v>
      </c>
      <c r="F1263" s="265">
        <f>E1263*100/E1279</f>
        <v>0</v>
      </c>
      <c r="G1263" s="264">
        <v>3</v>
      </c>
      <c r="H1263" s="265">
        <f>G1263*100/G1279</f>
        <v>24.999999999791665</v>
      </c>
      <c r="I1263" s="264">
        <v>3</v>
      </c>
      <c r="J1263" s="266">
        <f>I1263*100/I1279</f>
        <v>23.076923076745562</v>
      </c>
    </row>
    <row r="1264" spans="1:10">
      <c r="A1264" s="267">
        <f t="shared" si="64"/>
        <v>4999.9999994999998</v>
      </c>
      <c r="B1264" s="267">
        <v>5000</v>
      </c>
      <c r="C1264" s="268">
        <v>0</v>
      </c>
      <c r="D1264" s="269">
        <f>C1264*100/C1279</f>
        <v>0</v>
      </c>
      <c r="E1264" s="268">
        <v>0</v>
      </c>
      <c r="F1264" s="269">
        <f>E1264*100/E1279</f>
        <v>0</v>
      </c>
      <c r="G1264" s="268">
        <v>0</v>
      </c>
      <c r="H1264" s="269">
        <f>G1264*100/G1279</f>
        <v>0</v>
      </c>
      <c r="I1264" s="268">
        <v>3</v>
      </c>
      <c r="J1264" s="270">
        <f>I1264*100/I1279</f>
        <v>23.076923076745562</v>
      </c>
    </row>
    <row r="1265" spans="1:10">
      <c r="A1265" s="267">
        <f t="shared" si="64"/>
        <v>5999.9999994</v>
      </c>
      <c r="B1265" s="267">
        <v>6000</v>
      </c>
      <c r="C1265" s="264">
        <v>0</v>
      </c>
      <c r="D1265" s="265">
        <f>C1265*100/C1279</f>
        <v>0</v>
      </c>
      <c r="E1265" s="264">
        <v>0</v>
      </c>
      <c r="F1265" s="265">
        <f>E1265*100/E1279</f>
        <v>0</v>
      </c>
      <c r="G1265" s="264">
        <v>0</v>
      </c>
      <c r="H1265" s="265">
        <f>G1265*100/G1279</f>
        <v>0</v>
      </c>
      <c r="I1265" s="264">
        <v>0</v>
      </c>
      <c r="J1265" s="266">
        <f>I1265*100/I1279</f>
        <v>0</v>
      </c>
    </row>
    <row r="1266" spans="1:10">
      <c r="A1266" s="267">
        <f t="shared" si="64"/>
        <v>6999.9999993000001</v>
      </c>
      <c r="B1266" s="267">
        <v>7000</v>
      </c>
      <c r="C1266" s="268">
        <v>0</v>
      </c>
      <c r="D1266" s="269">
        <f>C1266*100/C1279</f>
        <v>0</v>
      </c>
      <c r="E1266" s="268">
        <v>0</v>
      </c>
      <c r="F1266" s="269">
        <f>E1266*100/E1279</f>
        <v>0</v>
      </c>
      <c r="G1266" s="268">
        <v>0</v>
      </c>
      <c r="H1266" s="269">
        <f>G1266*100/G1279</f>
        <v>0</v>
      </c>
      <c r="I1266" s="268">
        <v>0</v>
      </c>
      <c r="J1266" s="270">
        <f>I1266*100/I1279</f>
        <v>0</v>
      </c>
    </row>
    <row r="1267" spans="1:10">
      <c r="A1267" s="267">
        <f t="shared" si="64"/>
        <v>7999.9999992000003</v>
      </c>
      <c r="B1267" s="267">
        <v>8000</v>
      </c>
      <c r="C1267" s="264">
        <v>0</v>
      </c>
      <c r="D1267" s="265">
        <f>C1267*100/C1279</f>
        <v>0</v>
      </c>
      <c r="E1267" s="264">
        <v>0</v>
      </c>
      <c r="F1267" s="265">
        <f>E1267*100/E1279</f>
        <v>0</v>
      </c>
      <c r="G1267" s="264">
        <v>0</v>
      </c>
      <c r="H1267" s="265">
        <f>G1267*100/G1279</f>
        <v>0</v>
      </c>
      <c r="I1267" s="264">
        <v>1</v>
      </c>
      <c r="J1267" s="266">
        <f>I1267*100/I1279</f>
        <v>7.6923076922485203</v>
      </c>
    </row>
    <row r="1268" spans="1:10">
      <c r="A1268" s="267">
        <f t="shared" si="64"/>
        <v>8999.9999991000004</v>
      </c>
      <c r="B1268" s="267">
        <v>9000</v>
      </c>
      <c r="C1268" s="268">
        <v>0</v>
      </c>
      <c r="D1268" s="269">
        <f>C1268*100/C1279</f>
        <v>0</v>
      </c>
      <c r="E1268" s="268">
        <v>0</v>
      </c>
      <c r="F1268" s="269">
        <f>E1268*100/E1279</f>
        <v>0</v>
      </c>
      <c r="G1268" s="268">
        <v>0</v>
      </c>
      <c r="H1268" s="269">
        <f>G1268*100/G1279</f>
        <v>0</v>
      </c>
      <c r="I1268" s="268">
        <v>0</v>
      </c>
      <c r="J1268" s="270">
        <f>I1268*100/I1279</f>
        <v>0</v>
      </c>
    </row>
    <row r="1269" spans="1:10">
      <c r="A1269" s="267">
        <f t="shared" si="64"/>
        <v>9999.9999989999997</v>
      </c>
      <c r="B1269" s="458">
        <v>10000</v>
      </c>
      <c r="C1269" s="264">
        <v>0</v>
      </c>
      <c r="D1269" s="265">
        <f>C1269*100/C1279</f>
        <v>0</v>
      </c>
      <c r="E1269" s="264">
        <v>0</v>
      </c>
      <c r="F1269" s="265">
        <f>E1269*100/E1279</f>
        <v>0</v>
      </c>
      <c r="G1269" s="264">
        <v>0</v>
      </c>
      <c r="H1269" s="265">
        <f>G1269*100/G1279</f>
        <v>0</v>
      </c>
      <c r="I1269" s="264">
        <v>1</v>
      </c>
      <c r="J1269" s="266">
        <f>I1269*100/I1279</f>
        <v>7.6923076922485203</v>
      </c>
    </row>
    <row r="1270" spans="1:10">
      <c r="A1270" s="267">
        <f t="shared" si="64"/>
        <v>19999.999997999999</v>
      </c>
      <c r="B1270" s="458">
        <v>20000</v>
      </c>
      <c r="C1270" s="268">
        <v>0</v>
      </c>
      <c r="D1270" s="269">
        <f>C1270*100/C1279</f>
        <v>0</v>
      </c>
      <c r="E1270" s="268">
        <v>0</v>
      </c>
      <c r="F1270" s="269">
        <f>E1270*100/E1279</f>
        <v>0</v>
      </c>
      <c r="G1270" s="268">
        <v>0</v>
      </c>
      <c r="H1270" s="269">
        <f>G1270*100/G1279</f>
        <v>0</v>
      </c>
      <c r="I1270" s="268">
        <v>0</v>
      </c>
      <c r="J1270" s="270">
        <f>I1270*100/I1279</f>
        <v>0</v>
      </c>
    </row>
    <row r="1271" spans="1:10">
      <c r="A1271" s="267">
        <f t="shared" si="64"/>
        <v>29999.999996999999</v>
      </c>
      <c r="B1271" s="458">
        <v>30000</v>
      </c>
      <c r="C1271" s="264">
        <v>0</v>
      </c>
      <c r="D1271" s="265">
        <f>C1271*100/C1279</f>
        <v>0</v>
      </c>
      <c r="E1271" s="264">
        <v>0</v>
      </c>
      <c r="F1271" s="265">
        <f>E1271*100/E1279</f>
        <v>0</v>
      </c>
      <c r="G1271" s="264">
        <v>0</v>
      </c>
      <c r="H1271" s="265">
        <f>G1271*100/G1279</f>
        <v>0</v>
      </c>
      <c r="I1271" s="264">
        <v>0</v>
      </c>
      <c r="J1271" s="266">
        <f>I1271*100/I1279</f>
        <v>0</v>
      </c>
    </row>
    <row r="1272" spans="1:10">
      <c r="A1272" s="267">
        <f t="shared" si="64"/>
        <v>39999.999995999999</v>
      </c>
      <c r="B1272" s="458">
        <v>40000</v>
      </c>
      <c r="C1272" s="268">
        <v>0</v>
      </c>
      <c r="D1272" s="271">
        <f>C1272*100/C1279</f>
        <v>0</v>
      </c>
      <c r="E1272" s="272">
        <v>1</v>
      </c>
      <c r="F1272" s="271">
        <f>E1272*100/E1279</f>
        <v>3.9999999983999999</v>
      </c>
      <c r="G1272" s="272">
        <v>0</v>
      </c>
      <c r="H1272" s="271">
        <f>G1272*100/G1279</f>
        <v>0</v>
      </c>
      <c r="I1272" s="272">
        <v>0</v>
      </c>
      <c r="J1272" s="273">
        <f>I1272*100/I1279</f>
        <v>0</v>
      </c>
    </row>
    <row r="1273" spans="1:10">
      <c r="A1273" s="267">
        <f t="shared" si="64"/>
        <v>49999.999994999998</v>
      </c>
      <c r="B1273" s="458">
        <v>50000</v>
      </c>
      <c r="C1273" s="219">
        <v>0</v>
      </c>
      <c r="D1273" s="220">
        <f>C1273*100/C1279</f>
        <v>0</v>
      </c>
      <c r="E1273" s="221">
        <v>0</v>
      </c>
      <c r="F1273" s="220">
        <f>E1273*100/E1279</f>
        <v>0</v>
      </c>
      <c r="G1273" s="221">
        <v>0</v>
      </c>
      <c r="H1273" s="220">
        <f>G1273*100/G1279</f>
        <v>0</v>
      </c>
      <c r="I1273" s="221">
        <v>0</v>
      </c>
      <c r="J1273" s="281">
        <f>I1273*100/I1279</f>
        <v>0</v>
      </c>
    </row>
    <row r="1274" spans="1:10">
      <c r="A1274" s="267">
        <f t="shared" si="64"/>
        <v>59999.999993999998</v>
      </c>
      <c r="B1274" s="458">
        <v>60000</v>
      </c>
      <c r="C1274" s="268">
        <v>0</v>
      </c>
      <c r="D1274" s="271">
        <f>C1274*100/C1279</f>
        <v>0</v>
      </c>
      <c r="E1274" s="272">
        <v>0</v>
      </c>
      <c r="F1274" s="271">
        <f>E1274*100/E1279</f>
        <v>0</v>
      </c>
      <c r="G1274" s="272">
        <v>0</v>
      </c>
      <c r="H1274" s="271">
        <f>G1274*100/G1279</f>
        <v>0</v>
      </c>
      <c r="I1274" s="272">
        <v>0</v>
      </c>
      <c r="J1274" s="273">
        <f>I1274*100/I1279</f>
        <v>0</v>
      </c>
    </row>
    <row r="1275" spans="1:10">
      <c r="A1275" s="267">
        <f t="shared" si="64"/>
        <v>69999.999993000005</v>
      </c>
      <c r="B1275" s="458">
        <v>70000</v>
      </c>
      <c r="C1275" s="219">
        <v>0</v>
      </c>
      <c r="D1275" s="220">
        <f>C1275*100/C1279</f>
        <v>0</v>
      </c>
      <c r="E1275" s="221">
        <v>0</v>
      </c>
      <c r="F1275" s="220">
        <f>E1275*100/E1279</f>
        <v>0</v>
      </c>
      <c r="G1275" s="221">
        <v>0</v>
      </c>
      <c r="H1275" s="220">
        <f>G1275*100/G1279</f>
        <v>0</v>
      </c>
      <c r="I1275" s="221">
        <v>0</v>
      </c>
      <c r="J1275" s="281">
        <f>I1275*100/I1279</f>
        <v>0</v>
      </c>
    </row>
    <row r="1276" spans="1:10">
      <c r="A1276" s="267">
        <f t="shared" si="64"/>
        <v>79999.999991999997</v>
      </c>
      <c r="B1276" s="458">
        <v>80000</v>
      </c>
      <c r="C1276" s="268">
        <v>0</v>
      </c>
      <c r="D1276" s="271">
        <f>C1276*100/C1279</f>
        <v>0</v>
      </c>
      <c r="E1276" s="272">
        <v>0</v>
      </c>
      <c r="F1276" s="271">
        <f>E1276*100/E1279</f>
        <v>0</v>
      </c>
      <c r="G1276" s="272">
        <v>0</v>
      </c>
      <c r="H1276" s="271">
        <f>G1276*100/G1279</f>
        <v>0</v>
      </c>
      <c r="I1276" s="272">
        <v>0</v>
      </c>
      <c r="J1276" s="273">
        <f>I1276*100/I1279</f>
        <v>0</v>
      </c>
    </row>
    <row r="1277" spans="1:10">
      <c r="A1277" s="267">
        <f t="shared" si="64"/>
        <v>89999.999991000004</v>
      </c>
      <c r="B1277" s="458">
        <v>90000</v>
      </c>
      <c r="C1277" s="219">
        <v>0</v>
      </c>
      <c r="D1277" s="220">
        <f>C1277*100/C1279</f>
        <v>0</v>
      </c>
      <c r="E1277" s="221">
        <v>0</v>
      </c>
      <c r="F1277" s="220">
        <f>E1277*100/E1279</f>
        <v>0</v>
      </c>
      <c r="G1277" s="221">
        <v>0</v>
      </c>
      <c r="H1277" s="220">
        <f>G1277*100/G1279</f>
        <v>0</v>
      </c>
      <c r="I1277" s="221">
        <v>0</v>
      </c>
      <c r="J1277" s="281">
        <f>I1277*100/I1279</f>
        <v>0</v>
      </c>
    </row>
    <row r="1278" spans="1:10" ht="15" thickBot="1">
      <c r="A1278" s="457">
        <f>0.9999999999*B1278</f>
        <v>99999.999989999997</v>
      </c>
      <c r="B1278" s="457">
        <v>100000</v>
      </c>
      <c r="C1278" s="275">
        <v>1</v>
      </c>
      <c r="D1278" s="280">
        <f>C1278*100/C1279</f>
        <v>49.999999997499998</v>
      </c>
      <c r="E1278" s="272">
        <v>2</v>
      </c>
      <c r="F1278" s="271">
        <f>E1278*100/E1279</f>
        <v>7.9999999967999997</v>
      </c>
      <c r="G1278" s="272">
        <v>0</v>
      </c>
      <c r="H1278" s="271">
        <f>G1278*100/G1279</f>
        <v>0</v>
      </c>
      <c r="I1278" s="275">
        <v>4</v>
      </c>
      <c r="J1278" s="276">
        <f>I1278*100/I1279</f>
        <v>30.769230768994081</v>
      </c>
    </row>
    <row r="1279" spans="1:10" ht="15" thickBot="1">
      <c r="A1279" s="806" t="s">
        <v>396</v>
      </c>
      <c r="B1279" s="806"/>
      <c r="C1279" s="277">
        <f>SUM(C1250:C1278)+0.0000000001</f>
        <v>2.0000000001</v>
      </c>
      <c r="D1279" s="279">
        <f>SUM(D1251:D1278)</f>
        <v>99.999999994999996</v>
      </c>
      <c r="E1279" s="278">
        <f>SUM(E1250:E1278)+0.00000001</f>
        <v>25.000000010000001</v>
      </c>
      <c r="F1279" s="279">
        <f>SUM(F1250:F1278)</f>
        <v>99.999999959999997</v>
      </c>
      <c r="G1279" s="278">
        <f>SUM(G1250:G1278)+0.0000000001</f>
        <v>12.0000000001</v>
      </c>
      <c r="H1279" s="279">
        <f>SUM(H1250:H1278)</f>
        <v>99.999999999166675</v>
      </c>
      <c r="I1279" s="278">
        <f>SUM(I1250:I1278)+0.0000000001</f>
        <v>13.0000000001</v>
      </c>
      <c r="J1279" s="279">
        <f>SUM(J1250:J1278)</f>
        <v>99.999999999230766</v>
      </c>
    </row>
    <row r="1280" spans="1:10" ht="15" thickBot="1">
      <c r="A1280" s="778">
        <f>C1279+E1279+G1279+I1279</f>
        <v>52.000000010300006</v>
      </c>
      <c r="B1280" s="779"/>
      <c r="C1280" s="779"/>
      <c r="D1280" s="779"/>
      <c r="E1280" s="779"/>
      <c r="F1280" s="779"/>
      <c r="G1280" s="779"/>
      <c r="H1280" s="779"/>
      <c r="I1280" s="779"/>
      <c r="J1280" s="780"/>
    </row>
    <row r="1297" spans="1:19" ht="15" thickBot="1">
      <c r="A1297" s="250"/>
    </row>
    <row r="1298" spans="1:19" ht="30" customHeight="1" thickBot="1">
      <c r="A1298" s="798" t="s">
        <v>535</v>
      </c>
      <c r="B1298" s="780"/>
      <c r="C1298" s="799" t="s">
        <v>400</v>
      </c>
      <c r="D1298" s="799"/>
      <c r="E1298" s="800" t="s">
        <v>946</v>
      </c>
      <c r="F1298" s="800"/>
      <c r="G1298" s="799" t="s">
        <v>948</v>
      </c>
      <c r="H1298" s="799"/>
      <c r="I1298" s="800" t="s">
        <v>947</v>
      </c>
      <c r="J1298" s="800"/>
      <c r="O1298" s="781" t="s">
        <v>916</v>
      </c>
      <c r="P1298" s="781"/>
      <c r="Q1298" s="781"/>
      <c r="R1298" s="781"/>
      <c r="S1298" s="781"/>
    </row>
    <row r="1299" spans="1:19" ht="15" thickBot="1">
      <c r="A1299" s="251" t="s">
        <v>887</v>
      </c>
      <c r="B1299" s="251" t="s">
        <v>243</v>
      </c>
      <c r="C1299" s="252" t="s">
        <v>397</v>
      </c>
      <c r="D1299" s="253" t="s">
        <v>945</v>
      </c>
      <c r="E1299" s="254" t="s">
        <v>397</v>
      </c>
      <c r="F1299" s="255" t="s">
        <v>945</v>
      </c>
      <c r="G1299" s="256" t="s">
        <v>397</v>
      </c>
      <c r="H1299" s="257" t="s">
        <v>945</v>
      </c>
      <c r="I1299" s="254" t="s">
        <v>397</v>
      </c>
      <c r="J1299" s="258" t="s">
        <v>945</v>
      </c>
    </row>
    <row r="1300" spans="1:19">
      <c r="A1300" s="284">
        <f>0.9999999999*B1300</f>
        <v>0.99999999989999999</v>
      </c>
      <c r="B1300" s="284">
        <v>1</v>
      </c>
      <c r="C1300" s="260">
        <f t="array" ref="C1300:C1328">FREQUENCY(Discrete!Z3:Z20,Hists!A1301:A1328)</f>
        <v>0</v>
      </c>
      <c r="D1300" s="261">
        <f>C1300*100/C1329</f>
        <v>0</v>
      </c>
      <c r="E1300" s="260">
        <f t="array" ref="E1300:E1328">FREQUENCY(Discrete!Z21:Z78,Hists!A1301:A1328)</f>
        <v>0</v>
      </c>
      <c r="F1300" s="261">
        <f>E1300*100/E1329</f>
        <v>0</v>
      </c>
      <c r="G1300" s="260">
        <f t="array" ref="G1300:G1328">FREQUENCY(IC!AP3:AP39,Hists!A1301:A1328)</f>
        <v>1</v>
      </c>
      <c r="H1300" s="261">
        <f>G1300*100/G1329</f>
        <v>5.263157894709142</v>
      </c>
      <c r="I1300" s="260">
        <f t="array" ref="I1300:I1328">FREQUENCY(IC!AP39:AP64,Hists!A1301:A1328)</f>
        <v>2</v>
      </c>
      <c r="J1300" s="262">
        <f>I1300*100/I1329</f>
        <v>14.285714285612245</v>
      </c>
    </row>
    <row r="1301" spans="1:19">
      <c r="A1301" s="285">
        <f>0.9999999999*B1301</f>
        <v>1.9999999998</v>
      </c>
      <c r="B1301" s="284">
        <v>2</v>
      </c>
      <c r="C1301" s="264">
        <v>0</v>
      </c>
      <c r="D1301" s="265">
        <f>C1301*100/C1329</f>
        <v>0</v>
      </c>
      <c r="E1301" s="264">
        <v>0</v>
      </c>
      <c r="F1301" s="265">
        <f>E1301*100/E1329</f>
        <v>0</v>
      </c>
      <c r="G1301" s="264">
        <v>1</v>
      </c>
      <c r="H1301" s="265">
        <f>G1301*100/G1329</f>
        <v>5.263157894709142</v>
      </c>
      <c r="I1301" s="264">
        <v>6</v>
      </c>
      <c r="J1301" s="266">
        <f>I1301*100/I1329</f>
        <v>42.857142856836738</v>
      </c>
    </row>
    <row r="1302" spans="1:19">
      <c r="A1302" s="285">
        <f t="shared" ref="A1302:A1327" si="65">0.9999999999*B1302</f>
        <v>2.9999999997</v>
      </c>
      <c r="B1302" s="284">
        <v>3</v>
      </c>
      <c r="C1302" s="268">
        <v>0</v>
      </c>
      <c r="D1302" s="269">
        <f>C1302*100/C1329</f>
        <v>0</v>
      </c>
      <c r="E1302" s="268">
        <v>0</v>
      </c>
      <c r="F1302" s="269">
        <f>E1302*100/E1329</f>
        <v>0</v>
      </c>
      <c r="G1302" s="268">
        <v>0</v>
      </c>
      <c r="H1302" s="269">
        <f>G1302*100/G1329</f>
        <v>0</v>
      </c>
      <c r="I1302" s="268">
        <v>5</v>
      </c>
      <c r="J1302" s="270">
        <f>I1302*100/I1329</f>
        <v>35.714285714030609</v>
      </c>
    </row>
    <row r="1303" spans="1:19">
      <c r="A1303" s="285">
        <f t="shared" si="65"/>
        <v>3.9999999996</v>
      </c>
      <c r="B1303" s="284">
        <v>4</v>
      </c>
      <c r="C1303" s="264">
        <v>0</v>
      </c>
      <c r="D1303" s="265">
        <f>C1303*100/C1329</f>
        <v>0</v>
      </c>
      <c r="E1303" s="264">
        <v>0</v>
      </c>
      <c r="F1303" s="265">
        <f>E1303*100/E1329</f>
        <v>0</v>
      </c>
      <c r="G1303" s="264">
        <v>8</v>
      </c>
      <c r="H1303" s="265">
        <f>G1303*100/G1329</f>
        <v>42.105263157673136</v>
      </c>
      <c r="I1303" s="264">
        <v>1</v>
      </c>
      <c r="J1303" s="266">
        <f>I1303*100/I1329</f>
        <v>7.1428571428061227</v>
      </c>
    </row>
    <row r="1304" spans="1:19">
      <c r="A1304" s="285">
        <f t="shared" si="65"/>
        <v>4.9999999995</v>
      </c>
      <c r="B1304" s="284">
        <v>5</v>
      </c>
      <c r="C1304" s="268">
        <v>0</v>
      </c>
      <c r="D1304" s="269">
        <f>C1304*100/C1329</f>
        <v>0</v>
      </c>
      <c r="E1304" s="268">
        <v>0</v>
      </c>
      <c r="F1304" s="269">
        <f>E1304*100/E1329</f>
        <v>0</v>
      </c>
      <c r="G1304" s="268">
        <v>1</v>
      </c>
      <c r="H1304" s="269">
        <f>G1304*100/G1329</f>
        <v>5.263157894709142</v>
      </c>
      <c r="I1304" s="268">
        <v>0</v>
      </c>
      <c r="J1304" s="270">
        <f>I1304*100/I1329</f>
        <v>0</v>
      </c>
    </row>
    <row r="1305" spans="1:19">
      <c r="A1305" s="285">
        <f t="shared" si="65"/>
        <v>5.9999999994</v>
      </c>
      <c r="B1305" s="284">
        <v>6</v>
      </c>
      <c r="C1305" s="264">
        <v>0</v>
      </c>
      <c r="D1305" s="265">
        <f>C1305*100/C1329</f>
        <v>0</v>
      </c>
      <c r="E1305" s="264">
        <v>0</v>
      </c>
      <c r="F1305" s="265">
        <f>E1305*100/E1329</f>
        <v>0</v>
      </c>
      <c r="G1305" s="264">
        <v>0</v>
      </c>
      <c r="H1305" s="265">
        <f>G1305*100/G1329</f>
        <v>0</v>
      </c>
      <c r="I1305" s="264">
        <v>0</v>
      </c>
      <c r="J1305" s="266">
        <f>I1305*100/I1329</f>
        <v>0</v>
      </c>
    </row>
    <row r="1306" spans="1:19">
      <c r="A1306" s="285">
        <f t="shared" si="65"/>
        <v>6.9999999992999999</v>
      </c>
      <c r="B1306" s="284">
        <v>7</v>
      </c>
      <c r="C1306" s="268">
        <v>0</v>
      </c>
      <c r="D1306" s="269">
        <f>C1306*100/C1329</f>
        <v>0</v>
      </c>
      <c r="E1306" s="268">
        <v>0</v>
      </c>
      <c r="F1306" s="269">
        <f>E1306*100/E1329</f>
        <v>0</v>
      </c>
      <c r="G1306" s="268">
        <v>3</v>
      </c>
      <c r="H1306" s="269">
        <f>G1306*100/G1329</f>
        <v>15.789473684127426</v>
      </c>
      <c r="I1306" s="268">
        <v>0</v>
      </c>
      <c r="J1306" s="270">
        <f>I1306*100/I1329</f>
        <v>0</v>
      </c>
    </row>
    <row r="1307" spans="1:19">
      <c r="A1307" s="285">
        <f t="shared" si="65"/>
        <v>7.9999999991999999</v>
      </c>
      <c r="B1307" s="284">
        <v>8</v>
      </c>
      <c r="C1307" s="264">
        <v>0</v>
      </c>
      <c r="D1307" s="265">
        <f>C1307*100/C1329</f>
        <v>0</v>
      </c>
      <c r="E1307" s="264">
        <v>0</v>
      </c>
      <c r="F1307" s="265">
        <f>E1307*100/E1329</f>
        <v>0</v>
      </c>
      <c r="G1307" s="264">
        <v>2</v>
      </c>
      <c r="H1307" s="265">
        <f>G1307*100/G1329</f>
        <v>10.526315789418284</v>
      </c>
      <c r="I1307" s="264">
        <v>0</v>
      </c>
      <c r="J1307" s="266">
        <f>I1307*100/I1329</f>
        <v>0</v>
      </c>
    </row>
    <row r="1308" spans="1:19">
      <c r="A1308" s="285">
        <f t="shared" si="65"/>
        <v>8.9999999990999999</v>
      </c>
      <c r="B1308" s="284">
        <v>9</v>
      </c>
      <c r="C1308" s="268">
        <v>0</v>
      </c>
      <c r="D1308" s="269">
        <f>C1308*100/C1329</f>
        <v>0</v>
      </c>
      <c r="E1308" s="268">
        <v>0</v>
      </c>
      <c r="F1308" s="269">
        <f>E1308*100/E1329</f>
        <v>0</v>
      </c>
      <c r="G1308" s="268">
        <v>3</v>
      </c>
      <c r="H1308" s="269">
        <f>G1308*100/G1329</f>
        <v>15.789473684127426</v>
      </c>
      <c r="I1308" s="268">
        <v>0</v>
      </c>
      <c r="J1308" s="270">
        <f>I1308*100/I1329</f>
        <v>0</v>
      </c>
    </row>
    <row r="1309" spans="1:19">
      <c r="A1309" s="285">
        <f t="shared" si="65"/>
        <v>9.9999999989999999</v>
      </c>
      <c r="B1309" s="284">
        <v>10</v>
      </c>
      <c r="C1309" s="264">
        <v>0</v>
      </c>
      <c r="D1309" s="265">
        <f>C1309*100/C1329</f>
        <v>0</v>
      </c>
      <c r="E1309" s="264">
        <v>1</v>
      </c>
      <c r="F1309" s="265">
        <f>E1309*100/E1329</f>
        <v>2.5641025640959896</v>
      </c>
      <c r="G1309" s="264">
        <v>0</v>
      </c>
      <c r="H1309" s="265">
        <f>G1309*100/G1329</f>
        <v>0</v>
      </c>
      <c r="I1309" s="264">
        <v>0</v>
      </c>
      <c r="J1309" s="266">
        <f>I1309*100/I1329</f>
        <v>0</v>
      </c>
    </row>
    <row r="1310" spans="1:19">
      <c r="A1310" s="285">
        <f t="shared" si="65"/>
        <v>19.999999998</v>
      </c>
      <c r="B1310" s="284">
        <v>20</v>
      </c>
      <c r="C1310" s="268">
        <v>2</v>
      </c>
      <c r="D1310" s="269">
        <f>C1310*100/C1329</f>
        <v>15.384615384497041</v>
      </c>
      <c r="E1310" s="268">
        <v>7</v>
      </c>
      <c r="F1310" s="269">
        <f>E1310*100/E1329</f>
        <v>17.948717948671927</v>
      </c>
      <c r="G1310" s="268">
        <v>0</v>
      </c>
      <c r="H1310" s="269">
        <f>G1310*100/G1329</f>
        <v>0</v>
      </c>
      <c r="I1310" s="268">
        <v>0</v>
      </c>
      <c r="J1310" s="270">
        <f>I1310*100/I1329</f>
        <v>0</v>
      </c>
    </row>
    <row r="1311" spans="1:19">
      <c r="A1311" s="285">
        <f t="shared" si="65"/>
        <v>29.999999997</v>
      </c>
      <c r="B1311" s="284">
        <v>30</v>
      </c>
      <c r="C1311" s="264">
        <v>0</v>
      </c>
      <c r="D1311" s="265">
        <f>C1311*100/C1329</f>
        <v>0</v>
      </c>
      <c r="E1311" s="264">
        <v>5</v>
      </c>
      <c r="F1311" s="265">
        <f>E1311*100/E1329</f>
        <v>12.820512820479946</v>
      </c>
      <c r="G1311" s="264">
        <v>0</v>
      </c>
      <c r="H1311" s="265">
        <f>G1311*100/G1329</f>
        <v>0</v>
      </c>
      <c r="I1311" s="264">
        <v>0</v>
      </c>
      <c r="J1311" s="266">
        <f>I1311*100/I1329</f>
        <v>0</v>
      </c>
    </row>
    <row r="1312" spans="1:19">
      <c r="A1312" s="285">
        <f t="shared" si="65"/>
        <v>39.999999996</v>
      </c>
      <c r="B1312" s="284">
        <v>40</v>
      </c>
      <c r="C1312" s="268">
        <v>3</v>
      </c>
      <c r="D1312" s="269">
        <f>C1312*100/C1329</f>
        <v>23.076923076745562</v>
      </c>
      <c r="E1312" s="268">
        <v>1</v>
      </c>
      <c r="F1312" s="269">
        <f>E1312*100/E1329</f>
        <v>2.5641025640959896</v>
      </c>
      <c r="G1312" s="268">
        <v>0</v>
      </c>
      <c r="H1312" s="269">
        <f>G1312*100/G1329</f>
        <v>0</v>
      </c>
      <c r="I1312" s="268">
        <v>0</v>
      </c>
      <c r="J1312" s="270">
        <f>I1312*100/I1329</f>
        <v>0</v>
      </c>
    </row>
    <row r="1313" spans="1:10">
      <c r="A1313" s="285">
        <f t="shared" si="65"/>
        <v>49.999999994999996</v>
      </c>
      <c r="B1313" s="284">
        <v>50</v>
      </c>
      <c r="C1313" s="264">
        <v>2</v>
      </c>
      <c r="D1313" s="265">
        <f>C1313*100/C1329</f>
        <v>15.384615384497041</v>
      </c>
      <c r="E1313" s="264">
        <v>9</v>
      </c>
      <c r="F1313" s="265">
        <f>E1313*100/E1329</f>
        <v>23.076923076863903</v>
      </c>
      <c r="G1313" s="264">
        <v>0</v>
      </c>
      <c r="H1313" s="265">
        <f>G1313*100/G1329</f>
        <v>0</v>
      </c>
      <c r="I1313" s="264">
        <v>0</v>
      </c>
      <c r="J1313" s="266">
        <f>I1313*100/I1329</f>
        <v>0</v>
      </c>
    </row>
    <row r="1314" spans="1:10">
      <c r="A1314" s="285">
        <f t="shared" si="65"/>
        <v>59.999999994</v>
      </c>
      <c r="B1314" s="284">
        <v>60</v>
      </c>
      <c r="C1314" s="268">
        <v>4</v>
      </c>
      <c r="D1314" s="269">
        <f>C1314*100/C1329</f>
        <v>30.769230768994081</v>
      </c>
      <c r="E1314" s="268">
        <v>1</v>
      </c>
      <c r="F1314" s="269">
        <f>E1314*100/E1329</f>
        <v>2.5641025640959896</v>
      </c>
      <c r="G1314" s="268">
        <v>0</v>
      </c>
      <c r="H1314" s="269">
        <f>G1314*100/G1329</f>
        <v>0</v>
      </c>
      <c r="I1314" s="268">
        <v>0</v>
      </c>
      <c r="J1314" s="270">
        <f>I1314*100/I1329</f>
        <v>0</v>
      </c>
    </row>
    <row r="1315" spans="1:10">
      <c r="A1315" s="285">
        <f t="shared" si="65"/>
        <v>69.999999993000003</v>
      </c>
      <c r="B1315" s="284">
        <v>70</v>
      </c>
      <c r="C1315" s="264">
        <v>1</v>
      </c>
      <c r="D1315" s="265">
        <f>C1315*100/C1329</f>
        <v>7.6923076922485203</v>
      </c>
      <c r="E1315" s="264">
        <v>6</v>
      </c>
      <c r="F1315" s="265">
        <f>E1315*100/E1329</f>
        <v>15.384615384575936</v>
      </c>
      <c r="G1315" s="264">
        <v>0</v>
      </c>
      <c r="H1315" s="265">
        <f>G1315*100/G1329</f>
        <v>0</v>
      </c>
      <c r="I1315" s="264">
        <v>0</v>
      </c>
      <c r="J1315" s="266">
        <f>I1315*100/I1329</f>
        <v>0</v>
      </c>
    </row>
    <row r="1316" spans="1:10">
      <c r="A1316" s="285">
        <f t="shared" si="65"/>
        <v>79.999999991999999</v>
      </c>
      <c r="B1316" s="284">
        <v>80</v>
      </c>
      <c r="C1316" s="268">
        <v>0</v>
      </c>
      <c r="D1316" s="269">
        <f>C1316*100/C1329</f>
        <v>0</v>
      </c>
      <c r="E1316" s="268">
        <v>4</v>
      </c>
      <c r="F1316" s="269">
        <f>E1316*100/E1329</f>
        <v>10.256410256383958</v>
      </c>
      <c r="G1316" s="268">
        <v>0</v>
      </c>
      <c r="H1316" s="269">
        <f>G1316*100/G1329</f>
        <v>0</v>
      </c>
      <c r="I1316" s="268">
        <v>0</v>
      </c>
      <c r="J1316" s="270">
        <f>I1316*100/I1329</f>
        <v>0</v>
      </c>
    </row>
    <row r="1317" spans="1:10">
      <c r="A1317" s="285">
        <f t="shared" si="65"/>
        <v>89.999999990999996</v>
      </c>
      <c r="B1317" s="284">
        <v>90</v>
      </c>
      <c r="C1317" s="264">
        <v>0</v>
      </c>
      <c r="D1317" s="265">
        <f>C1317*100/C1329</f>
        <v>0</v>
      </c>
      <c r="E1317" s="264">
        <v>1</v>
      </c>
      <c r="F1317" s="265">
        <f>E1317*100/E1329</f>
        <v>2.5641025640959896</v>
      </c>
      <c r="G1317" s="264">
        <v>0</v>
      </c>
      <c r="H1317" s="265">
        <f>G1317*100/G1329</f>
        <v>0</v>
      </c>
      <c r="I1317" s="264">
        <v>0</v>
      </c>
      <c r="J1317" s="266">
        <f>I1317*100/I1329</f>
        <v>0</v>
      </c>
    </row>
    <row r="1318" spans="1:10">
      <c r="A1318" s="285">
        <f t="shared" si="65"/>
        <v>99.999999989999992</v>
      </c>
      <c r="B1318" s="284">
        <v>100</v>
      </c>
      <c r="C1318" s="268">
        <v>0</v>
      </c>
      <c r="D1318" s="269">
        <f>C1318*100/C1329</f>
        <v>0</v>
      </c>
      <c r="E1318" s="268">
        <v>0</v>
      </c>
      <c r="F1318" s="269">
        <f>E1318*100/E1329</f>
        <v>0</v>
      </c>
      <c r="G1318" s="268">
        <v>0</v>
      </c>
      <c r="H1318" s="269">
        <f>G1318*100/G1329</f>
        <v>0</v>
      </c>
      <c r="I1318" s="268">
        <v>0</v>
      </c>
      <c r="J1318" s="270">
        <f>I1318*100/I1329</f>
        <v>0</v>
      </c>
    </row>
    <row r="1319" spans="1:10">
      <c r="A1319" s="285">
        <f t="shared" si="65"/>
        <v>109.999999989</v>
      </c>
      <c r="B1319" s="284">
        <v>110</v>
      </c>
      <c r="C1319" s="264">
        <v>0</v>
      </c>
      <c r="D1319" s="265">
        <f>C1319*100/C1329</f>
        <v>0</v>
      </c>
      <c r="E1319" s="264">
        <v>1</v>
      </c>
      <c r="F1319" s="265">
        <f>E1319*100/E1329</f>
        <v>2.5641025640959896</v>
      </c>
      <c r="G1319" s="264">
        <v>0</v>
      </c>
      <c r="H1319" s="265">
        <f>G1319*100/G1329</f>
        <v>0</v>
      </c>
      <c r="I1319" s="264">
        <v>0</v>
      </c>
      <c r="J1319" s="266">
        <f>I1319*100/I1329</f>
        <v>0</v>
      </c>
    </row>
    <row r="1320" spans="1:10">
      <c r="A1320" s="285">
        <f t="shared" si="65"/>
        <v>119.999999988</v>
      </c>
      <c r="B1320" s="284">
        <v>120</v>
      </c>
      <c r="C1320" s="268">
        <v>0</v>
      </c>
      <c r="D1320" s="269">
        <f>C1320*100/C1329</f>
        <v>0</v>
      </c>
      <c r="E1320" s="268">
        <v>0</v>
      </c>
      <c r="F1320" s="269">
        <f>E1320*100/E1329</f>
        <v>0</v>
      </c>
      <c r="G1320" s="268">
        <v>0</v>
      </c>
      <c r="H1320" s="269">
        <f>G1320*100/G1329</f>
        <v>0</v>
      </c>
      <c r="I1320" s="268">
        <v>0</v>
      </c>
      <c r="J1320" s="270">
        <f>I1320*100/I1329</f>
        <v>0</v>
      </c>
    </row>
    <row r="1321" spans="1:10">
      <c r="A1321" s="285">
        <f t="shared" si="65"/>
        <v>129.999999987</v>
      </c>
      <c r="B1321" s="284">
        <v>130</v>
      </c>
      <c r="C1321" s="264">
        <v>0</v>
      </c>
      <c r="D1321" s="265">
        <f>C1321*100/C1329</f>
        <v>0</v>
      </c>
      <c r="E1321" s="264">
        <v>0</v>
      </c>
      <c r="F1321" s="265">
        <f>E1321*100/E1329</f>
        <v>0</v>
      </c>
      <c r="G1321" s="264">
        <v>0</v>
      </c>
      <c r="H1321" s="265">
        <f>G1321*100/G1329</f>
        <v>0</v>
      </c>
      <c r="I1321" s="264">
        <v>0</v>
      </c>
      <c r="J1321" s="266">
        <f>I1321*100/I1329</f>
        <v>0</v>
      </c>
    </row>
    <row r="1322" spans="1:10">
      <c r="A1322" s="285">
        <f t="shared" si="65"/>
        <v>139.99999998600001</v>
      </c>
      <c r="B1322" s="284">
        <v>140</v>
      </c>
      <c r="C1322" s="268">
        <v>1</v>
      </c>
      <c r="D1322" s="271">
        <f>C1322*100/C1329</f>
        <v>7.6923076922485203</v>
      </c>
      <c r="E1322" s="272">
        <v>1</v>
      </c>
      <c r="F1322" s="271">
        <f>E1322*100/E1329</f>
        <v>2.5641025640959896</v>
      </c>
      <c r="G1322" s="272">
        <v>0</v>
      </c>
      <c r="H1322" s="271">
        <f>G1322*100/G1329</f>
        <v>0</v>
      </c>
      <c r="I1322" s="272">
        <v>0</v>
      </c>
      <c r="J1322" s="273">
        <f>I1322*100/I1329</f>
        <v>0</v>
      </c>
    </row>
    <row r="1323" spans="1:10">
      <c r="A1323" s="285">
        <f t="shared" si="65"/>
        <v>149.99999998499999</v>
      </c>
      <c r="B1323" s="284">
        <v>150</v>
      </c>
      <c r="C1323" s="219">
        <v>0</v>
      </c>
      <c r="D1323" s="220">
        <f>C1323*100/C1329</f>
        <v>0</v>
      </c>
      <c r="E1323" s="221">
        <v>1</v>
      </c>
      <c r="F1323" s="220">
        <f>E1323*100/E1329</f>
        <v>2.5641025640959896</v>
      </c>
      <c r="G1323" s="221">
        <v>0</v>
      </c>
      <c r="H1323" s="220">
        <f>G1323*100/G1329</f>
        <v>0</v>
      </c>
      <c r="I1323" s="221">
        <v>0</v>
      </c>
      <c r="J1323" s="281">
        <f>I1323*100/I1329</f>
        <v>0</v>
      </c>
    </row>
    <row r="1324" spans="1:10">
      <c r="A1324" s="285">
        <f t="shared" si="65"/>
        <v>159.999999984</v>
      </c>
      <c r="B1324" s="284">
        <v>160</v>
      </c>
      <c r="C1324" s="268">
        <v>0</v>
      </c>
      <c r="D1324" s="271">
        <f>C1324*100/C1329</f>
        <v>0</v>
      </c>
      <c r="E1324" s="272">
        <v>0</v>
      </c>
      <c r="F1324" s="271">
        <f>E1324*100/E1329</f>
        <v>0</v>
      </c>
      <c r="G1324" s="272">
        <v>0</v>
      </c>
      <c r="H1324" s="271">
        <f>G1324*100/G1329</f>
        <v>0</v>
      </c>
      <c r="I1324" s="272">
        <v>0</v>
      </c>
      <c r="J1324" s="273">
        <f>I1324*100/I1329</f>
        <v>0</v>
      </c>
    </row>
    <row r="1325" spans="1:10">
      <c r="A1325" s="285">
        <f t="shared" si="65"/>
        <v>169.99999998300001</v>
      </c>
      <c r="B1325" s="284">
        <v>170</v>
      </c>
      <c r="C1325" s="219">
        <v>0</v>
      </c>
      <c r="D1325" s="220">
        <f>C1325*100/C1329</f>
        <v>0</v>
      </c>
      <c r="E1325" s="221">
        <v>1</v>
      </c>
      <c r="F1325" s="220">
        <f>E1325*100/E1329</f>
        <v>2.5641025640959896</v>
      </c>
      <c r="G1325" s="221">
        <v>0</v>
      </c>
      <c r="H1325" s="220">
        <f>G1325*100/G1329</f>
        <v>0</v>
      </c>
      <c r="I1325" s="221">
        <v>0</v>
      </c>
      <c r="J1325" s="281">
        <f>I1325*100/I1329</f>
        <v>0</v>
      </c>
    </row>
    <row r="1326" spans="1:10">
      <c r="A1326" s="285">
        <f t="shared" si="65"/>
        <v>179.99999998199999</v>
      </c>
      <c r="B1326" s="284">
        <v>180</v>
      </c>
      <c r="C1326" s="268">
        <v>0</v>
      </c>
      <c r="D1326" s="271">
        <f>C1326*100/C1329</f>
        <v>0</v>
      </c>
      <c r="E1326" s="272">
        <v>0</v>
      </c>
      <c r="F1326" s="271">
        <f>E1326*100/E1329</f>
        <v>0</v>
      </c>
      <c r="G1326" s="272">
        <v>0</v>
      </c>
      <c r="H1326" s="271">
        <f>G1326*100/G1329</f>
        <v>0</v>
      </c>
      <c r="I1326" s="272">
        <v>0</v>
      </c>
      <c r="J1326" s="273">
        <f>I1326*100/I1329</f>
        <v>0</v>
      </c>
    </row>
    <row r="1327" spans="1:10">
      <c r="A1327" s="285">
        <f t="shared" si="65"/>
        <v>189.999999981</v>
      </c>
      <c r="B1327" s="284">
        <v>190</v>
      </c>
      <c r="C1327" s="219">
        <v>0</v>
      </c>
      <c r="D1327" s="220">
        <f>C1327*100/C1329</f>
        <v>0</v>
      </c>
      <c r="E1327" s="221">
        <v>0</v>
      </c>
      <c r="F1327" s="220">
        <f>E1327*100/E1329</f>
        <v>0</v>
      </c>
      <c r="G1327" s="221">
        <v>0</v>
      </c>
      <c r="H1327" s="220">
        <f>G1327*100/G1329</f>
        <v>0</v>
      </c>
      <c r="I1327" s="221">
        <v>0</v>
      </c>
      <c r="J1327" s="281">
        <f>I1327*100/I1329</f>
        <v>0</v>
      </c>
    </row>
    <row r="1328" spans="1:10" ht="15" thickBot="1">
      <c r="A1328" s="285">
        <f>0.9999999999*B1328</f>
        <v>199.99999997999998</v>
      </c>
      <c r="B1328" s="284">
        <v>200</v>
      </c>
      <c r="C1328" s="275">
        <v>0</v>
      </c>
      <c r="D1328" s="280">
        <f>C1328*100/C1329</f>
        <v>0</v>
      </c>
      <c r="E1328" s="272">
        <v>0</v>
      </c>
      <c r="F1328" s="271">
        <f>E1328*100/E1329</f>
        <v>0</v>
      </c>
      <c r="G1328" s="272">
        <v>0</v>
      </c>
      <c r="H1328" s="271">
        <f>G1328*100/G1329</f>
        <v>0</v>
      </c>
      <c r="I1328" s="275">
        <v>0</v>
      </c>
      <c r="J1328" s="276">
        <f>I1328*100/I1329</f>
        <v>0</v>
      </c>
    </row>
    <row r="1329" spans="1:10" ht="15" thickBot="1">
      <c r="A1329" s="806" t="s">
        <v>396</v>
      </c>
      <c r="B1329" s="806"/>
      <c r="C1329" s="277">
        <f>SUM(C1300:C1328)+0.0000000001</f>
        <v>13.0000000001</v>
      </c>
      <c r="D1329" s="279">
        <f>SUM(D1301:D1328)</f>
        <v>99.999999999230766</v>
      </c>
      <c r="E1329" s="278">
        <f>SUM(E1300:E1328)+0.0000000001</f>
        <v>39.000000000100002</v>
      </c>
      <c r="F1329" s="279">
        <f>SUM(F1300:F1328)</f>
        <v>99.999999999743594</v>
      </c>
      <c r="G1329" s="278">
        <f>SUM(G1300:G1328)+0.0000000001</f>
        <v>19.000000000099998</v>
      </c>
      <c r="H1329" s="279">
        <f>SUM(H1300:H1328)</f>
        <v>99.999999999473701</v>
      </c>
      <c r="I1329" s="278">
        <f>SUM(I1300:I1328)+0.0000000001</f>
        <v>14.0000000001</v>
      </c>
      <c r="J1329" s="279">
        <f>SUM(J1300:J1328)</f>
        <v>99.999999999285706</v>
      </c>
    </row>
    <row r="1330" spans="1:10" ht="15" thickBot="1">
      <c r="A1330" s="778">
        <f>C1329+E1329+G1329+I1329</f>
        <v>85.000000000400007</v>
      </c>
      <c r="B1330" s="779"/>
      <c r="C1330" s="779"/>
      <c r="D1330" s="779"/>
      <c r="E1330" s="779"/>
      <c r="F1330" s="779"/>
      <c r="G1330" s="779"/>
      <c r="H1330" s="779"/>
      <c r="I1330" s="779"/>
      <c r="J1330" s="780"/>
    </row>
    <row r="1346" spans="1:19">
      <c r="O1346" s="781" t="s">
        <v>749</v>
      </c>
      <c r="P1346" s="781"/>
      <c r="Q1346" s="781"/>
      <c r="R1346" s="781"/>
      <c r="S1346" s="781"/>
    </row>
    <row r="1347" spans="1:19" ht="15" thickBot="1">
      <c r="A1347" s="250"/>
    </row>
    <row r="1348" spans="1:19" s="250" customFormat="1" ht="15" thickBot="1">
      <c r="A1348" s="798" t="s">
        <v>749</v>
      </c>
      <c r="B1348" s="780"/>
      <c r="C1348" s="799" t="s">
        <v>400</v>
      </c>
      <c r="D1348" s="799"/>
      <c r="E1348" s="800" t="s">
        <v>946</v>
      </c>
      <c r="F1348" s="800"/>
      <c r="G1348" s="799" t="s">
        <v>948</v>
      </c>
      <c r="H1348" s="799"/>
      <c r="I1348" s="800" t="s">
        <v>947</v>
      </c>
      <c r="J1348" s="800"/>
    </row>
    <row r="1349" spans="1:19" s="250" customFormat="1" ht="15" thickBot="1">
      <c r="A1349" s="251" t="s">
        <v>887</v>
      </c>
      <c r="B1349" s="251" t="s">
        <v>243</v>
      </c>
      <c r="C1349" s="252" t="s">
        <v>397</v>
      </c>
      <c r="D1349" s="253" t="s">
        <v>945</v>
      </c>
      <c r="E1349" s="254" t="s">
        <v>397</v>
      </c>
      <c r="F1349" s="255" t="s">
        <v>945</v>
      </c>
      <c r="G1349" s="256" t="s">
        <v>397</v>
      </c>
      <c r="H1349" s="257" t="s">
        <v>945</v>
      </c>
      <c r="I1349" s="254" t="s">
        <v>397</v>
      </c>
      <c r="J1349" s="258" t="s">
        <v>945</v>
      </c>
    </row>
    <row r="1350" spans="1:19" s="250" customFormat="1">
      <c r="A1350" s="284">
        <f>0.9999999999*B1350</f>
        <v>99.999999989999992</v>
      </c>
      <c r="B1350" s="284">
        <v>100</v>
      </c>
      <c r="C1350" s="260">
        <f t="array" ref="C1350:C1378">FREQUENCY(Discrete!AA3:AA20,Hists!A1351:A1378)</f>
        <v>0</v>
      </c>
      <c r="D1350" s="261">
        <f>C1350*100/C1379</f>
        <v>0</v>
      </c>
      <c r="E1350" s="260">
        <f t="array" ref="E1350:E1378">FREQUENCY(Discrete!AA21:AA78,Hists!A1351:A1378)</f>
        <v>3</v>
      </c>
      <c r="F1350" s="261">
        <f>E1350*100/E1379</f>
        <v>9.6774193548074923</v>
      </c>
      <c r="G1350" s="260"/>
      <c r="H1350" s="261">
        <f>G1350*100/G1379</f>
        <v>0</v>
      </c>
      <c r="I1350" s="260"/>
      <c r="J1350" s="262">
        <f>I1350*100/I1379</f>
        <v>0</v>
      </c>
    </row>
    <row r="1351" spans="1:19" s="250" customFormat="1">
      <c r="A1351" s="285">
        <f>0.9999999999*B1351</f>
        <v>199.99999997999998</v>
      </c>
      <c r="B1351" s="284">
        <v>200</v>
      </c>
      <c r="C1351" s="264">
        <v>0</v>
      </c>
      <c r="D1351" s="265">
        <f>C1351*100/C1379</f>
        <v>0</v>
      </c>
      <c r="E1351" s="264">
        <v>0</v>
      </c>
      <c r="F1351" s="265">
        <f>E1351*100/E1379</f>
        <v>0</v>
      </c>
      <c r="G1351" s="264"/>
      <c r="H1351" s="265">
        <f>G1351*100/G1379</f>
        <v>0</v>
      </c>
      <c r="I1351" s="264"/>
      <c r="J1351" s="266">
        <f>I1351*100/I1379</f>
        <v>0</v>
      </c>
    </row>
    <row r="1352" spans="1:19" s="250" customFormat="1">
      <c r="A1352" s="285">
        <f t="shared" ref="A1352:A1367" si="66">0.9999999999*B1352</f>
        <v>299.99999996999998</v>
      </c>
      <c r="B1352" s="284">
        <v>300</v>
      </c>
      <c r="C1352" s="268">
        <v>0</v>
      </c>
      <c r="D1352" s="269">
        <f>C1352*100/C1379</f>
        <v>0</v>
      </c>
      <c r="E1352" s="268">
        <v>0</v>
      </c>
      <c r="F1352" s="269">
        <f>E1352*100/E1379</f>
        <v>0</v>
      </c>
      <c r="G1352" s="268"/>
      <c r="H1352" s="269">
        <f>G1352*100/G1379</f>
        <v>0</v>
      </c>
      <c r="I1352" s="268"/>
      <c r="J1352" s="270">
        <f>I1352*100/I1379</f>
        <v>0</v>
      </c>
    </row>
    <row r="1353" spans="1:19" s="250" customFormat="1">
      <c r="A1353" s="285">
        <f t="shared" si="66"/>
        <v>399.99999995999997</v>
      </c>
      <c r="B1353" s="284">
        <v>400</v>
      </c>
      <c r="C1353" s="264">
        <v>0</v>
      </c>
      <c r="D1353" s="265">
        <f>C1353*100/C1379</f>
        <v>0</v>
      </c>
      <c r="E1353" s="264">
        <v>0</v>
      </c>
      <c r="F1353" s="265">
        <f>E1353*100/E1379</f>
        <v>0</v>
      </c>
      <c r="G1353" s="264"/>
      <c r="H1353" s="265">
        <f>G1353*100/G1379</f>
        <v>0</v>
      </c>
      <c r="I1353" s="264"/>
      <c r="J1353" s="266">
        <f>I1353*100/I1379</f>
        <v>0</v>
      </c>
    </row>
    <row r="1354" spans="1:19" s="250" customFormat="1">
      <c r="A1354" s="285">
        <f t="shared" si="66"/>
        <v>499.99999995000002</v>
      </c>
      <c r="B1354" s="284">
        <v>500</v>
      </c>
      <c r="C1354" s="268">
        <v>0</v>
      </c>
      <c r="D1354" s="269">
        <f>C1354*100/C1379</f>
        <v>0</v>
      </c>
      <c r="E1354" s="268">
        <v>0</v>
      </c>
      <c r="F1354" s="269">
        <f>E1354*100/E1379</f>
        <v>0</v>
      </c>
      <c r="G1354" s="268"/>
      <c r="H1354" s="269">
        <f>G1354*100/G1379</f>
        <v>0</v>
      </c>
      <c r="I1354" s="268"/>
      <c r="J1354" s="270">
        <f>I1354*100/I1379</f>
        <v>0</v>
      </c>
    </row>
    <row r="1355" spans="1:19" s="250" customFormat="1">
      <c r="A1355" s="285">
        <f t="shared" si="66"/>
        <v>599.99999993999995</v>
      </c>
      <c r="B1355" s="284">
        <v>600</v>
      </c>
      <c r="C1355" s="264">
        <v>0</v>
      </c>
      <c r="D1355" s="265">
        <f>C1355*100/C1379</f>
        <v>0</v>
      </c>
      <c r="E1355" s="264">
        <v>0</v>
      </c>
      <c r="F1355" s="265">
        <f>E1355*100/E1379</f>
        <v>0</v>
      </c>
      <c r="G1355" s="264"/>
      <c r="H1355" s="265">
        <f>G1355*100/G1379</f>
        <v>0</v>
      </c>
      <c r="I1355" s="264"/>
      <c r="J1355" s="266">
        <f>I1355*100/I1379</f>
        <v>0</v>
      </c>
    </row>
    <row r="1356" spans="1:19" s="250" customFormat="1">
      <c r="A1356" s="285">
        <f t="shared" si="66"/>
        <v>699.99999992999994</v>
      </c>
      <c r="B1356" s="284">
        <v>700</v>
      </c>
      <c r="C1356" s="268">
        <v>0</v>
      </c>
      <c r="D1356" s="269">
        <f>C1356*100/C1379</f>
        <v>0</v>
      </c>
      <c r="E1356" s="268">
        <v>0</v>
      </c>
      <c r="F1356" s="269">
        <f>E1356*100/E1379</f>
        <v>0</v>
      </c>
      <c r="G1356" s="268"/>
      <c r="H1356" s="269">
        <f>G1356*100/G1379</f>
        <v>0</v>
      </c>
      <c r="I1356" s="268"/>
      <c r="J1356" s="270">
        <f>I1356*100/I1379</f>
        <v>0</v>
      </c>
    </row>
    <row r="1357" spans="1:19" s="250" customFormat="1">
      <c r="A1357" s="285">
        <f t="shared" si="66"/>
        <v>799.99999991999994</v>
      </c>
      <c r="B1357" s="284">
        <v>800</v>
      </c>
      <c r="C1357" s="264">
        <v>0</v>
      </c>
      <c r="D1357" s="265">
        <f>C1357*100/C1379</f>
        <v>0</v>
      </c>
      <c r="E1357" s="264">
        <v>0</v>
      </c>
      <c r="F1357" s="265">
        <f>E1357*100/E1379</f>
        <v>0</v>
      </c>
      <c r="G1357" s="264"/>
      <c r="H1357" s="265">
        <f>G1357*100/G1379</f>
        <v>0</v>
      </c>
      <c r="I1357" s="264"/>
      <c r="J1357" s="266">
        <f>I1357*100/I1379</f>
        <v>0</v>
      </c>
    </row>
    <row r="1358" spans="1:19" s="250" customFormat="1">
      <c r="A1358" s="285">
        <f t="shared" si="66"/>
        <v>899.99999991000004</v>
      </c>
      <c r="B1358" s="284">
        <v>900</v>
      </c>
      <c r="C1358" s="268">
        <v>0</v>
      </c>
      <c r="D1358" s="269">
        <f>C1358*100/C1379</f>
        <v>0</v>
      </c>
      <c r="E1358" s="268">
        <v>0</v>
      </c>
      <c r="F1358" s="269">
        <f>E1358*100/E1379</f>
        <v>0</v>
      </c>
      <c r="G1358" s="268"/>
      <c r="H1358" s="269">
        <f>G1358*100/G1379</f>
        <v>0</v>
      </c>
      <c r="I1358" s="268"/>
      <c r="J1358" s="270">
        <f>I1358*100/I1379</f>
        <v>0</v>
      </c>
    </row>
    <row r="1359" spans="1:19" s="250" customFormat="1">
      <c r="A1359" s="285">
        <f t="shared" si="66"/>
        <v>999.99999990000003</v>
      </c>
      <c r="B1359" s="284">
        <v>1000</v>
      </c>
      <c r="C1359" s="264">
        <v>0</v>
      </c>
      <c r="D1359" s="265">
        <f>C1359*100/C1379</f>
        <v>0</v>
      </c>
      <c r="E1359" s="264">
        <v>0</v>
      </c>
      <c r="F1359" s="265">
        <f>E1359*100/E1379</f>
        <v>0</v>
      </c>
      <c r="G1359" s="264"/>
      <c r="H1359" s="265">
        <f>G1359*100/G1379</f>
        <v>0</v>
      </c>
      <c r="I1359" s="264"/>
      <c r="J1359" s="266">
        <f>I1359*100/I1379</f>
        <v>0</v>
      </c>
    </row>
    <row r="1360" spans="1:19" s="250" customFormat="1">
      <c r="A1360" s="285">
        <f t="shared" si="66"/>
        <v>1999.9999998000001</v>
      </c>
      <c r="B1360" s="284">
        <v>2000</v>
      </c>
      <c r="C1360" s="268">
        <v>1</v>
      </c>
      <c r="D1360" s="269">
        <f>C1360*100/C1379</f>
        <v>8.333333333263889</v>
      </c>
      <c r="E1360" s="268">
        <v>6</v>
      </c>
      <c r="F1360" s="269">
        <f>E1360*100/E1379</f>
        <v>19.354838709614985</v>
      </c>
      <c r="G1360" s="268"/>
      <c r="H1360" s="269">
        <f>G1360*100/G1379</f>
        <v>0</v>
      </c>
      <c r="I1360" s="268"/>
      <c r="J1360" s="270">
        <f>I1360*100/I1379</f>
        <v>0</v>
      </c>
    </row>
    <row r="1361" spans="1:10" s="250" customFormat="1">
      <c r="A1361" s="285">
        <f t="shared" si="66"/>
        <v>2999.9999997</v>
      </c>
      <c r="B1361" s="284">
        <v>3000</v>
      </c>
      <c r="C1361" s="264">
        <v>0</v>
      </c>
      <c r="D1361" s="265">
        <f>C1361*100/C1379</f>
        <v>0</v>
      </c>
      <c r="E1361" s="264">
        <v>0</v>
      </c>
      <c r="F1361" s="265">
        <f>E1361*100/E1379</f>
        <v>0</v>
      </c>
      <c r="G1361" s="264"/>
      <c r="H1361" s="265">
        <f>G1361*100/G1379</f>
        <v>0</v>
      </c>
      <c r="I1361" s="264"/>
      <c r="J1361" s="266">
        <f>I1361*100/I1379</f>
        <v>0</v>
      </c>
    </row>
    <row r="1362" spans="1:10" s="250" customFormat="1">
      <c r="A1362" s="285">
        <f t="shared" si="66"/>
        <v>3999.9999996000001</v>
      </c>
      <c r="B1362" s="284">
        <v>4000</v>
      </c>
      <c r="C1362" s="268">
        <v>0</v>
      </c>
      <c r="D1362" s="269">
        <f>C1362*100/C1379</f>
        <v>0</v>
      </c>
      <c r="E1362" s="268">
        <v>0</v>
      </c>
      <c r="F1362" s="269">
        <f>E1362*100/E1379</f>
        <v>0</v>
      </c>
      <c r="G1362" s="268"/>
      <c r="H1362" s="269">
        <f>G1362*100/G1379</f>
        <v>0</v>
      </c>
      <c r="I1362" s="268"/>
      <c r="J1362" s="270">
        <f>I1362*100/I1379</f>
        <v>0</v>
      </c>
    </row>
    <row r="1363" spans="1:10" s="250" customFormat="1">
      <c r="A1363" s="285">
        <f t="shared" si="66"/>
        <v>4999.9999994999998</v>
      </c>
      <c r="B1363" s="284">
        <v>5000</v>
      </c>
      <c r="C1363" s="264">
        <v>0</v>
      </c>
      <c r="D1363" s="265">
        <f>C1363*100/C1379</f>
        <v>0</v>
      </c>
      <c r="E1363" s="264">
        <v>1</v>
      </c>
      <c r="F1363" s="265">
        <f>E1363*100/E1379</f>
        <v>3.2258064516024976</v>
      </c>
      <c r="G1363" s="264"/>
      <c r="H1363" s="265">
        <f>G1363*100/G1379</f>
        <v>0</v>
      </c>
      <c r="I1363" s="264"/>
      <c r="J1363" s="266">
        <f>I1363*100/I1379</f>
        <v>0</v>
      </c>
    </row>
    <row r="1364" spans="1:10" s="250" customFormat="1">
      <c r="A1364" s="285">
        <f t="shared" si="66"/>
        <v>5999.9999994</v>
      </c>
      <c r="B1364" s="284">
        <v>6000</v>
      </c>
      <c r="C1364" s="268">
        <v>0</v>
      </c>
      <c r="D1364" s="269">
        <f>C1364*100/C1379</f>
        <v>0</v>
      </c>
      <c r="E1364" s="268">
        <v>0</v>
      </c>
      <c r="F1364" s="269">
        <f>E1364*100/E1379</f>
        <v>0</v>
      </c>
      <c r="G1364" s="268"/>
      <c r="H1364" s="269">
        <f>G1364*100/G1379</f>
        <v>0</v>
      </c>
      <c r="I1364" s="268"/>
      <c r="J1364" s="270">
        <f>I1364*100/I1379</f>
        <v>0</v>
      </c>
    </row>
    <row r="1365" spans="1:10" s="250" customFormat="1">
      <c r="A1365" s="285">
        <f t="shared" si="66"/>
        <v>6999.9999993000001</v>
      </c>
      <c r="B1365" s="284">
        <v>7000</v>
      </c>
      <c r="C1365" s="264">
        <v>1</v>
      </c>
      <c r="D1365" s="265">
        <f>C1365*100/C1379</f>
        <v>8.333333333263889</v>
      </c>
      <c r="E1365" s="264">
        <v>1</v>
      </c>
      <c r="F1365" s="265">
        <f>E1365*100/E1379</f>
        <v>3.2258064516024976</v>
      </c>
      <c r="G1365" s="264"/>
      <c r="H1365" s="265">
        <f>G1365*100/G1379</f>
        <v>0</v>
      </c>
      <c r="I1365" s="264"/>
      <c r="J1365" s="266">
        <f>I1365*100/I1379</f>
        <v>0</v>
      </c>
    </row>
    <row r="1366" spans="1:10" s="250" customFormat="1">
      <c r="A1366" s="285">
        <f t="shared" si="66"/>
        <v>7999.9999992000003</v>
      </c>
      <c r="B1366" s="284">
        <v>8000</v>
      </c>
      <c r="C1366" s="268">
        <v>1</v>
      </c>
      <c r="D1366" s="269">
        <f>C1366*100/C1379</f>
        <v>8.333333333263889</v>
      </c>
      <c r="E1366" s="268">
        <v>0</v>
      </c>
      <c r="F1366" s="269">
        <f>E1366*100/E1379</f>
        <v>0</v>
      </c>
      <c r="G1366" s="268"/>
      <c r="H1366" s="269">
        <f>G1366*100/G1379</f>
        <v>0</v>
      </c>
      <c r="I1366" s="268"/>
      <c r="J1366" s="270">
        <f>I1366*100/I1379</f>
        <v>0</v>
      </c>
    </row>
    <row r="1367" spans="1:10" s="250" customFormat="1">
      <c r="A1367" s="285">
        <f t="shared" si="66"/>
        <v>8999.9999991000004</v>
      </c>
      <c r="B1367" s="284">
        <v>9000</v>
      </c>
      <c r="C1367" s="264">
        <v>0</v>
      </c>
      <c r="D1367" s="265">
        <f>C1367*100/C1379</f>
        <v>0</v>
      </c>
      <c r="E1367" s="264">
        <v>0</v>
      </c>
      <c r="F1367" s="265">
        <f>E1367*100/E1379</f>
        <v>0</v>
      </c>
      <c r="G1367" s="264"/>
      <c r="H1367" s="265">
        <f>G1367*100/G1379</f>
        <v>0</v>
      </c>
      <c r="I1367" s="264"/>
      <c r="J1367" s="266">
        <f>I1367*100/I1379</f>
        <v>0</v>
      </c>
    </row>
    <row r="1368" spans="1:10" s="250" customFormat="1">
      <c r="A1368" s="285">
        <f>0.9999999999*B1368</f>
        <v>999.99999990000003</v>
      </c>
      <c r="B1368" s="284">
        <v>1000</v>
      </c>
      <c r="C1368" s="268">
        <v>0</v>
      </c>
      <c r="D1368" s="269">
        <f>C1368*100/C1379</f>
        <v>0</v>
      </c>
      <c r="E1368" s="268">
        <v>8</v>
      </c>
      <c r="F1368" s="269">
        <f>E1368*100/E1379</f>
        <v>25.806451612819981</v>
      </c>
      <c r="G1368" s="268"/>
      <c r="H1368" s="269">
        <f>G1368*100/G1379</f>
        <v>0</v>
      </c>
      <c r="I1368" s="268"/>
      <c r="J1368" s="270">
        <f>I1368*100/I1379</f>
        <v>0</v>
      </c>
    </row>
    <row r="1369" spans="1:10" s="250" customFormat="1">
      <c r="A1369" s="459">
        <f>0.9999999999*B1369</f>
        <v>19999.999997999999</v>
      </c>
      <c r="B1369" s="459">
        <v>20000</v>
      </c>
      <c r="C1369" s="264">
        <v>7</v>
      </c>
      <c r="D1369" s="265">
        <f>C1369*100/C1379</f>
        <v>58.333333332847225</v>
      </c>
      <c r="E1369" s="264">
        <v>4</v>
      </c>
      <c r="F1369" s="265">
        <f>E1369*100/E1379</f>
        <v>12.90322580640999</v>
      </c>
      <c r="G1369" s="264"/>
      <c r="H1369" s="265">
        <f>G1369*100/G1379</f>
        <v>0</v>
      </c>
      <c r="I1369" s="264"/>
      <c r="J1369" s="266">
        <f>I1369*100/I1379</f>
        <v>0</v>
      </c>
    </row>
    <row r="1370" spans="1:10" s="250" customFormat="1">
      <c r="A1370" s="459">
        <f t="shared" ref="A1370:A1378" si="67">0.9999999999*B1370</f>
        <v>29999.999996999999</v>
      </c>
      <c r="B1370" s="459">
        <v>30000</v>
      </c>
      <c r="C1370" s="268">
        <v>0</v>
      </c>
      <c r="D1370" s="269">
        <f>C1370*100/C1379</f>
        <v>0</v>
      </c>
      <c r="E1370" s="268">
        <v>0</v>
      </c>
      <c r="F1370" s="269">
        <f>E1370*100/E1379</f>
        <v>0</v>
      </c>
      <c r="G1370" s="268"/>
      <c r="H1370" s="269">
        <f>G1370*100/G1379</f>
        <v>0</v>
      </c>
      <c r="I1370" s="268"/>
      <c r="J1370" s="270">
        <f>I1370*100/I1379</f>
        <v>0</v>
      </c>
    </row>
    <row r="1371" spans="1:10" s="250" customFormat="1">
      <c r="A1371" s="459">
        <f t="shared" si="67"/>
        <v>39999.999995999999</v>
      </c>
      <c r="B1371" s="459">
        <v>40000</v>
      </c>
      <c r="C1371" s="264">
        <v>0</v>
      </c>
      <c r="D1371" s="265">
        <f>C1371*100/C1379</f>
        <v>0</v>
      </c>
      <c r="E1371" s="264">
        <v>2</v>
      </c>
      <c r="F1371" s="265">
        <f>E1371*100/E1379</f>
        <v>6.4516129032049951</v>
      </c>
      <c r="G1371" s="264"/>
      <c r="H1371" s="265">
        <f>G1371*100/G1379</f>
        <v>0</v>
      </c>
      <c r="I1371" s="264"/>
      <c r="J1371" s="266">
        <f>I1371*100/I1379</f>
        <v>0</v>
      </c>
    </row>
    <row r="1372" spans="1:10" s="250" customFormat="1">
      <c r="A1372" s="459">
        <f t="shared" si="67"/>
        <v>49999.999994999998</v>
      </c>
      <c r="B1372" s="459">
        <v>50000</v>
      </c>
      <c r="C1372" s="268">
        <v>0</v>
      </c>
      <c r="D1372" s="271">
        <f>C1372*100/C1379</f>
        <v>0</v>
      </c>
      <c r="E1372" s="272">
        <v>0</v>
      </c>
      <c r="F1372" s="271">
        <f>E1372*100/E1379</f>
        <v>0</v>
      </c>
      <c r="G1372" s="272"/>
      <c r="H1372" s="271">
        <f>G1372*100/G1379</f>
        <v>0</v>
      </c>
      <c r="I1372" s="272"/>
      <c r="J1372" s="273">
        <f>I1372*100/I1379</f>
        <v>0</v>
      </c>
    </row>
    <row r="1373" spans="1:10" s="250" customFormat="1">
      <c r="A1373" s="459">
        <f t="shared" si="67"/>
        <v>59999.999993999998</v>
      </c>
      <c r="B1373" s="459">
        <v>60000</v>
      </c>
      <c r="C1373" s="219">
        <v>0</v>
      </c>
      <c r="D1373" s="220">
        <f>C1373*100/C1379</f>
        <v>0</v>
      </c>
      <c r="E1373" s="221">
        <v>1</v>
      </c>
      <c r="F1373" s="220">
        <f>E1373*100/E1379</f>
        <v>3.2258064516024976</v>
      </c>
      <c r="G1373" s="221"/>
      <c r="H1373" s="220">
        <f>G1373*100/G1379</f>
        <v>0</v>
      </c>
      <c r="I1373" s="221"/>
      <c r="J1373" s="281">
        <f>I1373*100/I1379</f>
        <v>0</v>
      </c>
    </row>
    <row r="1374" spans="1:10" s="250" customFormat="1">
      <c r="A1374" s="459">
        <f t="shared" si="67"/>
        <v>69999.999993000005</v>
      </c>
      <c r="B1374" s="459">
        <v>70000</v>
      </c>
      <c r="C1374" s="268">
        <v>0</v>
      </c>
      <c r="D1374" s="271">
        <f>C1374*100/C1379</f>
        <v>0</v>
      </c>
      <c r="E1374" s="272">
        <v>0</v>
      </c>
      <c r="F1374" s="271">
        <f>E1374*100/E1379</f>
        <v>0</v>
      </c>
      <c r="G1374" s="272"/>
      <c r="H1374" s="271">
        <f>G1374*100/G1379</f>
        <v>0</v>
      </c>
      <c r="I1374" s="272"/>
      <c r="J1374" s="273">
        <f>I1374*100/I1379</f>
        <v>0</v>
      </c>
    </row>
    <row r="1375" spans="1:10" s="250" customFormat="1">
      <c r="A1375" s="459">
        <f t="shared" si="67"/>
        <v>79999.999991999997</v>
      </c>
      <c r="B1375" s="459">
        <v>80000</v>
      </c>
      <c r="C1375" s="219">
        <v>0</v>
      </c>
      <c r="D1375" s="220">
        <f>C1375*100/C1379</f>
        <v>0</v>
      </c>
      <c r="E1375" s="221">
        <v>0</v>
      </c>
      <c r="F1375" s="220">
        <f>E1375*100/E1379</f>
        <v>0</v>
      </c>
      <c r="G1375" s="221"/>
      <c r="H1375" s="220">
        <f>G1375*100/G1379</f>
        <v>0</v>
      </c>
      <c r="I1375" s="221"/>
      <c r="J1375" s="281">
        <f>I1375*100/I1379</f>
        <v>0</v>
      </c>
    </row>
    <row r="1376" spans="1:10" s="250" customFormat="1">
      <c r="A1376" s="459">
        <f t="shared" si="67"/>
        <v>89999.999991000004</v>
      </c>
      <c r="B1376" s="459">
        <v>90000</v>
      </c>
      <c r="C1376" s="268">
        <v>0</v>
      </c>
      <c r="D1376" s="271">
        <f>C1376*100/C1379</f>
        <v>0</v>
      </c>
      <c r="E1376" s="272">
        <v>0</v>
      </c>
      <c r="F1376" s="271">
        <f>E1376*100/E1379</f>
        <v>0</v>
      </c>
      <c r="G1376" s="272"/>
      <c r="H1376" s="271">
        <f>G1376*100/G1379</f>
        <v>0</v>
      </c>
      <c r="I1376" s="272"/>
      <c r="J1376" s="273">
        <f>I1376*100/I1379</f>
        <v>0</v>
      </c>
    </row>
    <row r="1377" spans="1:10" s="250" customFormat="1">
      <c r="A1377" s="459">
        <f t="shared" si="67"/>
        <v>99999.999989999997</v>
      </c>
      <c r="B1377" s="459">
        <v>100000</v>
      </c>
      <c r="C1377" s="219">
        <v>0</v>
      </c>
      <c r="D1377" s="220">
        <f>C1377*100/C1379</f>
        <v>0</v>
      </c>
      <c r="E1377" s="221">
        <v>0</v>
      </c>
      <c r="F1377" s="220">
        <f>E1377*100/E1379</f>
        <v>0</v>
      </c>
      <c r="G1377" s="221"/>
      <c r="H1377" s="220">
        <f>G1377*100/G1379</f>
        <v>0</v>
      </c>
      <c r="I1377" s="221"/>
      <c r="J1377" s="281">
        <f>I1377*100/I1379</f>
        <v>0</v>
      </c>
    </row>
    <row r="1378" spans="1:10" s="250" customFormat="1" ht="15" thickBot="1">
      <c r="A1378" s="459">
        <f t="shared" si="67"/>
        <v>199999.99997999999</v>
      </c>
      <c r="B1378" s="459">
        <v>200000</v>
      </c>
      <c r="C1378" s="275">
        <v>2</v>
      </c>
      <c r="D1378" s="280">
        <f>C1378*100/C1379</f>
        <v>16.666666666527778</v>
      </c>
      <c r="E1378" s="272">
        <v>5</v>
      </c>
      <c r="F1378" s="271">
        <f>E1378*100/E1379</f>
        <v>16.129032258012487</v>
      </c>
      <c r="G1378" s="272"/>
      <c r="H1378" s="271">
        <f>G1378*100/G1379</f>
        <v>0</v>
      </c>
      <c r="I1378" s="275"/>
      <c r="J1378" s="276">
        <f>I1378*100/I1379</f>
        <v>0</v>
      </c>
    </row>
    <row r="1379" spans="1:10" s="250" customFormat="1" ht="15" thickBot="1">
      <c r="A1379" s="806" t="s">
        <v>396</v>
      </c>
      <c r="B1379" s="806"/>
      <c r="C1379" s="277">
        <f>SUM(C1350:C1378)+0.0000000001</f>
        <v>12.0000000001</v>
      </c>
      <c r="D1379" s="279">
        <f>SUM(D1351:D1378)</f>
        <v>99.999999999166661</v>
      </c>
      <c r="E1379" s="278">
        <f>SUM(E1350:E1378)+0.0000000001</f>
        <v>31.000000000099998</v>
      </c>
      <c r="F1379" s="279">
        <f>SUM(F1350:F1378)</f>
        <v>99.999999999677414</v>
      </c>
      <c r="G1379" s="278">
        <f>SUM(G1350:G1378)+0.0000000001</f>
        <v>1E-10</v>
      </c>
      <c r="H1379" s="279">
        <f>SUM(H1350:H1378)</f>
        <v>0</v>
      </c>
      <c r="I1379" s="278">
        <f>SUM(I1350:I1378)+0.0000000001</f>
        <v>1E-10</v>
      </c>
      <c r="J1379" s="279">
        <f>SUM(J1350:J1378)</f>
        <v>0</v>
      </c>
    </row>
    <row r="1380" spans="1:10" s="250" customFormat="1" ht="15" thickBot="1">
      <c r="A1380" s="778">
        <f>C1379+E1379+G1379+I1379</f>
        <v>43.0000000004</v>
      </c>
      <c r="B1380" s="779"/>
      <c r="C1380" s="779"/>
      <c r="D1380" s="779"/>
      <c r="E1380" s="779"/>
      <c r="F1380" s="779"/>
      <c r="G1380" s="779"/>
      <c r="H1380" s="779"/>
      <c r="I1380" s="779"/>
      <c r="J1380" s="780"/>
    </row>
    <row r="1381" spans="1:10" s="250" customFormat="1">
      <c r="D1381" s="140"/>
      <c r="F1381" s="140"/>
      <c r="H1381" s="139"/>
      <c r="J1381" s="139"/>
    </row>
    <row r="1382" spans="1:10" s="250" customFormat="1">
      <c r="D1382" s="140"/>
      <c r="F1382" s="140"/>
      <c r="H1382" s="139"/>
      <c r="J1382" s="139"/>
    </row>
    <row r="1383" spans="1:10" s="250" customFormat="1">
      <c r="D1383" s="140"/>
      <c r="F1383" s="140"/>
      <c r="H1383" s="139"/>
      <c r="J1383" s="139"/>
    </row>
    <row r="1384" spans="1:10" s="250" customFormat="1">
      <c r="D1384" s="140"/>
      <c r="F1384" s="140"/>
      <c r="H1384" s="139"/>
      <c r="J1384" s="139"/>
    </row>
    <row r="1385" spans="1:10" s="250" customFormat="1">
      <c r="D1385" s="140"/>
      <c r="F1385" s="140"/>
      <c r="H1385" s="139"/>
      <c r="J1385" s="139"/>
    </row>
    <row r="1386" spans="1:10" s="250" customFormat="1">
      <c r="D1386" s="140"/>
      <c r="F1386" s="140"/>
      <c r="H1386" s="139"/>
      <c r="J1386" s="139"/>
    </row>
    <row r="1387" spans="1:10" s="250" customFormat="1">
      <c r="D1387" s="140"/>
      <c r="F1387" s="140"/>
      <c r="H1387" s="139"/>
      <c r="J1387" s="139"/>
    </row>
    <row r="1388" spans="1:10" s="250" customFormat="1">
      <c r="D1388" s="140"/>
      <c r="F1388" s="140"/>
      <c r="H1388" s="139"/>
      <c r="J1388" s="139"/>
    </row>
    <row r="1389" spans="1:10" s="250" customFormat="1">
      <c r="D1389" s="140"/>
      <c r="F1389" s="140"/>
      <c r="H1389" s="139"/>
      <c r="J1389" s="139"/>
    </row>
    <row r="1390" spans="1:10" s="250" customFormat="1">
      <c r="D1390" s="140"/>
      <c r="F1390" s="140"/>
      <c r="H1390" s="139"/>
      <c r="J1390" s="139"/>
    </row>
    <row r="1391" spans="1:10" s="250" customFormat="1">
      <c r="D1391" s="140"/>
      <c r="F1391" s="140"/>
      <c r="H1391" s="139"/>
      <c r="J1391" s="139"/>
    </row>
    <row r="1392" spans="1:10" s="250" customFormat="1">
      <c r="D1392" s="140"/>
      <c r="F1392" s="140"/>
      <c r="H1392" s="139"/>
      <c r="J1392" s="139"/>
    </row>
    <row r="1393" spans="1:19" s="250" customFormat="1">
      <c r="D1393" s="140"/>
      <c r="F1393" s="140"/>
      <c r="H1393" s="139"/>
      <c r="J1393" s="139"/>
    </row>
    <row r="1394" spans="1:19" s="250" customFormat="1">
      <c r="D1394" s="140"/>
      <c r="F1394" s="140"/>
      <c r="H1394" s="139"/>
      <c r="J1394" s="139"/>
    </row>
    <row r="1395" spans="1:19" s="250" customFormat="1">
      <c r="D1395" s="140"/>
      <c r="F1395" s="140"/>
      <c r="H1395" s="139"/>
      <c r="J1395" s="139"/>
    </row>
    <row r="1396" spans="1:19" s="250" customFormat="1">
      <c r="D1396" s="140"/>
      <c r="F1396" s="140"/>
      <c r="H1396" s="139"/>
      <c r="J1396" s="139"/>
      <c r="O1396" s="781" t="s">
        <v>751</v>
      </c>
      <c r="P1396" s="781"/>
      <c r="Q1396" s="781"/>
      <c r="R1396" s="781"/>
      <c r="S1396" s="781"/>
    </row>
    <row r="1397" spans="1:19" s="250" customFormat="1" ht="15" thickBot="1">
      <c r="D1397" s="140"/>
      <c r="F1397" s="140"/>
      <c r="H1397" s="139"/>
      <c r="J1397" s="139"/>
    </row>
    <row r="1398" spans="1:19" s="250" customFormat="1" ht="15.75" customHeight="1" thickBot="1">
      <c r="A1398" s="798" t="s">
        <v>751</v>
      </c>
      <c r="B1398" s="780"/>
      <c r="C1398" s="799" t="s">
        <v>400</v>
      </c>
      <c r="D1398" s="799"/>
      <c r="E1398" s="800" t="s">
        <v>946</v>
      </c>
      <c r="F1398" s="800"/>
      <c r="G1398" s="799" t="s">
        <v>948</v>
      </c>
      <c r="H1398" s="799"/>
      <c r="I1398" s="800" t="s">
        <v>947</v>
      </c>
      <c r="J1398" s="800"/>
    </row>
    <row r="1399" spans="1:19" s="250" customFormat="1" ht="15" thickBot="1">
      <c r="A1399" s="251" t="s">
        <v>887</v>
      </c>
      <c r="B1399" s="251" t="s">
        <v>243</v>
      </c>
      <c r="C1399" s="252" t="s">
        <v>397</v>
      </c>
      <c r="D1399" s="253" t="s">
        <v>945</v>
      </c>
      <c r="E1399" s="254" t="s">
        <v>397</v>
      </c>
      <c r="F1399" s="255" t="s">
        <v>945</v>
      </c>
      <c r="G1399" s="256" t="s">
        <v>397</v>
      </c>
      <c r="H1399" s="257" t="s">
        <v>945</v>
      </c>
      <c r="I1399" s="254" t="s">
        <v>397</v>
      </c>
      <c r="J1399" s="258" t="s">
        <v>945</v>
      </c>
    </row>
    <row r="1400" spans="1:19" s="250" customFormat="1">
      <c r="A1400" s="284">
        <f>0.9999999999*B1400</f>
        <v>2.49999999975</v>
      </c>
      <c r="B1400" s="284">
        <v>2.5</v>
      </c>
      <c r="C1400" s="260"/>
      <c r="D1400" s="261">
        <f>C1400*100/C1429</f>
        <v>0</v>
      </c>
      <c r="E1400" s="260"/>
      <c r="F1400" s="261">
        <f>E1400*100/E1429</f>
        <v>0</v>
      </c>
      <c r="G1400" s="260">
        <f t="array" ref="G1400:G1428">FREQUENCY(IC!AQ3:AQ39,Hists!A1401:A1428)</f>
        <v>4</v>
      </c>
      <c r="H1400" s="261">
        <f>G1400*100/G1429</f>
        <v>18.18181818173554</v>
      </c>
      <c r="I1400" s="264">
        <f t="array" ref="I1400:I1428">FREQUENCY(IC!AQ39:AQ64,Hists!A1401:A1428)</f>
        <v>3</v>
      </c>
      <c r="J1400" s="262">
        <f>I1400*100/I1429</f>
        <v>21.428571428418369</v>
      </c>
    </row>
    <row r="1401" spans="1:19" s="250" customFormat="1">
      <c r="A1401" s="285">
        <f>0.9999999999*B1401</f>
        <v>2.9999999997</v>
      </c>
      <c r="B1401" s="285">
        <v>3</v>
      </c>
      <c r="C1401" s="264"/>
      <c r="D1401" s="265">
        <f>C1401*100/C1429</f>
        <v>0</v>
      </c>
      <c r="E1401" s="264"/>
      <c r="F1401" s="265">
        <f>E1401*100/E1429</f>
        <v>0</v>
      </c>
      <c r="G1401" s="264">
        <v>1</v>
      </c>
      <c r="H1401" s="265">
        <f>G1401*100/G1429</f>
        <v>4.5454545454338851</v>
      </c>
      <c r="I1401" s="264">
        <v>0</v>
      </c>
      <c r="J1401" s="266">
        <f>I1401*100/I1429</f>
        <v>0</v>
      </c>
    </row>
    <row r="1402" spans="1:19" s="250" customFormat="1">
      <c r="A1402" s="285">
        <f t="shared" ref="A1402:A1427" si="68">0.9999999999*B1402</f>
        <v>3.49999999965</v>
      </c>
      <c r="B1402" s="284">
        <v>3.5</v>
      </c>
      <c r="C1402" s="268"/>
      <c r="D1402" s="269">
        <f>C1402*100/C1429</f>
        <v>0</v>
      </c>
      <c r="E1402" s="268"/>
      <c r="F1402" s="269">
        <f>E1402*100/E1429</f>
        <v>0</v>
      </c>
      <c r="G1402" s="268">
        <v>1</v>
      </c>
      <c r="H1402" s="269">
        <f>G1402*100/G1429</f>
        <v>4.5454545454338851</v>
      </c>
      <c r="I1402" s="268">
        <v>0</v>
      </c>
      <c r="J1402" s="270">
        <f>I1402*100/I1429</f>
        <v>0</v>
      </c>
    </row>
    <row r="1403" spans="1:19" s="250" customFormat="1">
      <c r="A1403" s="285">
        <f t="shared" si="68"/>
        <v>3.9999999996</v>
      </c>
      <c r="B1403" s="285">
        <v>4</v>
      </c>
      <c r="C1403" s="264"/>
      <c r="D1403" s="265">
        <f>C1403*100/C1429</f>
        <v>0</v>
      </c>
      <c r="E1403" s="264"/>
      <c r="F1403" s="265">
        <f>E1403*100/E1429</f>
        <v>0</v>
      </c>
      <c r="G1403" s="264">
        <v>0</v>
      </c>
      <c r="H1403" s="265">
        <f>G1403*100/G1429</f>
        <v>0</v>
      </c>
      <c r="I1403" s="264">
        <v>3</v>
      </c>
      <c r="J1403" s="266">
        <f>I1403*100/I1429</f>
        <v>21.428571428418369</v>
      </c>
    </row>
    <row r="1404" spans="1:19" s="250" customFormat="1">
      <c r="A1404" s="285">
        <f t="shared" si="68"/>
        <v>4.49999999955</v>
      </c>
      <c r="B1404" s="284">
        <v>4.5</v>
      </c>
      <c r="C1404" s="268"/>
      <c r="D1404" s="269">
        <f>C1404*100/C1429</f>
        <v>0</v>
      </c>
      <c r="E1404" s="268"/>
      <c r="F1404" s="269">
        <f>E1404*100/E1429</f>
        <v>0</v>
      </c>
      <c r="G1404" s="268">
        <v>0</v>
      </c>
      <c r="H1404" s="269">
        <f>G1404*100/G1429</f>
        <v>0</v>
      </c>
      <c r="I1404" s="268">
        <v>0</v>
      </c>
      <c r="J1404" s="270">
        <f>I1404*100/I1429</f>
        <v>0</v>
      </c>
    </row>
    <row r="1405" spans="1:19" s="250" customFormat="1">
      <c r="A1405" s="285">
        <f t="shared" si="68"/>
        <v>4.9999999995</v>
      </c>
      <c r="B1405" s="285">
        <v>5</v>
      </c>
      <c r="C1405" s="264"/>
      <c r="D1405" s="265">
        <f>C1405*100/C1429</f>
        <v>0</v>
      </c>
      <c r="E1405" s="264"/>
      <c r="F1405" s="265">
        <f>E1405*100/E1429</f>
        <v>0</v>
      </c>
      <c r="G1405" s="264">
        <v>0</v>
      </c>
      <c r="H1405" s="265">
        <f>G1405*100/G1429</f>
        <v>0</v>
      </c>
      <c r="I1405" s="264">
        <v>1</v>
      </c>
      <c r="J1405" s="266">
        <f>I1405*100/I1429</f>
        <v>7.1428571428061227</v>
      </c>
    </row>
    <row r="1406" spans="1:19" s="250" customFormat="1">
      <c r="A1406" s="285">
        <f t="shared" si="68"/>
        <v>5.49999999945</v>
      </c>
      <c r="B1406" s="284">
        <v>5.5</v>
      </c>
      <c r="C1406" s="268"/>
      <c r="D1406" s="269">
        <f>C1406*100/C1429</f>
        <v>0</v>
      </c>
      <c r="E1406" s="268"/>
      <c r="F1406" s="269">
        <f>E1406*100/E1429</f>
        <v>0</v>
      </c>
      <c r="G1406" s="268">
        <v>0</v>
      </c>
      <c r="H1406" s="269">
        <f>G1406*100/G1429</f>
        <v>0</v>
      </c>
      <c r="I1406" s="268">
        <v>0</v>
      </c>
      <c r="J1406" s="270">
        <f>I1406*100/I1429</f>
        <v>0</v>
      </c>
    </row>
    <row r="1407" spans="1:19" s="250" customFormat="1">
      <c r="A1407" s="285">
        <f t="shared" si="68"/>
        <v>5.9999999994</v>
      </c>
      <c r="B1407" s="285">
        <v>6</v>
      </c>
      <c r="C1407" s="264"/>
      <c r="D1407" s="265">
        <f>C1407*100/C1429</f>
        <v>0</v>
      </c>
      <c r="E1407" s="264"/>
      <c r="F1407" s="265">
        <f>E1407*100/E1429</f>
        <v>0</v>
      </c>
      <c r="G1407" s="264">
        <v>0</v>
      </c>
      <c r="H1407" s="265">
        <f>G1407*100/G1429</f>
        <v>0</v>
      </c>
      <c r="I1407" s="264">
        <v>0</v>
      </c>
      <c r="J1407" s="266">
        <f>I1407*100/I1429</f>
        <v>0</v>
      </c>
    </row>
    <row r="1408" spans="1:19" s="250" customFormat="1">
      <c r="A1408" s="285">
        <f t="shared" si="68"/>
        <v>6.4999999993499999</v>
      </c>
      <c r="B1408" s="284">
        <v>6.5</v>
      </c>
      <c r="C1408" s="268"/>
      <c r="D1408" s="269">
        <f>C1408*100/C1429</f>
        <v>0</v>
      </c>
      <c r="E1408" s="268"/>
      <c r="F1408" s="269">
        <f>E1408*100/E1429</f>
        <v>0</v>
      </c>
      <c r="G1408" s="268">
        <v>0</v>
      </c>
      <c r="H1408" s="269">
        <f>G1408*100/G1429</f>
        <v>0</v>
      </c>
      <c r="I1408" s="268">
        <v>0</v>
      </c>
      <c r="J1408" s="270">
        <f>I1408*100/I1429</f>
        <v>0</v>
      </c>
    </row>
    <row r="1409" spans="1:10" s="250" customFormat="1">
      <c r="A1409" s="285">
        <f t="shared" si="68"/>
        <v>6.9999999992999999</v>
      </c>
      <c r="B1409" s="285">
        <v>7</v>
      </c>
      <c r="C1409" s="264"/>
      <c r="D1409" s="265">
        <f>C1409*100/C1429</f>
        <v>0</v>
      </c>
      <c r="E1409" s="264"/>
      <c r="F1409" s="265">
        <f>E1409*100/E1429</f>
        <v>0</v>
      </c>
      <c r="G1409" s="264">
        <v>0</v>
      </c>
      <c r="H1409" s="265">
        <f>G1409*100/G1429</f>
        <v>0</v>
      </c>
      <c r="I1409" s="264">
        <v>1</v>
      </c>
      <c r="J1409" s="266">
        <f>I1409*100/I1429</f>
        <v>7.1428571428061227</v>
      </c>
    </row>
    <row r="1410" spans="1:10" s="250" customFormat="1">
      <c r="A1410" s="285">
        <f t="shared" si="68"/>
        <v>7.4999999992499999</v>
      </c>
      <c r="B1410" s="284">
        <v>7.5</v>
      </c>
      <c r="C1410" s="268"/>
      <c r="D1410" s="269">
        <f>C1410*100/C1429</f>
        <v>0</v>
      </c>
      <c r="E1410" s="268"/>
      <c r="F1410" s="269">
        <f>E1410*100/E1429</f>
        <v>0</v>
      </c>
      <c r="G1410" s="268">
        <v>0</v>
      </c>
      <c r="H1410" s="269">
        <f>G1410*100/G1429</f>
        <v>0</v>
      </c>
      <c r="I1410" s="268">
        <v>0</v>
      </c>
      <c r="J1410" s="270">
        <f>I1410*100/I1429</f>
        <v>0</v>
      </c>
    </row>
    <row r="1411" spans="1:10" s="250" customFormat="1">
      <c r="A1411" s="285">
        <f t="shared" si="68"/>
        <v>7.9999999991999999</v>
      </c>
      <c r="B1411" s="285">
        <v>8</v>
      </c>
      <c r="C1411" s="264"/>
      <c r="D1411" s="265">
        <f>C1411*100/C1429</f>
        <v>0</v>
      </c>
      <c r="E1411" s="264"/>
      <c r="F1411" s="265">
        <f>E1411*100/E1429</f>
        <v>0</v>
      </c>
      <c r="G1411" s="264">
        <v>0</v>
      </c>
      <c r="H1411" s="265">
        <f>G1411*100/G1429</f>
        <v>0</v>
      </c>
      <c r="I1411" s="264">
        <v>0</v>
      </c>
      <c r="J1411" s="266">
        <f>I1411*100/I1429</f>
        <v>0</v>
      </c>
    </row>
    <row r="1412" spans="1:10" s="250" customFormat="1">
      <c r="A1412" s="285">
        <f t="shared" si="68"/>
        <v>8.499999999149999</v>
      </c>
      <c r="B1412" s="285">
        <v>8.5</v>
      </c>
      <c r="C1412" s="268"/>
      <c r="D1412" s="269">
        <f>C1412*100/C1429</f>
        <v>0</v>
      </c>
      <c r="E1412" s="268"/>
      <c r="F1412" s="269">
        <f>E1412*100/E1429</f>
        <v>0</v>
      </c>
      <c r="G1412" s="268">
        <v>0</v>
      </c>
      <c r="H1412" s="269">
        <f>G1412*100/G1429</f>
        <v>0</v>
      </c>
      <c r="I1412" s="268">
        <v>0</v>
      </c>
      <c r="J1412" s="270">
        <f>I1412*100/I1429</f>
        <v>0</v>
      </c>
    </row>
    <row r="1413" spans="1:10" s="250" customFormat="1">
      <c r="A1413" s="285">
        <f t="shared" si="68"/>
        <v>8.9999999990999999</v>
      </c>
      <c r="B1413" s="285">
        <v>9</v>
      </c>
      <c r="C1413" s="264"/>
      <c r="D1413" s="265">
        <f>C1413*100/C1429</f>
        <v>0</v>
      </c>
      <c r="E1413" s="264"/>
      <c r="F1413" s="265">
        <f>E1413*100/E1429</f>
        <v>0</v>
      </c>
      <c r="G1413" s="264">
        <v>0</v>
      </c>
      <c r="H1413" s="265">
        <f>G1413*100/G1429</f>
        <v>0</v>
      </c>
      <c r="I1413" s="264">
        <v>4</v>
      </c>
      <c r="J1413" s="266">
        <f>I1413*100/I1429</f>
        <v>28.571428571224491</v>
      </c>
    </row>
    <row r="1414" spans="1:10" s="250" customFormat="1">
      <c r="A1414" s="285">
        <f t="shared" si="68"/>
        <v>9.4999999990500008</v>
      </c>
      <c r="B1414" s="285">
        <v>9.5</v>
      </c>
      <c r="C1414" s="268"/>
      <c r="D1414" s="269">
        <f>C1414*100/C1429</f>
        <v>0</v>
      </c>
      <c r="E1414" s="268"/>
      <c r="F1414" s="269">
        <f>E1414*100/E1429</f>
        <v>0</v>
      </c>
      <c r="G1414" s="268">
        <v>0</v>
      </c>
      <c r="H1414" s="269">
        <f>G1414*100/G1429</f>
        <v>0</v>
      </c>
      <c r="I1414" s="268">
        <v>0</v>
      </c>
      <c r="J1414" s="270">
        <f>I1414*100/I1429</f>
        <v>0</v>
      </c>
    </row>
    <row r="1415" spans="1:10" s="250" customFormat="1">
      <c r="A1415" s="285">
        <f t="shared" si="68"/>
        <v>9.9999999989999999</v>
      </c>
      <c r="B1415" s="285">
        <v>10</v>
      </c>
      <c r="C1415" s="264"/>
      <c r="D1415" s="265">
        <f>C1415*100/C1429</f>
        <v>0</v>
      </c>
      <c r="E1415" s="264"/>
      <c r="F1415" s="265">
        <f>E1415*100/E1429</f>
        <v>0</v>
      </c>
      <c r="G1415" s="264">
        <v>0</v>
      </c>
      <c r="H1415" s="265">
        <f>G1415*100/G1429</f>
        <v>0</v>
      </c>
      <c r="I1415" s="264">
        <v>1</v>
      </c>
      <c r="J1415" s="266">
        <f>I1415*100/I1429</f>
        <v>7.1428571428061227</v>
      </c>
    </row>
    <row r="1416" spans="1:10" s="250" customFormat="1">
      <c r="A1416" s="285">
        <f t="shared" si="68"/>
        <v>10.9999999989</v>
      </c>
      <c r="B1416" s="285">
        <v>11</v>
      </c>
      <c r="C1416" s="268"/>
      <c r="D1416" s="269">
        <f>C1416*100/C1429</f>
        <v>0</v>
      </c>
      <c r="E1416" s="268"/>
      <c r="F1416" s="269">
        <f>E1416*100/E1429</f>
        <v>0</v>
      </c>
      <c r="G1416" s="268">
        <v>0</v>
      </c>
      <c r="H1416" s="269">
        <f>G1416*100/G1429</f>
        <v>0</v>
      </c>
      <c r="I1416" s="268">
        <v>0</v>
      </c>
      <c r="J1416" s="270">
        <f>I1416*100/I1429</f>
        <v>0</v>
      </c>
    </row>
    <row r="1417" spans="1:10" s="250" customFormat="1">
      <c r="A1417" s="285">
        <f t="shared" si="68"/>
        <v>11.9999999988</v>
      </c>
      <c r="B1417" s="285">
        <v>12</v>
      </c>
      <c r="C1417" s="264"/>
      <c r="D1417" s="265">
        <f>C1417*100/C1429</f>
        <v>0</v>
      </c>
      <c r="E1417" s="264"/>
      <c r="F1417" s="265">
        <f>E1417*100/E1429</f>
        <v>0</v>
      </c>
      <c r="G1417" s="264">
        <v>0</v>
      </c>
      <c r="H1417" s="265">
        <f>G1417*100/G1429</f>
        <v>0</v>
      </c>
      <c r="I1417" s="264">
        <v>0</v>
      </c>
      <c r="J1417" s="266">
        <f>I1417*100/I1429</f>
        <v>0</v>
      </c>
    </row>
    <row r="1418" spans="1:10" s="250" customFormat="1">
      <c r="A1418" s="285">
        <f t="shared" si="68"/>
        <v>12.9999999987</v>
      </c>
      <c r="B1418" s="285">
        <v>13</v>
      </c>
      <c r="C1418" s="268"/>
      <c r="D1418" s="269">
        <f>C1418*100/C1429</f>
        <v>0</v>
      </c>
      <c r="E1418" s="268"/>
      <c r="F1418" s="269">
        <f>E1418*100/E1429</f>
        <v>0</v>
      </c>
      <c r="G1418" s="268">
        <v>0</v>
      </c>
      <c r="H1418" s="269">
        <f>G1418*100/G1429</f>
        <v>0</v>
      </c>
      <c r="I1418" s="268">
        <v>1</v>
      </c>
      <c r="J1418" s="270">
        <f>I1418*100/I1429</f>
        <v>7.1428571428061227</v>
      </c>
    </row>
    <row r="1419" spans="1:10" s="250" customFormat="1">
      <c r="A1419" s="285">
        <f t="shared" si="68"/>
        <v>13.9999999986</v>
      </c>
      <c r="B1419" s="285">
        <v>14</v>
      </c>
      <c r="C1419" s="264"/>
      <c r="D1419" s="265">
        <f>C1419*100/C1429</f>
        <v>0</v>
      </c>
      <c r="E1419" s="264"/>
      <c r="F1419" s="265">
        <f>E1419*100/E1429</f>
        <v>0</v>
      </c>
      <c r="G1419" s="264">
        <v>0</v>
      </c>
      <c r="H1419" s="265">
        <f>G1419*100/G1429</f>
        <v>0</v>
      </c>
      <c r="I1419" s="264">
        <v>0</v>
      </c>
      <c r="J1419" s="266">
        <f>I1419*100/I1429</f>
        <v>0</v>
      </c>
    </row>
    <row r="1420" spans="1:10" s="250" customFormat="1">
      <c r="A1420" s="285">
        <f t="shared" si="68"/>
        <v>14.9999999985</v>
      </c>
      <c r="B1420" s="285">
        <v>15</v>
      </c>
      <c r="C1420" s="268"/>
      <c r="D1420" s="269">
        <f>C1420*100/C1429</f>
        <v>0</v>
      </c>
      <c r="E1420" s="268"/>
      <c r="F1420" s="269">
        <f>E1420*100/E1429</f>
        <v>0</v>
      </c>
      <c r="G1420" s="268">
        <v>0</v>
      </c>
      <c r="H1420" s="269">
        <f>G1420*100/G1429</f>
        <v>0</v>
      </c>
      <c r="I1420" s="268">
        <v>0</v>
      </c>
      <c r="J1420" s="270">
        <f>I1420*100/I1429</f>
        <v>0</v>
      </c>
    </row>
    <row r="1421" spans="1:10" s="250" customFormat="1">
      <c r="A1421" s="285">
        <f t="shared" si="68"/>
        <v>15.9999999984</v>
      </c>
      <c r="B1421" s="285">
        <v>16</v>
      </c>
      <c r="C1421" s="264"/>
      <c r="D1421" s="265">
        <f>C1421*100/C1429</f>
        <v>0</v>
      </c>
      <c r="E1421" s="264"/>
      <c r="F1421" s="265">
        <f>E1421*100/E1429</f>
        <v>0</v>
      </c>
      <c r="G1421" s="264">
        <v>8</v>
      </c>
      <c r="H1421" s="265">
        <f>G1421*100/G1429</f>
        <v>36.36363636347108</v>
      </c>
      <c r="I1421" s="264">
        <v>0</v>
      </c>
      <c r="J1421" s="266">
        <f>I1421*100/I1429</f>
        <v>0</v>
      </c>
    </row>
    <row r="1422" spans="1:10" s="250" customFormat="1">
      <c r="A1422" s="285">
        <f t="shared" si="68"/>
        <v>16.999999998299998</v>
      </c>
      <c r="B1422" s="285">
        <v>17</v>
      </c>
      <c r="C1422" s="268"/>
      <c r="D1422" s="271">
        <f>C1422*100/C1429</f>
        <v>0</v>
      </c>
      <c r="E1422" s="272"/>
      <c r="F1422" s="271">
        <f>E1422*100/E1429</f>
        <v>0</v>
      </c>
      <c r="G1422" s="272">
        <v>0</v>
      </c>
      <c r="H1422" s="271">
        <f>G1422*100/G1429</f>
        <v>0</v>
      </c>
      <c r="I1422" s="272">
        <v>0</v>
      </c>
      <c r="J1422" s="273">
        <f>I1422*100/I1429</f>
        <v>0</v>
      </c>
    </row>
    <row r="1423" spans="1:10" s="250" customFormat="1">
      <c r="A1423" s="285">
        <f t="shared" si="68"/>
        <v>17.9999999982</v>
      </c>
      <c r="B1423" s="285">
        <v>18</v>
      </c>
      <c r="C1423" s="219"/>
      <c r="D1423" s="220">
        <f>C1423*100/C1429</f>
        <v>0</v>
      </c>
      <c r="E1423" s="221"/>
      <c r="F1423" s="220">
        <f>E1423*100/E1429</f>
        <v>0</v>
      </c>
      <c r="G1423" s="221">
        <v>0</v>
      </c>
      <c r="H1423" s="220">
        <f>G1423*100/G1429</f>
        <v>0</v>
      </c>
      <c r="I1423" s="221">
        <v>0</v>
      </c>
      <c r="J1423" s="281">
        <f>I1423*100/I1429</f>
        <v>0</v>
      </c>
    </row>
    <row r="1424" spans="1:10" s="250" customFormat="1">
      <c r="A1424" s="285">
        <f t="shared" si="68"/>
        <v>18.999999998100002</v>
      </c>
      <c r="B1424" s="285">
        <v>19</v>
      </c>
      <c r="C1424" s="268"/>
      <c r="D1424" s="271">
        <f>C1424*100/C1429</f>
        <v>0</v>
      </c>
      <c r="E1424" s="272"/>
      <c r="F1424" s="271">
        <f>E1424*100/E1429</f>
        <v>0</v>
      </c>
      <c r="G1424" s="272">
        <v>0</v>
      </c>
      <c r="H1424" s="271">
        <f>G1424*100/G1429</f>
        <v>0</v>
      </c>
      <c r="I1424" s="272">
        <v>0</v>
      </c>
      <c r="J1424" s="273">
        <f>I1424*100/I1429</f>
        <v>0</v>
      </c>
    </row>
    <row r="1425" spans="1:10" s="250" customFormat="1">
      <c r="A1425" s="285">
        <f t="shared" si="68"/>
        <v>19.999999998</v>
      </c>
      <c r="B1425" s="285">
        <v>20</v>
      </c>
      <c r="C1425" s="219"/>
      <c r="D1425" s="220">
        <f>C1425*100/C1429</f>
        <v>0</v>
      </c>
      <c r="E1425" s="221"/>
      <c r="F1425" s="220">
        <f>E1425*100/E1429</f>
        <v>0</v>
      </c>
      <c r="G1425" s="221">
        <v>0</v>
      </c>
      <c r="H1425" s="220">
        <f>G1425*100/G1429</f>
        <v>0</v>
      </c>
      <c r="I1425" s="221">
        <v>0</v>
      </c>
      <c r="J1425" s="281">
        <f>I1425*100/I1429</f>
        <v>0</v>
      </c>
    </row>
    <row r="1426" spans="1:10" s="250" customFormat="1">
      <c r="A1426" s="285">
        <f t="shared" si="68"/>
        <v>24.999999997499998</v>
      </c>
      <c r="B1426" s="285">
        <v>25</v>
      </c>
      <c r="C1426" s="268"/>
      <c r="D1426" s="271">
        <f>C1426*100/C1429</f>
        <v>0</v>
      </c>
      <c r="E1426" s="272"/>
      <c r="F1426" s="271">
        <f>E1426*100/E1429</f>
        <v>0</v>
      </c>
      <c r="G1426" s="272">
        <v>1</v>
      </c>
      <c r="H1426" s="271">
        <f>G1426*100/G1429</f>
        <v>4.5454545454338851</v>
      </c>
      <c r="I1426" s="272">
        <v>0</v>
      </c>
      <c r="J1426" s="273">
        <f>I1426*100/I1429</f>
        <v>0</v>
      </c>
    </row>
    <row r="1427" spans="1:10" s="250" customFormat="1">
      <c r="A1427" s="285">
        <f t="shared" si="68"/>
        <v>29.999999997</v>
      </c>
      <c r="B1427" s="285">
        <v>30</v>
      </c>
      <c r="C1427" s="219"/>
      <c r="D1427" s="220">
        <f>C1427*100/C1429</f>
        <v>0</v>
      </c>
      <c r="E1427" s="221"/>
      <c r="F1427" s="220">
        <f>E1427*100/E1429</f>
        <v>0</v>
      </c>
      <c r="G1427" s="221">
        <v>0</v>
      </c>
      <c r="H1427" s="220">
        <f>G1427*100/G1429</f>
        <v>0</v>
      </c>
      <c r="I1427" s="221">
        <v>0</v>
      </c>
      <c r="J1427" s="281">
        <f>I1427*100/I1429</f>
        <v>0</v>
      </c>
    </row>
    <row r="1428" spans="1:10" s="250" customFormat="1" ht="15" thickBot="1">
      <c r="A1428" s="285">
        <f>0.9999999999*B1428</f>
        <v>34.999999996500001</v>
      </c>
      <c r="B1428" s="285">
        <v>35</v>
      </c>
      <c r="C1428" s="275"/>
      <c r="D1428" s="280">
        <f>C1428*100/C1429</f>
        <v>0</v>
      </c>
      <c r="E1428" s="272"/>
      <c r="F1428" s="271">
        <f>E1428*100/E1429</f>
        <v>0</v>
      </c>
      <c r="G1428" s="272">
        <v>7</v>
      </c>
      <c r="H1428" s="271">
        <f>G1428*100/G1429</f>
        <v>31.818181818037193</v>
      </c>
      <c r="I1428" s="275">
        <v>0</v>
      </c>
      <c r="J1428" s="276">
        <f>I1428*100/I1429</f>
        <v>0</v>
      </c>
    </row>
    <row r="1429" spans="1:10" s="250" customFormat="1" ht="15" thickBot="1">
      <c r="A1429" s="806" t="s">
        <v>396</v>
      </c>
      <c r="B1429" s="806"/>
      <c r="C1429" s="277">
        <f>SUM(C1400:C1428)+0.0000000001</f>
        <v>1E-10</v>
      </c>
      <c r="D1429" s="279">
        <f>SUM(D1401:D1428)</f>
        <v>0</v>
      </c>
      <c r="E1429" s="278">
        <f>SUM(E1400:E1428)+0.0000000001</f>
        <v>1E-10</v>
      </c>
      <c r="F1429" s="279">
        <f>SUM(F1400:F1428)</f>
        <v>0</v>
      </c>
      <c r="G1429" s="278">
        <f>SUM(G1400:G1428)+0.0000000001</f>
        <v>22.000000000099998</v>
      </c>
      <c r="H1429" s="279">
        <f>SUM(H1400:H1428)</f>
        <v>99.999999999545466</v>
      </c>
      <c r="I1429" s="278">
        <f>SUM(I1400:I1428)+0.0000000001</f>
        <v>14.0000000001</v>
      </c>
      <c r="J1429" s="279">
        <f>SUM(J1400:J1428)</f>
        <v>99.99999999928572</v>
      </c>
    </row>
    <row r="1430" spans="1:10" s="250" customFormat="1" ht="15" thickBot="1">
      <c r="A1430" s="778">
        <f>C1429+E1429+G1429+I1429</f>
        <v>36.0000000004</v>
      </c>
      <c r="B1430" s="779"/>
      <c r="C1430" s="779"/>
      <c r="D1430" s="779"/>
      <c r="E1430" s="779"/>
      <c r="F1430" s="779"/>
      <c r="G1430" s="779"/>
      <c r="H1430" s="779"/>
      <c r="I1430" s="779"/>
      <c r="J1430" s="780"/>
    </row>
    <row r="1431" spans="1:10" s="250" customFormat="1">
      <c r="D1431" s="140"/>
      <c r="F1431" s="140"/>
      <c r="H1431" s="139"/>
      <c r="J1431" s="139"/>
    </row>
    <row r="1432" spans="1:10" s="250" customFormat="1">
      <c r="D1432" s="140"/>
      <c r="F1432" s="140"/>
      <c r="H1432" s="139"/>
      <c r="J1432" s="139"/>
    </row>
    <row r="1433" spans="1:10" s="250" customFormat="1">
      <c r="D1433" s="140"/>
      <c r="F1433" s="140"/>
      <c r="H1433" s="139"/>
      <c r="J1433" s="139"/>
    </row>
    <row r="1434" spans="1:10" s="250" customFormat="1">
      <c r="D1434" s="140"/>
      <c r="F1434" s="140"/>
      <c r="H1434" s="139"/>
      <c r="J1434" s="139"/>
    </row>
    <row r="1435" spans="1:10" s="250" customFormat="1">
      <c r="D1435" s="140"/>
      <c r="F1435" s="140"/>
      <c r="H1435" s="139"/>
      <c r="J1435" s="139"/>
    </row>
    <row r="1436" spans="1:10" s="250" customFormat="1">
      <c r="D1436" s="140"/>
      <c r="F1436" s="140"/>
      <c r="H1436" s="139"/>
      <c r="J1436" s="139"/>
    </row>
    <row r="1437" spans="1:10" s="250" customFormat="1">
      <c r="D1437" s="140"/>
      <c r="F1437" s="140"/>
      <c r="H1437" s="139"/>
      <c r="J1437" s="139"/>
    </row>
    <row r="1438" spans="1:10" s="250" customFormat="1">
      <c r="D1438" s="140"/>
      <c r="F1438" s="140"/>
      <c r="H1438" s="139"/>
      <c r="J1438" s="139"/>
    </row>
    <row r="1439" spans="1:10" s="250" customFormat="1">
      <c r="D1439" s="140"/>
      <c r="F1439" s="140"/>
      <c r="H1439" s="139"/>
      <c r="J1439" s="139"/>
    </row>
    <row r="1440" spans="1:10" s="250" customFormat="1">
      <c r="D1440" s="140"/>
      <c r="F1440" s="140"/>
      <c r="H1440" s="139"/>
      <c r="J1440" s="139"/>
    </row>
    <row r="1441" spans="1:19" s="250" customFormat="1">
      <c r="D1441" s="140"/>
      <c r="F1441" s="140"/>
      <c r="H1441" s="139"/>
      <c r="J1441" s="139"/>
    </row>
    <row r="1442" spans="1:19" s="250" customFormat="1">
      <c r="D1442" s="140"/>
      <c r="F1442" s="140"/>
      <c r="H1442" s="139"/>
      <c r="J1442" s="139"/>
    </row>
    <row r="1443" spans="1:19" s="250" customFormat="1">
      <c r="D1443" s="140"/>
      <c r="F1443" s="140"/>
      <c r="H1443" s="139"/>
      <c r="J1443" s="139"/>
    </row>
    <row r="1444" spans="1:19" s="250" customFormat="1">
      <c r="D1444" s="140"/>
      <c r="F1444" s="140"/>
      <c r="H1444" s="139"/>
      <c r="J1444" s="139"/>
    </row>
    <row r="1445" spans="1:19" s="250" customFormat="1">
      <c r="D1445" s="140"/>
      <c r="F1445" s="140"/>
      <c r="H1445" s="139"/>
      <c r="J1445" s="139"/>
    </row>
    <row r="1446" spans="1:19" s="250" customFormat="1">
      <c r="D1446" s="140"/>
      <c r="F1446" s="140"/>
      <c r="H1446" s="139"/>
      <c r="J1446" s="139"/>
    </row>
    <row r="1447" spans="1:19" s="250" customFormat="1" ht="15" thickBot="1">
      <c r="D1447" s="140"/>
      <c r="F1447" s="140"/>
      <c r="H1447" s="139"/>
      <c r="J1447" s="139"/>
      <c r="O1447" s="781" t="s">
        <v>743</v>
      </c>
      <c r="P1447" s="781"/>
      <c r="Q1447" s="781"/>
      <c r="R1447" s="781"/>
      <c r="S1447" s="781"/>
    </row>
    <row r="1448" spans="1:19" ht="25.5" customHeight="1" thickBot="1">
      <c r="A1448" s="798" t="s">
        <v>743</v>
      </c>
      <c r="B1448" s="780"/>
      <c r="C1448" s="799" t="s">
        <v>400</v>
      </c>
      <c r="D1448" s="799"/>
      <c r="E1448" s="800" t="s">
        <v>946</v>
      </c>
      <c r="F1448" s="800"/>
      <c r="G1448" s="799" t="s">
        <v>948</v>
      </c>
      <c r="H1448" s="799"/>
      <c r="I1448" s="800" t="s">
        <v>947</v>
      </c>
      <c r="J1448" s="800"/>
    </row>
    <row r="1449" spans="1:19" ht="15" thickBot="1">
      <c r="A1449" s="251" t="s">
        <v>887</v>
      </c>
      <c r="B1449" s="251" t="s">
        <v>243</v>
      </c>
      <c r="C1449" s="252" t="s">
        <v>397</v>
      </c>
      <c r="D1449" s="253" t="s">
        <v>945</v>
      </c>
      <c r="E1449" s="254" t="s">
        <v>397</v>
      </c>
      <c r="F1449" s="255" t="s">
        <v>945</v>
      </c>
      <c r="G1449" s="256" t="s">
        <v>397</v>
      </c>
      <c r="H1449" s="257" t="s">
        <v>945</v>
      </c>
      <c r="I1449" s="254" t="s">
        <v>397</v>
      </c>
      <c r="J1449" s="258" t="s">
        <v>945</v>
      </c>
    </row>
    <row r="1450" spans="1:19">
      <c r="A1450" s="284">
        <f>1.0000000001*B1450</f>
        <v>-90.000000009000004</v>
      </c>
      <c r="B1450" s="284">
        <v>-90</v>
      </c>
      <c r="C1450" s="260">
        <f t="array" ref="C1450:C1478">FREQUENCY(Discrete!BL3:BL20,Hists!A1451:A1478)</f>
        <v>0</v>
      </c>
      <c r="D1450" s="261">
        <f>C1450*100/C1479</f>
        <v>0</v>
      </c>
      <c r="E1450" s="260">
        <f t="array" ref="E1450:E1478">FREQUENCY(Discrete!BL21:BL78,Hists!A1451:A1478)</f>
        <v>1</v>
      </c>
      <c r="F1450" s="261">
        <f>E1450*100/E1479</f>
        <v>9.9999999999</v>
      </c>
      <c r="G1450" s="260">
        <f t="array" ref="G1450:G1478">FREQUENCY(IC!CG3:CG39,Hists!A1451:A1478)</f>
        <v>0</v>
      </c>
      <c r="H1450" s="261">
        <f>G1450*100/G1479</f>
        <v>0</v>
      </c>
      <c r="I1450" s="260">
        <f t="array" ref="I1450:I1478">FREQUENCY(IC!CG40:CG64,Hists!A1451:A1478)</f>
        <v>0</v>
      </c>
      <c r="J1450" s="262">
        <f>I1450*100/I1479</f>
        <v>0</v>
      </c>
    </row>
    <row r="1451" spans="1:19">
      <c r="A1451" s="285">
        <f>1.0000000001*B1451</f>
        <v>-91.000000009100006</v>
      </c>
      <c r="B1451" s="285">
        <v>-91</v>
      </c>
      <c r="C1451" s="264">
        <v>0</v>
      </c>
      <c r="D1451" s="265">
        <f>C1451*100/C1479</f>
        <v>0</v>
      </c>
      <c r="E1451" s="264">
        <v>0</v>
      </c>
      <c r="F1451" s="265">
        <f>E1451*100/E1479</f>
        <v>0</v>
      </c>
      <c r="G1451" s="264">
        <v>0</v>
      </c>
      <c r="H1451" s="265">
        <f>G1451*100/G1479</f>
        <v>0</v>
      </c>
      <c r="I1451" s="264">
        <v>0</v>
      </c>
      <c r="J1451" s="266">
        <f>I1451*100/I1479</f>
        <v>0</v>
      </c>
    </row>
    <row r="1452" spans="1:19">
      <c r="A1452" s="285">
        <f t="shared" ref="A1452:A1477" si="69">1.0000000001*B1452</f>
        <v>-92.000000009199994</v>
      </c>
      <c r="B1452" s="284">
        <v>-92</v>
      </c>
      <c r="C1452" s="268">
        <v>0</v>
      </c>
      <c r="D1452" s="269">
        <f>C1452*100/C1479</f>
        <v>0</v>
      </c>
      <c r="E1452" s="268">
        <v>4</v>
      </c>
      <c r="F1452" s="269">
        <f>E1452*100/E1479</f>
        <v>39.9999999996</v>
      </c>
      <c r="G1452" s="268">
        <v>0</v>
      </c>
      <c r="H1452" s="269">
        <f>G1452*100/G1479</f>
        <v>0</v>
      </c>
      <c r="I1452" s="268">
        <v>0</v>
      </c>
      <c r="J1452" s="270">
        <f>I1452*100/I1479</f>
        <v>0</v>
      </c>
    </row>
    <row r="1453" spans="1:19">
      <c r="A1453" s="285">
        <f t="shared" si="69"/>
        <v>-93.000000009299995</v>
      </c>
      <c r="B1453" s="284">
        <v>-93</v>
      </c>
      <c r="C1453" s="264">
        <v>0</v>
      </c>
      <c r="D1453" s="265">
        <f>C1453*100/C1479</f>
        <v>0</v>
      </c>
      <c r="E1453" s="264">
        <v>0</v>
      </c>
      <c r="F1453" s="265">
        <f>E1453*100/E1479</f>
        <v>0</v>
      </c>
      <c r="G1453" s="264">
        <v>1</v>
      </c>
      <c r="H1453" s="265">
        <f>G1453*100/G1479</f>
        <v>12.49999999984375</v>
      </c>
      <c r="I1453" s="264">
        <v>0</v>
      </c>
      <c r="J1453" s="266">
        <f>I1453*100/I1479</f>
        <v>0</v>
      </c>
    </row>
    <row r="1454" spans="1:19">
      <c r="A1454" s="285">
        <f t="shared" si="69"/>
        <v>-94.000000009399997</v>
      </c>
      <c r="B1454" s="284">
        <v>-94</v>
      </c>
      <c r="C1454" s="268">
        <v>0</v>
      </c>
      <c r="D1454" s="269">
        <f>C1454*100/C1479</f>
        <v>0</v>
      </c>
      <c r="E1454" s="268">
        <v>0</v>
      </c>
      <c r="F1454" s="269">
        <f>E1454*100/E1479</f>
        <v>0</v>
      </c>
      <c r="G1454" s="268">
        <v>1</v>
      </c>
      <c r="H1454" s="269">
        <f>G1454*100/G1479</f>
        <v>12.49999999984375</v>
      </c>
      <c r="I1454" s="268">
        <v>0</v>
      </c>
      <c r="J1454" s="270">
        <f>I1454*100/I1479</f>
        <v>0</v>
      </c>
    </row>
    <row r="1455" spans="1:19">
      <c r="A1455" s="285">
        <f t="shared" si="69"/>
        <v>-95.000000009499999</v>
      </c>
      <c r="B1455" s="284">
        <v>-95</v>
      </c>
      <c r="C1455" s="264">
        <v>0</v>
      </c>
      <c r="D1455" s="265">
        <f>C1455*100/C1479</f>
        <v>0</v>
      </c>
      <c r="E1455" s="264">
        <v>0</v>
      </c>
      <c r="F1455" s="265">
        <f>E1455*100/E1479</f>
        <v>0</v>
      </c>
      <c r="G1455" s="264">
        <v>3</v>
      </c>
      <c r="H1455" s="265">
        <f>G1455*100/G1479</f>
        <v>37.499999999531248</v>
      </c>
      <c r="I1455" s="264">
        <v>0</v>
      </c>
      <c r="J1455" s="266">
        <f>I1455*100/I1479</f>
        <v>0</v>
      </c>
    </row>
    <row r="1456" spans="1:19">
      <c r="A1456" s="285">
        <f t="shared" si="69"/>
        <v>-96.000000009600001</v>
      </c>
      <c r="B1456" s="284">
        <v>-96</v>
      </c>
      <c r="C1456" s="268">
        <v>0</v>
      </c>
      <c r="D1456" s="269">
        <f>C1456*100/C1479</f>
        <v>0</v>
      </c>
      <c r="E1456" s="268">
        <v>0</v>
      </c>
      <c r="F1456" s="269">
        <f>E1456*100/E1479</f>
        <v>0</v>
      </c>
      <c r="G1456" s="268">
        <v>0</v>
      </c>
      <c r="H1456" s="269">
        <f>G1456*100/G1479</f>
        <v>0</v>
      </c>
      <c r="I1456" s="268">
        <v>0</v>
      </c>
      <c r="J1456" s="270">
        <f>I1456*100/I1479</f>
        <v>0</v>
      </c>
    </row>
    <row r="1457" spans="1:10">
      <c r="A1457" s="285">
        <f t="shared" si="69"/>
        <v>-97.000000009700003</v>
      </c>
      <c r="B1457" s="284">
        <v>-97</v>
      </c>
      <c r="C1457" s="264">
        <v>0</v>
      </c>
      <c r="D1457" s="265">
        <f>C1457*100/C1479</f>
        <v>0</v>
      </c>
      <c r="E1457" s="264">
        <v>0</v>
      </c>
      <c r="F1457" s="265">
        <f>E1457*100/E1479</f>
        <v>0</v>
      </c>
      <c r="G1457" s="264">
        <v>0</v>
      </c>
      <c r="H1457" s="265">
        <f>G1457*100/G1479</f>
        <v>0</v>
      </c>
      <c r="I1457" s="264">
        <v>0</v>
      </c>
      <c r="J1457" s="266">
        <f>I1457*100/I1479</f>
        <v>0</v>
      </c>
    </row>
    <row r="1458" spans="1:10">
      <c r="A1458" s="285">
        <f t="shared" si="69"/>
        <v>-98.000000009800004</v>
      </c>
      <c r="B1458" s="284">
        <v>-98</v>
      </c>
      <c r="C1458" s="268">
        <v>0</v>
      </c>
      <c r="D1458" s="269">
        <f>C1458*100/C1479</f>
        <v>0</v>
      </c>
      <c r="E1458" s="268">
        <v>0</v>
      </c>
      <c r="F1458" s="269">
        <f>E1458*100/E1479</f>
        <v>0</v>
      </c>
      <c r="G1458" s="268">
        <v>2</v>
      </c>
      <c r="H1458" s="269">
        <f>G1458*100/G1479</f>
        <v>24.9999999996875</v>
      </c>
      <c r="I1458" s="268">
        <v>0</v>
      </c>
      <c r="J1458" s="270">
        <f>I1458*100/I1479</f>
        <v>0</v>
      </c>
    </row>
    <row r="1459" spans="1:10">
      <c r="A1459" s="285">
        <f t="shared" si="69"/>
        <v>-99.000000009900006</v>
      </c>
      <c r="B1459" s="284">
        <v>-99</v>
      </c>
      <c r="C1459" s="264">
        <v>0</v>
      </c>
      <c r="D1459" s="265">
        <f>C1459*100/C1479</f>
        <v>0</v>
      </c>
      <c r="E1459" s="264">
        <v>5</v>
      </c>
      <c r="F1459" s="265">
        <f>E1459*100/E1479</f>
        <v>49.999999999499998</v>
      </c>
      <c r="G1459" s="264">
        <v>0</v>
      </c>
      <c r="H1459" s="265">
        <f>G1459*100/G1479</f>
        <v>0</v>
      </c>
      <c r="I1459" s="264">
        <v>0</v>
      </c>
      <c r="J1459" s="266">
        <f>I1459*100/I1479</f>
        <v>0</v>
      </c>
    </row>
    <row r="1460" spans="1:10">
      <c r="A1460" s="285">
        <f t="shared" si="69"/>
        <v>-100.00000001000001</v>
      </c>
      <c r="B1460" s="284">
        <v>-100</v>
      </c>
      <c r="C1460" s="268">
        <v>0</v>
      </c>
      <c r="D1460" s="269">
        <f>C1460*100/C1479</f>
        <v>0</v>
      </c>
      <c r="E1460" s="268">
        <v>0</v>
      </c>
      <c r="F1460" s="269">
        <f>E1460*100/E1479</f>
        <v>0</v>
      </c>
      <c r="G1460" s="268">
        <v>0</v>
      </c>
      <c r="H1460" s="269">
        <f>G1460*100/G1479</f>
        <v>0</v>
      </c>
      <c r="I1460" s="268">
        <v>0</v>
      </c>
      <c r="J1460" s="270">
        <f>I1460*100/I1479</f>
        <v>0</v>
      </c>
    </row>
    <row r="1461" spans="1:10">
      <c r="A1461" s="285">
        <f t="shared" si="69"/>
        <v>-101.0000000101</v>
      </c>
      <c r="B1461" s="284">
        <v>-101</v>
      </c>
      <c r="C1461" s="264">
        <v>0</v>
      </c>
      <c r="D1461" s="265">
        <f>C1461*100/C1479</f>
        <v>0</v>
      </c>
      <c r="E1461" s="264">
        <v>0</v>
      </c>
      <c r="F1461" s="265">
        <f>E1461*100/E1479</f>
        <v>0</v>
      </c>
      <c r="G1461" s="264">
        <v>0</v>
      </c>
      <c r="H1461" s="265">
        <f>G1461*100/G1479</f>
        <v>0</v>
      </c>
      <c r="I1461" s="264">
        <v>0</v>
      </c>
      <c r="J1461" s="266">
        <f>I1461*100/I1479</f>
        <v>0</v>
      </c>
    </row>
    <row r="1462" spans="1:10">
      <c r="A1462" s="285">
        <f t="shared" si="69"/>
        <v>-102.0000000102</v>
      </c>
      <c r="B1462" s="284">
        <v>-102</v>
      </c>
      <c r="C1462" s="268">
        <v>0</v>
      </c>
      <c r="D1462" s="269">
        <f>C1462*100/C1479</f>
        <v>0</v>
      </c>
      <c r="E1462" s="268">
        <v>0</v>
      </c>
      <c r="F1462" s="269">
        <f>E1462*100/E1479</f>
        <v>0</v>
      </c>
      <c r="G1462" s="268">
        <v>0</v>
      </c>
      <c r="H1462" s="269">
        <f>G1462*100/G1479</f>
        <v>0</v>
      </c>
      <c r="I1462" s="268">
        <v>0</v>
      </c>
      <c r="J1462" s="270">
        <f>I1462*100/I1479</f>
        <v>0</v>
      </c>
    </row>
    <row r="1463" spans="1:10">
      <c r="A1463" s="285">
        <f t="shared" si="69"/>
        <v>-103.0000000103</v>
      </c>
      <c r="B1463" s="284">
        <v>-103</v>
      </c>
      <c r="C1463" s="264">
        <v>0</v>
      </c>
      <c r="D1463" s="265">
        <f>C1463*100/C1479</f>
        <v>0</v>
      </c>
      <c r="E1463" s="264">
        <v>0</v>
      </c>
      <c r="F1463" s="265">
        <f>E1463*100/E1479</f>
        <v>0</v>
      </c>
      <c r="G1463" s="264">
        <v>0</v>
      </c>
      <c r="H1463" s="265">
        <f>G1463*100/G1479</f>
        <v>0</v>
      </c>
      <c r="I1463" s="264">
        <v>0</v>
      </c>
      <c r="J1463" s="266">
        <f>I1463*100/I1479</f>
        <v>0</v>
      </c>
    </row>
    <row r="1464" spans="1:10">
      <c r="A1464" s="285">
        <f t="shared" si="69"/>
        <v>-104.0000000104</v>
      </c>
      <c r="B1464" s="284">
        <v>-104</v>
      </c>
      <c r="C1464" s="268">
        <v>0</v>
      </c>
      <c r="D1464" s="269">
        <f>C1464*100/C1479</f>
        <v>0</v>
      </c>
      <c r="E1464" s="268">
        <v>0</v>
      </c>
      <c r="F1464" s="269">
        <f>E1464*100/E1479</f>
        <v>0</v>
      </c>
      <c r="G1464" s="268">
        <v>0</v>
      </c>
      <c r="H1464" s="269">
        <f>G1464*100/G1479</f>
        <v>0</v>
      </c>
      <c r="I1464" s="268">
        <v>0</v>
      </c>
      <c r="J1464" s="270">
        <f>I1464*100/I1479</f>
        <v>0</v>
      </c>
    </row>
    <row r="1465" spans="1:10">
      <c r="A1465" s="285">
        <f t="shared" si="69"/>
        <v>-105.0000000105</v>
      </c>
      <c r="B1465" s="284">
        <v>-105</v>
      </c>
      <c r="C1465" s="264">
        <v>0</v>
      </c>
      <c r="D1465" s="265">
        <f>C1465*100/C1479</f>
        <v>0</v>
      </c>
      <c r="E1465" s="264">
        <v>0</v>
      </c>
      <c r="F1465" s="265">
        <f>E1465*100/E1479</f>
        <v>0</v>
      </c>
      <c r="G1465" s="264">
        <v>0</v>
      </c>
      <c r="H1465" s="265">
        <f>G1465*100/G1479</f>
        <v>0</v>
      </c>
      <c r="I1465" s="264">
        <v>0</v>
      </c>
      <c r="J1465" s="266">
        <f>I1465*100/I1479</f>
        <v>0</v>
      </c>
    </row>
    <row r="1466" spans="1:10">
      <c r="A1466" s="285">
        <f t="shared" si="69"/>
        <v>-106.0000000106</v>
      </c>
      <c r="B1466" s="284">
        <v>-106</v>
      </c>
      <c r="C1466" s="268">
        <v>0</v>
      </c>
      <c r="D1466" s="269">
        <f>C1466*100/C1479</f>
        <v>0</v>
      </c>
      <c r="E1466" s="268">
        <v>0</v>
      </c>
      <c r="F1466" s="269">
        <f>E1466*100/E1479</f>
        <v>0</v>
      </c>
      <c r="G1466" s="268">
        <v>0</v>
      </c>
      <c r="H1466" s="269">
        <f>G1466*100/G1479</f>
        <v>0</v>
      </c>
      <c r="I1466" s="268">
        <v>0</v>
      </c>
      <c r="J1466" s="270">
        <f>I1466*100/I1479</f>
        <v>0</v>
      </c>
    </row>
    <row r="1467" spans="1:10">
      <c r="A1467" s="285">
        <f t="shared" si="69"/>
        <v>-107.00000001070001</v>
      </c>
      <c r="B1467" s="284">
        <v>-107</v>
      </c>
      <c r="C1467" s="264">
        <v>0</v>
      </c>
      <c r="D1467" s="265">
        <f>C1467*100/C1479</f>
        <v>0</v>
      </c>
      <c r="E1467" s="264">
        <v>0</v>
      </c>
      <c r="F1467" s="265">
        <f>E1467*100/E1479</f>
        <v>0</v>
      </c>
      <c r="G1467" s="264">
        <v>0</v>
      </c>
      <c r="H1467" s="265">
        <f>G1467*100/G1479</f>
        <v>0</v>
      </c>
      <c r="I1467" s="264">
        <v>0</v>
      </c>
      <c r="J1467" s="266">
        <f>I1467*100/I1479</f>
        <v>0</v>
      </c>
    </row>
    <row r="1468" spans="1:10">
      <c r="A1468" s="285">
        <f t="shared" si="69"/>
        <v>-108.00000001079999</v>
      </c>
      <c r="B1468" s="284">
        <v>-108</v>
      </c>
      <c r="C1468" s="268">
        <v>0</v>
      </c>
      <c r="D1468" s="269">
        <f>C1468*100/C1479</f>
        <v>0</v>
      </c>
      <c r="E1468" s="268">
        <v>0</v>
      </c>
      <c r="F1468" s="269">
        <f>E1468*100/E1479</f>
        <v>0</v>
      </c>
      <c r="G1468" s="268">
        <v>0</v>
      </c>
      <c r="H1468" s="269">
        <f>G1468*100/G1479</f>
        <v>0</v>
      </c>
      <c r="I1468" s="268">
        <v>0</v>
      </c>
      <c r="J1468" s="270">
        <f>I1468*100/I1479</f>
        <v>0</v>
      </c>
    </row>
    <row r="1469" spans="1:10">
      <c r="A1469" s="285">
        <f t="shared" si="69"/>
        <v>-109.0000000109</v>
      </c>
      <c r="B1469" s="284">
        <v>-109</v>
      </c>
      <c r="C1469" s="264">
        <v>0</v>
      </c>
      <c r="D1469" s="265">
        <f>C1469*100/C1479</f>
        <v>0</v>
      </c>
      <c r="E1469" s="264">
        <v>0</v>
      </c>
      <c r="F1469" s="265">
        <f>E1469*100/E1479</f>
        <v>0</v>
      </c>
      <c r="G1469" s="264">
        <v>0</v>
      </c>
      <c r="H1469" s="265">
        <f>G1469*100/G1479</f>
        <v>0</v>
      </c>
      <c r="I1469" s="264">
        <v>0</v>
      </c>
      <c r="J1469" s="266">
        <f>I1469*100/I1479</f>
        <v>0</v>
      </c>
    </row>
    <row r="1470" spans="1:10">
      <c r="A1470" s="285">
        <f>1.0000000001*B1470</f>
        <v>-110.000000011</v>
      </c>
      <c r="B1470" s="284">
        <v>-110</v>
      </c>
      <c r="C1470" s="268">
        <v>0</v>
      </c>
      <c r="D1470" s="269">
        <f>C1470*100/C1479</f>
        <v>0</v>
      </c>
      <c r="E1470" s="268">
        <v>0</v>
      </c>
      <c r="F1470" s="269">
        <f>E1470*100/E1479</f>
        <v>0</v>
      </c>
      <c r="G1470" s="268">
        <v>0</v>
      </c>
      <c r="H1470" s="269">
        <f>G1470*100/G1479</f>
        <v>0</v>
      </c>
      <c r="I1470" s="268">
        <v>0</v>
      </c>
      <c r="J1470" s="270">
        <f>I1470*100/I1479</f>
        <v>0</v>
      </c>
    </row>
    <row r="1471" spans="1:10">
      <c r="A1471" s="285">
        <f t="shared" si="69"/>
        <v>-111.0000000111</v>
      </c>
      <c r="B1471" s="285">
        <v>-111</v>
      </c>
      <c r="C1471" s="264">
        <v>0</v>
      </c>
      <c r="D1471" s="265">
        <f>C1471*100/C1479</f>
        <v>0</v>
      </c>
      <c r="E1471" s="264">
        <v>0</v>
      </c>
      <c r="F1471" s="265">
        <f>E1471*100/E1479</f>
        <v>0</v>
      </c>
      <c r="G1471" s="264">
        <v>0</v>
      </c>
      <c r="H1471" s="265">
        <f>G1471*100/G1479</f>
        <v>0</v>
      </c>
      <c r="I1471" s="264">
        <v>0</v>
      </c>
      <c r="J1471" s="266">
        <f>I1471*100/I1479</f>
        <v>0</v>
      </c>
    </row>
    <row r="1472" spans="1:10">
      <c r="A1472" s="285">
        <f t="shared" si="69"/>
        <v>-112.0000000112</v>
      </c>
      <c r="B1472" s="284">
        <v>-112</v>
      </c>
      <c r="C1472" s="268">
        <v>0</v>
      </c>
      <c r="D1472" s="271">
        <f>C1472*100/C1479</f>
        <v>0</v>
      </c>
      <c r="E1472" s="272">
        <v>0</v>
      </c>
      <c r="F1472" s="271">
        <f>E1472*100/E1479</f>
        <v>0</v>
      </c>
      <c r="G1472" s="272">
        <v>0</v>
      </c>
      <c r="H1472" s="271">
        <f>G1472*100/G1479</f>
        <v>0</v>
      </c>
      <c r="I1472" s="272">
        <v>0</v>
      </c>
      <c r="J1472" s="273">
        <f>I1472*100/I1479</f>
        <v>0</v>
      </c>
    </row>
    <row r="1473" spans="1:10">
      <c r="A1473" s="285">
        <f t="shared" si="69"/>
        <v>-113.0000000113</v>
      </c>
      <c r="B1473" s="285">
        <v>-113</v>
      </c>
      <c r="C1473" s="219">
        <v>0</v>
      </c>
      <c r="D1473" s="220">
        <f>C1473*100/C1479</f>
        <v>0</v>
      </c>
      <c r="E1473" s="221">
        <v>0</v>
      </c>
      <c r="F1473" s="220">
        <f>E1473*100/E1479</f>
        <v>0</v>
      </c>
      <c r="G1473" s="221">
        <v>0</v>
      </c>
      <c r="H1473" s="220">
        <f>G1473*100/G1479</f>
        <v>0</v>
      </c>
      <c r="I1473" s="221">
        <v>0</v>
      </c>
      <c r="J1473" s="281">
        <f>I1473*100/I1479</f>
        <v>0</v>
      </c>
    </row>
    <row r="1474" spans="1:10">
      <c r="A1474" s="285">
        <f t="shared" si="69"/>
        <v>-114.0000000114</v>
      </c>
      <c r="B1474" s="284">
        <v>-114</v>
      </c>
      <c r="C1474" s="268">
        <v>0</v>
      </c>
      <c r="D1474" s="271">
        <f>C1474*100/C1479</f>
        <v>0</v>
      </c>
      <c r="E1474" s="272">
        <v>0</v>
      </c>
      <c r="F1474" s="271">
        <f>E1474*100/E1479</f>
        <v>0</v>
      </c>
      <c r="G1474" s="272">
        <v>0</v>
      </c>
      <c r="H1474" s="271">
        <f>G1474*100/G1479</f>
        <v>0</v>
      </c>
      <c r="I1474" s="272">
        <v>0</v>
      </c>
      <c r="J1474" s="273">
        <f>I1474*100/I1479</f>
        <v>0</v>
      </c>
    </row>
    <row r="1475" spans="1:10">
      <c r="A1475" s="285">
        <f t="shared" si="69"/>
        <v>-115.00000001150001</v>
      </c>
      <c r="B1475" s="285">
        <v>-115</v>
      </c>
      <c r="C1475" s="219">
        <v>0</v>
      </c>
      <c r="D1475" s="220">
        <f>C1475*100/C1479</f>
        <v>0</v>
      </c>
      <c r="E1475" s="221">
        <v>0</v>
      </c>
      <c r="F1475" s="220">
        <f>E1475*100/E1479</f>
        <v>0</v>
      </c>
      <c r="G1475" s="221">
        <v>0</v>
      </c>
      <c r="H1475" s="220">
        <f>G1475*100/G1479</f>
        <v>0</v>
      </c>
      <c r="I1475" s="221">
        <v>0</v>
      </c>
      <c r="J1475" s="281">
        <f>I1475*100/I1479</f>
        <v>0</v>
      </c>
    </row>
    <row r="1476" spans="1:10">
      <c r="A1476" s="285">
        <f t="shared" si="69"/>
        <v>-117.0000000117</v>
      </c>
      <c r="B1476" s="284">
        <v>-117</v>
      </c>
      <c r="C1476" s="268">
        <v>0</v>
      </c>
      <c r="D1476" s="271">
        <f>C1476*100/C1479</f>
        <v>0</v>
      </c>
      <c r="E1476" s="272">
        <v>0</v>
      </c>
      <c r="F1476" s="271">
        <f>E1476*100/E1479</f>
        <v>0</v>
      </c>
      <c r="G1476" s="272">
        <v>0</v>
      </c>
      <c r="H1476" s="271">
        <f>G1476*100/G1479</f>
        <v>0</v>
      </c>
      <c r="I1476" s="272">
        <v>0</v>
      </c>
      <c r="J1476" s="273">
        <f>I1476*100/I1479</f>
        <v>0</v>
      </c>
    </row>
    <row r="1477" spans="1:10">
      <c r="A1477" s="285">
        <f t="shared" si="69"/>
        <v>-118.0000000118</v>
      </c>
      <c r="B1477" s="285">
        <v>-118</v>
      </c>
      <c r="C1477" s="219">
        <v>0</v>
      </c>
      <c r="D1477" s="220">
        <f>C1477*100/C1479</f>
        <v>0</v>
      </c>
      <c r="E1477" s="221">
        <v>0</v>
      </c>
      <c r="F1477" s="220">
        <f>E1477*100/E1479</f>
        <v>0</v>
      </c>
      <c r="G1477" s="221">
        <v>1</v>
      </c>
      <c r="H1477" s="220">
        <f>G1477*100/G1479</f>
        <v>12.49999999984375</v>
      </c>
      <c r="I1477" s="221">
        <v>0</v>
      </c>
      <c r="J1477" s="281">
        <f>I1477*100/I1479</f>
        <v>0</v>
      </c>
    </row>
    <row r="1478" spans="1:10" ht="15" thickBot="1">
      <c r="A1478" s="284">
        <f>1.0000000001*B1478</f>
        <v>-119.0000000119</v>
      </c>
      <c r="B1478" s="284">
        <v>-119</v>
      </c>
      <c r="C1478" s="275">
        <v>0</v>
      </c>
      <c r="D1478" s="280">
        <f>C1478*100/C1479</f>
        <v>0</v>
      </c>
      <c r="E1478" s="272">
        <v>0</v>
      </c>
      <c r="F1478" s="271">
        <f>E1478*100/E1479</f>
        <v>0</v>
      </c>
      <c r="G1478" s="275">
        <v>0</v>
      </c>
      <c r="H1478" s="271">
        <f>G1478*100/G1479</f>
        <v>0</v>
      </c>
      <c r="I1478" s="275">
        <v>0</v>
      </c>
      <c r="J1478" s="276">
        <f>I1478*100/I1479</f>
        <v>0</v>
      </c>
    </row>
    <row r="1479" spans="1:10" ht="15" thickBot="1">
      <c r="A1479" s="806" t="s">
        <v>396</v>
      </c>
      <c r="B1479" s="806"/>
      <c r="C1479" s="277">
        <f>SUM(C1450:C1478)+0.0000000001</f>
        <v>1E-10</v>
      </c>
      <c r="D1479" s="279">
        <f>SUM(D1451:D1478)</f>
        <v>0</v>
      </c>
      <c r="E1479" s="278">
        <f>SUM(E1450:E1478)+0.0000000001</f>
        <v>10.0000000001</v>
      </c>
      <c r="F1479" s="279">
        <f>SUM(F1450:F1478)</f>
        <v>99.999999998999996</v>
      </c>
      <c r="G1479" s="278">
        <f>SUM(G1450:G1478)+1/10000000000</f>
        <v>8.0000000001</v>
      </c>
      <c r="H1479" s="279">
        <f>SUM(H1450:H1478)</f>
        <v>99.999999998749999</v>
      </c>
      <c r="I1479" s="278">
        <f>SUM(I1450:I1478)+0.0000000001</f>
        <v>1E-10</v>
      </c>
      <c r="J1479" s="279">
        <f>SUM(J1450:J1478)</f>
        <v>0</v>
      </c>
    </row>
    <row r="1480" spans="1:10" ht="15" thickBot="1">
      <c r="A1480" s="836">
        <f>C1479+E1479+G1479+I1479</f>
        <v>18.000000000399996</v>
      </c>
      <c r="B1480" s="837"/>
      <c r="C1480" s="837"/>
      <c r="D1480" s="837"/>
      <c r="E1480" s="837"/>
      <c r="F1480" s="837"/>
      <c r="G1480" s="837"/>
      <c r="H1480" s="837"/>
      <c r="I1480" s="837"/>
      <c r="J1480" s="838"/>
    </row>
    <row r="1496" spans="1:19">
      <c r="O1496" s="781" t="s">
        <v>917</v>
      </c>
      <c r="P1496" s="781"/>
      <c r="Q1496" s="781"/>
      <c r="R1496" s="781"/>
      <c r="S1496" s="781"/>
    </row>
    <row r="1497" spans="1:19" ht="15" thickBot="1">
      <c r="A1497" s="250"/>
    </row>
    <row r="1498" spans="1:19" ht="15.75" customHeight="1" thickBot="1">
      <c r="A1498" s="798" t="s">
        <v>742</v>
      </c>
      <c r="B1498" s="780"/>
      <c r="C1498" s="799" t="s">
        <v>400</v>
      </c>
      <c r="D1498" s="799"/>
      <c r="E1498" s="800" t="s">
        <v>946</v>
      </c>
      <c r="F1498" s="800"/>
      <c r="G1498" s="799" t="s">
        <v>948</v>
      </c>
      <c r="H1498" s="799"/>
      <c r="I1498" s="800" t="s">
        <v>947</v>
      </c>
      <c r="J1498" s="800"/>
    </row>
    <row r="1499" spans="1:19" ht="15" thickBot="1">
      <c r="A1499" s="251" t="s">
        <v>887</v>
      </c>
      <c r="B1499" s="251" t="s">
        <v>243</v>
      </c>
      <c r="C1499" s="252" t="s">
        <v>397</v>
      </c>
      <c r="D1499" s="253" t="s">
        <v>945</v>
      </c>
      <c r="E1499" s="254" t="s">
        <v>397</v>
      </c>
      <c r="F1499" s="255" t="s">
        <v>945</v>
      </c>
      <c r="G1499" s="256" t="s">
        <v>397</v>
      </c>
      <c r="H1499" s="257" t="s">
        <v>945</v>
      </c>
      <c r="I1499" s="254" t="s">
        <v>397</v>
      </c>
      <c r="J1499" s="258" t="s">
        <v>945</v>
      </c>
    </row>
    <row r="1500" spans="1:19">
      <c r="A1500" s="284">
        <f>0.9999999999*B1500</f>
        <v>6.9999999992999999</v>
      </c>
      <c r="B1500" s="284">
        <v>7</v>
      </c>
      <c r="C1500" s="260">
        <f t="array" ref="C1500:C1518">FREQUENCY(Discrete!S3:S20,Hists!A1501:A1518)</f>
        <v>0</v>
      </c>
      <c r="D1500" s="261">
        <f>C1500*100/C1529</f>
        <v>0</v>
      </c>
      <c r="E1500" s="260">
        <f t="array" ref="E1500:E1518">FREQUENCY(Discrete!S21:S78,Hists!A1501:A1518)</f>
        <v>0</v>
      </c>
      <c r="F1500" s="261">
        <f>E1500*100/E1529</f>
        <v>0</v>
      </c>
      <c r="G1500" s="260">
        <f t="array" ref="G1500:G1518">FREQUENCY(IC!V3:V39,Hists!A1501:A1518)</f>
        <v>0</v>
      </c>
      <c r="H1500" s="261">
        <f>G1500*100/G1529</f>
        <v>0</v>
      </c>
      <c r="I1500" s="260">
        <f t="array" ref="I1500:I1518">FREQUENCY(IC!V40:V64,Hists!A1501:A1518)</f>
        <v>0</v>
      </c>
      <c r="J1500" s="262">
        <f>I1500*100/I1529</f>
        <v>0</v>
      </c>
    </row>
    <row r="1501" spans="1:19">
      <c r="A1501" s="285">
        <f>0.9999999999*B1501</f>
        <v>7.9999999991999999</v>
      </c>
      <c r="B1501" s="285">
        <v>8</v>
      </c>
      <c r="C1501" s="264">
        <v>0</v>
      </c>
      <c r="D1501" s="265">
        <f>C1501*100/C1529</f>
        <v>0</v>
      </c>
      <c r="E1501" s="264">
        <v>1</v>
      </c>
      <c r="F1501" s="265">
        <f>E1501*100/E1529</f>
        <v>4.5454545454338851</v>
      </c>
      <c r="G1501" s="264">
        <v>0</v>
      </c>
      <c r="H1501" s="265">
        <f>G1501*100/G1529</f>
        <v>0</v>
      </c>
      <c r="I1501" s="264">
        <v>0</v>
      </c>
      <c r="J1501" s="266">
        <f>I1501*100/I1529</f>
        <v>0</v>
      </c>
    </row>
    <row r="1502" spans="1:19">
      <c r="A1502" s="285">
        <f t="shared" ref="A1502:A1518" si="70">0.9999999999*B1502</f>
        <v>8.9999999990999999</v>
      </c>
      <c r="B1502" s="285">
        <v>9</v>
      </c>
      <c r="C1502" s="268">
        <v>0</v>
      </c>
      <c r="D1502" s="269">
        <f>C1502*100/C1529</f>
        <v>0</v>
      </c>
      <c r="E1502" s="268">
        <v>0</v>
      </c>
      <c r="F1502" s="269">
        <f>E1502*100/E1529</f>
        <v>0</v>
      </c>
      <c r="G1502" s="268">
        <v>0</v>
      </c>
      <c r="H1502" s="269">
        <f>G1502*100/G1529</f>
        <v>0</v>
      </c>
      <c r="I1502" s="268">
        <v>0</v>
      </c>
      <c r="J1502" s="270">
        <f>I1502*100/I1529</f>
        <v>0</v>
      </c>
    </row>
    <row r="1503" spans="1:19">
      <c r="A1503" s="285">
        <f t="shared" si="70"/>
        <v>9.9999999989999999</v>
      </c>
      <c r="B1503" s="285">
        <v>10</v>
      </c>
      <c r="C1503" s="264">
        <v>0</v>
      </c>
      <c r="D1503" s="265">
        <f>C1503*100/C1529</f>
        <v>0</v>
      </c>
      <c r="E1503" s="264">
        <v>9</v>
      </c>
      <c r="F1503" s="265">
        <f>E1503*100/E1529</f>
        <v>40.909090908904965</v>
      </c>
      <c r="G1503" s="264">
        <v>1</v>
      </c>
      <c r="H1503" s="265">
        <f>G1503*100/G1529</f>
        <v>5.8823529411418694</v>
      </c>
      <c r="I1503" s="264">
        <v>0</v>
      </c>
      <c r="J1503" s="266">
        <f>I1503*100/I1529</f>
        <v>0</v>
      </c>
    </row>
    <row r="1504" spans="1:19">
      <c r="A1504" s="285">
        <f t="shared" si="70"/>
        <v>11.9999999988</v>
      </c>
      <c r="B1504" s="285">
        <v>12</v>
      </c>
      <c r="C1504" s="268">
        <v>3</v>
      </c>
      <c r="D1504" s="269">
        <f>C1504*100/C1529</f>
        <v>59.9999999988</v>
      </c>
      <c r="E1504" s="268">
        <v>8</v>
      </c>
      <c r="F1504" s="269">
        <f>E1504*100/E1529</f>
        <v>36.36363636347108</v>
      </c>
      <c r="G1504" s="268">
        <v>13</v>
      </c>
      <c r="H1504" s="269">
        <f>G1504*100/G1529</f>
        <v>76.4705882348443</v>
      </c>
      <c r="I1504" s="268">
        <v>1</v>
      </c>
      <c r="J1504" s="270">
        <f>I1504*100/I1529</f>
        <v>9.0909090908264467</v>
      </c>
    </row>
    <row r="1505" spans="1:10">
      <c r="A1505" s="285">
        <f t="shared" si="70"/>
        <v>12.9999999987</v>
      </c>
      <c r="B1505" s="285">
        <v>13</v>
      </c>
      <c r="C1505" s="264">
        <v>0</v>
      </c>
      <c r="D1505" s="265">
        <f>C1505*100/C1529</f>
        <v>0</v>
      </c>
      <c r="E1505" s="264">
        <v>0</v>
      </c>
      <c r="F1505" s="265">
        <f>E1505*100/E1529</f>
        <v>0</v>
      </c>
      <c r="G1505" s="264">
        <v>1</v>
      </c>
      <c r="H1505" s="265">
        <f>G1505*100/G1529</f>
        <v>5.8823529411418694</v>
      </c>
      <c r="I1505" s="264">
        <v>0</v>
      </c>
      <c r="J1505" s="266">
        <f>I1505*100/I1529</f>
        <v>0</v>
      </c>
    </row>
    <row r="1506" spans="1:10">
      <c r="A1506" s="285">
        <f t="shared" si="70"/>
        <v>13.9999999986</v>
      </c>
      <c r="B1506" s="285">
        <v>14</v>
      </c>
      <c r="C1506" s="268">
        <v>0</v>
      </c>
      <c r="D1506" s="269">
        <f>C1506*100/C1529</f>
        <v>0</v>
      </c>
      <c r="E1506" s="268">
        <v>0</v>
      </c>
      <c r="F1506" s="269">
        <f>E1506*100/E1529</f>
        <v>0</v>
      </c>
      <c r="G1506" s="268">
        <v>0</v>
      </c>
      <c r="H1506" s="269">
        <f>G1506*100/G1529</f>
        <v>0</v>
      </c>
      <c r="I1506" s="268">
        <v>4</v>
      </c>
      <c r="J1506" s="270">
        <f>I1506*100/I1529</f>
        <v>36.363636363305787</v>
      </c>
    </row>
    <row r="1507" spans="1:10">
      <c r="A1507" s="285">
        <f t="shared" si="70"/>
        <v>14.9999999985</v>
      </c>
      <c r="B1507" s="285">
        <v>15</v>
      </c>
      <c r="C1507" s="264">
        <v>0</v>
      </c>
      <c r="D1507" s="265">
        <f>C1507*100/C1529</f>
        <v>0</v>
      </c>
      <c r="E1507" s="264">
        <v>0</v>
      </c>
      <c r="F1507" s="265">
        <f>E1507*100/E1529</f>
        <v>0</v>
      </c>
      <c r="G1507" s="264">
        <v>0</v>
      </c>
      <c r="H1507" s="265">
        <f>G1507*100/G1529</f>
        <v>0</v>
      </c>
      <c r="I1507" s="264">
        <v>1</v>
      </c>
      <c r="J1507" s="266">
        <f>I1507*100/I1529</f>
        <v>9.0909090908264467</v>
      </c>
    </row>
    <row r="1508" spans="1:10">
      <c r="A1508" s="285">
        <f t="shared" si="70"/>
        <v>15.9999999984</v>
      </c>
      <c r="B1508" s="285">
        <v>16</v>
      </c>
      <c r="C1508" s="268">
        <v>0</v>
      </c>
      <c r="D1508" s="269">
        <f>C1508*100/C1529</f>
        <v>0</v>
      </c>
      <c r="E1508" s="268">
        <v>4</v>
      </c>
      <c r="F1508" s="269">
        <f>E1508*100/E1529</f>
        <v>18.18181818173554</v>
      </c>
      <c r="G1508" s="268">
        <v>2</v>
      </c>
      <c r="H1508" s="269">
        <f>G1508*100/G1529</f>
        <v>11.764705882283739</v>
      </c>
      <c r="I1508" s="268">
        <v>2</v>
      </c>
      <c r="J1508" s="270">
        <f>I1508*100/I1529</f>
        <v>18.181818181652893</v>
      </c>
    </row>
    <row r="1509" spans="1:10">
      <c r="A1509" s="285">
        <f t="shared" si="70"/>
        <v>16.999999998299998</v>
      </c>
      <c r="B1509" s="285">
        <v>17</v>
      </c>
      <c r="C1509" s="264">
        <v>0</v>
      </c>
      <c r="D1509" s="265">
        <f>C1509*100/C1529</f>
        <v>0</v>
      </c>
      <c r="E1509" s="264">
        <v>0</v>
      </c>
      <c r="F1509" s="265">
        <f>E1509*100/E1529</f>
        <v>0</v>
      </c>
      <c r="G1509" s="264">
        <v>0</v>
      </c>
      <c r="H1509" s="265">
        <f>G1509*100/G1529</f>
        <v>0</v>
      </c>
      <c r="I1509" s="264">
        <v>3</v>
      </c>
      <c r="J1509" s="266">
        <f>I1509*100/I1529</f>
        <v>27.27272727247934</v>
      </c>
    </row>
    <row r="1510" spans="1:10">
      <c r="A1510" s="285">
        <f t="shared" si="70"/>
        <v>17.9999999982</v>
      </c>
      <c r="B1510" s="285">
        <v>18</v>
      </c>
      <c r="C1510" s="268">
        <v>0</v>
      </c>
      <c r="D1510" s="269">
        <f>C1510*100/C1529</f>
        <v>0</v>
      </c>
      <c r="E1510" s="268">
        <v>0</v>
      </c>
      <c r="F1510" s="269">
        <f>E1510*100/E1529</f>
        <v>0</v>
      </c>
      <c r="G1510" s="268">
        <v>0</v>
      </c>
      <c r="H1510" s="269">
        <f>G1510*100/G1529</f>
        <v>0</v>
      </c>
      <c r="I1510" s="268">
        <v>0</v>
      </c>
      <c r="J1510" s="270">
        <f>I1510*100/I1529</f>
        <v>0</v>
      </c>
    </row>
    <row r="1511" spans="1:10">
      <c r="A1511" s="285">
        <f t="shared" si="70"/>
        <v>18.999999998100002</v>
      </c>
      <c r="B1511" s="285">
        <v>19</v>
      </c>
      <c r="C1511" s="264">
        <v>0</v>
      </c>
      <c r="D1511" s="265">
        <f>C1511*100/C1529</f>
        <v>0</v>
      </c>
      <c r="E1511" s="264">
        <v>0</v>
      </c>
      <c r="F1511" s="265">
        <f>E1511*100/E1529</f>
        <v>0</v>
      </c>
      <c r="G1511" s="264">
        <v>0</v>
      </c>
      <c r="H1511" s="265">
        <f>G1511*100/G1529</f>
        <v>0</v>
      </c>
      <c r="I1511" s="264">
        <v>0</v>
      </c>
      <c r="J1511" s="266">
        <f>I1511*100/I1529</f>
        <v>0</v>
      </c>
    </row>
    <row r="1512" spans="1:10">
      <c r="A1512" s="285">
        <f t="shared" si="70"/>
        <v>19.999999998</v>
      </c>
      <c r="B1512" s="285">
        <v>20</v>
      </c>
      <c r="C1512" s="268">
        <v>0</v>
      </c>
      <c r="D1512" s="269">
        <f>C1512*100/C1529</f>
        <v>0</v>
      </c>
      <c r="E1512" s="268">
        <v>0</v>
      </c>
      <c r="F1512" s="269">
        <f>E1512*100/E1529</f>
        <v>0</v>
      </c>
      <c r="G1512" s="268">
        <v>0</v>
      </c>
      <c r="H1512" s="269">
        <f>G1512*100/G1529</f>
        <v>0</v>
      </c>
      <c r="I1512" s="268">
        <v>0</v>
      </c>
      <c r="J1512" s="270">
        <f>I1512*100/I1529</f>
        <v>0</v>
      </c>
    </row>
    <row r="1513" spans="1:10">
      <c r="A1513" s="285">
        <f t="shared" si="70"/>
        <v>20.999999997899998</v>
      </c>
      <c r="B1513" s="285">
        <v>21</v>
      </c>
      <c r="C1513" s="264">
        <v>0</v>
      </c>
      <c r="D1513" s="265">
        <f>C1513*100/C1529</f>
        <v>0</v>
      </c>
      <c r="E1513" s="264">
        <v>0</v>
      </c>
      <c r="F1513" s="265">
        <f>E1513*100/E1529</f>
        <v>0</v>
      </c>
      <c r="G1513" s="264">
        <v>0</v>
      </c>
      <c r="H1513" s="265">
        <f>G1513*100/G1529</f>
        <v>0</v>
      </c>
      <c r="I1513" s="264">
        <v>0</v>
      </c>
      <c r="J1513" s="266">
        <f>I1513*100/I1529</f>
        <v>0</v>
      </c>
    </row>
    <row r="1514" spans="1:10">
      <c r="A1514" s="285">
        <f t="shared" si="70"/>
        <v>21.9999999978</v>
      </c>
      <c r="B1514" s="285">
        <v>22</v>
      </c>
      <c r="C1514" s="268">
        <v>0</v>
      </c>
      <c r="D1514" s="269">
        <f>C1514*100/C1529</f>
        <v>0</v>
      </c>
      <c r="E1514" s="268">
        <v>0</v>
      </c>
      <c r="F1514" s="269">
        <f>E1514*100/E1529</f>
        <v>0</v>
      </c>
      <c r="G1514" s="268">
        <v>0</v>
      </c>
      <c r="H1514" s="269">
        <f>G1514*100/G1529</f>
        <v>0</v>
      </c>
      <c r="I1514" s="268">
        <v>0</v>
      </c>
      <c r="J1514" s="270">
        <f>I1514*100/I1529</f>
        <v>0</v>
      </c>
    </row>
    <row r="1515" spans="1:10">
      <c r="A1515" s="285">
        <f t="shared" si="70"/>
        <v>22.999999997700002</v>
      </c>
      <c r="B1515" s="285">
        <v>23</v>
      </c>
      <c r="C1515" s="264">
        <v>0</v>
      </c>
      <c r="D1515" s="265">
        <f>C1515*100/C1529</f>
        <v>0</v>
      </c>
      <c r="E1515" s="264">
        <v>0</v>
      </c>
      <c r="F1515" s="265">
        <f>E1515*100/E1529</f>
        <v>0</v>
      </c>
      <c r="G1515" s="264">
        <v>0</v>
      </c>
      <c r="H1515" s="265">
        <f>G1515*100/G1529</f>
        <v>0</v>
      </c>
      <c r="I1515" s="264">
        <v>0</v>
      </c>
      <c r="J1515" s="266">
        <f>I1515*100/I1529</f>
        <v>0</v>
      </c>
    </row>
    <row r="1516" spans="1:10">
      <c r="A1516" s="285">
        <f t="shared" si="70"/>
        <v>23.9999999976</v>
      </c>
      <c r="B1516" s="285">
        <v>24</v>
      </c>
      <c r="C1516" s="268">
        <v>2</v>
      </c>
      <c r="D1516" s="269">
        <f>C1516*100/C1529</f>
        <v>39.9999999992</v>
      </c>
      <c r="E1516" s="268">
        <v>0</v>
      </c>
      <c r="F1516" s="269">
        <f>E1516*100/E1529</f>
        <v>0</v>
      </c>
      <c r="G1516" s="268">
        <v>0</v>
      </c>
      <c r="H1516" s="269">
        <f>G1516*100/G1529</f>
        <v>0</v>
      </c>
      <c r="I1516" s="268">
        <v>0</v>
      </c>
      <c r="J1516" s="270">
        <f>I1516*100/I1529</f>
        <v>0</v>
      </c>
    </row>
    <row r="1517" spans="1:10">
      <c r="A1517" s="285">
        <f t="shared" si="70"/>
        <v>24.999999997499998</v>
      </c>
      <c r="B1517" s="285">
        <v>25</v>
      </c>
      <c r="C1517" s="264">
        <v>0</v>
      </c>
      <c r="D1517" s="265">
        <f>C1517*100/C1529</f>
        <v>0</v>
      </c>
      <c r="E1517" s="264">
        <v>0</v>
      </c>
      <c r="F1517" s="265">
        <f>E1517*100/E1529</f>
        <v>0</v>
      </c>
      <c r="G1517" s="264">
        <v>0</v>
      </c>
      <c r="H1517" s="265">
        <f>G1517*100/G1529</f>
        <v>0</v>
      </c>
      <c r="I1517" s="264">
        <v>0</v>
      </c>
      <c r="J1517" s="266">
        <f>I1517*100/I1529</f>
        <v>0</v>
      </c>
    </row>
    <row r="1518" spans="1:10">
      <c r="A1518" s="285">
        <f t="shared" si="70"/>
        <v>25.9999999974</v>
      </c>
      <c r="B1518" s="285">
        <v>26</v>
      </c>
      <c r="C1518" s="268">
        <v>0</v>
      </c>
      <c r="D1518" s="269">
        <f>C1518*100/C1529</f>
        <v>0</v>
      </c>
      <c r="E1518" s="268">
        <v>0</v>
      </c>
      <c r="F1518" s="269">
        <f>E1518*100/E1529</f>
        <v>0</v>
      </c>
      <c r="G1518" s="268">
        <v>0</v>
      </c>
      <c r="H1518" s="269">
        <f>G1518*100/G1529</f>
        <v>0</v>
      </c>
      <c r="I1518" s="268">
        <v>0</v>
      </c>
      <c r="J1518" s="270">
        <f>I1518*100/I1529</f>
        <v>0</v>
      </c>
    </row>
    <row r="1519" spans="1:10">
      <c r="A1519" s="285"/>
      <c r="B1519" s="285"/>
      <c r="C1519" s="264"/>
      <c r="D1519" s="265">
        <f>C1519*100/C1529</f>
        <v>0</v>
      </c>
      <c r="E1519" s="264"/>
      <c r="F1519" s="265">
        <f>E1519*100/E1529</f>
        <v>0</v>
      </c>
      <c r="G1519" s="264"/>
      <c r="H1519" s="265">
        <f>G1519*100/G1529</f>
        <v>0</v>
      </c>
      <c r="I1519" s="264"/>
      <c r="J1519" s="266">
        <f>I1519*100/I1529</f>
        <v>0</v>
      </c>
    </row>
    <row r="1520" spans="1:10">
      <c r="A1520" s="285"/>
      <c r="B1520" s="246"/>
      <c r="C1520" s="268"/>
      <c r="D1520" s="269">
        <f>C1520*100/C1529</f>
        <v>0</v>
      </c>
      <c r="E1520" s="268"/>
      <c r="F1520" s="269">
        <f>E1520*100/E1529</f>
        <v>0</v>
      </c>
      <c r="G1520" s="268"/>
      <c r="H1520" s="269">
        <f>G1520*100/G1529</f>
        <v>0</v>
      </c>
      <c r="I1520" s="268"/>
      <c r="J1520" s="270">
        <f>I1520*100/I1529</f>
        <v>0</v>
      </c>
    </row>
    <row r="1521" spans="1:15">
      <c r="A1521" s="285"/>
      <c r="B1521" s="245"/>
      <c r="C1521" s="264"/>
      <c r="D1521" s="265">
        <f>C1521*100/C1529</f>
        <v>0</v>
      </c>
      <c r="E1521" s="264"/>
      <c r="F1521" s="265">
        <f>E1521*100/E1529</f>
        <v>0</v>
      </c>
      <c r="G1521" s="264"/>
      <c r="H1521" s="265">
        <f>G1521*100/G1529</f>
        <v>0</v>
      </c>
      <c r="I1521" s="264"/>
      <c r="J1521" s="266">
        <f>I1521*100/I1529</f>
        <v>0</v>
      </c>
    </row>
    <row r="1522" spans="1:15">
      <c r="A1522" s="285"/>
      <c r="B1522" s="246"/>
      <c r="C1522" s="268"/>
      <c r="D1522" s="271">
        <f>C1522*100/C1529</f>
        <v>0</v>
      </c>
      <c r="E1522" s="272"/>
      <c r="F1522" s="271">
        <f>E1522*100/E1529</f>
        <v>0</v>
      </c>
      <c r="G1522" s="272"/>
      <c r="H1522" s="271">
        <f>G1522*100/G1529</f>
        <v>0</v>
      </c>
      <c r="I1522" s="272"/>
      <c r="J1522" s="273">
        <f>I1522*100/I1529</f>
        <v>0</v>
      </c>
    </row>
    <row r="1523" spans="1:15">
      <c r="A1523" s="285"/>
      <c r="B1523" s="246"/>
      <c r="C1523" s="219"/>
      <c r="D1523" s="220">
        <f>C1523*100/C1529</f>
        <v>0</v>
      </c>
      <c r="E1523" s="221"/>
      <c r="F1523" s="220">
        <f>E1523*100/E1529</f>
        <v>0</v>
      </c>
      <c r="G1523" s="221"/>
      <c r="H1523" s="220">
        <f>G1523*100/G1529</f>
        <v>0</v>
      </c>
      <c r="I1523" s="221"/>
      <c r="J1523" s="281">
        <f>I1523*100/I1529</f>
        <v>0</v>
      </c>
    </row>
    <row r="1524" spans="1:15">
      <c r="A1524" s="285"/>
      <c r="B1524" s="246"/>
      <c r="C1524" s="268"/>
      <c r="D1524" s="271">
        <f>C1524*100/C1529</f>
        <v>0</v>
      </c>
      <c r="E1524" s="272"/>
      <c r="F1524" s="271">
        <f>E1524*100/E1529</f>
        <v>0</v>
      </c>
      <c r="G1524" s="272"/>
      <c r="H1524" s="271">
        <f>G1524*100/G1529</f>
        <v>0</v>
      </c>
      <c r="I1524" s="272"/>
      <c r="J1524" s="273">
        <f>I1524*100/I1529</f>
        <v>0</v>
      </c>
    </row>
    <row r="1525" spans="1:15">
      <c r="A1525" s="285"/>
      <c r="B1525" s="246"/>
      <c r="C1525" s="219"/>
      <c r="D1525" s="220">
        <f>C1525*100/C1529</f>
        <v>0</v>
      </c>
      <c r="E1525" s="221"/>
      <c r="F1525" s="220">
        <f>E1525*100/E1529</f>
        <v>0</v>
      </c>
      <c r="G1525" s="221"/>
      <c r="H1525" s="220">
        <f>G1525*100/G1529</f>
        <v>0</v>
      </c>
      <c r="I1525" s="221"/>
      <c r="J1525" s="281">
        <f>I1525*100/I1529</f>
        <v>0</v>
      </c>
    </row>
    <row r="1526" spans="1:15">
      <c r="A1526" s="285"/>
      <c r="B1526" s="246"/>
      <c r="C1526" s="268"/>
      <c r="D1526" s="271">
        <f>C1526*100/C1529</f>
        <v>0</v>
      </c>
      <c r="E1526" s="272"/>
      <c r="F1526" s="271">
        <f>E1526*100/E1529</f>
        <v>0</v>
      </c>
      <c r="G1526" s="272"/>
      <c r="H1526" s="271">
        <f>G1526*100/G1529</f>
        <v>0</v>
      </c>
      <c r="I1526" s="272"/>
      <c r="J1526" s="273">
        <f>I1526*100/I1529</f>
        <v>0</v>
      </c>
    </row>
    <row r="1527" spans="1:15">
      <c r="A1527" s="285"/>
      <c r="B1527" s="246"/>
      <c r="C1527" s="219"/>
      <c r="D1527" s="220">
        <f>C1527*100/C1529</f>
        <v>0</v>
      </c>
      <c r="E1527" s="221"/>
      <c r="F1527" s="220">
        <f>E1527*100/E1529</f>
        <v>0</v>
      </c>
      <c r="G1527" s="221"/>
      <c r="H1527" s="220">
        <f>G1527*100/G1529</f>
        <v>0</v>
      </c>
      <c r="I1527" s="221"/>
      <c r="J1527" s="281">
        <f>I1527*100/I1529</f>
        <v>0</v>
      </c>
      <c r="L1527" s="80" t="s">
        <v>400</v>
      </c>
      <c r="M1527" s="80" t="s">
        <v>882</v>
      </c>
      <c r="N1527" s="444" t="s">
        <v>883</v>
      </c>
      <c r="O1527" s="139">
        <f>AVERAGE(Discrete!S3:S20)</f>
        <v>16.8</v>
      </c>
    </row>
    <row r="1528" spans="1:15" ht="15" thickBot="1">
      <c r="A1528" s="284"/>
      <c r="B1528" s="247"/>
      <c r="C1528" s="275"/>
      <c r="D1528" s="280">
        <f>C1528*100/C1529</f>
        <v>0</v>
      </c>
      <c r="E1528" s="272"/>
      <c r="F1528" s="271">
        <f>E1528*100/E1529</f>
        <v>0</v>
      </c>
      <c r="G1528" s="272"/>
      <c r="H1528" s="271">
        <f>G1528*100/G1529</f>
        <v>0</v>
      </c>
      <c r="I1528" s="275"/>
      <c r="J1528" s="276">
        <f>I1528*100/I1529</f>
        <v>0</v>
      </c>
      <c r="L1528" s="80" t="s">
        <v>186</v>
      </c>
      <c r="M1528" s="250" t="s">
        <v>882</v>
      </c>
      <c r="N1528" s="444" t="s">
        <v>883</v>
      </c>
      <c r="O1528" s="139">
        <f>AVERAGE(Discrete!S21:S75)</f>
        <v>11.727272727272727</v>
      </c>
    </row>
    <row r="1529" spans="1:15" ht="15" thickBot="1">
      <c r="A1529" s="307" t="s">
        <v>396</v>
      </c>
      <c r="B1529" s="307"/>
      <c r="C1529" s="277">
        <f>SUM(C1500:C1528)+0.0000000001</f>
        <v>5.0000000001</v>
      </c>
      <c r="D1529" s="279">
        <f>SUM(D1501:D1528)</f>
        <v>99.999999997999993</v>
      </c>
      <c r="E1529" s="278">
        <f>SUM(E1500:E1528)+0.0000000001</f>
        <v>22.000000000099998</v>
      </c>
      <c r="F1529" s="279">
        <f>SUM(F1500:F1528)</f>
        <v>99.999999999545466</v>
      </c>
      <c r="G1529" s="278">
        <f>SUM(G1500:G1528)+0.0000000001</f>
        <v>17.000000000099998</v>
      </c>
      <c r="H1529" s="279">
        <f>SUM(H1500:H1528)</f>
        <v>99.999999999411784</v>
      </c>
      <c r="I1529" s="278">
        <f>SUM(I1500:I1528)+0.0000000001</f>
        <v>11.0000000001</v>
      </c>
      <c r="J1529" s="279">
        <f>SUM(J1500:J1528)</f>
        <v>99.999999999090917</v>
      </c>
      <c r="L1529" s="80" t="s">
        <v>399</v>
      </c>
      <c r="M1529" s="250" t="s">
        <v>882</v>
      </c>
      <c r="N1529" s="444" t="s">
        <v>883</v>
      </c>
      <c r="O1529" s="139">
        <f>AVERAGE(IC!V3:V39)</f>
        <v>12.411764705882353</v>
      </c>
    </row>
    <row r="1530" spans="1:15" ht="15" thickBot="1">
      <c r="A1530" s="778">
        <f>C1529+E1529+G1529+I1529</f>
        <v>55.000000000399993</v>
      </c>
      <c r="B1530" s="779"/>
      <c r="C1530" s="779"/>
      <c r="D1530" s="779"/>
      <c r="E1530" s="779"/>
      <c r="F1530" s="779"/>
      <c r="G1530" s="779"/>
      <c r="H1530" s="779"/>
      <c r="I1530" s="779"/>
      <c r="J1530" s="780"/>
      <c r="L1530" s="80" t="s">
        <v>531</v>
      </c>
      <c r="M1530" s="250" t="s">
        <v>882</v>
      </c>
      <c r="N1530" s="444" t="s">
        <v>883</v>
      </c>
      <c r="O1530" s="139">
        <f>AVERAGE(IC!V40:V64)</f>
        <v>15.090909090909092</v>
      </c>
    </row>
    <row r="1546" spans="1:19">
      <c r="O1546" s="781" t="s">
        <v>918</v>
      </c>
      <c r="P1546" s="781"/>
      <c r="Q1546" s="781"/>
      <c r="R1546" s="781"/>
      <c r="S1546" s="781"/>
    </row>
    <row r="1547" spans="1:19" ht="15" thickBot="1">
      <c r="A1547" s="250"/>
    </row>
    <row r="1548" spans="1:19" s="250" customFormat="1" ht="15.75" customHeight="1" thickBot="1">
      <c r="A1548" s="798" t="s">
        <v>746</v>
      </c>
      <c r="B1548" s="780"/>
      <c r="C1548" s="799" t="s">
        <v>400</v>
      </c>
      <c r="D1548" s="799"/>
      <c r="E1548" s="800" t="s">
        <v>946</v>
      </c>
      <c r="F1548" s="800"/>
      <c r="G1548" s="799" t="s">
        <v>948</v>
      </c>
      <c r="H1548" s="799"/>
      <c r="I1548" s="800" t="s">
        <v>947</v>
      </c>
      <c r="J1548" s="800"/>
    </row>
    <row r="1549" spans="1:19" s="250" customFormat="1" ht="15" thickBot="1">
      <c r="A1549" s="251" t="s">
        <v>887</v>
      </c>
      <c r="B1549" s="251" t="s">
        <v>243</v>
      </c>
      <c r="C1549" s="252" t="s">
        <v>397</v>
      </c>
      <c r="D1549" s="253" t="s">
        <v>945</v>
      </c>
      <c r="E1549" s="254" t="s">
        <v>397</v>
      </c>
      <c r="F1549" s="255" t="s">
        <v>945</v>
      </c>
      <c r="G1549" s="256" t="s">
        <v>397</v>
      </c>
      <c r="H1549" s="257" t="s">
        <v>945</v>
      </c>
      <c r="I1549" s="254" t="s">
        <v>397</v>
      </c>
      <c r="J1549" s="258" t="s">
        <v>945</v>
      </c>
    </row>
    <row r="1550" spans="1:19" s="250" customFormat="1">
      <c r="A1550" s="284">
        <f>0.9999999999*B1550</f>
        <v>2.49999999975</v>
      </c>
      <c r="B1550" s="284">
        <v>2.5</v>
      </c>
      <c r="C1550" s="260">
        <f t="array" ref="C1550:C1578">FREQUENCY(Discrete!U3:U20,Hists!A1551:A1578)</f>
        <v>0</v>
      </c>
      <c r="D1550" s="261">
        <f>C1550*100/C1579</f>
        <v>0</v>
      </c>
      <c r="E1550" s="260">
        <f t="array" ref="E1550:E1578">FREQUENCY(Discrete!U21:U78,Hists!A1551:A1578)</f>
        <v>0</v>
      </c>
      <c r="F1550" s="261">
        <f>E1550*100/E1579</f>
        <v>0</v>
      </c>
      <c r="G1550" s="260">
        <f t="array" ref="G1550:G1578">FREQUENCY(IC!AK3:AK39,Hists!A1551:A1578)</f>
        <v>0</v>
      </c>
      <c r="H1550" s="261">
        <f>G1550*100/G1579</f>
        <v>0</v>
      </c>
      <c r="I1550" s="260">
        <f t="array" ref="I1550:I1578">FREQUENCY(IC!AK40:AK64,Hists!A1551:A1578)</f>
        <v>0</v>
      </c>
      <c r="J1550" s="262">
        <f>I1550*100/I1579</f>
        <v>0</v>
      </c>
    </row>
    <row r="1551" spans="1:19" s="250" customFormat="1">
      <c r="A1551" s="284">
        <f>0.9999999999*B1551</f>
        <v>2.9999999997</v>
      </c>
      <c r="B1551" s="284">
        <v>3</v>
      </c>
      <c r="C1551" s="264">
        <v>0</v>
      </c>
      <c r="D1551" s="265">
        <f>C1551*100/C1579</f>
        <v>0</v>
      </c>
      <c r="E1551" s="264">
        <v>0</v>
      </c>
      <c r="F1551" s="265">
        <f>E1551*100/E1579</f>
        <v>0</v>
      </c>
      <c r="G1551" s="264">
        <v>0</v>
      </c>
      <c r="H1551" s="265">
        <f>G1551*100/G1579</f>
        <v>0</v>
      </c>
      <c r="I1551" s="264">
        <v>0</v>
      </c>
      <c r="J1551" s="266">
        <f>I1551*100/I1579</f>
        <v>0</v>
      </c>
    </row>
    <row r="1552" spans="1:19" s="250" customFormat="1">
      <c r="A1552" s="284">
        <f t="shared" ref="A1552:A1577" si="71">0.9999999999*B1552</f>
        <v>3.49999999965</v>
      </c>
      <c r="B1552" s="284">
        <v>3.5</v>
      </c>
      <c r="C1552" s="268">
        <v>0</v>
      </c>
      <c r="D1552" s="269">
        <f>C1552*100/C1579</f>
        <v>0</v>
      </c>
      <c r="E1552" s="268">
        <v>0</v>
      </c>
      <c r="F1552" s="269">
        <f>E1552*100/E1579</f>
        <v>0</v>
      </c>
      <c r="G1552" s="268">
        <v>0</v>
      </c>
      <c r="H1552" s="269">
        <f>G1552*100/G1579</f>
        <v>0</v>
      </c>
      <c r="I1552" s="268">
        <v>0</v>
      </c>
      <c r="J1552" s="270">
        <f>I1552*100/I1579</f>
        <v>0</v>
      </c>
    </row>
    <row r="1553" spans="1:10" s="250" customFormat="1">
      <c r="A1553" s="284">
        <f t="shared" si="71"/>
        <v>3.9999999996</v>
      </c>
      <c r="B1553" s="284">
        <v>4</v>
      </c>
      <c r="C1553" s="264">
        <v>0</v>
      </c>
      <c r="D1553" s="265">
        <f>C1553*100/C1579</f>
        <v>0</v>
      </c>
      <c r="E1553" s="264">
        <v>0</v>
      </c>
      <c r="F1553" s="265">
        <f>E1553*100/E1579</f>
        <v>0</v>
      </c>
      <c r="G1553" s="264">
        <v>1</v>
      </c>
      <c r="H1553" s="265">
        <f>G1553*100/G1579</f>
        <v>9.0909090908264467</v>
      </c>
      <c r="I1553" s="264">
        <v>0</v>
      </c>
      <c r="J1553" s="266">
        <f>I1553*100/I1579</f>
        <v>0</v>
      </c>
    </row>
    <row r="1554" spans="1:10" s="250" customFormat="1">
      <c r="A1554" s="284">
        <f t="shared" si="71"/>
        <v>4.49999999955</v>
      </c>
      <c r="B1554" s="284">
        <v>4.5</v>
      </c>
      <c r="C1554" s="268">
        <v>0</v>
      </c>
      <c r="D1554" s="269">
        <f>C1554*100/C1579</f>
        <v>0</v>
      </c>
      <c r="E1554" s="268">
        <v>0</v>
      </c>
      <c r="F1554" s="269">
        <f>E1554*100/E1579</f>
        <v>0</v>
      </c>
      <c r="G1554" s="268">
        <v>0</v>
      </c>
      <c r="H1554" s="269">
        <f>G1554*100/G1579</f>
        <v>0</v>
      </c>
      <c r="I1554" s="268">
        <v>0</v>
      </c>
      <c r="J1554" s="270">
        <f>I1554*100/I1579</f>
        <v>0</v>
      </c>
    </row>
    <row r="1555" spans="1:10" s="250" customFormat="1">
      <c r="A1555" s="284">
        <f t="shared" si="71"/>
        <v>4.9999999995</v>
      </c>
      <c r="B1555" s="284">
        <v>5</v>
      </c>
      <c r="C1555" s="264">
        <v>0</v>
      </c>
      <c r="D1555" s="265">
        <f>C1555*100/C1579</f>
        <v>0</v>
      </c>
      <c r="E1555" s="264">
        <v>0</v>
      </c>
      <c r="F1555" s="265">
        <f>E1555*100/E1579</f>
        <v>0</v>
      </c>
      <c r="G1555" s="264">
        <v>0</v>
      </c>
      <c r="H1555" s="265">
        <f>G1555*100/G1579</f>
        <v>0</v>
      </c>
      <c r="I1555" s="264">
        <v>0</v>
      </c>
      <c r="J1555" s="266">
        <f>I1555*100/I1579</f>
        <v>0</v>
      </c>
    </row>
    <row r="1556" spans="1:10" s="250" customFormat="1">
      <c r="A1556" s="284">
        <f t="shared" si="71"/>
        <v>5.49999999945</v>
      </c>
      <c r="B1556" s="284">
        <v>5.5</v>
      </c>
      <c r="C1556" s="268">
        <v>0</v>
      </c>
      <c r="D1556" s="269">
        <f>C1556*100/C1579</f>
        <v>0</v>
      </c>
      <c r="E1556" s="268">
        <v>0</v>
      </c>
      <c r="F1556" s="269">
        <f>E1556*100/E1579</f>
        <v>0</v>
      </c>
      <c r="G1556" s="268">
        <v>0</v>
      </c>
      <c r="H1556" s="269">
        <f>G1556*100/G1579</f>
        <v>0</v>
      </c>
      <c r="I1556" s="268">
        <v>0</v>
      </c>
      <c r="J1556" s="270">
        <f>I1556*100/I1579</f>
        <v>0</v>
      </c>
    </row>
    <row r="1557" spans="1:10" s="250" customFormat="1">
      <c r="A1557" s="284">
        <f t="shared" si="71"/>
        <v>5.9999999994</v>
      </c>
      <c r="B1557" s="284">
        <v>6</v>
      </c>
      <c r="C1557" s="264">
        <v>0</v>
      </c>
      <c r="D1557" s="265">
        <f>C1557*100/C1579</f>
        <v>0</v>
      </c>
      <c r="E1557" s="264">
        <v>0</v>
      </c>
      <c r="F1557" s="265">
        <f>E1557*100/E1579</f>
        <v>0</v>
      </c>
      <c r="G1557" s="264">
        <v>4</v>
      </c>
      <c r="H1557" s="265">
        <f>G1557*100/G1579</f>
        <v>36.363636363305787</v>
      </c>
      <c r="I1557" s="264">
        <v>0</v>
      </c>
      <c r="J1557" s="266">
        <f>I1557*100/I1579</f>
        <v>0</v>
      </c>
    </row>
    <row r="1558" spans="1:10" s="250" customFormat="1">
      <c r="A1558" s="284">
        <f t="shared" si="71"/>
        <v>6.4999999993499999</v>
      </c>
      <c r="B1558" s="284">
        <v>6.5</v>
      </c>
      <c r="C1558" s="268">
        <v>0</v>
      </c>
      <c r="D1558" s="269">
        <f>C1558*100/C1579</f>
        <v>0</v>
      </c>
      <c r="E1558" s="268">
        <v>0</v>
      </c>
      <c r="F1558" s="269">
        <f>E1558*100/E1579</f>
        <v>0</v>
      </c>
      <c r="G1558" s="268">
        <v>0</v>
      </c>
      <c r="H1558" s="269">
        <f>G1558*100/G1579</f>
        <v>0</v>
      </c>
      <c r="I1558" s="268">
        <v>0</v>
      </c>
      <c r="J1558" s="270">
        <f>I1558*100/I1579</f>
        <v>0</v>
      </c>
    </row>
    <row r="1559" spans="1:10" s="250" customFormat="1">
      <c r="A1559" s="284">
        <f t="shared" si="71"/>
        <v>6.9999999992999999</v>
      </c>
      <c r="B1559" s="284">
        <v>7</v>
      </c>
      <c r="C1559" s="264">
        <v>0</v>
      </c>
      <c r="D1559" s="265">
        <f>C1559*100/C1579</f>
        <v>0</v>
      </c>
      <c r="E1559" s="264">
        <v>0</v>
      </c>
      <c r="F1559" s="265">
        <f>E1559*100/E1579</f>
        <v>0</v>
      </c>
      <c r="G1559" s="264">
        <v>0</v>
      </c>
      <c r="H1559" s="265">
        <f>G1559*100/G1579</f>
        <v>0</v>
      </c>
      <c r="I1559" s="264">
        <v>0</v>
      </c>
      <c r="J1559" s="266">
        <f>I1559*100/I1579</f>
        <v>0</v>
      </c>
    </row>
    <row r="1560" spans="1:10" s="250" customFormat="1">
      <c r="A1560" s="284">
        <f t="shared" si="71"/>
        <v>7.4999999992499999</v>
      </c>
      <c r="B1560" s="284">
        <v>7.5</v>
      </c>
      <c r="C1560" s="268">
        <v>0</v>
      </c>
      <c r="D1560" s="269">
        <f>C1560*100/C1579</f>
        <v>0</v>
      </c>
      <c r="E1560" s="268">
        <v>0</v>
      </c>
      <c r="F1560" s="269">
        <f>E1560*100/E1579</f>
        <v>0</v>
      </c>
      <c r="G1560" s="268">
        <v>0</v>
      </c>
      <c r="H1560" s="269">
        <f>G1560*100/G1579</f>
        <v>0</v>
      </c>
      <c r="I1560" s="268">
        <v>0</v>
      </c>
      <c r="J1560" s="270">
        <f>I1560*100/I1579</f>
        <v>0</v>
      </c>
    </row>
    <row r="1561" spans="1:10" s="250" customFormat="1">
      <c r="A1561" s="284">
        <f t="shared" si="71"/>
        <v>7.9999999991999999</v>
      </c>
      <c r="B1561" s="285">
        <v>8</v>
      </c>
      <c r="C1561" s="264">
        <v>0</v>
      </c>
      <c r="D1561" s="265">
        <f>C1561*100/C1579</f>
        <v>0</v>
      </c>
      <c r="E1561" s="264">
        <v>0</v>
      </c>
      <c r="F1561" s="265">
        <f>E1561*100/E1579</f>
        <v>0</v>
      </c>
      <c r="G1561" s="264">
        <v>0</v>
      </c>
      <c r="H1561" s="265">
        <f>G1561*100/G1579</f>
        <v>0</v>
      </c>
      <c r="I1561" s="264">
        <v>0</v>
      </c>
      <c r="J1561" s="266">
        <f>I1561*100/I1579</f>
        <v>0</v>
      </c>
    </row>
    <row r="1562" spans="1:10" s="250" customFormat="1">
      <c r="A1562" s="284">
        <f t="shared" si="71"/>
        <v>8.499999999149999</v>
      </c>
      <c r="B1562" s="284">
        <v>8.5</v>
      </c>
      <c r="C1562" s="268">
        <v>0</v>
      </c>
      <c r="D1562" s="269">
        <f>C1562*100/C1579</f>
        <v>0</v>
      </c>
      <c r="E1562" s="268">
        <v>0</v>
      </c>
      <c r="F1562" s="269">
        <f>E1562*100/E1579</f>
        <v>0</v>
      </c>
      <c r="G1562" s="268">
        <v>0</v>
      </c>
      <c r="H1562" s="269">
        <f>G1562*100/G1579</f>
        <v>0</v>
      </c>
      <c r="I1562" s="268">
        <v>0</v>
      </c>
      <c r="J1562" s="270">
        <f>I1562*100/I1579</f>
        <v>0</v>
      </c>
    </row>
    <row r="1563" spans="1:10" s="250" customFormat="1">
      <c r="A1563" s="284">
        <f t="shared" si="71"/>
        <v>8.9999999990999999</v>
      </c>
      <c r="B1563" s="285">
        <v>9</v>
      </c>
      <c r="C1563" s="264">
        <v>0</v>
      </c>
      <c r="D1563" s="265">
        <f>C1563*100/C1579</f>
        <v>0</v>
      </c>
      <c r="E1563" s="264">
        <v>0</v>
      </c>
      <c r="F1563" s="265">
        <f>E1563*100/E1579</f>
        <v>0</v>
      </c>
      <c r="G1563" s="264">
        <v>0</v>
      </c>
      <c r="H1563" s="265">
        <f>G1563*100/G1579</f>
        <v>0</v>
      </c>
      <c r="I1563" s="264">
        <v>0</v>
      </c>
      <c r="J1563" s="266">
        <f>I1563*100/I1579</f>
        <v>0</v>
      </c>
    </row>
    <row r="1564" spans="1:10" s="250" customFormat="1">
      <c r="A1564" s="284">
        <f t="shared" si="71"/>
        <v>9.4999999990500008</v>
      </c>
      <c r="B1564" s="284">
        <v>9.5</v>
      </c>
      <c r="C1564" s="268">
        <v>0</v>
      </c>
      <c r="D1564" s="269">
        <f>C1564*100/C1579</f>
        <v>0</v>
      </c>
      <c r="E1564" s="268">
        <v>0</v>
      </c>
      <c r="F1564" s="269">
        <f>E1564*100/E1579</f>
        <v>0</v>
      </c>
      <c r="G1564" s="268">
        <v>0</v>
      </c>
      <c r="H1564" s="269">
        <f>G1564*100/G1579</f>
        <v>0</v>
      </c>
      <c r="I1564" s="268">
        <v>0</v>
      </c>
      <c r="J1564" s="270">
        <f>I1564*100/I1579</f>
        <v>0</v>
      </c>
    </row>
    <row r="1565" spans="1:10" s="250" customFormat="1">
      <c r="A1565" s="284">
        <f t="shared" si="71"/>
        <v>9.9999999989999999</v>
      </c>
      <c r="B1565" s="285">
        <v>10</v>
      </c>
      <c r="C1565" s="264">
        <v>0</v>
      </c>
      <c r="D1565" s="265">
        <f>C1565*100/C1579</f>
        <v>0</v>
      </c>
      <c r="E1565" s="264">
        <v>0</v>
      </c>
      <c r="F1565" s="265">
        <f>E1565*100/E1579</f>
        <v>0</v>
      </c>
      <c r="G1565" s="264">
        <v>2</v>
      </c>
      <c r="H1565" s="265">
        <f>G1565*100/G1579</f>
        <v>18.181818181652893</v>
      </c>
      <c r="I1565" s="264">
        <v>0</v>
      </c>
      <c r="J1565" s="266">
        <f>I1565*100/I1579</f>
        <v>0</v>
      </c>
    </row>
    <row r="1566" spans="1:10" s="250" customFormat="1">
      <c r="A1566" s="284">
        <f t="shared" si="71"/>
        <v>10.499999998949999</v>
      </c>
      <c r="B1566" s="284">
        <v>10.5</v>
      </c>
      <c r="C1566" s="268">
        <v>0</v>
      </c>
      <c r="D1566" s="269">
        <f>C1566*100/C1579</f>
        <v>0</v>
      </c>
      <c r="E1566" s="268">
        <v>0</v>
      </c>
      <c r="F1566" s="269">
        <f>E1566*100/E1579</f>
        <v>0</v>
      </c>
      <c r="G1566" s="268">
        <v>0</v>
      </c>
      <c r="H1566" s="269">
        <f>G1566*100/G1579</f>
        <v>0</v>
      </c>
      <c r="I1566" s="268">
        <v>0</v>
      </c>
      <c r="J1566" s="270">
        <f>I1566*100/I1579</f>
        <v>0</v>
      </c>
    </row>
    <row r="1567" spans="1:10" s="250" customFormat="1">
      <c r="A1567" s="284">
        <f t="shared" si="71"/>
        <v>10.9999999989</v>
      </c>
      <c r="B1567" s="285">
        <v>11</v>
      </c>
      <c r="C1567" s="264">
        <v>0</v>
      </c>
      <c r="D1567" s="265">
        <f>C1567*100/C1579</f>
        <v>0</v>
      </c>
      <c r="E1567" s="264">
        <v>1</v>
      </c>
      <c r="F1567" s="265">
        <f>E1567*100/E1579</f>
        <v>24.999999999375</v>
      </c>
      <c r="G1567" s="264">
        <v>0</v>
      </c>
      <c r="H1567" s="265">
        <f>G1567*100/G1579</f>
        <v>0</v>
      </c>
      <c r="I1567" s="264">
        <v>0</v>
      </c>
      <c r="J1567" s="266">
        <f>I1567*100/I1579</f>
        <v>0</v>
      </c>
    </row>
    <row r="1568" spans="1:10" s="250" customFormat="1">
      <c r="A1568" s="284">
        <f t="shared" si="71"/>
        <v>11.499999998850001</v>
      </c>
      <c r="B1568" s="284">
        <v>11.5</v>
      </c>
      <c r="C1568" s="268">
        <v>0</v>
      </c>
      <c r="D1568" s="269">
        <f>C1568*100/C1579</f>
        <v>0</v>
      </c>
      <c r="E1568" s="268">
        <v>0</v>
      </c>
      <c r="F1568" s="269">
        <f>E1568*100/E1579</f>
        <v>0</v>
      </c>
      <c r="G1568" s="268">
        <v>0</v>
      </c>
      <c r="H1568" s="269">
        <f>G1568*100/G1579</f>
        <v>0</v>
      </c>
      <c r="I1568" s="268">
        <v>0</v>
      </c>
      <c r="J1568" s="270">
        <f>I1568*100/I1579</f>
        <v>0</v>
      </c>
    </row>
    <row r="1569" spans="1:10" s="250" customFormat="1">
      <c r="A1569" s="284">
        <f t="shared" si="71"/>
        <v>11.9999999988</v>
      </c>
      <c r="B1569" s="285">
        <v>12</v>
      </c>
      <c r="C1569" s="264">
        <v>0</v>
      </c>
      <c r="D1569" s="265">
        <f>C1569*100/C1579</f>
        <v>0</v>
      </c>
      <c r="E1569" s="264">
        <v>3</v>
      </c>
      <c r="F1569" s="265">
        <f>E1569*100/E1579</f>
        <v>74.999999998125006</v>
      </c>
      <c r="G1569" s="264">
        <v>4</v>
      </c>
      <c r="H1569" s="265">
        <f>G1569*100/G1579</f>
        <v>36.363636363305787</v>
      </c>
      <c r="I1569" s="264">
        <v>0</v>
      </c>
      <c r="J1569" s="266">
        <f>I1569*100/I1579</f>
        <v>0</v>
      </c>
    </row>
    <row r="1570" spans="1:10" s="250" customFormat="1">
      <c r="A1570" s="284">
        <f t="shared" si="71"/>
        <v>12.499999998749999</v>
      </c>
      <c r="B1570" s="284">
        <v>12.5</v>
      </c>
      <c r="C1570" s="268">
        <v>0</v>
      </c>
      <c r="D1570" s="269">
        <f>C1570*100/C1579</f>
        <v>0</v>
      </c>
      <c r="E1570" s="268">
        <v>0</v>
      </c>
      <c r="F1570" s="269">
        <f>E1570*100/E1579</f>
        <v>0</v>
      </c>
      <c r="G1570" s="268">
        <v>0</v>
      </c>
      <c r="H1570" s="269">
        <f>G1570*100/G1579</f>
        <v>0</v>
      </c>
      <c r="I1570" s="268">
        <v>0</v>
      </c>
      <c r="J1570" s="270">
        <f>I1570*100/I1579</f>
        <v>0</v>
      </c>
    </row>
    <row r="1571" spans="1:10" s="250" customFormat="1">
      <c r="A1571" s="284">
        <f t="shared" si="71"/>
        <v>12.9999999987</v>
      </c>
      <c r="B1571" s="285">
        <v>13</v>
      </c>
      <c r="C1571" s="264">
        <v>0</v>
      </c>
      <c r="D1571" s="265">
        <f>C1571*100/C1579</f>
        <v>0</v>
      </c>
      <c r="E1571" s="264">
        <v>0</v>
      </c>
      <c r="F1571" s="265">
        <f>E1571*100/E1579</f>
        <v>0</v>
      </c>
      <c r="G1571" s="264">
        <v>0</v>
      </c>
      <c r="H1571" s="265">
        <f>G1571*100/G1579</f>
        <v>0</v>
      </c>
      <c r="I1571" s="264">
        <v>0</v>
      </c>
      <c r="J1571" s="266">
        <f>I1571*100/I1579</f>
        <v>0</v>
      </c>
    </row>
    <row r="1572" spans="1:10" s="250" customFormat="1">
      <c r="A1572" s="284">
        <f t="shared" si="71"/>
        <v>13.499999998650001</v>
      </c>
      <c r="B1572" s="284">
        <v>13.5</v>
      </c>
      <c r="C1572" s="268">
        <v>0</v>
      </c>
      <c r="D1572" s="271">
        <f>C1572*100/C1579</f>
        <v>0</v>
      </c>
      <c r="E1572" s="272">
        <v>0</v>
      </c>
      <c r="F1572" s="271">
        <f>E1572*100/E1579</f>
        <v>0</v>
      </c>
      <c r="G1572" s="272">
        <v>0</v>
      </c>
      <c r="H1572" s="271">
        <f>G1572*100/G1579</f>
        <v>0</v>
      </c>
      <c r="I1572" s="272">
        <v>0</v>
      </c>
      <c r="J1572" s="273">
        <f>I1572*100/I1579</f>
        <v>0</v>
      </c>
    </row>
    <row r="1573" spans="1:10" s="250" customFormat="1">
      <c r="A1573" s="284">
        <f t="shared" si="71"/>
        <v>13.9999999986</v>
      </c>
      <c r="B1573" s="285">
        <v>14</v>
      </c>
      <c r="C1573" s="219">
        <v>0</v>
      </c>
      <c r="D1573" s="220">
        <f>C1573*100/C1579</f>
        <v>0</v>
      </c>
      <c r="E1573" s="221">
        <v>0</v>
      </c>
      <c r="F1573" s="220">
        <f>E1573*100/E1579</f>
        <v>0</v>
      </c>
      <c r="G1573" s="221">
        <v>0</v>
      </c>
      <c r="H1573" s="220">
        <f>G1573*100/G1579</f>
        <v>0</v>
      </c>
      <c r="I1573" s="221">
        <v>0</v>
      </c>
      <c r="J1573" s="281">
        <f>I1573*100/I1579</f>
        <v>0</v>
      </c>
    </row>
    <row r="1574" spans="1:10" s="250" customFormat="1">
      <c r="A1574" s="284">
        <f t="shared" si="71"/>
        <v>14.499999998549999</v>
      </c>
      <c r="B1574" s="284">
        <v>14.5</v>
      </c>
      <c r="C1574" s="268">
        <v>0</v>
      </c>
      <c r="D1574" s="271">
        <f>C1574*100/C1579</f>
        <v>0</v>
      </c>
      <c r="E1574" s="272">
        <v>0</v>
      </c>
      <c r="F1574" s="271">
        <f>E1574*100/E1579</f>
        <v>0</v>
      </c>
      <c r="G1574" s="272">
        <v>0</v>
      </c>
      <c r="H1574" s="271">
        <f>G1574*100/G1579</f>
        <v>0</v>
      </c>
      <c r="I1574" s="272">
        <v>0</v>
      </c>
      <c r="J1574" s="273">
        <f>I1574*100/I1579</f>
        <v>0</v>
      </c>
    </row>
    <row r="1575" spans="1:10" s="250" customFormat="1">
      <c r="A1575" s="284">
        <f t="shared" si="71"/>
        <v>14.9999999985</v>
      </c>
      <c r="B1575" s="285">
        <v>15</v>
      </c>
      <c r="C1575" s="219">
        <v>0</v>
      </c>
      <c r="D1575" s="220">
        <f>C1575*100/C1579</f>
        <v>0</v>
      </c>
      <c r="E1575" s="221">
        <v>0</v>
      </c>
      <c r="F1575" s="220">
        <f>E1575*100/E1579</f>
        <v>0</v>
      </c>
      <c r="G1575" s="221">
        <v>0</v>
      </c>
      <c r="H1575" s="220">
        <f>G1575*100/G1579</f>
        <v>0</v>
      </c>
      <c r="I1575" s="221">
        <v>0</v>
      </c>
      <c r="J1575" s="281">
        <f>I1575*100/I1579</f>
        <v>0</v>
      </c>
    </row>
    <row r="1576" spans="1:10" s="250" customFormat="1">
      <c r="A1576" s="284">
        <f t="shared" si="71"/>
        <v>15.499999998450001</v>
      </c>
      <c r="B1576" s="284">
        <v>15.5</v>
      </c>
      <c r="C1576" s="268">
        <v>0</v>
      </c>
      <c r="D1576" s="271">
        <f>C1576*100/C1579</f>
        <v>0</v>
      </c>
      <c r="E1576" s="272">
        <v>0</v>
      </c>
      <c r="F1576" s="271">
        <f>E1576*100/E1579</f>
        <v>0</v>
      </c>
      <c r="G1576" s="272">
        <v>0</v>
      </c>
      <c r="H1576" s="271">
        <f>G1576*100/G1579</f>
        <v>0</v>
      </c>
      <c r="I1576" s="272">
        <v>0</v>
      </c>
      <c r="J1576" s="273">
        <f>I1576*100/I1579</f>
        <v>0</v>
      </c>
    </row>
    <row r="1577" spans="1:10" s="250" customFormat="1">
      <c r="A1577" s="284">
        <f t="shared" si="71"/>
        <v>15.9999999984</v>
      </c>
      <c r="B1577" s="285">
        <v>16</v>
      </c>
      <c r="C1577" s="219">
        <v>0</v>
      </c>
      <c r="D1577" s="220">
        <f>C1577*100/C1579</f>
        <v>0</v>
      </c>
      <c r="E1577" s="221">
        <v>0</v>
      </c>
      <c r="F1577" s="220">
        <f>E1577*100/E1579</f>
        <v>0</v>
      </c>
      <c r="G1577" s="221">
        <v>0</v>
      </c>
      <c r="H1577" s="220">
        <f>G1577*100/G1579</f>
        <v>0</v>
      </c>
      <c r="I1577" s="221">
        <v>0</v>
      </c>
      <c r="J1577" s="281">
        <f>I1577*100/I1579</f>
        <v>0</v>
      </c>
    </row>
    <row r="1578" spans="1:10" s="250" customFormat="1" ht="15" thickBot="1">
      <c r="A1578" s="284">
        <f>0.9999999999*B1578</f>
        <v>16.499999998349999</v>
      </c>
      <c r="B1578" s="284">
        <v>16.5</v>
      </c>
      <c r="C1578" s="275">
        <v>0</v>
      </c>
      <c r="D1578" s="280">
        <f>C1578*100/C1579</f>
        <v>0</v>
      </c>
      <c r="E1578" s="272">
        <v>0</v>
      </c>
      <c r="F1578" s="271">
        <f>E1578*100/E1579</f>
        <v>0</v>
      </c>
      <c r="G1578" s="272">
        <v>0</v>
      </c>
      <c r="H1578" s="271">
        <f>G1578*100/G1579</f>
        <v>0</v>
      </c>
      <c r="I1578" s="275">
        <v>0</v>
      </c>
      <c r="J1578" s="276">
        <f>I1578*100/I1579</f>
        <v>0</v>
      </c>
    </row>
    <row r="1579" spans="1:10" s="250" customFormat="1" ht="15" thickBot="1">
      <c r="A1579" s="313" t="s">
        <v>396</v>
      </c>
      <c r="B1579" s="313"/>
      <c r="C1579" s="277">
        <f>SUM(C1550:C1578)+0.0000000001</f>
        <v>1E-10</v>
      </c>
      <c r="D1579" s="279">
        <f>SUM(D1551:D1578)</f>
        <v>0</v>
      </c>
      <c r="E1579" s="278">
        <f>SUM(E1550:E1578)+0.0000000001</f>
        <v>4.0000000001</v>
      </c>
      <c r="F1579" s="279">
        <f>SUM(F1550:F1578)</f>
        <v>99.999999997499998</v>
      </c>
      <c r="G1579" s="278">
        <f>SUM(G1550:G1578)+0.0000000001</f>
        <v>11.0000000001</v>
      </c>
      <c r="H1579" s="279">
        <f>SUM(H1550:H1578)</f>
        <v>99.999999999090903</v>
      </c>
      <c r="I1579" s="278">
        <f>SUM(I1550:I1578)+0.0000000001</f>
        <v>1E-10</v>
      </c>
      <c r="J1579" s="279">
        <f>SUM(J1550:J1578)</f>
        <v>0</v>
      </c>
    </row>
    <row r="1580" spans="1:10" s="250" customFormat="1" ht="15" thickBot="1">
      <c r="A1580" s="778">
        <f>C1579+E1579+G1579+I1579</f>
        <v>15.0000000004</v>
      </c>
      <c r="B1580" s="779"/>
      <c r="C1580" s="779"/>
      <c r="D1580" s="779"/>
      <c r="E1580" s="779"/>
      <c r="F1580" s="779"/>
      <c r="G1580" s="779"/>
      <c r="H1580" s="779"/>
      <c r="I1580" s="779"/>
      <c r="J1580" s="780"/>
    </row>
    <row r="1581" spans="1:10" s="250" customFormat="1">
      <c r="D1581" s="140"/>
      <c r="F1581" s="140"/>
      <c r="H1581" s="139"/>
      <c r="J1581" s="139"/>
    </row>
    <row r="1582" spans="1:10" s="250" customFormat="1">
      <c r="D1582" s="140"/>
      <c r="F1582" s="140"/>
      <c r="H1582" s="139"/>
      <c r="J1582" s="139"/>
    </row>
    <row r="1583" spans="1:10" s="250" customFormat="1">
      <c r="D1583" s="140"/>
      <c r="F1583" s="140"/>
      <c r="H1583" s="139"/>
      <c r="J1583" s="139"/>
    </row>
    <row r="1584" spans="1:10" s="250" customFormat="1">
      <c r="D1584" s="140"/>
      <c r="F1584" s="140"/>
      <c r="H1584" s="139"/>
      <c r="J1584" s="139"/>
    </row>
    <row r="1585" spans="1:19" s="250" customFormat="1">
      <c r="D1585" s="140"/>
      <c r="F1585" s="140"/>
      <c r="H1585" s="139"/>
      <c r="J1585" s="139"/>
    </row>
    <row r="1586" spans="1:19" s="250" customFormat="1">
      <c r="D1586" s="140"/>
      <c r="F1586" s="140"/>
      <c r="H1586" s="139"/>
      <c r="J1586" s="139"/>
    </row>
    <row r="1587" spans="1:19" s="250" customFormat="1">
      <c r="D1587" s="140"/>
      <c r="F1587" s="140"/>
      <c r="H1587" s="139"/>
      <c r="J1587" s="139"/>
    </row>
    <row r="1588" spans="1:19" s="250" customFormat="1">
      <c r="D1588" s="140"/>
      <c r="F1588" s="140"/>
      <c r="H1588" s="139"/>
      <c r="J1588" s="139"/>
    </row>
    <row r="1589" spans="1:19" s="250" customFormat="1">
      <c r="D1589" s="140"/>
      <c r="F1589" s="140"/>
      <c r="H1589" s="139"/>
      <c r="J1589" s="139"/>
    </row>
    <row r="1590" spans="1:19" s="250" customFormat="1">
      <c r="D1590" s="140"/>
      <c r="F1590" s="140"/>
      <c r="H1590" s="139"/>
      <c r="J1590" s="139"/>
    </row>
    <row r="1591" spans="1:19" s="250" customFormat="1">
      <c r="D1591" s="140"/>
      <c r="F1591" s="140"/>
      <c r="H1591" s="139"/>
      <c r="J1591" s="139"/>
    </row>
    <row r="1592" spans="1:19" s="250" customFormat="1">
      <c r="D1592" s="140"/>
      <c r="F1592" s="140"/>
      <c r="H1592" s="139"/>
      <c r="J1592" s="139"/>
    </row>
    <row r="1593" spans="1:19" s="250" customFormat="1">
      <c r="D1593" s="140"/>
      <c r="F1593" s="140"/>
      <c r="H1593" s="139"/>
      <c r="J1593" s="139"/>
    </row>
    <row r="1594" spans="1:19" s="250" customFormat="1">
      <c r="D1594" s="140"/>
      <c r="F1594" s="140"/>
      <c r="H1594" s="139"/>
      <c r="J1594" s="139"/>
    </row>
    <row r="1595" spans="1:19" s="250" customFormat="1">
      <c r="D1595" s="140"/>
      <c r="F1595" s="140"/>
      <c r="H1595" s="139"/>
      <c r="J1595" s="139"/>
    </row>
    <row r="1596" spans="1:19" s="250" customFormat="1">
      <c r="D1596" s="140"/>
      <c r="F1596" s="140"/>
      <c r="H1596" s="139"/>
      <c r="J1596" s="139"/>
      <c r="O1596" s="781" t="s">
        <v>747</v>
      </c>
      <c r="P1596" s="781"/>
      <c r="Q1596" s="781"/>
      <c r="R1596" s="781"/>
      <c r="S1596" s="781"/>
    </row>
    <row r="1597" spans="1:19" s="250" customFormat="1" ht="15" thickBot="1">
      <c r="D1597" s="140"/>
      <c r="F1597" s="140"/>
      <c r="H1597" s="139"/>
      <c r="J1597" s="139"/>
    </row>
    <row r="1598" spans="1:19" ht="15.75" customHeight="1" thickBot="1">
      <c r="A1598" s="798" t="s">
        <v>747</v>
      </c>
      <c r="B1598" s="780"/>
      <c r="C1598" s="799" t="s">
        <v>400</v>
      </c>
      <c r="D1598" s="799"/>
      <c r="E1598" s="800" t="s">
        <v>946</v>
      </c>
      <c r="F1598" s="800"/>
      <c r="G1598" s="799" t="s">
        <v>948</v>
      </c>
      <c r="H1598" s="799"/>
      <c r="I1598" s="800" t="s">
        <v>947</v>
      </c>
      <c r="J1598" s="800"/>
    </row>
    <row r="1599" spans="1:19" ht="15" thickBot="1">
      <c r="A1599" s="251" t="s">
        <v>887</v>
      </c>
      <c r="B1599" s="251" t="s">
        <v>243</v>
      </c>
      <c r="C1599" s="252" t="s">
        <v>397</v>
      </c>
      <c r="D1599" s="253" t="s">
        <v>945</v>
      </c>
      <c r="E1599" s="254" t="s">
        <v>397</v>
      </c>
      <c r="F1599" s="255" t="s">
        <v>945</v>
      </c>
      <c r="G1599" s="256" t="s">
        <v>397</v>
      </c>
      <c r="H1599" s="257" t="s">
        <v>945</v>
      </c>
      <c r="I1599" s="254" t="s">
        <v>397</v>
      </c>
      <c r="J1599" s="258" t="s">
        <v>945</v>
      </c>
    </row>
    <row r="1600" spans="1:19">
      <c r="A1600" s="445">
        <f>0.9999999999*B1600</f>
        <v>99.999999989999992</v>
      </c>
      <c r="B1600" s="445">
        <v>100</v>
      </c>
      <c r="C1600" s="260">
        <f t="array" ref="C1600:C1628">FREQUENCY(Discrete!BJ3:BJ20,Hists!A1600:A1628)</f>
        <v>0</v>
      </c>
      <c r="D1600" s="261">
        <f>C1600*100/C1629</f>
        <v>0</v>
      </c>
      <c r="E1600" s="260">
        <f t="array" ref="E1600:E1628">FREQUENCY(Discrete!BJ21:BJ87,Hists!A1600:A1628)</f>
        <v>0</v>
      </c>
      <c r="F1600" s="261">
        <f>E1600*100/E1629</f>
        <v>0</v>
      </c>
      <c r="G1600" s="260">
        <f t="array" ref="G1600:G1628">FREQUENCY(IC!CF3:CF39,Hists!A1600:A1628)</f>
        <v>0</v>
      </c>
      <c r="H1600" s="261">
        <f>G1600*100/G1629</f>
        <v>0</v>
      </c>
      <c r="I1600" s="260">
        <f t="array" ref="I1600:I1628">FREQUENCY(IC!CF40:CF64,Hists!A1600:A1628)</f>
        <v>0</v>
      </c>
      <c r="J1600" s="262">
        <f>I1600*100/I1629</f>
        <v>0</v>
      </c>
    </row>
    <row r="1601" spans="1:10">
      <c r="A1601" s="446">
        <f>0.9999999999*B1601</f>
        <v>199.99999997999998</v>
      </c>
      <c r="B1601" s="446">
        <v>200</v>
      </c>
      <c r="C1601" s="264">
        <v>0</v>
      </c>
      <c r="D1601" s="265">
        <f>C1601*100/C1629</f>
        <v>0</v>
      </c>
      <c r="E1601" s="264">
        <v>0</v>
      </c>
      <c r="F1601" s="265">
        <f>E1601*100/E1629</f>
        <v>0</v>
      </c>
      <c r="G1601" s="264">
        <v>0</v>
      </c>
      <c r="H1601" s="265">
        <f>G1601*100/G1629</f>
        <v>0</v>
      </c>
      <c r="I1601" s="264">
        <v>0</v>
      </c>
      <c r="J1601" s="266">
        <f>I1601*100/I1629</f>
        <v>0</v>
      </c>
    </row>
    <row r="1602" spans="1:10">
      <c r="A1602" s="446">
        <f t="shared" ref="A1602:A1627" si="72">0.9999999999*B1602</f>
        <v>299.99999996999998</v>
      </c>
      <c r="B1602" s="445">
        <v>300</v>
      </c>
      <c r="C1602" s="268">
        <v>0</v>
      </c>
      <c r="D1602" s="269">
        <f>C1602*100/C1629</f>
        <v>0</v>
      </c>
      <c r="E1602" s="268">
        <v>0</v>
      </c>
      <c r="F1602" s="269">
        <f>E1602*100/E1629</f>
        <v>0</v>
      </c>
      <c r="G1602" s="268">
        <v>0</v>
      </c>
      <c r="H1602" s="269">
        <f>G1602*100/G1629</f>
        <v>0</v>
      </c>
      <c r="I1602" s="268">
        <v>0</v>
      </c>
      <c r="J1602" s="270">
        <f>I1602*100/I1629</f>
        <v>0</v>
      </c>
    </row>
    <row r="1603" spans="1:10">
      <c r="A1603" s="446">
        <f t="shared" si="72"/>
        <v>399.99999995999997</v>
      </c>
      <c r="B1603" s="446">
        <v>400</v>
      </c>
      <c r="C1603" s="264">
        <v>0</v>
      </c>
      <c r="D1603" s="265">
        <f>C1603*100/C1629</f>
        <v>0</v>
      </c>
      <c r="E1603" s="264">
        <v>1</v>
      </c>
      <c r="F1603" s="265">
        <f>E1603*100/E1629</f>
        <v>3.7037037036899867</v>
      </c>
      <c r="G1603" s="264">
        <v>0</v>
      </c>
      <c r="H1603" s="265">
        <f>G1603*100/G1629</f>
        <v>0</v>
      </c>
      <c r="I1603" s="264">
        <v>0</v>
      </c>
      <c r="J1603" s="266">
        <f>I1603*100/I1629</f>
        <v>0</v>
      </c>
    </row>
    <row r="1604" spans="1:10">
      <c r="A1604" s="446">
        <f t="shared" si="72"/>
        <v>499.99999995000002</v>
      </c>
      <c r="B1604" s="445">
        <v>500</v>
      </c>
      <c r="C1604" s="268">
        <v>0</v>
      </c>
      <c r="D1604" s="269">
        <f>C1604*100/C1629</f>
        <v>0</v>
      </c>
      <c r="E1604" s="268">
        <v>2</v>
      </c>
      <c r="F1604" s="269">
        <f>E1604*100/E1629</f>
        <v>7.4074074073799734</v>
      </c>
      <c r="G1604" s="268">
        <v>0</v>
      </c>
      <c r="H1604" s="269">
        <f>G1604*100/G1629</f>
        <v>0</v>
      </c>
      <c r="I1604" s="268">
        <v>0</v>
      </c>
      <c r="J1604" s="270">
        <f>I1604*100/I1629</f>
        <v>0</v>
      </c>
    </row>
    <row r="1605" spans="1:10">
      <c r="A1605" s="446">
        <f t="shared" si="72"/>
        <v>599.99999993999995</v>
      </c>
      <c r="B1605" s="446">
        <v>600</v>
      </c>
      <c r="C1605" s="264">
        <v>0</v>
      </c>
      <c r="D1605" s="265">
        <f>C1605*100/C1629</f>
        <v>0</v>
      </c>
      <c r="E1605" s="264">
        <v>0</v>
      </c>
      <c r="F1605" s="265">
        <f>E1605*100/E1629</f>
        <v>0</v>
      </c>
      <c r="G1605" s="264">
        <v>0</v>
      </c>
      <c r="H1605" s="265">
        <f>G1605*100/G1629</f>
        <v>0</v>
      </c>
      <c r="I1605" s="264">
        <v>0</v>
      </c>
      <c r="J1605" s="266">
        <f>I1605*100/I1629</f>
        <v>0</v>
      </c>
    </row>
    <row r="1606" spans="1:10">
      <c r="A1606" s="446">
        <f t="shared" si="72"/>
        <v>699.99999992999994</v>
      </c>
      <c r="B1606" s="445">
        <v>700</v>
      </c>
      <c r="C1606" s="268">
        <v>0</v>
      </c>
      <c r="D1606" s="269">
        <f>C1606*100/C1629</f>
        <v>0</v>
      </c>
      <c r="E1606" s="268">
        <v>0</v>
      </c>
      <c r="F1606" s="269">
        <f>E1606*100/E1629</f>
        <v>0</v>
      </c>
      <c r="G1606" s="268">
        <v>0</v>
      </c>
      <c r="H1606" s="269">
        <f>G1606*100/G1629</f>
        <v>0</v>
      </c>
      <c r="I1606" s="268">
        <v>0</v>
      </c>
      <c r="J1606" s="270">
        <f>I1606*100/I1629</f>
        <v>0</v>
      </c>
    </row>
    <row r="1607" spans="1:10">
      <c r="A1607" s="446">
        <f t="shared" si="72"/>
        <v>799.99999991999994</v>
      </c>
      <c r="B1607" s="446">
        <v>800</v>
      </c>
      <c r="C1607" s="264">
        <v>0</v>
      </c>
      <c r="D1607" s="265">
        <f>C1607*100/C1629</f>
        <v>0</v>
      </c>
      <c r="E1607" s="264">
        <v>0</v>
      </c>
      <c r="F1607" s="265">
        <f>E1607*100/E1629</f>
        <v>0</v>
      </c>
      <c r="G1607" s="264">
        <v>0</v>
      </c>
      <c r="H1607" s="265">
        <f>G1607*100/G1629</f>
        <v>0</v>
      </c>
      <c r="I1607" s="264">
        <v>0</v>
      </c>
      <c r="J1607" s="266">
        <f>I1607*100/I1629</f>
        <v>0</v>
      </c>
    </row>
    <row r="1608" spans="1:10">
      <c r="A1608" s="446">
        <f t="shared" si="72"/>
        <v>899.99999991000004</v>
      </c>
      <c r="B1608" s="445">
        <v>900</v>
      </c>
      <c r="C1608" s="268">
        <v>0</v>
      </c>
      <c r="D1608" s="269">
        <f>C1608*100/C1629</f>
        <v>0</v>
      </c>
      <c r="E1608" s="268">
        <v>2</v>
      </c>
      <c r="F1608" s="269">
        <f>E1608*100/E1629</f>
        <v>7.4074074073799734</v>
      </c>
      <c r="G1608" s="268">
        <v>0</v>
      </c>
      <c r="H1608" s="269">
        <f>G1608*100/G1629</f>
        <v>0</v>
      </c>
      <c r="I1608" s="268">
        <v>0</v>
      </c>
      <c r="J1608" s="270">
        <f>I1608*100/I1629</f>
        <v>0</v>
      </c>
    </row>
    <row r="1609" spans="1:10">
      <c r="A1609" s="446">
        <f t="shared" si="72"/>
        <v>999.99999990000003</v>
      </c>
      <c r="B1609" s="446">
        <v>1000</v>
      </c>
      <c r="C1609" s="264">
        <v>0</v>
      </c>
      <c r="D1609" s="265">
        <f>C1609*100/C1629</f>
        <v>0</v>
      </c>
      <c r="E1609" s="264">
        <v>3</v>
      </c>
      <c r="F1609" s="265">
        <f>E1609*100/E1629</f>
        <v>11.11111111106996</v>
      </c>
      <c r="G1609" s="264">
        <v>0</v>
      </c>
      <c r="H1609" s="265">
        <f>G1609*100/G1629</f>
        <v>0</v>
      </c>
      <c r="I1609" s="264">
        <v>0</v>
      </c>
      <c r="J1609" s="266">
        <f>I1609*100/I1629</f>
        <v>0</v>
      </c>
    </row>
    <row r="1610" spans="1:10">
      <c r="A1610" s="446">
        <f t="shared" si="72"/>
        <v>1099.99999989</v>
      </c>
      <c r="B1610" s="445">
        <v>1100</v>
      </c>
      <c r="C1610" s="268">
        <v>0</v>
      </c>
      <c r="D1610" s="269">
        <f>C1610*100/C1629</f>
        <v>0</v>
      </c>
      <c r="E1610" s="268">
        <v>0</v>
      </c>
      <c r="F1610" s="269">
        <f>E1610*100/E1629</f>
        <v>0</v>
      </c>
      <c r="G1610" s="268">
        <v>0</v>
      </c>
      <c r="H1610" s="269">
        <f>G1610*100/G1629</f>
        <v>0</v>
      </c>
      <c r="I1610" s="268">
        <v>0</v>
      </c>
      <c r="J1610" s="270">
        <f>I1610*100/I1629</f>
        <v>0</v>
      </c>
    </row>
    <row r="1611" spans="1:10">
      <c r="A1611" s="446">
        <f t="shared" si="72"/>
        <v>1199.9999998799999</v>
      </c>
      <c r="B1611" s="446">
        <v>1200</v>
      </c>
      <c r="C1611" s="264">
        <v>0</v>
      </c>
      <c r="D1611" s="265">
        <f>C1611*100/C1629</f>
        <v>0</v>
      </c>
      <c r="E1611" s="264">
        <v>0</v>
      </c>
      <c r="F1611" s="265">
        <f>E1611*100/E1629</f>
        <v>0</v>
      </c>
      <c r="G1611" s="264">
        <v>0</v>
      </c>
      <c r="H1611" s="265">
        <f>G1611*100/G1629</f>
        <v>0</v>
      </c>
      <c r="I1611" s="264">
        <v>0</v>
      </c>
      <c r="J1611" s="266">
        <f>I1611*100/I1629</f>
        <v>0</v>
      </c>
    </row>
    <row r="1612" spans="1:10">
      <c r="A1612" s="446">
        <f t="shared" si="72"/>
        <v>1299.99999987</v>
      </c>
      <c r="B1612" s="445">
        <v>1300</v>
      </c>
      <c r="C1612" s="268">
        <v>0</v>
      </c>
      <c r="D1612" s="269">
        <f>C1612*100/C1629</f>
        <v>0</v>
      </c>
      <c r="E1612" s="268">
        <v>0</v>
      </c>
      <c r="F1612" s="269">
        <f>E1612*100/E1629</f>
        <v>0</v>
      </c>
      <c r="G1612" s="268">
        <v>0</v>
      </c>
      <c r="H1612" s="269">
        <f>G1612*100/G1629</f>
        <v>0</v>
      </c>
      <c r="I1612" s="268">
        <v>0</v>
      </c>
      <c r="J1612" s="270">
        <f>I1612*100/I1629</f>
        <v>0</v>
      </c>
    </row>
    <row r="1613" spans="1:10">
      <c r="A1613" s="446">
        <f t="shared" si="72"/>
        <v>1399.9999998599999</v>
      </c>
      <c r="B1613" s="446">
        <v>1400</v>
      </c>
      <c r="C1613" s="264">
        <v>0</v>
      </c>
      <c r="D1613" s="265">
        <f>C1613*100/C1629</f>
        <v>0</v>
      </c>
      <c r="E1613" s="264">
        <v>0</v>
      </c>
      <c r="F1613" s="265">
        <f>E1613*100/E1629</f>
        <v>0</v>
      </c>
      <c r="G1613" s="264">
        <v>0</v>
      </c>
      <c r="H1613" s="265">
        <f>G1613*100/G1629</f>
        <v>0</v>
      </c>
      <c r="I1613" s="264">
        <v>0</v>
      </c>
      <c r="J1613" s="266">
        <f>I1613*100/I1629</f>
        <v>0</v>
      </c>
    </row>
    <row r="1614" spans="1:10">
      <c r="A1614" s="446">
        <f t="shared" si="72"/>
        <v>1499.99999985</v>
      </c>
      <c r="B1614" s="445">
        <v>1500</v>
      </c>
      <c r="C1614" s="268">
        <v>0</v>
      </c>
      <c r="D1614" s="269">
        <f>C1614*100/C1629</f>
        <v>0</v>
      </c>
      <c r="E1614" s="268">
        <v>0</v>
      </c>
      <c r="F1614" s="269">
        <f>E1614*100/E1629</f>
        <v>0</v>
      </c>
      <c r="G1614" s="268">
        <v>0</v>
      </c>
      <c r="H1614" s="269">
        <f>G1614*100/G1629</f>
        <v>0</v>
      </c>
      <c r="I1614" s="268">
        <v>0</v>
      </c>
      <c r="J1614" s="270">
        <f>I1614*100/I1629</f>
        <v>0</v>
      </c>
    </row>
    <row r="1615" spans="1:10">
      <c r="A1615" s="446">
        <f t="shared" si="72"/>
        <v>1599.9999998399999</v>
      </c>
      <c r="B1615" s="446">
        <v>1600</v>
      </c>
      <c r="C1615" s="264">
        <v>0</v>
      </c>
      <c r="D1615" s="265">
        <f>C1615*100/C1629</f>
        <v>0</v>
      </c>
      <c r="E1615" s="264">
        <v>1</v>
      </c>
      <c r="F1615" s="265">
        <f>E1615*100/E1629</f>
        <v>3.7037037036899867</v>
      </c>
      <c r="G1615" s="264">
        <v>0</v>
      </c>
      <c r="H1615" s="265">
        <f>G1615*100/G1629</f>
        <v>0</v>
      </c>
      <c r="I1615" s="264">
        <v>0</v>
      </c>
      <c r="J1615" s="266">
        <f>I1615*100/I1629</f>
        <v>0</v>
      </c>
    </row>
    <row r="1616" spans="1:10">
      <c r="A1616" s="446">
        <f t="shared" si="72"/>
        <v>1699.99999983</v>
      </c>
      <c r="B1616" s="445">
        <v>1700</v>
      </c>
      <c r="C1616" s="268">
        <v>0</v>
      </c>
      <c r="D1616" s="269">
        <f>C1616*100/C1629</f>
        <v>0</v>
      </c>
      <c r="E1616" s="268">
        <v>0</v>
      </c>
      <c r="F1616" s="269">
        <f>E1616*100/E1629</f>
        <v>0</v>
      </c>
      <c r="G1616" s="268">
        <v>0</v>
      </c>
      <c r="H1616" s="269">
        <f>G1616*100/G1629</f>
        <v>0</v>
      </c>
      <c r="I1616" s="268">
        <v>0</v>
      </c>
      <c r="J1616" s="270">
        <f>I1616*100/I1629</f>
        <v>0</v>
      </c>
    </row>
    <row r="1617" spans="1:10">
      <c r="A1617" s="446">
        <f t="shared" si="72"/>
        <v>1799.9999998200001</v>
      </c>
      <c r="B1617" s="446">
        <v>1800</v>
      </c>
      <c r="C1617" s="264">
        <v>0</v>
      </c>
      <c r="D1617" s="265">
        <f>C1617*100/C1629</f>
        <v>0</v>
      </c>
      <c r="E1617" s="264">
        <v>0</v>
      </c>
      <c r="F1617" s="265">
        <f>E1617*100/E1629</f>
        <v>0</v>
      </c>
      <c r="G1617" s="264">
        <v>0</v>
      </c>
      <c r="H1617" s="265">
        <f>G1617*100/G1629</f>
        <v>0</v>
      </c>
      <c r="I1617" s="264">
        <v>0</v>
      </c>
      <c r="J1617" s="266">
        <f>I1617*100/I1629</f>
        <v>0</v>
      </c>
    </row>
    <row r="1618" spans="1:10">
      <c r="A1618" s="446">
        <f t="shared" si="72"/>
        <v>1899.99999981</v>
      </c>
      <c r="B1618" s="445">
        <v>1900</v>
      </c>
      <c r="C1618" s="268">
        <v>0</v>
      </c>
      <c r="D1618" s="269">
        <f>C1618*100/C1629</f>
        <v>0</v>
      </c>
      <c r="E1618" s="268">
        <v>1</v>
      </c>
      <c r="F1618" s="269">
        <f>E1618*100/E1629</f>
        <v>3.7037037036899867</v>
      </c>
      <c r="G1618" s="268">
        <v>0</v>
      </c>
      <c r="H1618" s="269">
        <f>G1618*100/G1629</f>
        <v>0</v>
      </c>
      <c r="I1618" s="268">
        <v>0</v>
      </c>
      <c r="J1618" s="270">
        <f>I1618*100/I1629</f>
        <v>0</v>
      </c>
    </row>
    <row r="1619" spans="1:10">
      <c r="A1619" s="446">
        <f t="shared" si="72"/>
        <v>1999.9999998000001</v>
      </c>
      <c r="B1619" s="446">
        <v>2000</v>
      </c>
      <c r="C1619" s="264">
        <v>0</v>
      </c>
      <c r="D1619" s="265">
        <f>C1619*100/C1629</f>
        <v>0</v>
      </c>
      <c r="E1619" s="264">
        <v>1</v>
      </c>
      <c r="F1619" s="265">
        <f>E1619*100/E1629</f>
        <v>3.7037037036899867</v>
      </c>
      <c r="G1619" s="264">
        <v>0</v>
      </c>
      <c r="H1619" s="265">
        <f>G1619*100/G1629</f>
        <v>0</v>
      </c>
      <c r="I1619" s="264">
        <v>0</v>
      </c>
      <c r="J1619" s="266">
        <f>I1619*100/I1629</f>
        <v>0</v>
      </c>
    </row>
    <row r="1620" spans="1:10">
      <c r="A1620" s="446">
        <f t="shared" si="72"/>
        <v>2099.9999997899999</v>
      </c>
      <c r="B1620" s="445">
        <v>2100</v>
      </c>
      <c r="C1620" s="268">
        <v>0</v>
      </c>
      <c r="D1620" s="269">
        <f>C1620*100/C1629</f>
        <v>0</v>
      </c>
      <c r="E1620" s="268">
        <v>0</v>
      </c>
      <c r="F1620" s="269">
        <f>E1620*100/E1629</f>
        <v>0</v>
      </c>
      <c r="G1620" s="268">
        <v>0</v>
      </c>
      <c r="H1620" s="269">
        <f>G1620*100/G1629</f>
        <v>0</v>
      </c>
      <c r="I1620" s="268">
        <v>0</v>
      </c>
      <c r="J1620" s="270">
        <f>I1620*100/I1629</f>
        <v>0</v>
      </c>
    </row>
    <row r="1621" spans="1:10">
      <c r="A1621" s="446">
        <f t="shared" si="72"/>
        <v>2199.9999997800001</v>
      </c>
      <c r="B1621" s="446">
        <v>2200</v>
      </c>
      <c r="C1621" s="264">
        <v>0</v>
      </c>
      <c r="D1621" s="265">
        <f>C1621*100/C1629</f>
        <v>0</v>
      </c>
      <c r="E1621" s="264">
        <v>0</v>
      </c>
      <c r="F1621" s="265">
        <f>E1621*100/E1629</f>
        <v>0</v>
      </c>
      <c r="G1621" s="264">
        <v>0</v>
      </c>
      <c r="H1621" s="265">
        <f>G1621*100/G1629</f>
        <v>0</v>
      </c>
      <c r="I1621" s="264">
        <v>0</v>
      </c>
      <c r="J1621" s="266">
        <f>I1621*100/I1629</f>
        <v>0</v>
      </c>
    </row>
    <row r="1622" spans="1:10">
      <c r="A1622" s="446">
        <f t="shared" si="72"/>
        <v>2299.9999997700002</v>
      </c>
      <c r="B1622" s="445">
        <v>2300</v>
      </c>
      <c r="C1622" s="268">
        <v>0</v>
      </c>
      <c r="D1622" s="271">
        <f>C1622*100/C1629</f>
        <v>0</v>
      </c>
      <c r="E1622" s="272">
        <v>0</v>
      </c>
      <c r="F1622" s="271">
        <f>E1622*100/E1629</f>
        <v>0</v>
      </c>
      <c r="G1622" s="272">
        <v>0</v>
      </c>
      <c r="H1622" s="271">
        <f>G1622*100/G1629</f>
        <v>0</v>
      </c>
      <c r="I1622" s="272">
        <v>0</v>
      </c>
      <c r="J1622" s="273">
        <f>I1622*100/I1629</f>
        <v>0</v>
      </c>
    </row>
    <row r="1623" spans="1:10">
      <c r="A1623" s="446">
        <f t="shared" si="72"/>
        <v>2399.9999997599998</v>
      </c>
      <c r="B1623" s="446">
        <v>2400</v>
      </c>
      <c r="C1623" s="219">
        <v>0</v>
      </c>
      <c r="D1623" s="220">
        <f>C1623*100/C1629</f>
        <v>0</v>
      </c>
      <c r="E1623" s="221">
        <v>0</v>
      </c>
      <c r="F1623" s="220">
        <f>E1623*100/E1629</f>
        <v>0</v>
      </c>
      <c r="G1623" s="221">
        <v>0</v>
      </c>
      <c r="H1623" s="220">
        <f>G1623*100/G1629</f>
        <v>0</v>
      </c>
      <c r="I1623" s="221">
        <v>0</v>
      </c>
      <c r="J1623" s="281">
        <f>I1623*100/I1629</f>
        <v>0</v>
      </c>
    </row>
    <row r="1624" spans="1:10">
      <c r="A1624" s="446">
        <f t="shared" si="72"/>
        <v>2499.9999997499999</v>
      </c>
      <c r="B1624" s="445">
        <v>2500</v>
      </c>
      <c r="C1624" s="268">
        <v>1</v>
      </c>
      <c r="D1624" s="271">
        <f>C1624*100/C1629</f>
        <v>99.999999990000006</v>
      </c>
      <c r="E1624" s="272">
        <v>16</v>
      </c>
      <c r="F1624" s="271">
        <f>E1624*100/E1629</f>
        <v>59.259259259039787</v>
      </c>
      <c r="G1624" s="272">
        <v>9</v>
      </c>
      <c r="H1624" s="271">
        <f>G1624*100/G1629</f>
        <v>99.999999998888896</v>
      </c>
      <c r="I1624" s="272">
        <v>0</v>
      </c>
      <c r="J1624" s="273">
        <f>I1624*100/I1629</f>
        <v>0</v>
      </c>
    </row>
    <row r="1625" spans="1:10">
      <c r="A1625" s="446">
        <f t="shared" si="72"/>
        <v>2599.99999974</v>
      </c>
      <c r="B1625" s="446">
        <v>2600</v>
      </c>
      <c r="C1625" s="219">
        <v>0</v>
      </c>
      <c r="D1625" s="220">
        <f>C1625*100/C1629</f>
        <v>0</v>
      </c>
      <c r="E1625" s="221">
        <v>0</v>
      </c>
      <c r="F1625" s="220">
        <f>E1625*100/E1629</f>
        <v>0</v>
      </c>
      <c r="G1625" s="221">
        <v>0</v>
      </c>
      <c r="H1625" s="220">
        <f>G1625*100/G1629</f>
        <v>0</v>
      </c>
      <c r="I1625" s="221">
        <v>0</v>
      </c>
      <c r="J1625" s="281">
        <f>I1625*100/I1629</f>
        <v>0</v>
      </c>
    </row>
    <row r="1626" spans="1:10">
      <c r="A1626" s="446">
        <f t="shared" si="72"/>
        <v>2699.9999997300001</v>
      </c>
      <c r="B1626" s="445">
        <v>2700</v>
      </c>
      <c r="C1626" s="268">
        <v>0</v>
      </c>
      <c r="D1626" s="271">
        <f>C1626*100/C1629</f>
        <v>0</v>
      </c>
      <c r="E1626" s="272">
        <v>0</v>
      </c>
      <c r="F1626" s="271">
        <f>E1626*100/E1629</f>
        <v>0</v>
      </c>
      <c r="G1626" s="272">
        <v>0</v>
      </c>
      <c r="H1626" s="271">
        <f>G1626*100/G1629</f>
        <v>0</v>
      </c>
      <c r="I1626" s="272">
        <v>0</v>
      </c>
      <c r="J1626" s="273">
        <f>I1626*100/I1629</f>
        <v>0</v>
      </c>
    </row>
    <row r="1627" spans="1:10">
      <c r="A1627" s="446">
        <f t="shared" si="72"/>
        <v>2799.9999997199998</v>
      </c>
      <c r="B1627" s="446">
        <v>2800</v>
      </c>
      <c r="C1627" s="219">
        <v>0</v>
      </c>
      <c r="D1627" s="220">
        <f>C1627*100/C1629</f>
        <v>0</v>
      </c>
      <c r="E1627" s="221">
        <v>0</v>
      </c>
      <c r="F1627" s="220">
        <f>E1627*100/E1629</f>
        <v>0</v>
      </c>
      <c r="G1627" s="221">
        <v>0</v>
      </c>
      <c r="H1627" s="220">
        <f>G1627*100/G1629</f>
        <v>0</v>
      </c>
      <c r="I1627" s="221">
        <v>0</v>
      </c>
      <c r="J1627" s="281">
        <f>I1627*100/I1629</f>
        <v>0</v>
      </c>
    </row>
    <row r="1628" spans="1:10" ht="15" thickBot="1">
      <c r="A1628" s="445">
        <f>0.9999999999*B1628</f>
        <v>2899.9999997099999</v>
      </c>
      <c r="B1628" s="445">
        <v>2900</v>
      </c>
      <c r="C1628" s="275">
        <v>0</v>
      </c>
      <c r="D1628" s="280">
        <f>C1628*100/C1629</f>
        <v>0</v>
      </c>
      <c r="E1628" s="272">
        <v>0</v>
      </c>
      <c r="F1628" s="271">
        <f>E1628*100/E1629</f>
        <v>0</v>
      </c>
      <c r="G1628" s="272">
        <v>0</v>
      </c>
      <c r="H1628" s="271">
        <f>G1628*100/G1629</f>
        <v>0</v>
      </c>
      <c r="I1628" s="275">
        <v>0</v>
      </c>
      <c r="J1628" s="276">
        <f>I1628*100/I1629</f>
        <v>0</v>
      </c>
    </row>
    <row r="1629" spans="1:10" ht="15" thickBot="1">
      <c r="A1629" s="308" t="s">
        <v>396</v>
      </c>
      <c r="B1629" s="308"/>
      <c r="C1629" s="277">
        <f>SUM(C1600:C1628)+0.0000000001</f>
        <v>1.0000000001</v>
      </c>
      <c r="D1629" s="279">
        <f>SUM(D1601:D1628)</f>
        <v>99.999999990000006</v>
      </c>
      <c r="E1629" s="278">
        <f>SUM(E1600:E1628)+0.0000000001</f>
        <v>27.000000000099998</v>
      </c>
      <c r="F1629" s="279">
        <f>SUM(F1600:F1628)</f>
        <v>99.999999999629637</v>
      </c>
      <c r="G1629" s="278">
        <f>SUM(G1600:G1628)+0.0000000001</f>
        <v>9.0000000001</v>
      </c>
      <c r="H1629" s="279">
        <f>SUM(H1600:H1628)</f>
        <v>99.999999998888896</v>
      </c>
      <c r="I1629" s="278">
        <f>SUM(I1600:I1628)+0.0000000001</f>
        <v>1E-10</v>
      </c>
      <c r="J1629" s="279">
        <f>SUM(J1600:J1628)</f>
        <v>0</v>
      </c>
    </row>
    <row r="1630" spans="1:10" ht="15" thickBot="1">
      <c r="A1630" s="778">
        <f>C1629+E1629+G1629+I1629</f>
        <v>37.0000000004</v>
      </c>
      <c r="B1630" s="779"/>
      <c r="C1630" s="779"/>
      <c r="D1630" s="779"/>
      <c r="E1630" s="779"/>
      <c r="F1630" s="779"/>
      <c r="G1630" s="779"/>
      <c r="H1630" s="779"/>
      <c r="I1630" s="779"/>
      <c r="J1630" s="780"/>
    </row>
    <row r="1646" spans="1:19">
      <c r="O1646" s="781" t="s">
        <v>919</v>
      </c>
      <c r="P1646" s="781"/>
      <c r="Q1646" s="781"/>
      <c r="R1646" s="781"/>
      <c r="S1646" s="781"/>
    </row>
    <row r="1647" spans="1:19" ht="15" thickBot="1">
      <c r="A1647" s="250"/>
    </row>
    <row r="1648" spans="1:19" ht="15.75" customHeight="1" thickBot="1">
      <c r="A1648" s="798" t="s">
        <v>744</v>
      </c>
      <c r="B1648" s="780"/>
      <c r="C1648" s="799" t="s">
        <v>400</v>
      </c>
      <c r="D1648" s="799"/>
      <c r="E1648" s="800" t="s">
        <v>946</v>
      </c>
      <c r="F1648" s="800"/>
      <c r="G1648" s="799" t="s">
        <v>948</v>
      </c>
      <c r="H1648" s="799"/>
      <c r="I1648" s="800" t="s">
        <v>947</v>
      </c>
      <c r="J1648" s="800"/>
    </row>
    <row r="1649" spans="1:10" ht="15" thickBot="1">
      <c r="A1649" s="251" t="s">
        <v>887</v>
      </c>
      <c r="B1649" s="251" t="s">
        <v>243</v>
      </c>
      <c r="C1649" s="252" t="s">
        <v>397</v>
      </c>
      <c r="D1649" s="253" t="s">
        <v>945</v>
      </c>
      <c r="E1649" s="254" t="s">
        <v>397</v>
      </c>
      <c r="F1649" s="255" t="s">
        <v>945</v>
      </c>
      <c r="G1649" s="256" t="s">
        <v>397</v>
      </c>
      <c r="H1649" s="257" t="s">
        <v>945</v>
      </c>
      <c r="I1649" s="254" t="s">
        <v>397</v>
      </c>
      <c r="J1649" s="258" t="s">
        <v>945</v>
      </c>
    </row>
    <row r="1650" spans="1:10">
      <c r="A1650" s="284">
        <f>0.9999999999*B1650</f>
        <v>9.9999999989999999</v>
      </c>
      <c r="B1650" s="284">
        <v>10</v>
      </c>
      <c r="C1650" s="260">
        <f t="array" ref="C1650:C1678">FREQUENCY(Discrete!BB3:BB20,Hists!A1650:A1678)</f>
        <v>0</v>
      </c>
      <c r="D1650" s="261">
        <f>C1650*100/C1679</f>
        <v>0</v>
      </c>
      <c r="E1650" s="260">
        <f t="array" ref="E1650:E1678">FREQUENCY(Discrete!BB21:BB78,Hists!A1650:A1678)</f>
        <v>3</v>
      </c>
      <c r="F1650" s="261">
        <f>E1650*100/E1679</f>
        <v>17.647058823425606</v>
      </c>
      <c r="G1650" s="260">
        <f t="array" ref="G1650:G1678">FREQUENCY(IC!BR3:BR39,Hists!A1650:A1678)</f>
        <v>0</v>
      </c>
      <c r="H1650" s="261">
        <f>G1650*100/G1679</f>
        <v>0</v>
      </c>
      <c r="I1650" s="260">
        <f t="array" ref="I1650:I1678">FREQUENCY(IC!BR40:BR64,Hists!A1650:A1678)</f>
        <v>0</v>
      </c>
      <c r="J1650" s="262">
        <f>I1650*100/I1679</f>
        <v>0</v>
      </c>
    </row>
    <row r="1651" spans="1:10">
      <c r="A1651" s="285">
        <f>0.9999999999*B1651</f>
        <v>19.999999998</v>
      </c>
      <c r="B1651" s="285">
        <v>20</v>
      </c>
      <c r="C1651" s="264">
        <v>0</v>
      </c>
      <c r="D1651" s="265">
        <f>C1651*100/C1679</f>
        <v>0</v>
      </c>
      <c r="E1651" s="264">
        <v>4</v>
      </c>
      <c r="F1651" s="265">
        <f>E1651*100/E1679</f>
        <v>23.529411764567477</v>
      </c>
      <c r="G1651" s="264">
        <v>0</v>
      </c>
      <c r="H1651" s="265">
        <f>G1651*100/G1679</f>
        <v>0</v>
      </c>
      <c r="I1651" s="264">
        <v>0</v>
      </c>
      <c r="J1651" s="266">
        <f>I1651*100/I1679</f>
        <v>0</v>
      </c>
    </row>
    <row r="1652" spans="1:10">
      <c r="A1652" s="285">
        <f t="shared" ref="A1652:A1677" si="73">0.9999999999*B1652</f>
        <v>29.999999997</v>
      </c>
      <c r="B1652" s="284">
        <v>30</v>
      </c>
      <c r="C1652" s="268">
        <v>5</v>
      </c>
      <c r="D1652" s="269">
        <f>C1652*100/C1679</f>
        <v>83.333333331944445</v>
      </c>
      <c r="E1652" s="268">
        <v>1</v>
      </c>
      <c r="F1652" s="269">
        <f>E1652*100/E1679</f>
        <v>5.8823529411418694</v>
      </c>
      <c r="G1652" s="268">
        <v>2</v>
      </c>
      <c r="H1652" s="269">
        <f>G1652*100/G1679</f>
        <v>11.111111111049384</v>
      </c>
      <c r="I1652" s="268">
        <v>0</v>
      </c>
      <c r="J1652" s="270">
        <f>I1652*100/I1679</f>
        <v>0</v>
      </c>
    </row>
    <row r="1653" spans="1:10">
      <c r="A1653" s="285">
        <f t="shared" si="73"/>
        <v>39.999999996</v>
      </c>
      <c r="B1653" s="285">
        <v>40</v>
      </c>
      <c r="C1653" s="264">
        <v>0</v>
      </c>
      <c r="D1653" s="265">
        <f>C1653*100/C1679</f>
        <v>0</v>
      </c>
      <c r="E1653" s="264">
        <v>0</v>
      </c>
      <c r="F1653" s="265">
        <f>E1653*100/E1679</f>
        <v>0</v>
      </c>
      <c r="G1653" s="264">
        <v>1</v>
      </c>
      <c r="H1653" s="265">
        <f>G1653*100/G1679</f>
        <v>5.555555555524692</v>
      </c>
      <c r="I1653" s="264">
        <v>0</v>
      </c>
      <c r="J1653" s="266">
        <f>I1653*100/I1679</f>
        <v>0</v>
      </c>
    </row>
    <row r="1654" spans="1:10">
      <c r="A1654" s="285">
        <f t="shared" si="73"/>
        <v>49.999999994999996</v>
      </c>
      <c r="B1654" s="284">
        <v>50</v>
      </c>
      <c r="C1654" s="268">
        <v>0</v>
      </c>
      <c r="D1654" s="269">
        <f>C1654*100/C1679</f>
        <v>0</v>
      </c>
      <c r="E1654" s="268">
        <v>2</v>
      </c>
      <c r="F1654" s="269">
        <f>E1654*100/E1679</f>
        <v>11.764705882283739</v>
      </c>
      <c r="G1654" s="268">
        <v>11</v>
      </c>
      <c r="H1654" s="269">
        <f>G1654*100/G1679</f>
        <v>61.11111111077161</v>
      </c>
      <c r="I1654" s="268">
        <v>0</v>
      </c>
      <c r="J1654" s="270">
        <f>I1654*100/I1679</f>
        <v>0</v>
      </c>
    </row>
    <row r="1655" spans="1:10">
      <c r="A1655" s="285">
        <f t="shared" si="73"/>
        <v>59.999999994</v>
      </c>
      <c r="B1655" s="285">
        <v>60</v>
      </c>
      <c r="C1655" s="264">
        <v>0</v>
      </c>
      <c r="D1655" s="265">
        <f>C1655*100/C1679</f>
        <v>0</v>
      </c>
      <c r="E1655" s="264">
        <v>0</v>
      </c>
      <c r="F1655" s="265">
        <f>E1655*100/E1679</f>
        <v>0</v>
      </c>
      <c r="G1655" s="264">
        <v>0</v>
      </c>
      <c r="H1655" s="265">
        <f>G1655*100/G1679</f>
        <v>0</v>
      </c>
      <c r="I1655" s="264">
        <v>0</v>
      </c>
      <c r="J1655" s="266">
        <f>I1655*100/I1679</f>
        <v>0</v>
      </c>
    </row>
    <row r="1656" spans="1:10">
      <c r="A1656" s="285">
        <f t="shared" si="73"/>
        <v>69.999999993000003</v>
      </c>
      <c r="B1656" s="284">
        <v>70</v>
      </c>
      <c r="C1656" s="268">
        <v>0</v>
      </c>
      <c r="D1656" s="269">
        <f>C1656*100/C1679</f>
        <v>0</v>
      </c>
      <c r="E1656" s="268">
        <v>0</v>
      </c>
      <c r="F1656" s="269">
        <f>E1656*100/E1679</f>
        <v>0</v>
      </c>
      <c r="G1656" s="268">
        <v>0</v>
      </c>
      <c r="H1656" s="269">
        <f>G1656*100/G1679</f>
        <v>0</v>
      </c>
      <c r="I1656" s="268">
        <v>0</v>
      </c>
      <c r="J1656" s="270">
        <f>I1656*100/I1679</f>
        <v>0</v>
      </c>
    </row>
    <row r="1657" spans="1:10">
      <c r="A1657" s="285">
        <f t="shared" si="73"/>
        <v>79.999999991999999</v>
      </c>
      <c r="B1657" s="285">
        <v>80</v>
      </c>
      <c r="C1657" s="264">
        <v>0</v>
      </c>
      <c r="D1657" s="265">
        <f>C1657*100/C1679</f>
        <v>0</v>
      </c>
      <c r="E1657" s="264">
        <v>1</v>
      </c>
      <c r="F1657" s="265">
        <f>E1657*100/E1679</f>
        <v>5.8823529411418694</v>
      </c>
      <c r="G1657" s="264">
        <v>0</v>
      </c>
      <c r="H1657" s="265">
        <f>G1657*100/G1679</f>
        <v>0</v>
      </c>
      <c r="I1657" s="264">
        <v>0</v>
      </c>
      <c r="J1657" s="266">
        <f>I1657*100/I1679</f>
        <v>0</v>
      </c>
    </row>
    <row r="1658" spans="1:10">
      <c r="A1658" s="285">
        <f t="shared" si="73"/>
        <v>89.999999990999996</v>
      </c>
      <c r="B1658" s="284">
        <v>90</v>
      </c>
      <c r="C1658" s="268">
        <v>0</v>
      </c>
      <c r="D1658" s="269">
        <f>C1658*100/C1679</f>
        <v>0</v>
      </c>
      <c r="E1658" s="268">
        <v>0</v>
      </c>
      <c r="F1658" s="269">
        <f>E1658*100/E1679</f>
        <v>0</v>
      </c>
      <c r="G1658" s="268">
        <v>1</v>
      </c>
      <c r="H1658" s="269">
        <f>G1658*100/G1679</f>
        <v>5.555555555524692</v>
      </c>
      <c r="I1658" s="268">
        <v>1</v>
      </c>
      <c r="J1658" s="270">
        <f>I1658*100/I1679</f>
        <v>49.999999997499998</v>
      </c>
    </row>
    <row r="1659" spans="1:10">
      <c r="A1659" s="285">
        <f t="shared" si="73"/>
        <v>99.999999989999992</v>
      </c>
      <c r="B1659" s="285">
        <v>100</v>
      </c>
      <c r="C1659" s="264">
        <v>0</v>
      </c>
      <c r="D1659" s="265">
        <f>C1659*100/C1679</f>
        <v>0</v>
      </c>
      <c r="E1659" s="264">
        <v>0</v>
      </c>
      <c r="F1659" s="265">
        <f>E1659*100/E1679</f>
        <v>0</v>
      </c>
      <c r="G1659" s="264">
        <v>0</v>
      </c>
      <c r="H1659" s="265">
        <f>G1659*100/G1679</f>
        <v>0</v>
      </c>
      <c r="I1659" s="264">
        <v>0</v>
      </c>
      <c r="J1659" s="266">
        <f>I1659*100/I1679</f>
        <v>0</v>
      </c>
    </row>
    <row r="1660" spans="1:10">
      <c r="A1660" s="285">
        <f t="shared" si="73"/>
        <v>199.99999997999998</v>
      </c>
      <c r="B1660" s="284">
        <v>200</v>
      </c>
      <c r="C1660" s="268">
        <v>0</v>
      </c>
      <c r="D1660" s="269">
        <f>C1660*100/C1679</f>
        <v>0</v>
      </c>
      <c r="E1660" s="268">
        <v>2</v>
      </c>
      <c r="F1660" s="269">
        <f>E1660*100/E1679</f>
        <v>11.764705882283739</v>
      </c>
      <c r="G1660" s="268">
        <v>1</v>
      </c>
      <c r="H1660" s="269">
        <f>G1660*100/G1679</f>
        <v>5.555555555524692</v>
      </c>
      <c r="I1660" s="268">
        <v>1</v>
      </c>
      <c r="J1660" s="270">
        <f>I1660*100/I1679</f>
        <v>49.999999997499998</v>
      </c>
    </row>
    <row r="1661" spans="1:10">
      <c r="A1661" s="285">
        <f t="shared" si="73"/>
        <v>299.99999996999998</v>
      </c>
      <c r="B1661" s="285">
        <v>300</v>
      </c>
      <c r="C1661" s="264">
        <v>0</v>
      </c>
      <c r="D1661" s="265">
        <f>C1661*100/C1679</f>
        <v>0</v>
      </c>
      <c r="E1661" s="264">
        <v>0</v>
      </c>
      <c r="F1661" s="265">
        <f>E1661*100/E1679</f>
        <v>0</v>
      </c>
      <c r="G1661" s="264">
        <v>2</v>
      </c>
      <c r="H1661" s="265">
        <f>G1661*100/G1679</f>
        <v>11.111111111049384</v>
      </c>
      <c r="I1661" s="264">
        <v>0</v>
      </c>
      <c r="J1661" s="266">
        <f>I1661*100/I1679</f>
        <v>0</v>
      </c>
    </row>
    <row r="1662" spans="1:10">
      <c r="A1662" s="285">
        <f t="shared" si="73"/>
        <v>399.99999995999997</v>
      </c>
      <c r="B1662" s="284">
        <v>400</v>
      </c>
      <c r="C1662" s="268">
        <v>0</v>
      </c>
      <c r="D1662" s="269">
        <f>C1662*100/C1679</f>
        <v>0</v>
      </c>
      <c r="E1662" s="268">
        <v>0</v>
      </c>
      <c r="F1662" s="269">
        <f>E1662*100/E1679</f>
        <v>0</v>
      </c>
      <c r="G1662" s="268">
        <v>0</v>
      </c>
      <c r="H1662" s="269">
        <f>G1662*100/G1679</f>
        <v>0</v>
      </c>
      <c r="I1662" s="268">
        <v>0</v>
      </c>
      <c r="J1662" s="270">
        <f>I1662*100/I1679</f>
        <v>0</v>
      </c>
    </row>
    <row r="1663" spans="1:10">
      <c r="A1663" s="285">
        <f t="shared" si="73"/>
        <v>499.99999995000002</v>
      </c>
      <c r="B1663" s="285">
        <v>500</v>
      </c>
      <c r="C1663" s="264">
        <v>0</v>
      </c>
      <c r="D1663" s="265">
        <f>C1663*100/C1679</f>
        <v>0</v>
      </c>
      <c r="E1663" s="264">
        <v>3</v>
      </c>
      <c r="F1663" s="265">
        <f>E1663*100/E1679</f>
        <v>17.647058823425606</v>
      </c>
      <c r="G1663" s="264">
        <v>0</v>
      </c>
      <c r="H1663" s="265">
        <f>G1663*100/G1679</f>
        <v>0</v>
      </c>
      <c r="I1663" s="264">
        <v>0</v>
      </c>
      <c r="J1663" s="266">
        <f>I1663*100/I1679</f>
        <v>0</v>
      </c>
    </row>
    <row r="1664" spans="1:10">
      <c r="A1664" s="285">
        <f t="shared" si="73"/>
        <v>599.99999993999995</v>
      </c>
      <c r="B1664" s="284">
        <v>600</v>
      </c>
      <c r="C1664" s="268">
        <v>0</v>
      </c>
      <c r="D1664" s="269">
        <f>C1664*100/C1679</f>
        <v>0</v>
      </c>
      <c r="E1664" s="268">
        <v>1</v>
      </c>
      <c r="F1664" s="269">
        <f>E1664*100/E1679</f>
        <v>5.8823529411418694</v>
      </c>
      <c r="G1664" s="268">
        <v>0</v>
      </c>
      <c r="H1664" s="269">
        <f>G1664*100/G1679</f>
        <v>0</v>
      </c>
      <c r="I1664" s="268">
        <v>0</v>
      </c>
      <c r="J1664" s="270">
        <f>I1664*100/I1679</f>
        <v>0</v>
      </c>
    </row>
    <row r="1665" spans="1:10">
      <c r="A1665" s="285">
        <f t="shared" si="73"/>
        <v>699.99999992999994</v>
      </c>
      <c r="B1665" s="285">
        <v>700</v>
      </c>
      <c r="C1665" s="264">
        <v>0</v>
      </c>
      <c r="D1665" s="265">
        <f>C1665*100/C1679</f>
        <v>0</v>
      </c>
      <c r="E1665" s="264">
        <v>0</v>
      </c>
      <c r="F1665" s="265">
        <f>E1665*100/E1679</f>
        <v>0</v>
      </c>
      <c r="G1665" s="264">
        <v>0</v>
      </c>
      <c r="H1665" s="265">
        <f>G1665*100/G1679</f>
        <v>0</v>
      </c>
      <c r="I1665" s="264">
        <v>0</v>
      </c>
      <c r="J1665" s="266">
        <f>I1665*100/I1679</f>
        <v>0</v>
      </c>
    </row>
    <row r="1666" spans="1:10">
      <c r="A1666" s="285">
        <f t="shared" si="73"/>
        <v>799.99999991999994</v>
      </c>
      <c r="B1666" s="284">
        <v>800</v>
      </c>
      <c r="C1666" s="268">
        <v>0</v>
      </c>
      <c r="D1666" s="269">
        <f>C1666*100/C1679</f>
        <v>0</v>
      </c>
      <c r="E1666" s="268">
        <v>0</v>
      </c>
      <c r="F1666" s="269">
        <f>E1666*100/E1679</f>
        <v>0</v>
      </c>
      <c r="G1666" s="268">
        <v>0</v>
      </c>
      <c r="H1666" s="269">
        <f>G1666*100/G1679</f>
        <v>0</v>
      </c>
      <c r="I1666" s="268">
        <v>0</v>
      </c>
      <c r="J1666" s="270">
        <f>I1666*100/I1679</f>
        <v>0</v>
      </c>
    </row>
    <row r="1667" spans="1:10">
      <c r="A1667" s="285">
        <f t="shared" si="73"/>
        <v>899.99999991000004</v>
      </c>
      <c r="B1667" s="285">
        <v>900</v>
      </c>
      <c r="C1667" s="264">
        <v>0</v>
      </c>
      <c r="D1667" s="265">
        <f>C1667*100/C1679</f>
        <v>0</v>
      </c>
      <c r="E1667" s="264">
        <v>0</v>
      </c>
      <c r="F1667" s="265">
        <f>E1667*100/E1679</f>
        <v>0</v>
      </c>
      <c r="G1667" s="264">
        <v>0</v>
      </c>
      <c r="H1667" s="265">
        <f>G1667*100/G1679</f>
        <v>0</v>
      </c>
      <c r="I1667" s="264">
        <v>0</v>
      </c>
      <c r="J1667" s="266">
        <f>I1667*100/I1679</f>
        <v>0</v>
      </c>
    </row>
    <row r="1668" spans="1:10">
      <c r="A1668" s="285">
        <f t="shared" si="73"/>
        <v>999.99999990000003</v>
      </c>
      <c r="B1668" s="284">
        <v>1000</v>
      </c>
      <c r="C1668" s="268">
        <v>0</v>
      </c>
      <c r="D1668" s="269">
        <f>C1668*100/C1679</f>
        <v>0</v>
      </c>
      <c r="E1668" s="268">
        <v>0</v>
      </c>
      <c r="F1668" s="269">
        <f>E1668*100/E1679</f>
        <v>0</v>
      </c>
      <c r="G1668" s="268">
        <v>0</v>
      </c>
      <c r="H1668" s="269">
        <f>G1668*100/G1679</f>
        <v>0</v>
      </c>
      <c r="I1668" s="268">
        <v>0</v>
      </c>
      <c r="J1668" s="270">
        <f>I1668*100/I1679</f>
        <v>0</v>
      </c>
    </row>
    <row r="1669" spans="1:10">
      <c r="A1669" s="285">
        <f t="shared" si="73"/>
        <v>1999.9999998000001</v>
      </c>
      <c r="B1669" s="285">
        <v>2000</v>
      </c>
      <c r="C1669" s="264">
        <v>1</v>
      </c>
      <c r="D1669" s="265">
        <f>C1669*100/C1679</f>
        <v>16.666666666388888</v>
      </c>
      <c r="E1669" s="264">
        <v>0</v>
      </c>
      <c r="F1669" s="265">
        <f>E1669*100/E1679</f>
        <v>0</v>
      </c>
      <c r="G1669" s="264">
        <v>0</v>
      </c>
      <c r="H1669" s="265">
        <f>G1669*100/G1679</f>
        <v>0</v>
      </c>
      <c r="I1669" s="264">
        <v>0</v>
      </c>
      <c r="J1669" s="266">
        <f>I1669*100/I1679</f>
        <v>0</v>
      </c>
    </row>
    <row r="1670" spans="1:10">
      <c r="A1670" s="285">
        <f t="shared" si="73"/>
        <v>2999.9999997</v>
      </c>
      <c r="B1670" s="284">
        <v>3000</v>
      </c>
      <c r="C1670" s="268">
        <v>0</v>
      </c>
      <c r="D1670" s="269">
        <f>C1670*100/C1679</f>
        <v>0</v>
      </c>
      <c r="E1670" s="268">
        <v>0</v>
      </c>
      <c r="F1670" s="269">
        <f>E1670*100/E1679</f>
        <v>0</v>
      </c>
      <c r="G1670" s="268">
        <v>0</v>
      </c>
      <c r="H1670" s="269">
        <f>G1670*100/G1679</f>
        <v>0</v>
      </c>
      <c r="I1670" s="268">
        <v>0</v>
      </c>
      <c r="J1670" s="270">
        <f>I1670*100/I1679</f>
        <v>0</v>
      </c>
    </row>
    <row r="1671" spans="1:10">
      <c r="A1671" s="285">
        <f t="shared" si="73"/>
        <v>3999.9999996000001</v>
      </c>
      <c r="B1671" s="285">
        <v>4000</v>
      </c>
      <c r="C1671" s="264">
        <v>0</v>
      </c>
      <c r="D1671" s="265">
        <f>C1671*100/C1679</f>
        <v>0</v>
      </c>
      <c r="E1671" s="264">
        <v>0</v>
      </c>
      <c r="F1671" s="265">
        <f>E1671*100/E1679</f>
        <v>0</v>
      </c>
      <c r="G1671" s="264">
        <v>0</v>
      </c>
      <c r="H1671" s="265">
        <f>G1671*100/G1679</f>
        <v>0</v>
      </c>
      <c r="I1671" s="264">
        <v>0</v>
      </c>
      <c r="J1671" s="266">
        <f>I1671*100/I1679</f>
        <v>0</v>
      </c>
    </row>
    <row r="1672" spans="1:10">
      <c r="A1672" s="285">
        <f t="shared" si="73"/>
        <v>4999.9999994999998</v>
      </c>
      <c r="B1672" s="284">
        <v>5000</v>
      </c>
      <c r="C1672" s="268">
        <v>0</v>
      </c>
      <c r="D1672" s="271">
        <f>C1672*100/C1679</f>
        <v>0</v>
      </c>
      <c r="E1672" s="272">
        <v>0</v>
      </c>
      <c r="F1672" s="271">
        <f>E1672*100/E1679</f>
        <v>0</v>
      </c>
      <c r="G1672" s="272">
        <v>0</v>
      </c>
      <c r="H1672" s="271">
        <f>G1672*100/G1679</f>
        <v>0</v>
      </c>
      <c r="I1672" s="272">
        <v>0</v>
      </c>
      <c r="J1672" s="273">
        <f>I1672*100/I1679</f>
        <v>0</v>
      </c>
    </row>
    <row r="1673" spans="1:10">
      <c r="A1673" s="285">
        <f t="shared" si="73"/>
        <v>5999.9999994</v>
      </c>
      <c r="B1673" s="285">
        <v>6000</v>
      </c>
      <c r="C1673" s="219">
        <v>0</v>
      </c>
      <c r="D1673" s="220">
        <f>C1673*100/C1679</f>
        <v>0</v>
      </c>
      <c r="E1673" s="221">
        <v>0</v>
      </c>
      <c r="F1673" s="220">
        <f>E1673*100/E1679</f>
        <v>0</v>
      </c>
      <c r="G1673" s="221">
        <v>0</v>
      </c>
      <c r="H1673" s="220">
        <f>G1673*100/G1679</f>
        <v>0</v>
      </c>
      <c r="I1673" s="221">
        <v>0</v>
      </c>
      <c r="J1673" s="281">
        <f>I1673*100/I1679</f>
        <v>0</v>
      </c>
    </row>
    <row r="1674" spans="1:10">
      <c r="A1674" s="285">
        <f t="shared" si="73"/>
        <v>6999.9999993000001</v>
      </c>
      <c r="B1674" s="284">
        <v>7000</v>
      </c>
      <c r="C1674" s="268">
        <v>0</v>
      </c>
      <c r="D1674" s="271">
        <f>C1674*100/C1679</f>
        <v>0</v>
      </c>
      <c r="E1674" s="272">
        <v>0</v>
      </c>
      <c r="F1674" s="271">
        <f>E1674*100/E1679</f>
        <v>0</v>
      </c>
      <c r="G1674" s="272">
        <v>0</v>
      </c>
      <c r="H1674" s="271">
        <f>G1674*100/G1679</f>
        <v>0</v>
      </c>
      <c r="I1674" s="272">
        <v>0</v>
      </c>
      <c r="J1674" s="273">
        <f>I1674*100/I1679</f>
        <v>0</v>
      </c>
    </row>
    <row r="1675" spans="1:10">
      <c r="A1675" s="285">
        <f t="shared" si="73"/>
        <v>7999.9999992000003</v>
      </c>
      <c r="B1675" s="285">
        <v>8000</v>
      </c>
      <c r="C1675" s="219">
        <v>0</v>
      </c>
      <c r="D1675" s="220">
        <f>C1675*100/C1679</f>
        <v>0</v>
      </c>
      <c r="E1675" s="221">
        <v>0</v>
      </c>
      <c r="F1675" s="220">
        <f>E1675*100/E1679</f>
        <v>0</v>
      </c>
      <c r="G1675" s="221">
        <v>0</v>
      </c>
      <c r="H1675" s="220">
        <f>G1675*100/G1679</f>
        <v>0</v>
      </c>
      <c r="I1675" s="221">
        <v>0</v>
      </c>
      <c r="J1675" s="281">
        <f>I1675*100/I1679</f>
        <v>0</v>
      </c>
    </row>
    <row r="1676" spans="1:10">
      <c r="A1676" s="285">
        <f t="shared" si="73"/>
        <v>8999.9999991000004</v>
      </c>
      <c r="B1676" s="284">
        <v>9000</v>
      </c>
      <c r="C1676" s="268">
        <v>0</v>
      </c>
      <c r="D1676" s="271">
        <f>C1676*100/C1679</f>
        <v>0</v>
      </c>
      <c r="E1676" s="272">
        <v>0</v>
      </c>
      <c r="F1676" s="271">
        <f>E1676*100/E1679</f>
        <v>0</v>
      </c>
      <c r="G1676" s="272">
        <v>0</v>
      </c>
      <c r="H1676" s="271">
        <f>G1676*100/G1679</f>
        <v>0</v>
      </c>
      <c r="I1676" s="272">
        <v>0</v>
      </c>
      <c r="J1676" s="273">
        <f>I1676*100/I1679</f>
        <v>0</v>
      </c>
    </row>
    <row r="1677" spans="1:10">
      <c r="A1677" s="285">
        <f t="shared" si="73"/>
        <v>9999.9999989999997</v>
      </c>
      <c r="B1677" s="285">
        <v>10000</v>
      </c>
      <c r="C1677" s="219">
        <v>0</v>
      </c>
      <c r="D1677" s="220">
        <f>C1677*100/C1679</f>
        <v>0</v>
      </c>
      <c r="E1677" s="221">
        <v>0</v>
      </c>
      <c r="F1677" s="220">
        <f>E1677*100/E1679</f>
        <v>0</v>
      </c>
      <c r="G1677" s="221">
        <v>0</v>
      </c>
      <c r="H1677" s="220">
        <f>G1677*100/G1679</f>
        <v>0</v>
      </c>
      <c r="I1677" s="221">
        <v>0</v>
      </c>
      <c r="J1677" s="281">
        <f>I1677*100/I1679</f>
        <v>0</v>
      </c>
    </row>
    <row r="1678" spans="1:10" ht="15" thickBot="1">
      <c r="A1678" s="284">
        <f>0.9999999999*B1678</f>
        <v>10999.999998900001</v>
      </c>
      <c r="B1678" s="284">
        <v>11000</v>
      </c>
      <c r="C1678" s="275">
        <v>0</v>
      </c>
      <c r="D1678" s="280">
        <f>C1678*100/C1679</f>
        <v>0</v>
      </c>
      <c r="E1678" s="272">
        <v>0</v>
      </c>
      <c r="F1678" s="271">
        <f>E1678*100/E1679</f>
        <v>0</v>
      </c>
      <c r="G1678" s="272">
        <v>0</v>
      </c>
      <c r="H1678" s="271">
        <f>G1678*100/G1679</f>
        <v>0</v>
      </c>
      <c r="I1678" s="275">
        <v>0</v>
      </c>
      <c r="J1678" s="276">
        <f>I1678*100/I1679</f>
        <v>0</v>
      </c>
    </row>
    <row r="1679" spans="1:10" ht="15" thickBot="1">
      <c r="A1679" s="308" t="s">
        <v>396</v>
      </c>
      <c r="B1679" s="308"/>
      <c r="C1679" s="277">
        <f>SUM(C1650:C1678)+0.0000000001</f>
        <v>6.0000000001</v>
      </c>
      <c r="D1679" s="279">
        <f>SUM(D1651:D1678)</f>
        <v>99.999999998333337</v>
      </c>
      <c r="E1679" s="278">
        <f>SUM(E1650:E1678)+0.0000000001</f>
        <v>17.000000000099998</v>
      </c>
      <c r="F1679" s="279">
        <f>SUM(F1650:F1678)</f>
        <v>99.999999999411784</v>
      </c>
      <c r="G1679" s="314">
        <f>SUM(G1650:G1678)+0.0000000001</f>
        <v>18.000000000099998</v>
      </c>
      <c r="H1679" s="279">
        <f>SUM(H1650:H1678)</f>
        <v>99.999999999444455</v>
      </c>
      <c r="I1679" s="278">
        <f>SUM(I1650:I1678)+0.0000000001</f>
        <v>2.0000000001</v>
      </c>
      <c r="J1679" s="279">
        <f>SUM(J1650:J1678)</f>
        <v>99.999999994999996</v>
      </c>
    </row>
    <row r="1680" spans="1:10" ht="15" thickBot="1">
      <c r="A1680" s="778">
        <f>C1679+E1679+G1679+I1679</f>
        <v>43.000000000399993</v>
      </c>
      <c r="B1680" s="779"/>
      <c r="C1680" s="779"/>
      <c r="D1680" s="779"/>
      <c r="E1680" s="779"/>
      <c r="F1680" s="779"/>
      <c r="G1680" s="779"/>
      <c r="H1680" s="779"/>
      <c r="I1680" s="779"/>
      <c r="J1680" s="780"/>
    </row>
    <row r="1696" spans="15:19">
      <c r="O1696" s="781" t="s">
        <v>920</v>
      </c>
      <c r="P1696" s="781"/>
      <c r="Q1696" s="781"/>
      <c r="R1696" s="781"/>
      <c r="S1696" s="781"/>
    </row>
    <row r="1697" spans="1:10" ht="15" thickBot="1">
      <c r="A1697" s="250"/>
    </row>
    <row r="1698" spans="1:10" ht="24" customHeight="1" thickBot="1">
      <c r="A1698" s="798" t="s">
        <v>745</v>
      </c>
      <c r="B1698" s="780"/>
      <c r="C1698" s="799" t="s">
        <v>400</v>
      </c>
      <c r="D1698" s="799"/>
      <c r="E1698" s="800" t="s">
        <v>946</v>
      </c>
      <c r="F1698" s="800"/>
      <c r="G1698" s="799" t="s">
        <v>948</v>
      </c>
      <c r="H1698" s="799"/>
      <c r="I1698" s="800" t="s">
        <v>947</v>
      </c>
      <c r="J1698" s="800"/>
    </row>
    <row r="1699" spans="1:10" ht="15" thickBot="1">
      <c r="A1699" s="251" t="s">
        <v>887</v>
      </c>
      <c r="B1699" s="251" t="s">
        <v>243</v>
      </c>
      <c r="C1699" s="252" t="s">
        <v>397</v>
      </c>
      <c r="D1699" s="253" t="s">
        <v>945</v>
      </c>
      <c r="E1699" s="254" t="s">
        <v>397</v>
      </c>
      <c r="F1699" s="255" t="s">
        <v>945</v>
      </c>
      <c r="G1699" s="256" t="s">
        <v>397</v>
      </c>
      <c r="H1699" s="257" t="s">
        <v>945</v>
      </c>
      <c r="I1699" s="254" t="s">
        <v>397</v>
      </c>
      <c r="J1699" s="258" t="s">
        <v>945</v>
      </c>
    </row>
    <row r="1700" spans="1:10">
      <c r="A1700" s="284">
        <f>0.9999999999*B1700</f>
        <v>0.99999999989999999</v>
      </c>
      <c r="B1700" s="284">
        <v>1</v>
      </c>
      <c r="C1700" s="260">
        <f t="array" ref="C1700:C1728">FREQUENCY(Discrete!AC3:AC20,Hists!A1701:A1728)</f>
        <v>0</v>
      </c>
      <c r="D1700" s="261">
        <f>C1700*100/C1729</f>
        <v>0</v>
      </c>
      <c r="E1700" s="260">
        <f t="array" ref="E1700:E1728">FREQUENCY(Discrete!AC21:AC78,Hists!A1701:A1728)</f>
        <v>0</v>
      </c>
      <c r="F1700" s="261">
        <f>E1700*100/E1729</f>
        <v>0</v>
      </c>
      <c r="G1700" s="260">
        <f t="array" ref="G1700:G1728">FREQUENCY(IC!AS3:AS39,Hists!A1701:A1728)</f>
        <v>1</v>
      </c>
      <c r="H1700" s="261">
        <f>G1700*100/G1729</f>
        <v>5.263157894709142</v>
      </c>
      <c r="I1700" s="260">
        <f t="array" ref="I1700:I1728">FREQUENCY(IC!AS40:AS64,Hists!A1701:A1728)</f>
        <v>1</v>
      </c>
      <c r="J1700" s="262">
        <f>I1700*100/I1729</f>
        <v>7.6923076922485203</v>
      </c>
    </row>
    <row r="1701" spans="1:10">
      <c r="A1701" s="284">
        <f>0.9999999999*B1701</f>
        <v>1.1999999998799999</v>
      </c>
      <c r="B1701" s="284">
        <v>1.2</v>
      </c>
      <c r="C1701" s="264">
        <v>0</v>
      </c>
      <c r="D1701" s="265">
        <f>C1701*100/C1729</f>
        <v>0</v>
      </c>
      <c r="E1701" s="264">
        <v>0</v>
      </c>
      <c r="F1701" s="265">
        <f>E1701*100/E1729</f>
        <v>0</v>
      </c>
      <c r="G1701" s="264">
        <v>0</v>
      </c>
      <c r="H1701" s="265">
        <f>G1701*100/G1729</f>
        <v>0</v>
      </c>
      <c r="I1701" s="264">
        <v>0</v>
      </c>
      <c r="J1701" s="266">
        <f>I1701*100/I1729</f>
        <v>0</v>
      </c>
    </row>
    <row r="1702" spans="1:10">
      <c r="A1702" s="284">
        <f t="shared" ref="A1702:A1727" si="74">0.9999999999*B1702</f>
        <v>1.3999999998599999</v>
      </c>
      <c r="B1702" s="284">
        <v>1.4</v>
      </c>
      <c r="C1702" s="268">
        <v>0</v>
      </c>
      <c r="D1702" s="269">
        <f>C1702*100/C1729</f>
        <v>0</v>
      </c>
      <c r="E1702" s="268">
        <v>0</v>
      </c>
      <c r="F1702" s="269">
        <f>E1702*100/E1729</f>
        <v>0</v>
      </c>
      <c r="G1702" s="268">
        <v>0</v>
      </c>
      <c r="H1702" s="269">
        <f>G1702*100/G1729</f>
        <v>0</v>
      </c>
      <c r="I1702" s="268">
        <v>1</v>
      </c>
      <c r="J1702" s="270">
        <f>I1702*100/I1729</f>
        <v>7.6923076922485203</v>
      </c>
    </row>
    <row r="1703" spans="1:10">
      <c r="A1703" s="284">
        <f t="shared" si="74"/>
        <v>1.5999999998400001</v>
      </c>
      <c r="B1703" s="285">
        <v>1.6</v>
      </c>
      <c r="C1703" s="264">
        <v>0</v>
      </c>
      <c r="D1703" s="265">
        <f>C1703*100/C1729</f>
        <v>0</v>
      </c>
      <c r="E1703" s="264">
        <v>0</v>
      </c>
      <c r="F1703" s="265">
        <f>E1703*100/E1729</f>
        <v>0</v>
      </c>
      <c r="G1703" s="264">
        <v>4</v>
      </c>
      <c r="H1703" s="265">
        <f>G1703*100/G1729</f>
        <v>21.052631578836568</v>
      </c>
      <c r="I1703" s="264">
        <v>4</v>
      </c>
      <c r="J1703" s="266">
        <f>I1703*100/I1729</f>
        <v>30.769230768994081</v>
      </c>
    </row>
    <row r="1704" spans="1:10">
      <c r="A1704" s="284">
        <f t="shared" si="74"/>
        <v>1.79999999982</v>
      </c>
      <c r="B1704" s="285">
        <v>1.8</v>
      </c>
      <c r="C1704" s="268">
        <v>0</v>
      </c>
      <c r="D1704" s="269">
        <f>C1704*100/C1729</f>
        <v>0</v>
      </c>
      <c r="E1704" s="268">
        <v>1</v>
      </c>
      <c r="F1704" s="269">
        <f>E1704*100/E1729</f>
        <v>2.6315789473614957</v>
      </c>
      <c r="G1704" s="268">
        <v>11</v>
      </c>
      <c r="H1704" s="269">
        <f>G1704*100/G1729</f>
        <v>57.894736841800558</v>
      </c>
      <c r="I1704" s="268">
        <v>4</v>
      </c>
      <c r="J1704" s="270">
        <f>I1704*100/I1729</f>
        <v>30.769230768994081</v>
      </c>
    </row>
    <row r="1705" spans="1:10">
      <c r="A1705" s="284">
        <f t="shared" si="74"/>
        <v>1.9999999998</v>
      </c>
      <c r="B1705" s="285">
        <v>2</v>
      </c>
      <c r="C1705" s="264">
        <v>0</v>
      </c>
      <c r="D1705" s="265">
        <f>C1705*100/C1729</f>
        <v>0</v>
      </c>
      <c r="E1705" s="264">
        <v>6</v>
      </c>
      <c r="F1705" s="265">
        <f>E1705*100/E1729</f>
        <v>15.789473684168975</v>
      </c>
      <c r="G1705" s="264">
        <v>1</v>
      </c>
      <c r="H1705" s="265">
        <f>G1705*100/G1729</f>
        <v>5.263157894709142</v>
      </c>
      <c r="I1705" s="264">
        <v>0</v>
      </c>
      <c r="J1705" s="266">
        <f>I1705*100/I1729</f>
        <v>0</v>
      </c>
    </row>
    <row r="1706" spans="1:10">
      <c r="A1706" s="284">
        <f t="shared" si="74"/>
        <v>2.1999999997800002</v>
      </c>
      <c r="B1706" s="284">
        <v>2.2000000000000002</v>
      </c>
      <c r="C1706" s="268">
        <v>0</v>
      </c>
      <c r="D1706" s="269">
        <f>C1706*100/C1729</f>
        <v>0</v>
      </c>
      <c r="E1706" s="268">
        <v>0</v>
      </c>
      <c r="F1706" s="269">
        <f>E1706*100/E1729</f>
        <v>0</v>
      </c>
      <c r="G1706" s="268">
        <v>0</v>
      </c>
      <c r="H1706" s="269">
        <f>G1706*100/G1729</f>
        <v>0</v>
      </c>
      <c r="I1706" s="268">
        <v>0</v>
      </c>
      <c r="J1706" s="270">
        <f>I1706*100/I1729</f>
        <v>0</v>
      </c>
    </row>
    <row r="1707" spans="1:10">
      <c r="A1707" s="284">
        <f t="shared" si="74"/>
        <v>2.3999999997599999</v>
      </c>
      <c r="B1707" s="285">
        <v>2.4</v>
      </c>
      <c r="C1707" s="264">
        <v>0</v>
      </c>
      <c r="D1707" s="265">
        <f>C1707*100/C1729</f>
        <v>0</v>
      </c>
      <c r="E1707" s="264">
        <v>1</v>
      </c>
      <c r="F1707" s="265">
        <f>E1707*100/E1729</f>
        <v>2.6315789473614957</v>
      </c>
      <c r="G1707" s="264">
        <v>0</v>
      </c>
      <c r="H1707" s="265">
        <f>G1707*100/G1729</f>
        <v>0</v>
      </c>
      <c r="I1707" s="264">
        <v>1</v>
      </c>
      <c r="J1707" s="266">
        <f>I1707*100/I1729</f>
        <v>7.6923076922485203</v>
      </c>
    </row>
    <row r="1708" spans="1:10">
      <c r="A1708" s="284">
        <f t="shared" si="74"/>
        <v>2.5999999997400001</v>
      </c>
      <c r="B1708" s="284">
        <v>2.6</v>
      </c>
      <c r="C1708" s="268">
        <v>0</v>
      </c>
      <c r="D1708" s="269">
        <f>C1708*100/C1729</f>
        <v>0</v>
      </c>
      <c r="E1708" s="268">
        <v>3</v>
      </c>
      <c r="F1708" s="269">
        <f>E1708*100/E1729</f>
        <v>7.8947368420844874</v>
      </c>
      <c r="G1708" s="268">
        <v>0</v>
      </c>
      <c r="H1708" s="269">
        <f>G1708*100/G1729</f>
        <v>0</v>
      </c>
      <c r="I1708" s="268">
        <v>0</v>
      </c>
      <c r="J1708" s="270">
        <f>I1708*100/I1729</f>
        <v>0</v>
      </c>
    </row>
    <row r="1709" spans="1:10">
      <c r="A1709" s="284">
        <f t="shared" si="74"/>
        <v>2.7999999997199998</v>
      </c>
      <c r="B1709" s="285">
        <v>2.8</v>
      </c>
      <c r="C1709" s="264">
        <v>0</v>
      </c>
      <c r="D1709" s="265">
        <f>C1709*100/C1729</f>
        <v>0</v>
      </c>
      <c r="E1709" s="264">
        <v>0</v>
      </c>
      <c r="F1709" s="265">
        <f>E1709*100/E1729</f>
        <v>0</v>
      </c>
      <c r="G1709" s="264">
        <v>0</v>
      </c>
      <c r="H1709" s="265">
        <f>G1709*100/G1729</f>
        <v>0</v>
      </c>
      <c r="I1709" s="264">
        <v>0</v>
      </c>
      <c r="J1709" s="266">
        <f>I1709*100/I1729</f>
        <v>0</v>
      </c>
    </row>
    <row r="1710" spans="1:10">
      <c r="A1710" s="284">
        <f t="shared" si="74"/>
        <v>2.9999999997</v>
      </c>
      <c r="B1710" s="284">
        <v>3</v>
      </c>
      <c r="C1710" s="268">
        <v>2</v>
      </c>
      <c r="D1710" s="269">
        <f>C1710*100/C1729</f>
        <v>24.9999999996875</v>
      </c>
      <c r="E1710" s="268">
        <v>8</v>
      </c>
      <c r="F1710" s="269">
        <f>E1710*100/E1729</f>
        <v>21.052631578891965</v>
      </c>
      <c r="G1710" s="268">
        <v>0</v>
      </c>
      <c r="H1710" s="269">
        <f>G1710*100/G1729</f>
        <v>0</v>
      </c>
      <c r="I1710" s="268">
        <v>2</v>
      </c>
      <c r="J1710" s="270">
        <f>I1710*100/I1729</f>
        <v>15.384615384497041</v>
      </c>
    </row>
    <row r="1711" spans="1:10">
      <c r="A1711" s="284">
        <f t="shared" si="74"/>
        <v>3.1999999996800002</v>
      </c>
      <c r="B1711" s="285">
        <v>3.2</v>
      </c>
      <c r="C1711" s="264">
        <v>0</v>
      </c>
      <c r="D1711" s="265">
        <f>C1711*100/C1729</f>
        <v>0</v>
      </c>
      <c r="E1711" s="264">
        <v>10</v>
      </c>
      <c r="F1711" s="265">
        <f>E1711*100/E1729</f>
        <v>26.315789473614956</v>
      </c>
      <c r="G1711" s="264">
        <v>2</v>
      </c>
      <c r="H1711" s="265">
        <f>G1711*100/G1729</f>
        <v>10.526315789418284</v>
      </c>
      <c r="I1711" s="264">
        <v>0</v>
      </c>
      <c r="J1711" s="266">
        <f>I1711*100/I1729</f>
        <v>0</v>
      </c>
    </row>
    <row r="1712" spans="1:10">
      <c r="A1712" s="284">
        <f t="shared" si="74"/>
        <v>3.3999999996599999</v>
      </c>
      <c r="B1712" s="284">
        <v>3.4</v>
      </c>
      <c r="C1712" s="268">
        <v>0</v>
      </c>
      <c r="D1712" s="269">
        <f>C1712*100/C1729</f>
        <v>0</v>
      </c>
      <c r="E1712" s="268">
        <v>2</v>
      </c>
      <c r="F1712" s="269">
        <f>E1712*100/E1729</f>
        <v>5.2631578947229913</v>
      </c>
      <c r="G1712" s="268">
        <v>0</v>
      </c>
      <c r="H1712" s="269">
        <f>G1712*100/G1729</f>
        <v>0</v>
      </c>
      <c r="I1712" s="268">
        <v>0</v>
      </c>
      <c r="J1712" s="270">
        <f>I1712*100/I1729</f>
        <v>0</v>
      </c>
    </row>
    <row r="1713" spans="1:15">
      <c r="A1713" s="284">
        <f t="shared" si="74"/>
        <v>3.5999999996400001</v>
      </c>
      <c r="B1713" s="285">
        <v>3.6</v>
      </c>
      <c r="C1713" s="264">
        <v>6</v>
      </c>
      <c r="D1713" s="265">
        <f>C1713*100/C1729</f>
        <v>74.999999999062496</v>
      </c>
      <c r="E1713" s="264">
        <v>2</v>
      </c>
      <c r="F1713" s="265">
        <f>E1713*100/E1729</f>
        <v>5.2631578947229913</v>
      </c>
      <c r="G1713" s="264">
        <v>0</v>
      </c>
      <c r="H1713" s="265">
        <f>G1713*100/G1729</f>
        <v>0</v>
      </c>
      <c r="I1713" s="264">
        <v>0</v>
      </c>
      <c r="J1713" s="266">
        <f>I1713*100/I1729</f>
        <v>0</v>
      </c>
    </row>
    <row r="1714" spans="1:15">
      <c r="A1714" s="284">
        <f t="shared" si="74"/>
        <v>3.7999999996199998</v>
      </c>
      <c r="B1714" s="284">
        <v>3.8</v>
      </c>
      <c r="C1714" s="268">
        <v>0</v>
      </c>
      <c r="D1714" s="269">
        <f>C1714*100/C1729</f>
        <v>0</v>
      </c>
      <c r="E1714" s="268">
        <v>0</v>
      </c>
      <c r="F1714" s="269">
        <f>E1714*100/E1729</f>
        <v>0</v>
      </c>
      <c r="G1714" s="268">
        <v>0</v>
      </c>
      <c r="H1714" s="269">
        <f>G1714*100/G1729</f>
        <v>0</v>
      </c>
      <c r="I1714" s="268">
        <v>0</v>
      </c>
      <c r="J1714" s="270">
        <f>I1714*100/I1729</f>
        <v>0</v>
      </c>
    </row>
    <row r="1715" spans="1:15">
      <c r="A1715" s="284">
        <f t="shared" si="74"/>
        <v>3.9999999996</v>
      </c>
      <c r="B1715" s="285">
        <v>4</v>
      </c>
      <c r="C1715" s="264">
        <v>0</v>
      </c>
      <c r="D1715" s="265">
        <f>C1715*100/C1729</f>
        <v>0</v>
      </c>
      <c r="E1715" s="264">
        <v>1</v>
      </c>
      <c r="F1715" s="265">
        <f>E1715*100/E1729</f>
        <v>2.6315789473614957</v>
      </c>
      <c r="G1715" s="264">
        <v>0</v>
      </c>
      <c r="H1715" s="265">
        <f>G1715*100/G1729</f>
        <v>0</v>
      </c>
      <c r="I1715" s="264">
        <v>0</v>
      </c>
      <c r="J1715" s="266">
        <f>I1715*100/I1729</f>
        <v>0</v>
      </c>
    </row>
    <row r="1716" spans="1:15">
      <c r="A1716" s="284">
        <f t="shared" si="74"/>
        <v>4.9999999995</v>
      </c>
      <c r="B1716" s="284">
        <v>5</v>
      </c>
      <c r="C1716" s="268">
        <v>0</v>
      </c>
      <c r="D1716" s="269">
        <f>C1716*100/C1729</f>
        <v>0</v>
      </c>
      <c r="E1716" s="268">
        <v>0</v>
      </c>
      <c r="F1716" s="269">
        <f>E1716*100/E1729</f>
        <v>0</v>
      </c>
      <c r="G1716" s="268">
        <v>0</v>
      </c>
      <c r="H1716" s="269">
        <f>G1716*100/G1729</f>
        <v>0</v>
      </c>
      <c r="I1716" s="268">
        <v>0</v>
      </c>
      <c r="J1716" s="270">
        <f>I1716*100/I1729</f>
        <v>0</v>
      </c>
    </row>
    <row r="1717" spans="1:15">
      <c r="A1717" s="284">
        <f t="shared" si="74"/>
        <v>5.9999999994</v>
      </c>
      <c r="B1717" s="285">
        <v>6</v>
      </c>
      <c r="C1717" s="264">
        <v>0</v>
      </c>
      <c r="D1717" s="265">
        <f>C1717*100/C1729</f>
        <v>0</v>
      </c>
      <c r="E1717" s="264">
        <v>0</v>
      </c>
      <c r="F1717" s="265">
        <f>E1717*100/E1729</f>
        <v>0</v>
      </c>
      <c r="G1717" s="264">
        <v>0</v>
      </c>
      <c r="H1717" s="265">
        <f>G1717*100/G1729</f>
        <v>0</v>
      </c>
      <c r="I1717" s="264">
        <v>0</v>
      </c>
      <c r="J1717" s="266">
        <f>I1717*100/I1729</f>
        <v>0</v>
      </c>
    </row>
    <row r="1718" spans="1:15">
      <c r="A1718" s="284">
        <f t="shared" si="74"/>
        <v>6.9999999992999999</v>
      </c>
      <c r="B1718" s="284">
        <v>7</v>
      </c>
      <c r="C1718" s="268">
        <v>0</v>
      </c>
      <c r="D1718" s="269">
        <f>C1718*100/C1729</f>
        <v>0</v>
      </c>
      <c r="E1718" s="268">
        <v>1</v>
      </c>
      <c r="F1718" s="269">
        <f>E1718*100/E1729</f>
        <v>2.6315789473614957</v>
      </c>
      <c r="G1718" s="268">
        <v>0</v>
      </c>
      <c r="H1718" s="269">
        <f>G1718*100/G1729</f>
        <v>0</v>
      </c>
      <c r="I1718" s="268">
        <v>0</v>
      </c>
      <c r="J1718" s="270">
        <f>I1718*100/I1729</f>
        <v>0</v>
      </c>
    </row>
    <row r="1719" spans="1:15">
      <c r="A1719" s="284">
        <f t="shared" si="74"/>
        <v>7.9999999991999999</v>
      </c>
      <c r="B1719" s="285">
        <v>8</v>
      </c>
      <c r="C1719" s="264">
        <v>0</v>
      </c>
      <c r="D1719" s="265">
        <f>C1719*100/C1729</f>
        <v>0</v>
      </c>
      <c r="E1719" s="264">
        <v>0</v>
      </c>
      <c r="F1719" s="265">
        <f>E1719*100/E1729</f>
        <v>0</v>
      </c>
      <c r="G1719" s="264">
        <v>0</v>
      </c>
      <c r="H1719" s="265">
        <f>G1719*100/G1729</f>
        <v>0</v>
      </c>
      <c r="I1719" s="264">
        <v>0</v>
      </c>
      <c r="J1719" s="266">
        <f>I1719*100/I1729</f>
        <v>0</v>
      </c>
    </row>
    <row r="1720" spans="1:15">
      <c r="A1720" s="284">
        <f t="shared" si="74"/>
        <v>8.9999999990999999</v>
      </c>
      <c r="B1720" s="284">
        <v>9</v>
      </c>
      <c r="C1720" s="268">
        <v>0</v>
      </c>
      <c r="D1720" s="269">
        <f>C1720*100/C1729</f>
        <v>0</v>
      </c>
      <c r="E1720" s="268">
        <v>2</v>
      </c>
      <c r="F1720" s="269">
        <f>E1720*100/E1729</f>
        <v>5.2631578947229913</v>
      </c>
      <c r="G1720" s="268">
        <v>0</v>
      </c>
      <c r="H1720" s="269">
        <f>G1720*100/G1729</f>
        <v>0</v>
      </c>
      <c r="I1720" s="268">
        <v>0</v>
      </c>
      <c r="J1720" s="270">
        <f>I1720*100/I1729</f>
        <v>0</v>
      </c>
    </row>
    <row r="1721" spans="1:15">
      <c r="A1721" s="284">
        <f t="shared" si="74"/>
        <v>9.9999999989999999</v>
      </c>
      <c r="B1721" s="285">
        <v>10</v>
      </c>
      <c r="C1721" s="264">
        <v>0</v>
      </c>
      <c r="D1721" s="265">
        <f>C1721*100/C1729</f>
        <v>0</v>
      </c>
      <c r="E1721" s="264">
        <v>0</v>
      </c>
      <c r="F1721" s="265">
        <f>E1721*100/E1729</f>
        <v>0</v>
      </c>
      <c r="G1721" s="264">
        <v>0</v>
      </c>
      <c r="H1721" s="265">
        <f>G1721*100/G1729</f>
        <v>0</v>
      </c>
      <c r="I1721" s="264">
        <v>0</v>
      </c>
      <c r="J1721" s="266">
        <f>I1721*100/I1729</f>
        <v>0</v>
      </c>
    </row>
    <row r="1722" spans="1:15">
      <c r="A1722" s="284">
        <f t="shared" si="74"/>
        <v>10.9999999989</v>
      </c>
      <c r="B1722" s="284">
        <v>11</v>
      </c>
      <c r="C1722" s="268">
        <v>0</v>
      </c>
      <c r="D1722" s="271">
        <f>C1722*100/C1729</f>
        <v>0</v>
      </c>
      <c r="E1722" s="272">
        <v>0</v>
      </c>
      <c r="F1722" s="271">
        <f>E1722*100/E1729</f>
        <v>0</v>
      </c>
      <c r="G1722" s="272">
        <v>0</v>
      </c>
      <c r="H1722" s="271">
        <f>G1722*100/G1729</f>
        <v>0</v>
      </c>
      <c r="I1722" s="272">
        <v>0</v>
      </c>
      <c r="J1722" s="273">
        <f>I1722*100/I1729</f>
        <v>0</v>
      </c>
    </row>
    <row r="1723" spans="1:15">
      <c r="A1723" s="284">
        <f t="shared" si="74"/>
        <v>11.9999999988</v>
      </c>
      <c r="B1723" s="285">
        <v>12</v>
      </c>
      <c r="C1723" s="219">
        <v>0</v>
      </c>
      <c r="D1723" s="220">
        <f>C1723*100/C1729</f>
        <v>0</v>
      </c>
      <c r="E1723" s="221">
        <v>0</v>
      </c>
      <c r="F1723" s="220">
        <f>E1723*100/E1729</f>
        <v>0</v>
      </c>
      <c r="G1723" s="221">
        <v>0</v>
      </c>
      <c r="H1723" s="220">
        <f>G1723*100/G1729</f>
        <v>0</v>
      </c>
      <c r="I1723" s="221">
        <v>0</v>
      </c>
      <c r="J1723" s="281">
        <f>I1723*100/I1729</f>
        <v>0</v>
      </c>
      <c r="L1723" s="80" t="s">
        <v>400</v>
      </c>
      <c r="M1723" s="80" t="s">
        <v>882</v>
      </c>
      <c r="N1723" s="80" t="s">
        <v>883</v>
      </c>
      <c r="O1723" s="139">
        <f>AVERAGE(Discrete!AC3:AC20)</f>
        <v>3.5124999999999997</v>
      </c>
    </row>
    <row r="1724" spans="1:15">
      <c r="A1724" s="284">
        <f t="shared" si="74"/>
        <v>12.9999999987</v>
      </c>
      <c r="B1724" s="284">
        <v>13</v>
      </c>
      <c r="C1724" s="268">
        <v>0</v>
      </c>
      <c r="D1724" s="271">
        <f>C1724*100/C1729</f>
        <v>0</v>
      </c>
      <c r="E1724" s="272">
        <v>0</v>
      </c>
      <c r="F1724" s="271">
        <f>E1724*100/E1729</f>
        <v>0</v>
      </c>
      <c r="G1724" s="272">
        <v>0</v>
      </c>
      <c r="H1724" s="271">
        <f>G1724*100/G1729</f>
        <v>0</v>
      </c>
      <c r="I1724" s="272">
        <v>0</v>
      </c>
      <c r="J1724" s="273">
        <f>I1724*100/I1729</f>
        <v>0</v>
      </c>
      <c r="L1724" s="80" t="s">
        <v>186</v>
      </c>
      <c r="M1724" s="80" t="s">
        <v>882</v>
      </c>
      <c r="N1724" s="80" t="s">
        <v>883</v>
      </c>
      <c r="O1724" s="139">
        <f>AVERAGE(Discrete!AC21:AC78)</f>
        <v>3.7210526315789467</v>
      </c>
    </row>
    <row r="1725" spans="1:15">
      <c r="A1725" s="284">
        <f t="shared" si="74"/>
        <v>13.9999999986</v>
      </c>
      <c r="B1725" s="285">
        <v>14</v>
      </c>
      <c r="C1725" s="219">
        <v>0</v>
      </c>
      <c r="D1725" s="220">
        <f>C1725*100/C1729</f>
        <v>0</v>
      </c>
      <c r="E1725" s="221">
        <v>0</v>
      </c>
      <c r="F1725" s="220">
        <f>E1725*100/E1729</f>
        <v>0</v>
      </c>
      <c r="G1725" s="221">
        <v>0</v>
      </c>
      <c r="H1725" s="220">
        <f>G1725*100/G1729</f>
        <v>0</v>
      </c>
      <c r="I1725" s="221">
        <v>0</v>
      </c>
      <c r="J1725" s="281">
        <f>I1725*100/I1729</f>
        <v>0</v>
      </c>
      <c r="L1725" s="80" t="s">
        <v>399</v>
      </c>
      <c r="M1725" s="80" t="s">
        <v>882</v>
      </c>
      <c r="N1725" s="80" t="s">
        <v>883</v>
      </c>
      <c r="O1725" s="139">
        <f>AVERAGE(IC!AS3:AS39)</f>
        <v>1.9578947368421054</v>
      </c>
    </row>
    <row r="1726" spans="1:15">
      <c r="A1726" s="284">
        <f t="shared" si="74"/>
        <v>14.9999999985</v>
      </c>
      <c r="B1726" s="284">
        <v>15</v>
      </c>
      <c r="C1726" s="268">
        <v>0</v>
      </c>
      <c r="D1726" s="271">
        <f>C1726*100/C1729</f>
        <v>0</v>
      </c>
      <c r="E1726" s="272">
        <v>0</v>
      </c>
      <c r="F1726" s="271">
        <f>E1726*100/E1729</f>
        <v>0</v>
      </c>
      <c r="G1726" s="272">
        <v>0</v>
      </c>
      <c r="H1726" s="271">
        <f>G1726*100/G1729</f>
        <v>0</v>
      </c>
      <c r="I1726" s="272">
        <v>0</v>
      </c>
      <c r="J1726" s="273">
        <f>I1726*100/I1729</f>
        <v>0</v>
      </c>
      <c r="L1726" s="80" t="s">
        <v>531</v>
      </c>
      <c r="M1726" s="80" t="s">
        <v>882</v>
      </c>
      <c r="N1726" s="80" t="s">
        <v>883</v>
      </c>
      <c r="O1726" s="139">
        <f>AVERAGE(IC!AS40:AS64)</f>
        <v>1.9484615384615382</v>
      </c>
    </row>
    <row r="1727" spans="1:15">
      <c r="A1727" s="284">
        <f t="shared" si="74"/>
        <v>15.9999999984</v>
      </c>
      <c r="B1727" s="285">
        <v>16</v>
      </c>
      <c r="C1727" s="219">
        <v>0</v>
      </c>
      <c r="D1727" s="220">
        <f>C1727*100/C1729</f>
        <v>0</v>
      </c>
      <c r="E1727" s="221">
        <v>1</v>
      </c>
      <c r="F1727" s="220">
        <f>E1727*100/E1729</f>
        <v>2.6315789473614957</v>
      </c>
      <c r="G1727" s="221">
        <v>0</v>
      </c>
      <c r="H1727" s="220">
        <f>G1727*100/G1729</f>
        <v>0</v>
      </c>
      <c r="I1727" s="221">
        <v>0</v>
      </c>
      <c r="J1727" s="281">
        <f>I1727*100/I1729</f>
        <v>0</v>
      </c>
    </row>
    <row r="1728" spans="1:15" ht="15" thickBot="1">
      <c r="A1728" s="284">
        <f>0.9999999999*B1728</f>
        <v>16.999999998299998</v>
      </c>
      <c r="B1728" s="284">
        <v>17</v>
      </c>
      <c r="C1728" s="275">
        <v>0</v>
      </c>
      <c r="D1728" s="280">
        <f>C1728*100/C1729</f>
        <v>0</v>
      </c>
      <c r="E1728" s="272">
        <v>0</v>
      </c>
      <c r="F1728" s="271">
        <f>E1728*100/E1729</f>
        <v>0</v>
      </c>
      <c r="G1728" s="272">
        <v>0</v>
      </c>
      <c r="H1728" s="271">
        <f>G1728*100/G1729</f>
        <v>0</v>
      </c>
      <c r="I1728" s="275">
        <v>0</v>
      </c>
      <c r="J1728" s="276">
        <f>I1728*100/I1729</f>
        <v>0</v>
      </c>
    </row>
    <row r="1729" spans="1:10" ht="15" thickBot="1">
      <c r="A1729" s="309" t="s">
        <v>396</v>
      </c>
      <c r="B1729" s="309"/>
      <c r="C1729" s="277">
        <f>SUM(C1700:C1728)+0.0000000001</f>
        <v>8.0000000001</v>
      </c>
      <c r="D1729" s="279">
        <f>SUM(D1701:D1728)</f>
        <v>99.999999998749999</v>
      </c>
      <c r="E1729" s="278">
        <f>SUM(E1700:E1728)+0.0000000001</f>
        <v>38.000000000100002</v>
      </c>
      <c r="F1729" s="279">
        <f>SUM(F1700:F1728)</f>
        <v>99.999999999736829</v>
      </c>
      <c r="G1729" s="314">
        <f>SUM(G1700:G1728)+0.0000000001</f>
        <v>19.000000000099998</v>
      </c>
      <c r="H1729" s="279">
        <f>SUM(H1700:H1728)</f>
        <v>99.999999999473687</v>
      </c>
      <c r="I1729" s="278">
        <f>SUM(I1700:I1728)+0.0000000001</f>
        <v>13.0000000001</v>
      </c>
      <c r="J1729" s="279">
        <f>SUM(J1700:J1728)</f>
        <v>99.999999999230766</v>
      </c>
    </row>
    <row r="1730" spans="1:10" ht="15" thickBot="1">
      <c r="A1730" s="778">
        <f>C1729+E1729+G1729+I1729</f>
        <v>78.000000000400007</v>
      </c>
      <c r="B1730" s="779"/>
      <c r="C1730" s="779"/>
      <c r="D1730" s="779"/>
      <c r="E1730" s="779"/>
      <c r="F1730" s="779"/>
      <c r="G1730" s="779"/>
      <c r="H1730" s="779"/>
      <c r="I1730" s="779"/>
      <c r="J1730" s="780"/>
    </row>
    <row r="1746" spans="1:19">
      <c r="O1746" s="781" t="s">
        <v>921</v>
      </c>
      <c r="P1746" s="781"/>
      <c r="Q1746" s="781"/>
      <c r="R1746" s="781"/>
      <c r="S1746" s="781"/>
    </row>
    <row r="1747" spans="1:19" ht="15" thickBot="1">
      <c r="A1747" s="250"/>
    </row>
    <row r="1748" spans="1:19" ht="15.75" customHeight="1" thickBot="1">
      <c r="A1748" s="798" t="s">
        <v>752</v>
      </c>
      <c r="B1748" s="780"/>
      <c r="C1748" s="799" t="s">
        <v>400</v>
      </c>
      <c r="D1748" s="799"/>
      <c r="E1748" s="800" t="s">
        <v>946</v>
      </c>
      <c r="F1748" s="800"/>
      <c r="G1748" s="799" t="s">
        <v>948</v>
      </c>
      <c r="H1748" s="799"/>
      <c r="I1748" s="800" t="s">
        <v>947</v>
      </c>
      <c r="J1748" s="800"/>
    </row>
    <row r="1749" spans="1:19" ht="15" thickBot="1">
      <c r="A1749" s="251" t="s">
        <v>887</v>
      </c>
      <c r="B1749" s="251" t="s">
        <v>243</v>
      </c>
      <c r="C1749" s="252" t="s">
        <v>397</v>
      </c>
      <c r="D1749" s="253" t="s">
        <v>945</v>
      </c>
      <c r="E1749" s="254" t="s">
        <v>397</v>
      </c>
      <c r="F1749" s="255" t="s">
        <v>945</v>
      </c>
      <c r="G1749" s="256" t="s">
        <v>397</v>
      </c>
      <c r="H1749" s="257" t="s">
        <v>945</v>
      </c>
      <c r="I1749" s="254" t="s">
        <v>397</v>
      </c>
      <c r="J1749" s="258" t="s">
        <v>945</v>
      </c>
    </row>
    <row r="1750" spans="1:19">
      <c r="A1750" s="284">
        <f>0.9999999999*B1750</f>
        <v>0.99999999989999999</v>
      </c>
      <c r="B1750" s="284">
        <v>1</v>
      </c>
      <c r="C1750" s="260">
        <f t="array" ref="C1750:C1778">FREQUENCY(Discrete!AD3:AD20,Hists!A1751:A1778)</f>
        <v>0</v>
      </c>
      <c r="D1750" s="261">
        <f>C1750*100/C1779</f>
        <v>0</v>
      </c>
      <c r="E1750" s="260">
        <f t="array" ref="E1750:E1778">FREQUENCY(Discrete!AD21:AD78,Hists!A1751:A1778)</f>
        <v>0</v>
      </c>
      <c r="F1750" s="261">
        <f>E1750*100/E1779</f>
        <v>0</v>
      </c>
      <c r="G1750" s="260">
        <f t="array" ref="G1750:G1778">FREQUENCY(IC!AT3:AT39,Hists!A1751:A1778)</f>
        <v>1</v>
      </c>
      <c r="H1750" s="261">
        <f>G1750*100/G1779</f>
        <v>5.263157894709142</v>
      </c>
      <c r="I1750" s="260">
        <f t="array" ref="I1750:I1778">FREQUENCY(IC!AT40:AT64,Hists!A1751:A1778)</f>
        <v>0</v>
      </c>
      <c r="J1750" s="262">
        <f>I1750*100/I1779</f>
        <v>0</v>
      </c>
    </row>
    <row r="1751" spans="1:19">
      <c r="A1751" s="284">
        <f>0.9999999999*B1751</f>
        <v>1.1999999998799999</v>
      </c>
      <c r="B1751" s="284">
        <v>1.2</v>
      </c>
      <c r="C1751" s="264">
        <v>0</v>
      </c>
      <c r="D1751" s="265">
        <f>C1751*100/C1779</f>
        <v>0</v>
      </c>
      <c r="E1751" s="264">
        <v>0</v>
      </c>
      <c r="F1751" s="265">
        <f>E1751*100/E1779</f>
        <v>0</v>
      </c>
      <c r="G1751" s="264">
        <v>0</v>
      </c>
      <c r="H1751" s="265">
        <f>G1751*100/G1779</f>
        <v>0</v>
      </c>
      <c r="I1751" s="264">
        <v>1</v>
      </c>
      <c r="J1751" s="266">
        <f>I1751*100/I1779</f>
        <v>7.6923076922485203</v>
      </c>
    </row>
    <row r="1752" spans="1:19">
      <c r="A1752" s="284">
        <f t="shared" ref="A1752:A1777" si="75">0.9999999999*B1752</f>
        <v>1.3999999998599999</v>
      </c>
      <c r="B1752" s="284">
        <v>1.4</v>
      </c>
      <c r="C1752" s="268">
        <v>0</v>
      </c>
      <c r="D1752" s="269">
        <f>C1752*100/C1779</f>
        <v>0</v>
      </c>
      <c r="E1752" s="268">
        <v>0</v>
      </c>
      <c r="F1752" s="269">
        <f>E1752*100/E1779</f>
        <v>0</v>
      </c>
      <c r="G1752" s="268">
        <v>0</v>
      </c>
      <c r="H1752" s="269">
        <f>G1752*100/G1779</f>
        <v>0</v>
      </c>
      <c r="I1752" s="268">
        <v>0</v>
      </c>
      <c r="J1752" s="270">
        <f>I1752*100/I1779</f>
        <v>0</v>
      </c>
    </row>
    <row r="1753" spans="1:19">
      <c r="A1753" s="284">
        <f t="shared" si="75"/>
        <v>1.5999999998400001</v>
      </c>
      <c r="B1753" s="285">
        <v>1.6</v>
      </c>
      <c r="C1753" s="264">
        <v>0</v>
      </c>
      <c r="D1753" s="265">
        <f>C1753*100/C1779</f>
        <v>0</v>
      </c>
      <c r="E1753" s="264">
        <v>0</v>
      </c>
      <c r="F1753" s="265">
        <f>E1753*100/E1779</f>
        <v>0</v>
      </c>
      <c r="G1753" s="264">
        <v>0</v>
      </c>
      <c r="H1753" s="265">
        <f>G1753*100/G1779</f>
        <v>0</v>
      </c>
      <c r="I1753" s="264">
        <v>0</v>
      </c>
      <c r="J1753" s="266">
        <f>I1753*100/I1779</f>
        <v>0</v>
      </c>
    </row>
    <row r="1754" spans="1:19">
      <c r="A1754" s="284">
        <f t="shared" si="75"/>
        <v>1.79999999982</v>
      </c>
      <c r="B1754" s="285">
        <v>1.8</v>
      </c>
      <c r="C1754" s="268">
        <v>0</v>
      </c>
      <c r="D1754" s="269">
        <f>C1754*100/C1779</f>
        <v>0</v>
      </c>
      <c r="E1754" s="268">
        <v>0</v>
      </c>
      <c r="F1754" s="269">
        <f>E1754*100/E1779</f>
        <v>0</v>
      </c>
      <c r="G1754" s="268">
        <v>0</v>
      </c>
      <c r="H1754" s="269">
        <f>G1754*100/G1779</f>
        <v>0</v>
      </c>
      <c r="I1754" s="268">
        <v>0</v>
      </c>
      <c r="J1754" s="270">
        <f>I1754*100/I1779</f>
        <v>0</v>
      </c>
    </row>
    <row r="1755" spans="1:19">
      <c r="A1755" s="284">
        <f t="shared" si="75"/>
        <v>1.9999999998</v>
      </c>
      <c r="B1755" s="285">
        <v>2</v>
      </c>
      <c r="C1755" s="264">
        <v>0</v>
      </c>
      <c r="D1755" s="265">
        <f>C1755*100/C1779</f>
        <v>0</v>
      </c>
      <c r="E1755" s="264">
        <v>0</v>
      </c>
      <c r="F1755" s="265">
        <f>E1755*100/E1779</f>
        <v>0</v>
      </c>
      <c r="G1755" s="264">
        <v>0</v>
      </c>
      <c r="H1755" s="265">
        <f>G1755*100/G1779</f>
        <v>0</v>
      </c>
      <c r="I1755" s="264">
        <v>0</v>
      </c>
      <c r="J1755" s="266">
        <f>I1755*100/I1779</f>
        <v>0</v>
      </c>
    </row>
    <row r="1756" spans="1:19">
      <c r="A1756" s="284">
        <f t="shared" si="75"/>
        <v>2.1999999997800002</v>
      </c>
      <c r="B1756" s="284">
        <v>2.2000000000000002</v>
      </c>
      <c r="C1756" s="268">
        <v>0</v>
      </c>
      <c r="D1756" s="269">
        <f>C1756*100/C1779</f>
        <v>0</v>
      </c>
      <c r="E1756" s="268">
        <v>0</v>
      </c>
      <c r="F1756" s="269">
        <f>E1756*100/E1779</f>
        <v>0</v>
      </c>
      <c r="G1756" s="268">
        <v>0</v>
      </c>
      <c r="H1756" s="269">
        <f>G1756*100/G1779</f>
        <v>0</v>
      </c>
      <c r="I1756" s="268">
        <v>0</v>
      </c>
      <c r="J1756" s="270">
        <f>I1756*100/I1779</f>
        <v>0</v>
      </c>
    </row>
    <row r="1757" spans="1:19">
      <c r="A1757" s="284">
        <f t="shared" si="75"/>
        <v>2.3999999997599999</v>
      </c>
      <c r="B1757" s="285">
        <v>2.4</v>
      </c>
      <c r="C1757" s="264">
        <v>0</v>
      </c>
      <c r="D1757" s="265">
        <f>C1757*100/C1779</f>
        <v>0</v>
      </c>
      <c r="E1757" s="264">
        <v>0</v>
      </c>
      <c r="F1757" s="265">
        <f>E1757*100/E1779</f>
        <v>0</v>
      </c>
      <c r="G1757" s="264">
        <v>0</v>
      </c>
      <c r="H1757" s="265">
        <f>G1757*100/G1779</f>
        <v>0</v>
      </c>
      <c r="I1757" s="264">
        <v>0</v>
      </c>
      <c r="J1757" s="266">
        <f>I1757*100/I1779</f>
        <v>0</v>
      </c>
    </row>
    <row r="1758" spans="1:19">
      <c r="A1758" s="284">
        <f t="shared" si="75"/>
        <v>2.5999999997400001</v>
      </c>
      <c r="B1758" s="284">
        <v>2.6</v>
      </c>
      <c r="C1758" s="268">
        <v>0</v>
      </c>
      <c r="D1758" s="269">
        <f>C1758*100/C1779</f>
        <v>0</v>
      </c>
      <c r="E1758" s="268">
        <v>0</v>
      </c>
      <c r="F1758" s="269">
        <f>E1758*100/E1779</f>
        <v>0</v>
      </c>
      <c r="G1758" s="268">
        <v>0</v>
      </c>
      <c r="H1758" s="269">
        <f>G1758*100/G1779</f>
        <v>0</v>
      </c>
      <c r="I1758" s="268">
        <v>0</v>
      </c>
      <c r="J1758" s="270">
        <f>I1758*100/I1779</f>
        <v>0</v>
      </c>
    </row>
    <row r="1759" spans="1:19">
      <c r="A1759" s="284">
        <f t="shared" si="75"/>
        <v>2.7999999997199998</v>
      </c>
      <c r="B1759" s="285">
        <v>2.8</v>
      </c>
      <c r="C1759" s="264">
        <v>0</v>
      </c>
      <c r="D1759" s="265">
        <f>C1759*100/C1779</f>
        <v>0</v>
      </c>
      <c r="E1759" s="264">
        <v>0</v>
      </c>
      <c r="F1759" s="265">
        <f>E1759*100/E1779</f>
        <v>0</v>
      </c>
      <c r="G1759" s="264">
        <v>0</v>
      </c>
      <c r="H1759" s="265">
        <f>G1759*100/G1779</f>
        <v>0</v>
      </c>
      <c r="I1759" s="264">
        <v>0</v>
      </c>
      <c r="J1759" s="266">
        <f>I1759*100/I1779</f>
        <v>0</v>
      </c>
    </row>
    <row r="1760" spans="1:19">
      <c r="A1760" s="284">
        <f t="shared" si="75"/>
        <v>2.9999999997</v>
      </c>
      <c r="B1760" s="284">
        <v>3</v>
      </c>
      <c r="C1760" s="268">
        <v>2</v>
      </c>
      <c r="D1760" s="269">
        <f>C1760*100/C1779</f>
        <v>24.9999999996875</v>
      </c>
      <c r="E1760" s="268">
        <v>2</v>
      </c>
      <c r="F1760" s="269">
        <f>E1760*100/E1779</f>
        <v>5.2631578947229913</v>
      </c>
      <c r="G1760" s="268">
        <v>0</v>
      </c>
      <c r="H1760" s="269">
        <f>G1760*100/G1779</f>
        <v>0</v>
      </c>
      <c r="I1760" s="268">
        <v>0</v>
      </c>
      <c r="J1760" s="270">
        <f>I1760*100/I1779</f>
        <v>0</v>
      </c>
    </row>
    <row r="1761" spans="1:10">
      <c r="A1761" s="284">
        <f t="shared" si="75"/>
        <v>3.1999999996800002</v>
      </c>
      <c r="B1761" s="285">
        <v>3.2</v>
      </c>
      <c r="C1761" s="264">
        <v>0</v>
      </c>
      <c r="D1761" s="265">
        <f>C1761*100/C1779</f>
        <v>0</v>
      </c>
      <c r="E1761" s="264">
        <v>9</v>
      </c>
      <c r="F1761" s="265">
        <f>E1761*100/E1779</f>
        <v>23.684210526253462</v>
      </c>
      <c r="G1761" s="264">
        <v>2</v>
      </c>
      <c r="H1761" s="265">
        <f>G1761*100/G1779</f>
        <v>10.526315789418284</v>
      </c>
      <c r="I1761" s="264">
        <v>0</v>
      </c>
      <c r="J1761" s="266">
        <f>I1761*100/I1779</f>
        <v>0</v>
      </c>
    </row>
    <row r="1762" spans="1:10">
      <c r="A1762" s="284">
        <f t="shared" si="75"/>
        <v>3.3999999996599999</v>
      </c>
      <c r="B1762" s="284">
        <v>3.4</v>
      </c>
      <c r="C1762" s="268">
        <v>0</v>
      </c>
      <c r="D1762" s="269">
        <f>C1762*100/C1779</f>
        <v>0</v>
      </c>
      <c r="E1762" s="268">
        <v>1</v>
      </c>
      <c r="F1762" s="269">
        <f>E1762*100/E1779</f>
        <v>2.6315789473614957</v>
      </c>
      <c r="G1762" s="268">
        <v>0</v>
      </c>
      <c r="H1762" s="269">
        <f>G1762*100/G1779</f>
        <v>0</v>
      </c>
      <c r="I1762" s="268">
        <v>1</v>
      </c>
      <c r="J1762" s="270">
        <f>I1762*100/I1779</f>
        <v>7.6923076922485203</v>
      </c>
    </row>
    <row r="1763" spans="1:10">
      <c r="A1763" s="284">
        <f t="shared" si="75"/>
        <v>3.5999999996400001</v>
      </c>
      <c r="B1763" s="285">
        <v>3.6</v>
      </c>
      <c r="C1763" s="264">
        <v>6</v>
      </c>
      <c r="D1763" s="265">
        <f>C1763*100/C1779</f>
        <v>74.999999999062496</v>
      </c>
      <c r="E1763" s="264">
        <v>9</v>
      </c>
      <c r="F1763" s="265">
        <f>E1763*100/E1779</f>
        <v>23.684210526253462</v>
      </c>
      <c r="G1763" s="264">
        <v>8</v>
      </c>
      <c r="H1763" s="265">
        <f>G1763*100/G1779</f>
        <v>42.105263157673136</v>
      </c>
      <c r="I1763" s="264">
        <v>9</v>
      </c>
      <c r="J1763" s="266">
        <f>I1763*100/I1779</f>
        <v>69.230769230236689</v>
      </c>
    </row>
    <row r="1764" spans="1:10">
      <c r="A1764" s="284">
        <f t="shared" si="75"/>
        <v>3.7999999996199998</v>
      </c>
      <c r="B1764" s="284">
        <v>3.8</v>
      </c>
      <c r="C1764" s="268">
        <v>0</v>
      </c>
      <c r="D1764" s="269">
        <f>C1764*100/C1779</f>
        <v>0</v>
      </c>
      <c r="E1764" s="268">
        <v>0</v>
      </c>
      <c r="F1764" s="269">
        <f>E1764*100/E1779</f>
        <v>0</v>
      </c>
      <c r="G1764" s="268">
        <v>8</v>
      </c>
      <c r="H1764" s="269">
        <f>G1764*100/G1779</f>
        <v>42.105263157673136</v>
      </c>
      <c r="I1764" s="268">
        <v>0</v>
      </c>
      <c r="J1764" s="270">
        <f>I1764*100/I1779</f>
        <v>0</v>
      </c>
    </row>
    <row r="1765" spans="1:10">
      <c r="A1765" s="284">
        <f t="shared" si="75"/>
        <v>3.9999999996</v>
      </c>
      <c r="B1765" s="285">
        <v>4</v>
      </c>
      <c r="C1765" s="264">
        <v>0</v>
      </c>
      <c r="D1765" s="265">
        <f>C1765*100/C1779</f>
        <v>0</v>
      </c>
      <c r="E1765" s="264">
        <v>4</v>
      </c>
      <c r="F1765" s="265">
        <f>E1765*100/E1779</f>
        <v>10.526315789445983</v>
      </c>
      <c r="G1765" s="264">
        <v>0</v>
      </c>
      <c r="H1765" s="265">
        <f>G1765*100/G1779</f>
        <v>0</v>
      </c>
      <c r="I1765" s="264">
        <v>0</v>
      </c>
      <c r="J1765" s="266">
        <f>I1765*100/I1779</f>
        <v>0</v>
      </c>
    </row>
    <row r="1766" spans="1:10">
      <c r="A1766" s="284">
        <f t="shared" si="75"/>
        <v>4.9999999995</v>
      </c>
      <c r="B1766" s="284">
        <v>5</v>
      </c>
      <c r="C1766" s="268">
        <v>0</v>
      </c>
      <c r="D1766" s="269">
        <f>C1766*100/C1779</f>
        <v>0</v>
      </c>
      <c r="E1766" s="268">
        <v>7</v>
      </c>
      <c r="F1766" s="269">
        <f>E1766*100/E1779</f>
        <v>18.421052631530468</v>
      </c>
      <c r="G1766" s="268">
        <v>0</v>
      </c>
      <c r="H1766" s="269">
        <f>G1766*100/G1779</f>
        <v>0</v>
      </c>
      <c r="I1766" s="268">
        <v>2</v>
      </c>
      <c r="J1766" s="270">
        <f>I1766*100/I1779</f>
        <v>15.384615384497041</v>
      </c>
    </row>
    <row r="1767" spans="1:10">
      <c r="A1767" s="284">
        <f t="shared" si="75"/>
        <v>5.9999999994</v>
      </c>
      <c r="B1767" s="285">
        <v>6</v>
      </c>
      <c r="C1767" s="264">
        <v>0</v>
      </c>
      <c r="D1767" s="265">
        <f>C1767*100/C1779</f>
        <v>0</v>
      </c>
      <c r="E1767" s="264">
        <v>1</v>
      </c>
      <c r="F1767" s="265">
        <f>E1767*100/E1779</f>
        <v>2.6315789473614957</v>
      </c>
      <c r="G1767" s="264">
        <v>0</v>
      </c>
      <c r="H1767" s="265">
        <f>G1767*100/G1779</f>
        <v>0</v>
      </c>
      <c r="I1767" s="264">
        <v>0</v>
      </c>
      <c r="J1767" s="266">
        <f>I1767*100/I1779</f>
        <v>0</v>
      </c>
    </row>
    <row r="1768" spans="1:10">
      <c r="A1768" s="284">
        <f t="shared" si="75"/>
        <v>6.9999999992999999</v>
      </c>
      <c r="B1768" s="284">
        <v>7</v>
      </c>
      <c r="C1768" s="268">
        <v>0</v>
      </c>
      <c r="D1768" s="269">
        <f>C1768*100/C1779</f>
        <v>0</v>
      </c>
      <c r="E1768" s="268">
        <v>1</v>
      </c>
      <c r="F1768" s="269">
        <f>E1768*100/E1779</f>
        <v>2.6315789473614957</v>
      </c>
      <c r="G1768" s="268">
        <v>0</v>
      </c>
      <c r="H1768" s="269">
        <f>G1768*100/G1779</f>
        <v>0</v>
      </c>
      <c r="I1768" s="268">
        <v>0</v>
      </c>
      <c r="J1768" s="270">
        <f>I1768*100/I1779</f>
        <v>0</v>
      </c>
    </row>
    <row r="1769" spans="1:10">
      <c r="A1769" s="284">
        <f t="shared" si="75"/>
        <v>7.9999999991999999</v>
      </c>
      <c r="B1769" s="285">
        <v>8</v>
      </c>
      <c r="C1769" s="264">
        <v>0</v>
      </c>
      <c r="D1769" s="265">
        <f>C1769*100/C1779</f>
        <v>0</v>
      </c>
      <c r="E1769" s="264">
        <v>0</v>
      </c>
      <c r="F1769" s="265">
        <f>E1769*100/E1779</f>
        <v>0</v>
      </c>
      <c r="G1769" s="264">
        <v>0</v>
      </c>
      <c r="H1769" s="265">
        <f>G1769*100/G1779</f>
        <v>0</v>
      </c>
      <c r="I1769" s="264">
        <v>0</v>
      </c>
      <c r="J1769" s="266">
        <f>I1769*100/I1779</f>
        <v>0</v>
      </c>
    </row>
    <row r="1770" spans="1:10">
      <c r="A1770" s="284">
        <f t="shared" si="75"/>
        <v>8.9999999990999999</v>
      </c>
      <c r="B1770" s="284">
        <v>9</v>
      </c>
      <c r="C1770" s="268">
        <v>0</v>
      </c>
      <c r="D1770" s="269">
        <f>C1770*100/C1779</f>
        <v>0</v>
      </c>
      <c r="E1770" s="268">
        <v>0</v>
      </c>
      <c r="F1770" s="269">
        <f>E1770*100/E1779</f>
        <v>0</v>
      </c>
      <c r="G1770" s="268">
        <v>0</v>
      </c>
      <c r="H1770" s="269">
        <f>G1770*100/G1779</f>
        <v>0</v>
      </c>
      <c r="I1770" s="268">
        <v>0</v>
      </c>
      <c r="J1770" s="270">
        <f>I1770*100/I1779</f>
        <v>0</v>
      </c>
    </row>
    <row r="1771" spans="1:10">
      <c r="A1771" s="284">
        <f t="shared" si="75"/>
        <v>9.9999999989999999</v>
      </c>
      <c r="B1771" s="285">
        <v>10</v>
      </c>
      <c r="C1771" s="264">
        <v>0</v>
      </c>
      <c r="D1771" s="265">
        <f>C1771*100/C1779</f>
        <v>0</v>
      </c>
      <c r="E1771" s="264">
        <v>0</v>
      </c>
      <c r="F1771" s="265">
        <f>E1771*100/E1779</f>
        <v>0</v>
      </c>
      <c r="G1771" s="264">
        <v>0</v>
      </c>
      <c r="H1771" s="265">
        <f>G1771*100/G1779</f>
        <v>0</v>
      </c>
      <c r="I1771" s="264">
        <v>0</v>
      </c>
      <c r="J1771" s="266">
        <f>I1771*100/I1779</f>
        <v>0</v>
      </c>
    </row>
    <row r="1772" spans="1:10">
      <c r="A1772" s="284">
        <f t="shared" si="75"/>
        <v>14.9999999985</v>
      </c>
      <c r="B1772" s="284">
        <v>15</v>
      </c>
      <c r="C1772" s="268">
        <v>0</v>
      </c>
      <c r="D1772" s="271">
        <f>C1772*100/C1779</f>
        <v>0</v>
      </c>
      <c r="E1772" s="272">
        <v>0</v>
      </c>
      <c r="F1772" s="271">
        <f>E1772*100/E1779</f>
        <v>0</v>
      </c>
      <c r="G1772" s="272">
        <v>0</v>
      </c>
      <c r="H1772" s="271">
        <f>G1772*100/G1779</f>
        <v>0</v>
      </c>
      <c r="I1772" s="272">
        <v>0</v>
      </c>
      <c r="J1772" s="273">
        <f>I1772*100/I1779</f>
        <v>0</v>
      </c>
    </row>
    <row r="1773" spans="1:10">
      <c r="A1773" s="284">
        <f t="shared" si="75"/>
        <v>19.999999998</v>
      </c>
      <c r="B1773" s="285">
        <v>20</v>
      </c>
      <c r="C1773" s="219">
        <v>0</v>
      </c>
      <c r="D1773" s="220">
        <f>C1773*100/C1779</f>
        <v>0</v>
      </c>
      <c r="E1773" s="221">
        <v>0</v>
      </c>
      <c r="F1773" s="220">
        <f>E1773*100/E1779</f>
        <v>0</v>
      </c>
      <c r="G1773" s="221">
        <v>0</v>
      </c>
      <c r="H1773" s="220">
        <f>G1773*100/G1779</f>
        <v>0</v>
      </c>
      <c r="I1773" s="221">
        <v>0</v>
      </c>
      <c r="J1773" s="281">
        <f>I1773*100/I1779</f>
        <v>0</v>
      </c>
    </row>
    <row r="1774" spans="1:10">
      <c r="A1774" s="284">
        <f t="shared" si="75"/>
        <v>24.999999997499998</v>
      </c>
      <c r="B1774" s="284">
        <v>25</v>
      </c>
      <c r="C1774" s="268">
        <v>0</v>
      </c>
      <c r="D1774" s="271">
        <f>C1774*100/C1779</f>
        <v>0</v>
      </c>
      <c r="E1774" s="272">
        <v>0</v>
      </c>
      <c r="F1774" s="271">
        <f>E1774*100/E1779</f>
        <v>0</v>
      </c>
      <c r="G1774" s="272">
        <v>0</v>
      </c>
      <c r="H1774" s="271">
        <f>G1774*100/G1779</f>
        <v>0</v>
      </c>
      <c r="I1774" s="272">
        <v>0</v>
      </c>
      <c r="J1774" s="273">
        <f>I1774*100/I1779</f>
        <v>0</v>
      </c>
    </row>
    <row r="1775" spans="1:10">
      <c r="A1775" s="284">
        <f t="shared" si="75"/>
        <v>29.999999997</v>
      </c>
      <c r="B1775" s="285">
        <v>30</v>
      </c>
      <c r="C1775" s="219">
        <v>0</v>
      </c>
      <c r="D1775" s="220">
        <f>C1775*100/C1779</f>
        <v>0</v>
      </c>
      <c r="E1775" s="221">
        <v>1</v>
      </c>
      <c r="F1775" s="220">
        <f>E1775*100/E1779</f>
        <v>2.6315789473614957</v>
      </c>
      <c r="G1775" s="221">
        <v>0</v>
      </c>
      <c r="H1775" s="220">
        <f>G1775*100/G1779</f>
        <v>0</v>
      </c>
      <c r="I1775" s="221">
        <v>0</v>
      </c>
      <c r="J1775" s="281">
        <f>I1775*100/I1779</f>
        <v>0</v>
      </c>
    </row>
    <row r="1776" spans="1:10">
      <c r="A1776" s="284">
        <f t="shared" si="75"/>
        <v>34.999999996500001</v>
      </c>
      <c r="B1776" s="284">
        <v>35</v>
      </c>
      <c r="C1776" s="268">
        <v>0</v>
      </c>
      <c r="D1776" s="271">
        <f>C1776*100/C1779</f>
        <v>0</v>
      </c>
      <c r="E1776" s="272">
        <v>1</v>
      </c>
      <c r="F1776" s="271">
        <f>E1776*100/E1779</f>
        <v>2.6315789473614957</v>
      </c>
      <c r="G1776" s="272">
        <v>0</v>
      </c>
      <c r="H1776" s="271">
        <f>G1776*100/G1779</f>
        <v>0</v>
      </c>
      <c r="I1776" s="272">
        <v>0</v>
      </c>
      <c r="J1776" s="273">
        <f>I1776*100/I1779</f>
        <v>0</v>
      </c>
    </row>
    <row r="1777" spans="1:10">
      <c r="A1777" s="284">
        <f t="shared" si="75"/>
        <v>39.999999996</v>
      </c>
      <c r="B1777" s="285">
        <v>40</v>
      </c>
      <c r="C1777" s="219">
        <v>0</v>
      </c>
      <c r="D1777" s="220">
        <f>C1777*100/C1779</f>
        <v>0</v>
      </c>
      <c r="E1777" s="221">
        <v>2</v>
      </c>
      <c r="F1777" s="220">
        <f>E1777*100/E1779</f>
        <v>5.2631578947229913</v>
      </c>
      <c r="G1777" s="221">
        <v>0</v>
      </c>
      <c r="H1777" s="220">
        <f>G1777*100/G1779</f>
        <v>0</v>
      </c>
      <c r="I1777" s="221">
        <v>0</v>
      </c>
      <c r="J1777" s="281">
        <f>I1777*100/I1779</f>
        <v>0</v>
      </c>
    </row>
    <row r="1778" spans="1:10" ht="15" thickBot="1">
      <c r="A1778" s="284">
        <f>0.9999999999*B1778</f>
        <v>44.999999995499998</v>
      </c>
      <c r="B1778" s="284">
        <v>45</v>
      </c>
      <c r="C1778" s="275">
        <v>0</v>
      </c>
      <c r="D1778" s="280">
        <f>C1778*100/C1779</f>
        <v>0</v>
      </c>
      <c r="E1778" s="272">
        <v>0</v>
      </c>
      <c r="F1778" s="271">
        <f>E1778*100/E1779</f>
        <v>0</v>
      </c>
      <c r="G1778" s="272">
        <v>0</v>
      </c>
      <c r="H1778" s="271">
        <f>G1778*100/G1779</f>
        <v>0</v>
      </c>
      <c r="I1778" s="275">
        <v>0</v>
      </c>
      <c r="J1778" s="276">
        <f>I1778*100/I1779</f>
        <v>0</v>
      </c>
    </row>
    <row r="1779" spans="1:10" ht="15" thickBot="1">
      <c r="A1779" s="317" t="s">
        <v>396</v>
      </c>
      <c r="B1779" s="317"/>
      <c r="C1779" s="277">
        <f>SUM(C1750:C1778)+0.0000000001</f>
        <v>8.0000000001</v>
      </c>
      <c r="D1779" s="279">
        <f>SUM(D1751:D1778)</f>
        <v>99.999999998749999</v>
      </c>
      <c r="E1779" s="278">
        <f>SUM(E1750:E1778)+0.0000000001</f>
        <v>38.000000000100002</v>
      </c>
      <c r="F1779" s="279">
        <f>SUM(F1750:F1778)</f>
        <v>99.999999999736829</v>
      </c>
      <c r="G1779" s="314">
        <f>SUM(G1750:G1778)+0.0000000001</f>
        <v>19.000000000099998</v>
      </c>
      <c r="H1779" s="279">
        <f>SUM(H1750:H1778)</f>
        <v>99.999999999473701</v>
      </c>
      <c r="I1779" s="278">
        <f>SUM(I1750:I1778)+0.0000000001</f>
        <v>13.0000000001</v>
      </c>
      <c r="J1779" s="279">
        <f>SUM(J1750:J1778)</f>
        <v>99.999999999230766</v>
      </c>
    </row>
    <row r="1780" spans="1:10" ht="15" thickBot="1">
      <c r="A1780" s="778">
        <f>C1779+E1779+G1779+I1779</f>
        <v>78.000000000400007</v>
      </c>
      <c r="B1780" s="779"/>
      <c r="C1780" s="779"/>
      <c r="D1780" s="779"/>
      <c r="E1780" s="779"/>
      <c r="F1780" s="779"/>
      <c r="G1780" s="779"/>
      <c r="H1780" s="779"/>
      <c r="I1780" s="779"/>
      <c r="J1780" s="780"/>
    </row>
    <row r="1796" spans="1:19">
      <c r="O1796" s="781" t="s">
        <v>922</v>
      </c>
      <c r="P1796" s="781"/>
      <c r="Q1796" s="781"/>
      <c r="R1796" s="781"/>
      <c r="S1796" s="781"/>
    </row>
    <row r="1797" spans="1:19" ht="15" thickBot="1">
      <c r="A1797" s="250"/>
    </row>
    <row r="1798" spans="1:19" ht="15.75" customHeight="1" thickBot="1">
      <c r="A1798" s="798" t="s">
        <v>755</v>
      </c>
      <c r="B1798" s="780"/>
      <c r="C1798" s="799" t="s">
        <v>400</v>
      </c>
      <c r="D1798" s="799"/>
      <c r="E1798" s="800" t="s">
        <v>946</v>
      </c>
      <c r="F1798" s="800"/>
      <c r="G1798" s="799" t="s">
        <v>948</v>
      </c>
      <c r="H1798" s="799"/>
      <c r="I1798" s="800" t="s">
        <v>947</v>
      </c>
      <c r="J1798" s="800"/>
    </row>
    <row r="1799" spans="1:19" ht="15" thickBot="1">
      <c r="A1799" s="251" t="s">
        <v>887</v>
      </c>
      <c r="B1799" s="251" t="s">
        <v>243</v>
      </c>
      <c r="C1799" s="252" t="s">
        <v>397</v>
      </c>
      <c r="D1799" s="253" t="s">
        <v>945</v>
      </c>
      <c r="E1799" s="254" t="s">
        <v>397</v>
      </c>
      <c r="F1799" s="255" t="s">
        <v>945</v>
      </c>
      <c r="G1799" s="256" t="s">
        <v>397</v>
      </c>
      <c r="H1799" s="257" t="s">
        <v>945</v>
      </c>
      <c r="I1799" s="254" t="s">
        <v>397</v>
      </c>
      <c r="J1799" s="258" t="s">
        <v>945</v>
      </c>
    </row>
    <row r="1800" spans="1:19">
      <c r="A1800" s="284">
        <f>0.9999999999*B1800</f>
        <v>9.9999999990000005E-2</v>
      </c>
      <c r="B1800" s="284">
        <v>0.1</v>
      </c>
      <c r="C1800" s="260">
        <f t="array" ref="C1800:C1835">FREQUENCY(Discrete!AP3:AP20,Hists!A1801:A1835)</f>
        <v>0</v>
      </c>
      <c r="D1800" s="261">
        <f>C1800*100/C1836</f>
        <v>0</v>
      </c>
      <c r="E1800" s="260">
        <f t="array" ref="E1800:E1835">FREQUENCY(Discrete!AP21:AP78,Hists!A1801:A1835)</f>
        <v>0</v>
      </c>
      <c r="F1800" s="261">
        <f>E1800*100/E1836</f>
        <v>0</v>
      </c>
      <c r="G1800" s="260">
        <f t="array" ref="G1800:G1835">FREQUENCY(IC!BB3:BB39,Hists!A1801:A1835)</f>
        <v>0</v>
      </c>
      <c r="H1800" s="261">
        <f>G1800*100/G1836</f>
        <v>0</v>
      </c>
      <c r="I1800" s="260">
        <f t="array" ref="I1800:I1835">FREQUENCY(IC!BB40:BB64,Hists!A1801:A1835)</f>
        <v>0</v>
      </c>
      <c r="J1800" s="262">
        <f>I1800*100/I1836</f>
        <v>0</v>
      </c>
    </row>
    <row r="1801" spans="1:19">
      <c r="A1801" s="284">
        <f>0.9999999999*B1801</f>
        <v>0.19999999998000001</v>
      </c>
      <c r="B1801" s="284">
        <v>0.2</v>
      </c>
      <c r="C1801" s="264">
        <v>0</v>
      </c>
      <c r="D1801" s="265">
        <f>C1801*100/C1836</f>
        <v>0</v>
      </c>
      <c r="E1801" s="264">
        <v>0</v>
      </c>
      <c r="F1801" s="265">
        <f>E1801*100/E1836</f>
        <v>0</v>
      </c>
      <c r="G1801" s="264">
        <v>0</v>
      </c>
      <c r="H1801" s="265">
        <f>G1801*100/G1836</f>
        <v>0</v>
      </c>
      <c r="I1801" s="264">
        <v>1</v>
      </c>
      <c r="J1801" s="266">
        <f>I1801*100/I1836</f>
        <v>11.111111110987654</v>
      </c>
    </row>
    <row r="1802" spans="1:19">
      <c r="A1802" s="284">
        <f t="shared" ref="A1802:A1834" si="76">0.9999999999*B1802</f>
        <v>0.29999999996999999</v>
      </c>
      <c r="B1802" s="284">
        <v>0.3</v>
      </c>
      <c r="C1802" s="268">
        <v>0</v>
      </c>
      <c r="D1802" s="269">
        <f>C1802*100/C1836</f>
        <v>0</v>
      </c>
      <c r="E1802" s="268">
        <v>0</v>
      </c>
      <c r="F1802" s="269">
        <f>E1802*100/E1836</f>
        <v>0</v>
      </c>
      <c r="G1802" s="268">
        <v>0</v>
      </c>
      <c r="H1802" s="269">
        <f>G1802*100/G1836</f>
        <v>0</v>
      </c>
      <c r="I1802" s="268">
        <v>0</v>
      </c>
      <c r="J1802" s="270">
        <f>I1802*100/I1836</f>
        <v>0</v>
      </c>
    </row>
    <row r="1803" spans="1:19">
      <c r="A1803" s="284">
        <f t="shared" si="76"/>
        <v>0.39999999996000002</v>
      </c>
      <c r="B1803" s="284">
        <v>0.4</v>
      </c>
      <c r="C1803" s="264">
        <v>0</v>
      </c>
      <c r="D1803" s="265">
        <f>C1803*100/C1836</f>
        <v>0</v>
      </c>
      <c r="E1803" s="264">
        <v>0</v>
      </c>
      <c r="F1803" s="265">
        <f>E1803*100/E1836</f>
        <v>0</v>
      </c>
      <c r="G1803" s="264">
        <v>0</v>
      </c>
      <c r="H1803" s="265">
        <f>G1803*100/G1836</f>
        <v>0</v>
      </c>
      <c r="I1803" s="264">
        <v>0</v>
      </c>
      <c r="J1803" s="266">
        <f>I1803*100/I1836</f>
        <v>0</v>
      </c>
    </row>
    <row r="1804" spans="1:19">
      <c r="A1804" s="284">
        <f t="shared" si="76"/>
        <v>0.49999999995</v>
      </c>
      <c r="B1804" s="284">
        <v>0.5</v>
      </c>
      <c r="C1804" s="268">
        <v>0</v>
      </c>
      <c r="D1804" s="269">
        <f>C1804*100/C1836</f>
        <v>0</v>
      </c>
      <c r="E1804" s="268">
        <v>0</v>
      </c>
      <c r="F1804" s="269">
        <f>E1804*100/E1836</f>
        <v>0</v>
      </c>
      <c r="G1804" s="268">
        <v>0</v>
      </c>
      <c r="H1804" s="269">
        <f>G1804*100/G1836</f>
        <v>0</v>
      </c>
      <c r="I1804" s="268">
        <v>0</v>
      </c>
      <c r="J1804" s="270">
        <f>I1804*100/I1836</f>
        <v>0</v>
      </c>
    </row>
    <row r="1805" spans="1:19">
      <c r="A1805" s="284">
        <f t="shared" si="76"/>
        <v>0.59999999993999997</v>
      </c>
      <c r="B1805" s="284">
        <v>0.6</v>
      </c>
      <c r="C1805" s="264">
        <v>0</v>
      </c>
      <c r="D1805" s="265">
        <f>C1805*100/C1836</f>
        <v>0</v>
      </c>
      <c r="E1805" s="264">
        <v>0</v>
      </c>
      <c r="F1805" s="265">
        <f>E1805*100/E1836</f>
        <v>0</v>
      </c>
      <c r="G1805" s="264">
        <v>5</v>
      </c>
      <c r="H1805" s="265">
        <f>G1805*100/G1836</f>
        <v>45.45454545413223</v>
      </c>
      <c r="I1805" s="264">
        <v>0</v>
      </c>
      <c r="J1805" s="266">
        <f>I1805*100/I1836</f>
        <v>0</v>
      </c>
    </row>
    <row r="1806" spans="1:19">
      <c r="A1806" s="284">
        <f t="shared" si="76"/>
        <v>0.69999999992999995</v>
      </c>
      <c r="B1806" s="284">
        <v>0.7</v>
      </c>
      <c r="C1806" s="268">
        <v>0</v>
      </c>
      <c r="D1806" s="269">
        <f>C1806*100/C1836</f>
        <v>0</v>
      </c>
      <c r="E1806" s="268">
        <v>0</v>
      </c>
      <c r="F1806" s="269">
        <f>E1806*100/E1836</f>
        <v>0</v>
      </c>
      <c r="G1806" s="268">
        <v>0</v>
      </c>
      <c r="H1806" s="269">
        <f>G1806*100/G1836</f>
        <v>0</v>
      </c>
      <c r="I1806" s="268">
        <v>0</v>
      </c>
      <c r="J1806" s="270">
        <f>I1806*100/I1836</f>
        <v>0</v>
      </c>
    </row>
    <row r="1807" spans="1:19">
      <c r="A1807" s="284">
        <f t="shared" si="76"/>
        <v>0.79999999992000004</v>
      </c>
      <c r="B1807" s="284">
        <v>0.8</v>
      </c>
      <c r="C1807" s="264">
        <v>0</v>
      </c>
      <c r="D1807" s="265">
        <f>C1807*100/C1836</f>
        <v>0</v>
      </c>
      <c r="E1807" s="264">
        <v>0</v>
      </c>
      <c r="F1807" s="265">
        <f>E1807*100/E1836</f>
        <v>0</v>
      </c>
      <c r="G1807" s="264">
        <v>0</v>
      </c>
      <c r="H1807" s="265">
        <f>G1807*100/G1836</f>
        <v>0</v>
      </c>
      <c r="I1807" s="264">
        <v>0</v>
      </c>
      <c r="J1807" s="266">
        <f>I1807*100/I1836</f>
        <v>0</v>
      </c>
    </row>
    <row r="1808" spans="1:19">
      <c r="A1808" s="284">
        <f t="shared" si="76"/>
        <v>0.89999999991000001</v>
      </c>
      <c r="B1808" s="284">
        <v>0.9</v>
      </c>
      <c r="C1808" s="268">
        <v>0</v>
      </c>
      <c r="D1808" s="269">
        <f>C1808*100/C1836</f>
        <v>0</v>
      </c>
      <c r="E1808" s="268">
        <v>0</v>
      </c>
      <c r="F1808" s="269">
        <f>E1808*100/E1836</f>
        <v>0</v>
      </c>
      <c r="G1808" s="268">
        <v>0</v>
      </c>
      <c r="H1808" s="269">
        <f>G1808*100/G1836</f>
        <v>0</v>
      </c>
      <c r="I1808" s="268">
        <v>0</v>
      </c>
      <c r="J1808" s="270">
        <f>I1808*100/I1836</f>
        <v>0</v>
      </c>
    </row>
    <row r="1809" spans="1:10">
      <c r="A1809" s="284">
        <f t="shared" si="76"/>
        <v>0.99999999989999999</v>
      </c>
      <c r="B1809" s="284">
        <v>1</v>
      </c>
      <c r="C1809" s="264">
        <v>0</v>
      </c>
      <c r="D1809" s="265">
        <f>C1809*100/C1836</f>
        <v>0</v>
      </c>
      <c r="E1809" s="264">
        <v>2</v>
      </c>
      <c r="F1809" s="265">
        <f>E1809*100/E1836</f>
        <v>99.999999994999996</v>
      </c>
      <c r="G1809" s="264">
        <v>1</v>
      </c>
      <c r="H1809" s="265">
        <f>G1809*100/G1836</f>
        <v>9.0909090908264467</v>
      </c>
      <c r="I1809" s="264">
        <v>4</v>
      </c>
      <c r="J1809" s="266">
        <f>I1809*100/I1836</f>
        <v>44.444444443950616</v>
      </c>
    </row>
    <row r="1810" spans="1:10">
      <c r="A1810" s="284">
        <f t="shared" si="76"/>
        <v>1.9999999998</v>
      </c>
      <c r="B1810" s="284">
        <v>2</v>
      </c>
      <c r="C1810" s="268">
        <v>0</v>
      </c>
      <c r="D1810" s="269">
        <f>C1810*100/C1836</f>
        <v>0</v>
      </c>
      <c r="E1810" s="268">
        <v>0</v>
      </c>
      <c r="F1810" s="269">
        <f>E1810*100/E1836</f>
        <v>0</v>
      </c>
      <c r="G1810" s="268">
        <v>0</v>
      </c>
      <c r="H1810" s="269">
        <f>G1810*100/G1836</f>
        <v>0</v>
      </c>
      <c r="I1810" s="268">
        <v>0</v>
      </c>
      <c r="J1810" s="270">
        <f>I1810*100/I1836</f>
        <v>0</v>
      </c>
    </row>
    <row r="1811" spans="1:10">
      <c r="A1811" s="284">
        <f t="shared" si="76"/>
        <v>2.9999999997</v>
      </c>
      <c r="B1811" s="284">
        <v>3</v>
      </c>
      <c r="C1811" s="264">
        <v>0</v>
      </c>
      <c r="D1811" s="265">
        <f>C1811*100/C1836</f>
        <v>0</v>
      </c>
      <c r="E1811" s="264">
        <v>0</v>
      </c>
      <c r="F1811" s="265">
        <f>E1811*100/E1836</f>
        <v>0</v>
      </c>
      <c r="G1811" s="264">
        <v>0</v>
      </c>
      <c r="H1811" s="265">
        <f>G1811*100/G1836</f>
        <v>0</v>
      </c>
      <c r="I1811" s="264">
        <v>3</v>
      </c>
      <c r="J1811" s="266">
        <f>I1811*100/I1836</f>
        <v>33.333333332962965</v>
      </c>
    </row>
    <row r="1812" spans="1:10">
      <c r="A1812" s="284">
        <f t="shared" si="76"/>
        <v>3.9999999996</v>
      </c>
      <c r="B1812" s="285">
        <v>4</v>
      </c>
      <c r="C1812" s="268">
        <v>0</v>
      </c>
      <c r="D1812" s="269">
        <f>C1812*100/C1836</f>
        <v>0</v>
      </c>
      <c r="E1812" s="268">
        <v>0</v>
      </c>
      <c r="F1812" s="269">
        <f>E1812*100/E1836</f>
        <v>0</v>
      </c>
      <c r="G1812" s="268">
        <v>0</v>
      </c>
      <c r="H1812" s="269">
        <f>G1812*100/G1836</f>
        <v>0</v>
      </c>
      <c r="I1812" s="268">
        <v>0</v>
      </c>
      <c r="J1812" s="270">
        <f>I1812*100/I1836</f>
        <v>0</v>
      </c>
    </row>
    <row r="1813" spans="1:10">
      <c r="A1813" s="284">
        <f t="shared" si="76"/>
        <v>4.9999999995</v>
      </c>
      <c r="B1813" s="285">
        <v>5</v>
      </c>
      <c r="C1813" s="264">
        <v>0</v>
      </c>
      <c r="D1813" s="265">
        <f>C1813*100/C1836</f>
        <v>0</v>
      </c>
      <c r="E1813" s="264">
        <v>0</v>
      </c>
      <c r="F1813" s="265">
        <f>E1813*100/E1836</f>
        <v>0</v>
      </c>
      <c r="G1813" s="264">
        <v>0</v>
      </c>
      <c r="H1813" s="265">
        <f>G1813*100/G1836</f>
        <v>0</v>
      </c>
      <c r="I1813" s="264">
        <v>0</v>
      </c>
      <c r="J1813" s="266">
        <f>I1813*100/I1836</f>
        <v>0</v>
      </c>
    </row>
    <row r="1814" spans="1:10">
      <c r="A1814" s="284">
        <f t="shared" si="76"/>
        <v>5.9999999994</v>
      </c>
      <c r="B1814" s="285">
        <v>6</v>
      </c>
      <c r="C1814" s="268">
        <v>0</v>
      </c>
      <c r="D1814" s="269">
        <f>C1814*100/C1836</f>
        <v>0</v>
      </c>
      <c r="E1814" s="268">
        <v>0</v>
      </c>
      <c r="F1814" s="269">
        <f>E1814*100/E1836</f>
        <v>0</v>
      </c>
      <c r="G1814" s="268">
        <v>0</v>
      </c>
      <c r="H1814" s="269">
        <f>G1814*100/G1836</f>
        <v>0</v>
      </c>
      <c r="I1814" s="268">
        <v>0</v>
      </c>
      <c r="J1814" s="270">
        <f>I1814*100/I1836</f>
        <v>0</v>
      </c>
    </row>
    <row r="1815" spans="1:10">
      <c r="A1815" s="284">
        <f t="shared" si="76"/>
        <v>6.9999999992999999</v>
      </c>
      <c r="B1815" s="284">
        <v>7</v>
      </c>
      <c r="C1815" s="264">
        <v>0</v>
      </c>
      <c r="D1815" s="265">
        <f>C1815*100/C1836</f>
        <v>0</v>
      </c>
      <c r="E1815" s="264">
        <v>0</v>
      </c>
      <c r="F1815" s="265">
        <f>E1815*100/E1836</f>
        <v>0</v>
      </c>
      <c r="G1815" s="264">
        <v>0</v>
      </c>
      <c r="H1815" s="265">
        <f>G1815*100/G1836</f>
        <v>0</v>
      </c>
      <c r="I1815" s="264">
        <v>0</v>
      </c>
      <c r="J1815" s="266">
        <f>I1815*100/I1836</f>
        <v>0</v>
      </c>
    </row>
    <row r="1816" spans="1:10">
      <c r="A1816" s="284">
        <f t="shared" si="76"/>
        <v>7.9999999991999999</v>
      </c>
      <c r="B1816" s="285">
        <v>8</v>
      </c>
      <c r="C1816" s="268">
        <v>0</v>
      </c>
      <c r="D1816" s="269">
        <f>C1816*100/C1836</f>
        <v>0</v>
      </c>
      <c r="E1816" s="268">
        <v>0</v>
      </c>
      <c r="F1816" s="269">
        <f>E1816*100/E1836</f>
        <v>0</v>
      </c>
      <c r="G1816" s="268">
        <v>0</v>
      </c>
      <c r="H1816" s="269">
        <f>G1816*100/G1836</f>
        <v>0</v>
      </c>
      <c r="I1816" s="268">
        <v>0</v>
      </c>
      <c r="J1816" s="270">
        <f>I1816*100/I1836</f>
        <v>0</v>
      </c>
    </row>
    <row r="1817" spans="1:10">
      <c r="A1817" s="284">
        <f t="shared" si="76"/>
        <v>8.9999999990999999</v>
      </c>
      <c r="B1817" s="284">
        <v>9</v>
      </c>
      <c r="C1817" s="264">
        <v>0</v>
      </c>
      <c r="D1817" s="265">
        <f>C1817*100/C1836</f>
        <v>0</v>
      </c>
      <c r="E1817" s="264">
        <v>0</v>
      </c>
      <c r="F1817" s="265">
        <f>E1817*100/E1836</f>
        <v>0</v>
      </c>
      <c r="G1817" s="264">
        <v>0</v>
      </c>
      <c r="H1817" s="265">
        <f>G1817*100/G1836</f>
        <v>0</v>
      </c>
      <c r="I1817" s="264">
        <v>0</v>
      </c>
      <c r="J1817" s="266">
        <f>I1817*100/I1836</f>
        <v>0</v>
      </c>
    </row>
    <row r="1818" spans="1:10">
      <c r="A1818" s="284">
        <f t="shared" si="76"/>
        <v>9.9999999989999999</v>
      </c>
      <c r="B1818" s="285">
        <v>10</v>
      </c>
      <c r="C1818" s="268">
        <v>0</v>
      </c>
      <c r="D1818" s="269">
        <f>C1818*100/C1836</f>
        <v>0</v>
      </c>
      <c r="E1818" s="268">
        <v>0</v>
      </c>
      <c r="F1818" s="269">
        <f>E1818*100/E1836</f>
        <v>0</v>
      </c>
      <c r="G1818" s="268">
        <v>0</v>
      </c>
      <c r="H1818" s="269">
        <f>G1818*100/G1836</f>
        <v>0</v>
      </c>
      <c r="I1818" s="268">
        <v>0</v>
      </c>
      <c r="J1818" s="270">
        <f>I1818*100/I1836</f>
        <v>0</v>
      </c>
    </row>
    <row r="1819" spans="1:10">
      <c r="A1819" s="284">
        <f t="shared" si="76"/>
        <v>19.999999998</v>
      </c>
      <c r="B1819" s="284">
        <v>20</v>
      </c>
      <c r="C1819" s="264">
        <v>0</v>
      </c>
      <c r="D1819" s="265">
        <f>C1819*100/C1836</f>
        <v>0</v>
      </c>
      <c r="E1819" s="264">
        <v>0</v>
      </c>
      <c r="F1819" s="265">
        <f>E1819*100/E1836</f>
        <v>0</v>
      </c>
      <c r="G1819" s="264">
        <v>0</v>
      </c>
      <c r="H1819" s="265">
        <f>G1819*100/G1836</f>
        <v>0</v>
      </c>
      <c r="I1819" s="264">
        <v>0</v>
      </c>
      <c r="J1819" s="266">
        <f>I1819*100/I1836</f>
        <v>0</v>
      </c>
    </row>
    <row r="1820" spans="1:10">
      <c r="A1820" s="284">
        <f t="shared" si="76"/>
        <v>29.999999997</v>
      </c>
      <c r="B1820" s="285">
        <v>30</v>
      </c>
      <c r="C1820" s="268">
        <v>0</v>
      </c>
      <c r="D1820" s="269">
        <f>C1820*100/C1836</f>
        <v>0</v>
      </c>
      <c r="E1820" s="268">
        <v>0</v>
      </c>
      <c r="F1820" s="269">
        <f>E1820*100/E1836</f>
        <v>0</v>
      </c>
      <c r="G1820" s="268">
        <v>0</v>
      </c>
      <c r="H1820" s="269">
        <f>G1820*100/G1836</f>
        <v>0</v>
      </c>
      <c r="I1820" s="268">
        <v>0</v>
      </c>
      <c r="J1820" s="270">
        <f>I1820*100/I1836</f>
        <v>0</v>
      </c>
    </row>
    <row r="1821" spans="1:10">
      <c r="A1821" s="284">
        <f t="shared" si="76"/>
        <v>39.999999996</v>
      </c>
      <c r="B1821" s="284">
        <v>40</v>
      </c>
      <c r="C1821" s="264">
        <v>0</v>
      </c>
      <c r="D1821" s="265">
        <f>C1821*100/C1836</f>
        <v>0</v>
      </c>
      <c r="E1821" s="264">
        <v>0</v>
      </c>
      <c r="F1821" s="265">
        <f>E1821*100/E1836</f>
        <v>0</v>
      </c>
      <c r="G1821" s="264">
        <v>0</v>
      </c>
      <c r="H1821" s="265">
        <f>G1821*100/G1836</f>
        <v>0</v>
      </c>
      <c r="I1821" s="264">
        <v>0</v>
      </c>
      <c r="J1821" s="266">
        <f>I1821*100/I1836</f>
        <v>0</v>
      </c>
    </row>
    <row r="1822" spans="1:10">
      <c r="A1822" s="284">
        <f t="shared" si="76"/>
        <v>49.999999994999996</v>
      </c>
      <c r="B1822" s="285">
        <v>50</v>
      </c>
      <c r="C1822" s="268">
        <v>0</v>
      </c>
      <c r="D1822" s="271">
        <f>C1822*100/C1836</f>
        <v>0</v>
      </c>
      <c r="E1822" s="272">
        <v>0</v>
      </c>
      <c r="F1822" s="271">
        <f>E1822*100/E1836</f>
        <v>0</v>
      </c>
      <c r="G1822" s="272">
        <v>1</v>
      </c>
      <c r="H1822" s="271">
        <f>G1822*100/G1836</f>
        <v>9.0909090908264467</v>
      </c>
      <c r="I1822" s="272">
        <v>0</v>
      </c>
      <c r="J1822" s="273">
        <f>I1822*100/I1836</f>
        <v>0</v>
      </c>
    </row>
    <row r="1823" spans="1:10">
      <c r="A1823" s="284">
        <f t="shared" si="76"/>
        <v>59.999999994</v>
      </c>
      <c r="B1823" s="284">
        <v>60</v>
      </c>
      <c r="C1823" s="219">
        <v>0</v>
      </c>
      <c r="D1823" s="220">
        <f>C1823*100/C1836</f>
        <v>0</v>
      </c>
      <c r="E1823" s="221">
        <v>0</v>
      </c>
      <c r="F1823" s="220">
        <f>E1823*100/E1836</f>
        <v>0</v>
      </c>
      <c r="G1823" s="221">
        <v>0</v>
      </c>
      <c r="H1823" s="220">
        <f>G1823*100/G1836</f>
        <v>0</v>
      </c>
      <c r="I1823" s="221">
        <v>0</v>
      </c>
      <c r="J1823" s="281">
        <f>I1823*100/I1836</f>
        <v>0</v>
      </c>
    </row>
    <row r="1824" spans="1:10">
      <c r="A1824" s="284">
        <f t="shared" si="76"/>
        <v>69.999999993000003</v>
      </c>
      <c r="B1824" s="285">
        <v>70</v>
      </c>
      <c r="C1824" s="268">
        <v>0</v>
      </c>
      <c r="D1824" s="271">
        <f>C1824*100/C1836</f>
        <v>0</v>
      </c>
      <c r="E1824" s="272">
        <v>0</v>
      </c>
      <c r="F1824" s="271">
        <f>E1824*100/E1836</f>
        <v>0</v>
      </c>
      <c r="G1824" s="272">
        <v>0</v>
      </c>
      <c r="H1824" s="271">
        <f>G1824*100/G1836</f>
        <v>0</v>
      </c>
      <c r="I1824" s="272">
        <v>1</v>
      </c>
      <c r="J1824" s="273">
        <f>I1824*100/I1836</f>
        <v>11.111111110987654</v>
      </c>
    </row>
    <row r="1825" spans="1:16">
      <c r="A1825" s="284">
        <f t="shared" si="76"/>
        <v>79.999999991999999</v>
      </c>
      <c r="B1825" s="284">
        <v>80</v>
      </c>
      <c r="C1825" s="219">
        <v>0</v>
      </c>
      <c r="D1825" s="220">
        <f>C1825*100/C1836</f>
        <v>0</v>
      </c>
      <c r="E1825" s="221">
        <v>0</v>
      </c>
      <c r="F1825" s="220">
        <f>E1825*100/E1836</f>
        <v>0</v>
      </c>
      <c r="G1825" s="221">
        <v>0</v>
      </c>
      <c r="H1825" s="220">
        <f>G1825*100/G1836</f>
        <v>0</v>
      </c>
      <c r="I1825" s="221">
        <v>0</v>
      </c>
      <c r="J1825" s="281">
        <f>I1825*100/I1836</f>
        <v>0</v>
      </c>
    </row>
    <row r="1826" spans="1:16">
      <c r="A1826" s="284">
        <f t="shared" si="76"/>
        <v>89.999999990999996</v>
      </c>
      <c r="B1826" s="285">
        <v>90</v>
      </c>
      <c r="C1826" s="268">
        <v>0</v>
      </c>
      <c r="D1826" s="271">
        <f>C1826*100/C1836</f>
        <v>0</v>
      </c>
      <c r="E1826" s="272">
        <v>0</v>
      </c>
      <c r="F1826" s="271">
        <f>E1826*100/E1836</f>
        <v>0</v>
      </c>
      <c r="G1826" s="272">
        <v>0</v>
      </c>
      <c r="H1826" s="271">
        <f>G1826*100/G1836</f>
        <v>0</v>
      </c>
      <c r="I1826" s="272">
        <v>0</v>
      </c>
      <c r="J1826" s="273">
        <f>I1826*100/I1836</f>
        <v>0</v>
      </c>
    </row>
    <row r="1827" spans="1:16">
      <c r="A1827" s="284">
        <f t="shared" si="76"/>
        <v>99.999999989999992</v>
      </c>
      <c r="B1827" s="284">
        <v>100</v>
      </c>
      <c r="C1827" s="219">
        <v>0</v>
      </c>
      <c r="D1827" s="220">
        <f>C1827*100/C$1836</f>
        <v>0</v>
      </c>
      <c r="E1827" s="221">
        <v>0</v>
      </c>
      <c r="F1827" s="220">
        <f>E1827*100/E$1836</f>
        <v>0</v>
      </c>
      <c r="G1827" s="221">
        <v>3</v>
      </c>
      <c r="H1827" s="220">
        <f>G1827*100/G$1836</f>
        <v>27.27272727247934</v>
      </c>
      <c r="I1827" s="221">
        <v>0</v>
      </c>
      <c r="J1827" s="281">
        <f>I1827*100/I$1836</f>
        <v>0</v>
      </c>
    </row>
    <row r="1828" spans="1:16">
      <c r="A1828" s="284">
        <f t="shared" si="76"/>
        <v>199.99999997999998</v>
      </c>
      <c r="B1828" s="285">
        <v>200</v>
      </c>
      <c r="C1828" s="272">
        <v>0</v>
      </c>
      <c r="D1828" s="220">
        <f t="shared" ref="D1828:D1835" si="77">C1828*100/C$1836</f>
        <v>0</v>
      </c>
      <c r="E1828" s="272">
        <v>0</v>
      </c>
      <c r="F1828" s="220">
        <f t="shared" ref="F1828:F1835" si="78">E1828*100/E$1836</f>
        <v>0</v>
      </c>
      <c r="G1828" s="272">
        <v>1</v>
      </c>
      <c r="H1828" s="220">
        <f t="shared" ref="H1828:H1835" si="79">G1828*100/G$1836</f>
        <v>9.0909090908264467</v>
      </c>
      <c r="I1828" s="272">
        <v>0</v>
      </c>
      <c r="J1828" s="281">
        <f t="shared" ref="J1828:J1835" si="80">I1828*100/I$1836</f>
        <v>0</v>
      </c>
    </row>
    <row r="1829" spans="1:16" s="250" customFormat="1">
      <c r="A1829" s="284">
        <f t="shared" si="76"/>
        <v>299.99999996999998</v>
      </c>
      <c r="B1829" s="284">
        <v>300</v>
      </c>
      <c r="C1829" s="272">
        <v>0</v>
      </c>
      <c r="D1829" s="220">
        <f t="shared" si="77"/>
        <v>0</v>
      </c>
      <c r="E1829" s="272">
        <v>0</v>
      </c>
      <c r="F1829" s="220">
        <f t="shared" si="78"/>
        <v>0</v>
      </c>
      <c r="G1829" s="272">
        <v>0</v>
      </c>
      <c r="H1829" s="220">
        <f t="shared" si="79"/>
        <v>0</v>
      </c>
      <c r="I1829" s="272">
        <v>0</v>
      </c>
      <c r="J1829" s="281">
        <f t="shared" si="80"/>
        <v>0</v>
      </c>
    </row>
    <row r="1830" spans="1:16" s="250" customFormat="1">
      <c r="A1830" s="284">
        <f t="shared" si="76"/>
        <v>399.99999995999997</v>
      </c>
      <c r="B1830" s="285">
        <v>400</v>
      </c>
      <c r="C1830" s="272">
        <v>0</v>
      </c>
      <c r="D1830" s="220">
        <f t="shared" si="77"/>
        <v>0</v>
      </c>
      <c r="E1830" s="272">
        <v>0</v>
      </c>
      <c r="F1830" s="220">
        <f t="shared" si="78"/>
        <v>0</v>
      </c>
      <c r="G1830" s="272">
        <v>0</v>
      </c>
      <c r="H1830" s="220">
        <f t="shared" si="79"/>
        <v>0</v>
      </c>
      <c r="I1830" s="272">
        <v>0</v>
      </c>
      <c r="J1830" s="281">
        <f t="shared" si="80"/>
        <v>0</v>
      </c>
    </row>
    <row r="1831" spans="1:16" s="250" customFormat="1">
      <c r="A1831" s="284">
        <f t="shared" si="76"/>
        <v>499.99999995000002</v>
      </c>
      <c r="B1831" s="447">
        <v>500</v>
      </c>
      <c r="C1831" s="272">
        <v>0</v>
      </c>
      <c r="D1831" s="220">
        <f t="shared" si="77"/>
        <v>0</v>
      </c>
      <c r="E1831" s="272">
        <v>0</v>
      </c>
      <c r="F1831" s="220">
        <f t="shared" si="78"/>
        <v>0</v>
      </c>
      <c r="G1831" s="272">
        <v>3</v>
      </c>
      <c r="H1831" s="220">
        <f t="shared" si="79"/>
        <v>27.27272727247934</v>
      </c>
      <c r="I1831" s="272">
        <v>0</v>
      </c>
      <c r="J1831" s="281">
        <f t="shared" si="80"/>
        <v>0</v>
      </c>
    </row>
    <row r="1832" spans="1:16" s="250" customFormat="1">
      <c r="A1832" s="284">
        <f t="shared" si="76"/>
        <v>599.99999993999995</v>
      </c>
      <c r="B1832" s="450">
        <v>600</v>
      </c>
      <c r="C1832" s="272">
        <v>0</v>
      </c>
      <c r="D1832" s="220">
        <f t="shared" si="77"/>
        <v>0</v>
      </c>
      <c r="E1832" s="272">
        <v>0</v>
      </c>
      <c r="F1832" s="220">
        <f t="shared" si="78"/>
        <v>0</v>
      </c>
      <c r="G1832" s="272">
        <v>0</v>
      </c>
      <c r="H1832" s="220">
        <f t="shared" si="79"/>
        <v>0</v>
      </c>
      <c r="I1832" s="272">
        <v>0</v>
      </c>
      <c r="J1832" s="281">
        <f t="shared" si="80"/>
        <v>0</v>
      </c>
    </row>
    <row r="1833" spans="1:16" s="250" customFormat="1">
      <c r="A1833" s="284">
        <f t="shared" si="76"/>
        <v>699.99999992999994</v>
      </c>
      <c r="B1833" s="450">
        <v>700</v>
      </c>
      <c r="C1833" s="272">
        <v>0</v>
      </c>
      <c r="D1833" s="220">
        <f t="shared" si="77"/>
        <v>0</v>
      </c>
      <c r="E1833" s="272">
        <v>0</v>
      </c>
      <c r="F1833" s="220">
        <f t="shared" si="78"/>
        <v>0</v>
      </c>
      <c r="G1833" s="272">
        <v>0</v>
      </c>
      <c r="H1833" s="220">
        <f t="shared" si="79"/>
        <v>0</v>
      </c>
      <c r="I1833" s="272">
        <v>0</v>
      </c>
      <c r="J1833" s="281">
        <f t="shared" si="80"/>
        <v>0</v>
      </c>
    </row>
    <row r="1834" spans="1:16" s="250" customFormat="1">
      <c r="A1834" s="284">
        <f t="shared" si="76"/>
        <v>799.99999991999994</v>
      </c>
      <c r="B1834" s="450">
        <v>800</v>
      </c>
      <c r="C1834" s="272">
        <v>0</v>
      </c>
      <c r="D1834" s="220">
        <f t="shared" si="77"/>
        <v>0</v>
      </c>
      <c r="E1834" s="272">
        <v>0</v>
      </c>
      <c r="F1834" s="220">
        <f t="shared" si="78"/>
        <v>0</v>
      </c>
      <c r="G1834" s="272">
        <v>0</v>
      </c>
      <c r="H1834" s="220">
        <f t="shared" si="79"/>
        <v>0</v>
      </c>
      <c r="I1834" s="272">
        <v>0</v>
      </c>
      <c r="J1834" s="281">
        <f t="shared" si="80"/>
        <v>0</v>
      </c>
      <c r="M1834" s="668" t="s">
        <v>400</v>
      </c>
      <c r="N1834" s="668" t="s">
        <v>882</v>
      </c>
      <c r="O1834" s="668" t="s">
        <v>883</v>
      </c>
      <c r="P1834" s="139" t="e">
        <f>AVERAGE(Discrete!AP3:AP20)</f>
        <v>#DIV/0!</v>
      </c>
    </row>
    <row r="1835" spans="1:16" s="250" customFormat="1" ht="15" thickBot="1">
      <c r="A1835" s="449">
        <f>0.9999999999*B1835</f>
        <v>899.99999991000004</v>
      </c>
      <c r="B1835" s="449">
        <v>900</v>
      </c>
      <c r="C1835" s="272">
        <v>0</v>
      </c>
      <c r="D1835" s="220">
        <f t="shared" si="77"/>
        <v>0</v>
      </c>
      <c r="E1835" s="272">
        <v>0</v>
      </c>
      <c r="F1835" s="220">
        <f t="shared" si="78"/>
        <v>0</v>
      </c>
      <c r="G1835" s="272">
        <v>0</v>
      </c>
      <c r="H1835" s="220">
        <f t="shared" si="79"/>
        <v>0</v>
      </c>
      <c r="I1835" s="272">
        <v>0</v>
      </c>
      <c r="J1835" s="281">
        <f t="shared" si="80"/>
        <v>0</v>
      </c>
      <c r="M1835" s="668" t="s">
        <v>186</v>
      </c>
      <c r="N1835" s="668" t="s">
        <v>882</v>
      </c>
      <c r="O1835" s="668" t="s">
        <v>883</v>
      </c>
      <c r="P1835" s="139">
        <f>AVERAGE(Discrete!AP21:AP78)</f>
        <v>1</v>
      </c>
    </row>
    <row r="1836" spans="1:16" ht="15" thickBot="1">
      <c r="A1836" s="317" t="s">
        <v>396</v>
      </c>
      <c r="B1836" s="317"/>
      <c r="C1836" s="278">
        <f>SUM(C1800:C1828)+0.0000000001</f>
        <v>1E-10</v>
      </c>
      <c r="D1836" s="279">
        <f>SUM(D1801:D1828)</f>
        <v>0</v>
      </c>
      <c r="E1836" s="278">
        <f>SUM(E1800:E1828)+0.0000000001</f>
        <v>2.0000000001</v>
      </c>
      <c r="F1836" s="279">
        <f>SUM(F1800:F1828)</f>
        <v>99.999999994999996</v>
      </c>
      <c r="G1836" s="314">
        <f>SUM(G1800:G1828)+0.0000000001</f>
        <v>11.0000000001</v>
      </c>
      <c r="H1836" s="279">
        <f>SUM(H1800:H1828)</f>
        <v>99.999999999090903</v>
      </c>
      <c r="I1836" s="278">
        <f>SUM(I1800:I1828)+0.0000000001</f>
        <v>9.0000000001</v>
      </c>
      <c r="J1836" s="279">
        <f>SUM(J1800:J1828)</f>
        <v>99.999999998888882</v>
      </c>
      <c r="M1836" s="668" t="s">
        <v>399</v>
      </c>
      <c r="N1836" s="668" t="s">
        <v>882</v>
      </c>
      <c r="O1836" s="668" t="s">
        <v>883</v>
      </c>
      <c r="P1836" s="139">
        <f>AVERAGE(IC!BB3:BB39)</f>
        <v>177.3642857142857</v>
      </c>
    </row>
    <row r="1837" spans="1:16" ht="15" thickBot="1">
      <c r="A1837" s="778">
        <f>C1836+E1836+G1836+I1836</f>
        <v>22.0000000004</v>
      </c>
      <c r="B1837" s="779"/>
      <c r="C1837" s="779"/>
      <c r="D1837" s="779"/>
      <c r="E1837" s="779"/>
      <c r="F1837" s="779"/>
      <c r="G1837" s="779"/>
      <c r="H1837" s="779"/>
      <c r="I1837" s="779"/>
      <c r="J1837" s="780"/>
      <c r="M1837" s="668" t="s">
        <v>531</v>
      </c>
      <c r="N1837" s="668" t="s">
        <v>882</v>
      </c>
      <c r="O1837" s="668" t="s">
        <v>883</v>
      </c>
      <c r="P1837" s="139">
        <f>AVERAGE(IC!BB40:BB64)</f>
        <v>9.6444444444444457</v>
      </c>
    </row>
    <row r="1838" spans="1:16">
      <c r="A1838" s="666"/>
      <c r="B1838" s="666"/>
      <c r="C1838" s="666"/>
      <c r="E1838" s="666"/>
      <c r="G1838" s="666"/>
      <c r="I1838" s="666"/>
    </row>
    <row r="1839" spans="1:16">
      <c r="A1839" s="666"/>
      <c r="B1839" s="666"/>
      <c r="C1839" s="666"/>
      <c r="E1839" s="666"/>
      <c r="G1839" s="666"/>
      <c r="I1839" s="666"/>
    </row>
    <row r="1840" spans="1:16" s="666" customFormat="1">
      <c r="D1840" s="140"/>
      <c r="F1840" s="140"/>
      <c r="H1840" s="139"/>
      <c r="J1840" s="139"/>
    </row>
    <row r="1841" spans="1:10" s="666" customFormat="1">
      <c r="D1841" s="140"/>
      <c r="F1841" s="140"/>
      <c r="H1841" s="139"/>
      <c r="J1841" s="139"/>
    </row>
    <row r="1842" spans="1:10" s="666" customFormat="1">
      <c r="D1842" s="140"/>
      <c r="F1842" s="140"/>
      <c r="H1842" s="139"/>
      <c r="J1842" s="139"/>
    </row>
    <row r="1843" spans="1:10" s="666" customFormat="1">
      <c r="D1843" s="140"/>
      <c r="F1843" s="140"/>
      <c r="H1843" s="139"/>
      <c r="J1843" s="139"/>
    </row>
    <row r="1844" spans="1:10" s="666" customFormat="1">
      <c r="D1844" s="140"/>
      <c r="F1844" s="140"/>
      <c r="H1844" s="139"/>
      <c r="J1844" s="139"/>
    </row>
    <row r="1845" spans="1:10" s="666" customFormat="1">
      <c r="D1845" s="140"/>
      <c r="F1845" s="140"/>
      <c r="H1845" s="139"/>
      <c r="J1845" s="139"/>
    </row>
    <row r="1846" spans="1:10" s="666" customFormat="1">
      <c r="D1846" s="140"/>
      <c r="F1846" s="140"/>
      <c r="H1846" s="139"/>
      <c r="J1846" s="139"/>
    </row>
    <row r="1847" spans="1:10" s="666" customFormat="1">
      <c r="D1847" s="140"/>
      <c r="F1847" s="140"/>
      <c r="H1847" s="139"/>
      <c r="J1847" s="139"/>
    </row>
    <row r="1848" spans="1:10" s="666" customFormat="1">
      <c r="D1848" s="140"/>
      <c r="F1848" s="140"/>
      <c r="H1848" s="139"/>
      <c r="J1848" s="139"/>
    </row>
    <row r="1849" spans="1:10" s="666" customFormat="1">
      <c r="D1849" s="140"/>
      <c r="F1849" s="140"/>
      <c r="H1849" s="139"/>
      <c r="J1849" s="139"/>
    </row>
    <row r="1850" spans="1:10" s="666" customFormat="1">
      <c r="D1850" s="140"/>
      <c r="F1850" s="140"/>
      <c r="H1850" s="139"/>
      <c r="J1850" s="139"/>
    </row>
    <row r="1851" spans="1:10" s="666" customFormat="1">
      <c r="D1851" s="140"/>
      <c r="F1851" s="140"/>
      <c r="H1851" s="139"/>
      <c r="J1851" s="139"/>
    </row>
    <row r="1852" spans="1:10" s="666" customFormat="1">
      <c r="D1852" s="140"/>
      <c r="F1852" s="140"/>
      <c r="H1852" s="139"/>
      <c r="J1852" s="139"/>
    </row>
    <row r="1853" spans="1:10" s="666" customFormat="1">
      <c r="D1853" s="140"/>
      <c r="F1853" s="140"/>
      <c r="H1853" s="139"/>
      <c r="J1853" s="139"/>
    </row>
    <row r="1854" spans="1:10" s="666" customFormat="1" ht="26.4" thickBot="1">
      <c r="A1854" s="670"/>
      <c r="D1854" s="140"/>
      <c r="F1854" s="140"/>
      <c r="H1854" s="139"/>
      <c r="J1854" s="139"/>
    </row>
    <row r="1855" spans="1:10" s="666" customFormat="1" ht="15" thickBot="1">
      <c r="A1855" s="798" t="s">
        <v>1015</v>
      </c>
      <c r="B1855" s="780"/>
      <c r="C1855" s="799" t="s">
        <v>400</v>
      </c>
      <c r="D1855" s="799"/>
      <c r="E1855" s="800" t="s">
        <v>946</v>
      </c>
      <c r="F1855" s="800"/>
      <c r="G1855" s="799" t="s">
        <v>948</v>
      </c>
      <c r="H1855" s="799"/>
      <c r="I1855" s="800" t="s">
        <v>947</v>
      </c>
      <c r="J1855" s="800"/>
    </row>
    <row r="1856" spans="1:10" s="666" customFormat="1" ht="15" thickBot="1">
      <c r="A1856" s="251" t="s">
        <v>887</v>
      </c>
      <c r="B1856" s="251" t="s">
        <v>243</v>
      </c>
      <c r="C1856" s="252" t="s">
        <v>397</v>
      </c>
      <c r="D1856" s="253" t="s">
        <v>945</v>
      </c>
      <c r="E1856" s="254" t="s">
        <v>397</v>
      </c>
      <c r="F1856" s="255" t="s">
        <v>945</v>
      </c>
      <c r="G1856" s="256" t="s">
        <v>397</v>
      </c>
      <c r="H1856" s="257" t="s">
        <v>945</v>
      </c>
      <c r="I1856" s="254" t="s">
        <v>397</v>
      </c>
      <c r="J1856" s="258" t="s">
        <v>945</v>
      </c>
    </row>
    <row r="1857" spans="1:10" s="666" customFormat="1">
      <c r="A1857" s="284">
        <f>0.9999999999*B1857</f>
        <v>9.9999999990000005E-2</v>
      </c>
      <c r="B1857" s="284">
        <v>0.1</v>
      </c>
      <c r="C1857" s="260">
        <f t="array" ref="C1857:C1892">FREQUENCY(Discrete!AP60:AP77,Hists!A1858:A1892)</f>
        <v>0</v>
      </c>
      <c r="D1857" s="261">
        <f>C1857*100/C1893</f>
        <v>0</v>
      </c>
      <c r="E1857" s="260" t="e">
        <f t="array" ref="E1857:E1892">FREQUENCY(Discrete!AP78:AP135,Hists!A1858:A1892)</f>
        <v>#DIV/0!</v>
      </c>
      <c r="F1857" s="261" t="e">
        <f>E1857*100/E1893</f>
        <v>#DIV/0!</v>
      </c>
      <c r="G1857" s="260">
        <f t="array" ref="G1857:G1892">FREQUENCY(IC!BA3:BA39,Hists!A1858:A1892)</f>
        <v>0</v>
      </c>
      <c r="H1857" s="261">
        <f>G1857*100/G1893</f>
        <v>0</v>
      </c>
      <c r="I1857" s="260">
        <f t="array" ref="I1857:I1892">FREQUENCY(IC!BB97:BB121,Hists!A1858:A1892)</f>
        <v>0</v>
      </c>
      <c r="J1857" s="262">
        <f>I1857*100/I1893</f>
        <v>0</v>
      </c>
    </row>
    <row r="1858" spans="1:10" s="666" customFormat="1">
      <c r="A1858" s="284">
        <f>0.9999999999*B1858</f>
        <v>0.19999999998000001</v>
      </c>
      <c r="B1858" s="284">
        <v>0.2</v>
      </c>
      <c r="C1858" s="264">
        <v>0</v>
      </c>
      <c r="D1858" s="265">
        <f>C1858*100/C1893</f>
        <v>0</v>
      </c>
      <c r="E1858" s="264" t="e">
        <v>#DIV/0!</v>
      </c>
      <c r="F1858" s="265" t="e">
        <f>E1858*100/E1893</f>
        <v>#DIV/0!</v>
      </c>
      <c r="G1858" s="264">
        <v>0</v>
      </c>
      <c r="H1858" s="265">
        <f>G1858*100/G1893</f>
        <v>0</v>
      </c>
      <c r="I1858" s="264">
        <v>0</v>
      </c>
      <c r="J1858" s="266">
        <f>I1858*100/I1893</f>
        <v>0</v>
      </c>
    </row>
    <row r="1859" spans="1:10" s="666" customFormat="1">
      <c r="A1859" s="284">
        <f t="shared" ref="A1859:A1891" si="81">0.9999999999*B1859</f>
        <v>0.29999999996999999</v>
      </c>
      <c r="B1859" s="284">
        <v>0.3</v>
      </c>
      <c r="C1859" s="268">
        <v>0</v>
      </c>
      <c r="D1859" s="269">
        <f>C1859*100/C1893</f>
        <v>0</v>
      </c>
      <c r="E1859" s="268" t="e">
        <v>#DIV/0!</v>
      </c>
      <c r="F1859" s="269" t="e">
        <f>E1859*100/E1893</f>
        <v>#DIV/0!</v>
      </c>
      <c r="G1859" s="268">
        <v>0</v>
      </c>
      <c r="H1859" s="269">
        <f>G1859*100/G1893</f>
        <v>0</v>
      </c>
      <c r="I1859" s="268">
        <v>0</v>
      </c>
      <c r="J1859" s="270">
        <f>I1859*100/I1893</f>
        <v>0</v>
      </c>
    </row>
    <row r="1860" spans="1:10" s="666" customFormat="1">
      <c r="A1860" s="284">
        <f t="shared" si="81"/>
        <v>0.39999999996000002</v>
      </c>
      <c r="B1860" s="284">
        <v>0.4</v>
      </c>
      <c r="C1860" s="264">
        <v>0</v>
      </c>
      <c r="D1860" s="265">
        <f>C1860*100/C1893</f>
        <v>0</v>
      </c>
      <c r="E1860" s="264" t="e">
        <v>#DIV/0!</v>
      </c>
      <c r="F1860" s="265" t="e">
        <f>E1860*100/E1893</f>
        <v>#DIV/0!</v>
      </c>
      <c r="G1860" s="264">
        <v>0</v>
      </c>
      <c r="H1860" s="265">
        <f>G1860*100/G1893</f>
        <v>0</v>
      </c>
      <c r="I1860" s="264">
        <v>0</v>
      </c>
      <c r="J1860" s="266">
        <f>I1860*100/I1893</f>
        <v>0</v>
      </c>
    </row>
    <row r="1861" spans="1:10" s="666" customFormat="1">
      <c r="A1861" s="284">
        <f t="shared" si="81"/>
        <v>0.49999999995</v>
      </c>
      <c r="B1861" s="284">
        <v>0.5</v>
      </c>
      <c r="C1861" s="268">
        <v>0</v>
      </c>
      <c r="D1861" s="269">
        <f>C1861*100/C1893</f>
        <v>0</v>
      </c>
      <c r="E1861" s="268" t="e">
        <v>#DIV/0!</v>
      </c>
      <c r="F1861" s="269" t="e">
        <f>E1861*100/E1893</f>
        <v>#DIV/0!</v>
      </c>
      <c r="G1861" s="268">
        <v>0</v>
      </c>
      <c r="H1861" s="269">
        <f>G1861*100/G1893</f>
        <v>0</v>
      </c>
      <c r="I1861" s="268">
        <v>0</v>
      </c>
      <c r="J1861" s="270">
        <f>I1861*100/I1893</f>
        <v>0</v>
      </c>
    </row>
    <row r="1862" spans="1:10" s="666" customFormat="1">
      <c r="A1862" s="284">
        <f t="shared" si="81"/>
        <v>0.59999999993999997</v>
      </c>
      <c r="B1862" s="284">
        <v>0.6</v>
      </c>
      <c r="C1862" s="264">
        <v>0</v>
      </c>
      <c r="D1862" s="265">
        <f>C1862*100/C1893</f>
        <v>0</v>
      </c>
      <c r="E1862" s="264" t="e">
        <v>#DIV/0!</v>
      </c>
      <c r="F1862" s="265" t="e">
        <f>E1862*100/E1893</f>
        <v>#DIV/0!</v>
      </c>
      <c r="G1862" s="264">
        <v>0</v>
      </c>
      <c r="H1862" s="265">
        <f>G1862*100/G1893</f>
        <v>0</v>
      </c>
      <c r="I1862" s="264">
        <v>0</v>
      </c>
      <c r="J1862" s="266">
        <f>I1862*100/I1893</f>
        <v>0</v>
      </c>
    </row>
    <row r="1863" spans="1:10" s="666" customFormat="1">
      <c r="A1863" s="284">
        <f t="shared" si="81"/>
        <v>0.69999999992999995</v>
      </c>
      <c r="B1863" s="284">
        <v>0.7</v>
      </c>
      <c r="C1863" s="268">
        <v>0</v>
      </c>
      <c r="D1863" s="269">
        <f>C1863*100/C1893</f>
        <v>0</v>
      </c>
      <c r="E1863" s="268" t="e">
        <v>#DIV/0!</v>
      </c>
      <c r="F1863" s="269" t="e">
        <f>E1863*100/E1893</f>
        <v>#DIV/0!</v>
      </c>
      <c r="G1863" s="268">
        <v>0</v>
      </c>
      <c r="H1863" s="269">
        <f>G1863*100/G1893</f>
        <v>0</v>
      </c>
      <c r="I1863" s="268">
        <v>0</v>
      </c>
      <c r="J1863" s="270">
        <f>I1863*100/I1893</f>
        <v>0</v>
      </c>
    </row>
    <row r="1864" spans="1:10" s="666" customFormat="1">
      <c r="A1864" s="284">
        <f t="shared" si="81"/>
        <v>0.79999999992000004</v>
      </c>
      <c r="B1864" s="284">
        <v>0.8</v>
      </c>
      <c r="C1864" s="264">
        <v>0</v>
      </c>
      <c r="D1864" s="265">
        <f>C1864*100/C1893</f>
        <v>0</v>
      </c>
      <c r="E1864" s="264" t="e">
        <v>#DIV/0!</v>
      </c>
      <c r="F1864" s="265" t="e">
        <f>E1864*100/E1893</f>
        <v>#DIV/0!</v>
      </c>
      <c r="G1864" s="264">
        <v>0</v>
      </c>
      <c r="H1864" s="265">
        <f>G1864*100/G1893</f>
        <v>0</v>
      </c>
      <c r="I1864" s="264">
        <v>0</v>
      </c>
      <c r="J1864" s="266">
        <f>I1864*100/I1893</f>
        <v>0</v>
      </c>
    </row>
    <row r="1865" spans="1:10" s="666" customFormat="1">
      <c r="A1865" s="284">
        <f t="shared" si="81"/>
        <v>0.89999999991000001</v>
      </c>
      <c r="B1865" s="284">
        <v>0.9</v>
      </c>
      <c r="C1865" s="268">
        <v>0</v>
      </c>
      <c r="D1865" s="269">
        <f>C1865*100/C1893</f>
        <v>0</v>
      </c>
      <c r="E1865" s="268" t="e">
        <v>#DIV/0!</v>
      </c>
      <c r="F1865" s="269" t="e">
        <f>E1865*100/E1893</f>
        <v>#DIV/0!</v>
      </c>
      <c r="G1865" s="268">
        <v>2</v>
      </c>
      <c r="H1865" s="269">
        <f>G1865*100/G1893</f>
        <v>28.571428571020409</v>
      </c>
      <c r="I1865" s="268">
        <v>0</v>
      </c>
      <c r="J1865" s="270">
        <f>I1865*100/I1893</f>
        <v>0</v>
      </c>
    </row>
    <row r="1866" spans="1:10" s="666" customFormat="1">
      <c r="A1866" s="284">
        <f t="shared" si="81"/>
        <v>0.99999999989999999</v>
      </c>
      <c r="B1866" s="284">
        <v>1</v>
      </c>
      <c r="C1866" s="264">
        <v>1</v>
      </c>
      <c r="D1866" s="265">
        <f>C1866*100/C1893</f>
        <v>99.999999990000006</v>
      </c>
      <c r="E1866" s="264" t="e">
        <v>#DIV/0!</v>
      </c>
      <c r="F1866" s="265" t="e">
        <f>E1866*100/E1893</f>
        <v>#DIV/0!</v>
      </c>
      <c r="G1866" s="264">
        <v>2</v>
      </c>
      <c r="H1866" s="265">
        <f>G1866*100/G1893</f>
        <v>28.571428571020409</v>
      </c>
      <c r="I1866" s="264">
        <v>0</v>
      </c>
      <c r="J1866" s="266">
        <f>I1866*100/I1893</f>
        <v>0</v>
      </c>
    </row>
    <row r="1867" spans="1:10" s="666" customFormat="1">
      <c r="A1867" s="284">
        <f t="shared" si="81"/>
        <v>1.9999999998</v>
      </c>
      <c r="B1867" s="284">
        <v>2</v>
      </c>
      <c r="C1867" s="268">
        <v>0</v>
      </c>
      <c r="D1867" s="269">
        <f>C1867*100/C1893</f>
        <v>0</v>
      </c>
      <c r="E1867" s="268" t="e">
        <v>#DIV/0!</v>
      </c>
      <c r="F1867" s="269" t="e">
        <f>E1867*100/E1893</f>
        <v>#DIV/0!</v>
      </c>
      <c r="G1867" s="268">
        <v>0</v>
      </c>
      <c r="H1867" s="269">
        <f>G1867*100/G1893</f>
        <v>0</v>
      </c>
      <c r="I1867" s="268">
        <v>0</v>
      </c>
      <c r="J1867" s="270">
        <f>I1867*100/I1893</f>
        <v>0</v>
      </c>
    </row>
    <row r="1868" spans="1:10" s="666" customFormat="1">
      <c r="A1868" s="284">
        <f t="shared" si="81"/>
        <v>2.9999999997</v>
      </c>
      <c r="B1868" s="284">
        <v>3</v>
      </c>
      <c r="C1868" s="264">
        <v>0</v>
      </c>
      <c r="D1868" s="265">
        <f>C1868*100/C1893</f>
        <v>0</v>
      </c>
      <c r="E1868" s="264" t="e">
        <v>#DIV/0!</v>
      </c>
      <c r="F1868" s="265" t="e">
        <f>E1868*100/E1893</f>
        <v>#DIV/0!</v>
      </c>
      <c r="G1868" s="264">
        <v>0</v>
      </c>
      <c r="H1868" s="265">
        <f>G1868*100/G1893</f>
        <v>0</v>
      </c>
      <c r="I1868" s="264">
        <v>0</v>
      </c>
      <c r="J1868" s="266">
        <f>I1868*100/I1893</f>
        <v>0</v>
      </c>
    </row>
    <row r="1869" spans="1:10" s="666" customFormat="1">
      <c r="A1869" s="284">
        <f t="shared" si="81"/>
        <v>3.9999999996</v>
      </c>
      <c r="B1869" s="285">
        <v>4</v>
      </c>
      <c r="C1869" s="268">
        <v>0</v>
      </c>
      <c r="D1869" s="269">
        <f>C1869*100/C1893</f>
        <v>0</v>
      </c>
      <c r="E1869" s="268" t="e">
        <v>#DIV/0!</v>
      </c>
      <c r="F1869" s="269" t="e">
        <f>E1869*100/E1893</f>
        <v>#DIV/0!</v>
      </c>
      <c r="G1869" s="268">
        <v>0</v>
      </c>
      <c r="H1869" s="269">
        <f>G1869*100/G1893</f>
        <v>0</v>
      </c>
      <c r="I1869" s="268">
        <v>0</v>
      </c>
      <c r="J1869" s="270">
        <f>I1869*100/I1893</f>
        <v>0</v>
      </c>
    </row>
    <row r="1870" spans="1:10" s="666" customFormat="1">
      <c r="A1870" s="284">
        <f t="shared" si="81"/>
        <v>4.9999999995</v>
      </c>
      <c r="B1870" s="285">
        <v>5</v>
      </c>
      <c r="C1870" s="264">
        <v>0</v>
      </c>
      <c r="D1870" s="265">
        <f>C1870*100/C1893</f>
        <v>0</v>
      </c>
      <c r="E1870" s="264" t="e">
        <v>#DIV/0!</v>
      </c>
      <c r="F1870" s="265" t="e">
        <f>E1870*100/E1893</f>
        <v>#DIV/0!</v>
      </c>
      <c r="G1870" s="264">
        <v>1</v>
      </c>
      <c r="H1870" s="265">
        <f>G1870*100/G1893</f>
        <v>14.285714285510204</v>
      </c>
      <c r="I1870" s="264">
        <v>0</v>
      </c>
      <c r="J1870" s="266">
        <f>I1870*100/I1893</f>
        <v>0</v>
      </c>
    </row>
    <row r="1871" spans="1:10" s="666" customFormat="1">
      <c r="A1871" s="284">
        <f t="shared" si="81"/>
        <v>5.9999999994</v>
      </c>
      <c r="B1871" s="285">
        <v>6</v>
      </c>
      <c r="C1871" s="268">
        <v>0</v>
      </c>
      <c r="D1871" s="269">
        <f>C1871*100/C1893</f>
        <v>0</v>
      </c>
      <c r="E1871" s="268" t="e">
        <v>#DIV/0!</v>
      </c>
      <c r="F1871" s="269" t="e">
        <f>E1871*100/E1893</f>
        <v>#DIV/0!</v>
      </c>
      <c r="G1871" s="268">
        <v>0</v>
      </c>
      <c r="H1871" s="269">
        <f>G1871*100/G1893</f>
        <v>0</v>
      </c>
      <c r="I1871" s="268">
        <v>0</v>
      </c>
      <c r="J1871" s="270">
        <f>I1871*100/I1893</f>
        <v>0</v>
      </c>
    </row>
    <row r="1872" spans="1:10" s="666" customFormat="1">
      <c r="A1872" s="284">
        <f t="shared" si="81"/>
        <v>6.9999999992999999</v>
      </c>
      <c r="B1872" s="284">
        <v>7</v>
      </c>
      <c r="C1872" s="264">
        <v>0</v>
      </c>
      <c r="D1872" s="265">
        <f>C1872*100/C1893</f>
        <v>0</v>
      </c>
      <c r="E1872" s="264" t="e">
        <v>#DIV/0!</v>
      </c>
      <c r="F1872" s="265" t="e">
        <f>E1872*100/E1893</f>
        <v>#DIV/0!</v>
      </c>
      <c r="G1872" s="264">
        <v>0</v>
      </c>
      <c r="H1872" s="265">
        <f>G1872*100/G1893</f>
        <v>0</v>
      </c>
      <c r="I1872" s="264">
        <v>0</v>
      </c>
      <c r="J1872" s="266">
        <f>I1872*100/I1893</f>
        <v>0</v>
      </c>
    </row>
    <row r="1873" spans="1:10" s="666" customFormat="1">
      <c r="A1873" s="284">
        <f t="shared" si="81"/>
        <v>7.9999999991999999</v>
      </c>
      <c r="B1873" s="285">
        <v>8</v>
      </c>
      <c r="C1873" s="268">
        <v>0</v>
      </c>
      <c r="D1873" s="269">
        <f>C1873*100/C1893</f>
        <v>0</v>
      </c>
      <c r="E1873" s="268" t="e">
        <v>#DIV/0!</v>
      </c>
      <c r="F1873" s="269" t="e">
        <f>E1873*100/E1893</f>
        <v>#DIV/0!</v>
      </c>
      <c r="G1873" s="268">
        <v>0</v>
      </c>
      <c r="H1873" s="269">
        <f>G1873*100/G1893</f>
        <v>0</v>
      </c>
      <c r="I1873" s="268">
        <v>0</v>
      </c>
      <c r="J1873" s="270">
        <f>I1873*100/I1893</f>
        <v>0</v>
      </c>
    </row>
    <row r="1874" spans="1:10" s="666" customFormat="1">
      <c r="A1874" s="284">
        <f t="shared" si="81"/>
        <v>8.9999999990999999</v>
      </c>
      <c r="B1874" s="284">
        <v>9</v>
      </c>
      <c r="C1874" s="264">
        <v>0</v>
      </c>
      <c r="D1874" s="265">
        <f>C1874*100/C1893</f>
        <v>0</v>
      </c>
      <c r="E1874" s="264" t="e">
        <v>#DIV/0!</v>
      </c>
      <c r="F1874" s="265" t="e">
        <f>E1874*100/E1893</f>
        <v>#DIV/0!</v>
      </c>
      <c r="G1874" s="264">
        <v>0</v>
      </c>
      <c r="H1874" s="265">
        <f>G1874*100/G1893</f>
        <v>0</v>
      </c>
      <c r="I1874" s="264">
        <v>0</v>
      </c>
      <c r="J1874" s="266">
        <f>I1874*100/I1893</f>
        <v>0</v>
      </c>
    </row>
    <row r="1875" spans="1:10" s="666" customFormat="1">
      <c r="A1875" s="284">
        <f t="shared" si="81"/>
        <v>9.9999999989999999</v>
      </c>
      <c r="B1875" s="285">
        <v>10</v>
      </c>
      <c r="C1875" s="268">
        <v>0</v>
      </c>
      <c r="D1875" s="269">
        <f>C1875*100/C1893</f>
        <v>0</v>
      </c>
      <c r="E1875" s="268" t="e">
        <v>#DIV/0!</v>
      </c>
      <c r="F1875" s="269" t="e">
        <f>E1875*100/E1893</f>
        <v>#DIV/0!</v>
      </c>
      <c r="G1875" s="268">
        <v>1</v>
      </c>
      <c r="H1875" s="269">
        <f>G1875*100/G1893</f>
        <v>14.285714285510204</v>
      </c>
      <c r="I1875" s="268">
        <v>0</v>
      </c>
      <c r="J1875" s="270">
        <f>I1875*100/I1893</f>
        <v>0</v>
      </c>
    </row>
    <row r="1876" spans="1:10" s="666" customFormat="1">
      <c r="A1876" s="284">
        <f t="shared" si="81"/>
        <v>19.999999998</v>
      </c>
      <c r="B1876" s="284">
        <v>20</v>
      </c>
      <c r="C1876" s="264">
        <v>0</v>
      </c>
      <c r="D1876" s="265">
        <f>C1876*100/C1893</f>
        <v>0</v>
      </c>
      <c r="E1876" s="264" t="e">
        <v>#DIV/0!</v>
      </c>
      <c r="F1876" s="265" t="e">
        <f>E1876*100/E1893</f>
        <v>#DIV/0!</v>
      </c>
      <c r="G1876" s="264">
        <v>0</v>
      </c>
      <c r="H1876" s="265">
        <f>G1876*100/G1893</f>
        <v>0</v>
      </c>
      <c r="I1876" s="264">
        <v>0</v>
      </c>
      <c r="J1876" s="266">
        <f>I1876*100/I1893</f>
        <v>0</v>
      </c>
    </row>
    <row r="1877" spans="1:10" s="666" customFormat="1">
      <c r="A1877" s="284">
        <f t="shared" si="81"/>
        <v>29.999999997</v>
      </c>
      <c r="B1877" s="285">
        <v>30</v>
      </c>
      <c r="C1877" s="268">
        <v>0</v>
      </c>
      <c r="D1877" s="269">
        <f>C1877*100/C1893</f>
        <v>0</v>
      </c>
      <c r="E1877" s="268" t="e">
        <v>#DIV/0!</v>
      </c>
      <c r="F1877" s="269" t="e">
        <f>E1877*100/E1893</f>
        <v>#DIV/0!</v>
      </c>
      <c r="G1877" s="268">
        <v>0</v>
      </c>
      <c r="H1877" s="269">
        <f>G1877*100/G1893</f>
        <v>0</v>
      </c>
      <c r="I1877" s="268">
        <v>0</v>
      </c>
      <c r="J1877" s="270">
        <f>I1877*100/I1893</f>
        <v>0</v>
      </c>
    </row>
    <row r="1878" spans="1:10" s="666" customFormat="1">
      <c r="A1878" s="284">
        <f t="shared" si="81"/>
        <v>39.999999996</v>
      </c>
      <c r="B1878" s="284">
        <v>40</v>
      </c>
      <c r="C1878" s="264">
        <v>0</v>
      </c>
      <c r="D1878" s="265">
        <f>C1878*100/C1893</f>
        <v>0</v>
      </c>
      <c r="E1878" s="264" t="e">
        <v>#DIV/0!</v>
      </c>
      <c r="F1878" s="265" t="e">
        <f>E1878*100/E1893</f>
        <v>#DIV/0!</v>
      </c>
      <c r="G1878" s="264">
        <v>0</v>
      </c>
      <c r="H1878" s="265">
        <f>G1878*100/G1893</f>
        <v>0</v>
      </c>
      <c r="I1878" s="264">
        <v>0</v>
      </c>
      <c r="J1878" s="266">
        <f>I1878*100/I1893</f>
        <v>0</v>
      </c>
    </row>
    <row r="1879" spans="1:10" s="666" customFormat="1">
      <c r="A1879" s="284">
        <f t="shared" si="81"/>
        <v>49.999999994999996</v>
      </c>
      <c r="B1879" s="285">
        <v>50</v>
      </c>
      <c r="C1879" s="268">
        <v>0</v>
      </c>
      <c r="D1879" s="271">
        <f>C1879*100/C1893</f>
        <v>0</v>
      </c>
      <c r="E1879" s="272" t="e">
        <v>#DIV/0!</v>
      </c>
      <c r="F1879" s="271" t="e">
        <f>E1879*100/E1893</f>
        <v>#DIV/0!</v>
      </c>
      <c r="G1879" s="272">
        <v>0</v>
      </c>
      <c r="H1879" s="271">
        <f>G1879*100/G1893</f>
        <v>0</v>
      </c>
      <c r="I1879" s="272">
        <v>0</v>
      </c>
      <c r="J1879" s="273">
        <f>I1879*100/I1893</f>
        <v>0</v>
      </c>
    </row>
    <row r="1880" spans="1:10" s="666" customFormat="1">
      <c r="A1880" s="284">
        <f t="shared" si="81"/>
        <v>59.999999994</v>
      </c>
      <c r="B1880" s="284">
        <v>60</v>
      </c>
      <c r="C1880" s="456">
        <v>0</v>
      </c>
      <c r="D1880" s="220">
        <f>C1880*100/C1893</f>
        <v>0</v>
      </c>
      <c r="E1880" s="221" t="e">
        <v>#DIV/0!</v>
      </c>
      <c r="F1880" s="220" t="e">
        <f>E1880*100/E1893</f>
        <v>#DIV/0!</v>
      </c>
      <c r="G1880" s="221">
        <v>0</v>
      </c>
      <c r="H1880" s="220">
        <f>G1880*100/G1893</f>
        <v>0</v>
      </c>
      <c r="I1880" s="221">
        <v>0</v>
      </c>
      <c r="J1880" s="281">
        <f>I1880*100/I1893</f>
        <v>0</v>
      </c>
    </row>
    <row r="1881" spans="1:10" s="666" customFormat="1">
      <c r="A1881" s="284">
        <f t="shared" si="81"/>
        <v>69.999999993000003</v>
      </c>
      <c r="B1881" s="285">
        <v>70</v>
      </c>
      <c r="C1881" s="268">
        <v>0</v>
      </c>
      <c r="D1881" s="271">
        <f>C1881*100/C1893</f>
        <v>0</v>
      </c>
      <c r="E1881" s="272" t="e">
        <v>#DIV/0!</v>
      </c>
      <c r="F1881" s="271" t="e">
        <f>E1881*100/E1893</f>
        <v>#DIV/0!</v>
      </c>
      <c r="G1881" s="272">
        <v>0</v>
      </c>
      <c r="H1881" s="271">
        <f>G1881*100/G1893</f>
        <v>0</v>
      </c>
      <c r="I1881" s="272">
        <v>0</v>
      </c>
      <c r="J1881" s="273">
        <f>I1881*100/I1893</f>
        <v>0</v>
      </c>
    </row>
    <row r="1882" spans="1:10" s="666" customFormat="1">
      <c r="A1882" s="284">
        <f t="shared" si="81"/>
        <v>79.999999991999999</v>
      </c>
      <c r="B1882" s="284">
        <v>80</v>
      </c>
      <c r="C1882" s="456">
        <v>0</v>
      </c>
      <c r="D1882" s="220">
        <f>C1882*100/C1893</f>
        <v>0</v>
      </c>
      <c r="E1882" s="221" t="e">
        <v>#DIV/0!</v>
      </c>
      <c r="F1882" s="220" t="e">
        <f>E1882*100/E1893</f>
        <v>#DIV/0!</v>
      </c>
      <c r="G1882" s="221">
        <v>1</v>
      </c>
      <c r="H1882" s="220">
        <f>G1882*100/G1893</f>
        <v>14.285714285510204</v>
      </c>
      <c r="I1882" s="221">
        <v>0</v>
      </c>
      <c r="J1882" s="281">
        <f>I1882*100/I1893</f>
        <v>0</v>
      </c>
    </row>
    <row r="1883" spans="1:10" s="666" customFormat="1">
      <c r="A1883" s="284">
        <f t="shared" si="81"/>
        <v>89.999999990999996</v>
      </c>
      <c r="B1883" s="285">
        <v>90</v>
      </c>
      <c r="C1883" s="268">
        <v>0</v>
      </c>
      <c r="D1883" s="271">
        <f>C1883*100/C1893</f>
        <v>0</v>
      </c>
      <c r="E1883" s="272" t="e">
        <v>#DIV/0!</v>
      </c>
      <c r="F1883" s="271" t="e">
        <f>E1883*100/E1893</f>
        <v>#DIV/0!</v>
      </c>
      <c r="G1883" s="272">
        <v>0</v>
      </c>
      <c r="H1883" s="271">
        <f>G1883*100/G1893</f>
        <v>0</v>
      </c>
      <c r="I1883" s="272">
        <v>0</v>
      </c>
      <c r="J1883" s="273">
        <f>I1883*100/I1893</f>
        <v>0</v>
      </c>
    </row>
    <row r="1884" spans="1:10" s="666" customFormat="1">
      <c r="A1884" s="284">
        <f t="shared" si="81"/>
        <v>99.999999989999992</v>
      </c>
      <c r="B1884" s="284">
        <v>100</v>
      </c>
      <c r="C1884" s="456">
        <v>0</v>
      </c>
      <c r="D1884" s="220">
        <f>C1884*100/C$1836</f>
        <v>0</v>
      </c>
      <c r="E1884" s="221" t="e">
        <v>#DIV/0!</v>
      </c>
      <c r="F1884" s="220" t="e">
        <f>E1884*100/E$1836</f>
        <v>#DIV/0!</v>
      </c>
      <c r="G1884" s="221">
        <v>0</v>
      </c>
      <c r="H1884" s="220">
        <f>G1884*100/G$1836</f>
        <v>0</v>
      </c>
      <c r="I1884" s="221">
        <v>0</v>
      </c>
      <c r="J1884" s="281">
        <f>I1884*100/I$1836</f>
        <v>0</v>
      </c>
    </row>
    <row r="1885" spans="1:10" s="666" customFormat="1">
      <c r="A1885" s="284">
        <f t="shared" si="81"/>
        <v>199.99999997999998</v>
      </c>
      <c r="B1885" s="285">
        <v>200</v>
      </c>
      <c r="C1885" s="272">
        <v>0</v>
      </c>
      <c r="D1885" s="220">
        <f t="shared" ref="D1885:D1892" si="82">C1885*100/C$1836</f>
        <v>0</v>
      </c>
      <c r="E1885" s="272" t="e">
        <v>#DIV/0!</v>
      </c>
      <c r="F1885" s="220" t="e">
        <f t="shared" ref="F1885:F1892" si="83">E1885*100/E$1836</f>
        <v>#DIV/0!</v>
      </c>
      <c r="G1885" s="272">
        <v>0</v>
      </c>
      <c r="H1885" s="220">
        <f t="shared" ref="H1885:H1892" si="84">G1885*100/G$1836</f>
        <v>0</v>
      </c>
      <c r="I1885" s="272">
        <v>0</v>
      </c>
      <c r="J1885" s="281">
        <f t="shared" ref="J1885:J1892" si="85">I1885*100/I$1836</f>
        <v>0</v>
      </c>
    </row>
    <row r="1886" spans="1:10" s="666" customFormat="1">
      <c r="A1886" s="284">
        <f t="shared" si="81"/>
        <v>299.99999996999998</v>
      </c>
      <c r="B1886" s="284">
        <v>300</v>
      </c>
      <c r="C1886" s="272">
        <v>0</v>
      </c>
      <c r="D1886" s="220">
        <f t="shared" si="82"/>
        <v>0</v>
      </c>
      <c r="E1886" s="272" t="e">
        <v>#DIV/0!</v>
      </c>
      <c r="F1886" s="220" t="e">
        <f t="shared" si="83"/>
        <v>#DIV/0!</v>
      </c>
      <c r="G1886" s="272">
        <v>2</v>
      </c>
      <c r="H1886" s="220">
        <f t="shared" si="84"/>
        <v>18.181818181652893</v>
      </c>
      <c r="I1886" s="272">
        <v>0</v>
      </c>
      <c r="J1886" s="281">
        <f t="shared" si="85"/>
        <v>0</v>
      </c>
    </row>
    <row r="1887" spans="1:10" s="666" customFormat="1">
      <c r="A1887" s="284">
        <f t="shared" si="81"/>
        <v>399.99999995999997</v>
      </c>
      <c r="B1887" s="285">
        <v>400</v>
      </c>
      <c r="C1887" s="272">
        <v>0</v>
      </c>
      <c r="D1887" s="220">
        <f t="shared" si="82"/>
        <v>0</v>
      </c>
      <c r="E1887" s="272" t="e">
        <v>#DIV/0!</v>
      </c>
      <c r="F1887" s="220" t="e">
        <f t="shared" si="83"/>
        <v>#DIV/0!</v>
      </c>
      <c r="G1887" s="272">
        <v>0</v>
      </c>
      <c r="H1887" s="220">
        <f t="shared" si="84"/>
        <v>0</v>
      </c>
      <c r="I1887" s="272">
        <v>0</v>
      </c>
      <c r="J1887" s="281">
        <f t="shared" si="85"/>
        <v>0</v>
      </c>
    </row>
    <row r="1888" spans="1:10" s="666" customFormat="1">
      <c r="A1888" s="284">
        <f t="shared" si="81"/>
        <v>499.99999995000002</v>
      </c>
      <c r="B1888" s="447">
        <v>500</v>
      </c>
      <c r="C1888" s="272">
        <v>0</v>
      </c>
      <c r="D1888" s="220">
        <f t="shared" si="82"/>
        <v>0</v>
      </c>
      <c r="E1888" s="272" t="e">
        <v>#DIV/0!</v>
      </c>
      <c r="F1888" s="220" t="e">
        <f t="shared" si="83"/>
        <v>#DIV/0!</v>
      </c>
      <c r="G1888" s="272">
        <v>3</v>
      </c>
      <c r="H1888" s="220">
        <f t="shared" si="84"/>
        <v>27.27272727247934</v>
      </c>
      <c r="I1888" s="272">
        <v>0</v>
      </c>
      <c r="J1888" s="281">
        <f t="shared" si="85"/>
        <v>0</v>
      </c>
    </row>
    <row r="1889" spans="1:16" s="666" customFormat="1">
      <c r="A1889" s="284">
        <f t="shared" si="81"/>
        <v>599.99999993999995</v>
      </c>
      <c r="B1889" s="450">
        <v>600</v>
      </c>
      <c r="C1889" s="272">
        <v>0</v>
      </c>
      <c r="D1889" s="220">
        <f t="shared" si="82"/>
        <v>0</v>
      </c>
      <c r="E1889" s="272" t="e">
        <v>#DIV/0!</v>
      </c>
      <c r="F1889" s="220" t="e">
        <f t="shared" si="83"/>
        <v>#DIV/0!</v>
      </c>
      <c r="G1889" s="272">
        <v>0</v>
      </c>
      <c r="H1889" s="220">
        <f t="shared" si="84"/>
        <v>0</v>
      </c>
      <c r="I1889" s="272">
        <v>0</v>
      </c>
      <c r="J1889" s="281">
        <f t="shared" si="85"/>
        <v>0</v>
      </c>
    </row>
    <row r="1890" spans="1:16" s="666" customFormat="1">
      <c r="A1890" s="284">
        <f t="shared" si="81"/>
        <v>699.99999992999994</v>
      </c>
      <c r="B1890" s="450">
        <v>700</v>
      </c>
      <c r="C1890" s="272">
        <v>0</v>
      </c>
      <c r="D1890" s="220">
        <f t="shared" si="82"/>
        <v>0</v>
      </c>
      <c r="E1890" s="272" t="e">
        <v>#DIV/0!</v>
      </c>
      <c r="F1890" s="220" t="e">
        <f t="shared" si="83"/>
        <v>#DIV/0!</v>
      </c>
      <c r="G1890" s="272">
        <v>1</v>
      </c>
      <c r="H1890" s="220">
        <f t="shared" si="84"/>
        <v>9.0909090908264467</v>
      </c>
      <c r="I1890" s="272">
        <v>0</v>
      </c>
      <c r="J1890" s="281">
        <f t="shared" si="85"/>
        <v>0</v>
      </c>
    </row>
    <row r="1891" spans="1:16" s="666" customFormat="1">
      <c r="A1891" s="284">
        <f t="shared" si="81"/>
        <v>799.99999991999994</v>
      </c>
      <c r="B1891" s="450">
        <v>800</v>
      </c>
      <c r="C1891" s="272">
        <v>0</v>
      </c>
      <c r="D1891" s="220">
        <f t="shared" si="82"/>
        <v>0</v>
      </c>
      <c r="E1891" s="272" t="e">
        <v>#DIV/0!</v>
      </c>
      <c r="F1891" s="220" t="e">
        <f t="shared" si="83"/>
        <v>#DIV/0!</v>
      </c>
      <c r="G1891" s="272">
        <v>0</v>
      </c>
      <c r="H1891" s="220">
        <f t="shared" si="84"/>
        <v>0</v>
      </c>
      <c r="I1891" s="272">
        <v>0</v>
      </c>
      <c r="J1891" s="281">
        <f t="shared" si="85"/>
        <v>0</v>
      </c>
      <c r="M1891" s="668" t="s">
        <v>400</v>
      </c>
      <c r="N1891" s="668" t="s">
        <v>882</v>
      </c>
      <c r="O1891" s="668" t="s">
        <v>883</v>
      </c>
      <c r="P1891" s="139"/>
    </row>
    <row r="1892" spans="1:16" s="666" customFormat="1" ht="15" thickBot="1">
      <c r="A1892" s="449">
        <f>0.9999999999*B1892</f>
        <v>899.99999991000004</v>
      </c>
      <c r="B1892" s="449">
        <v>900</v>
      </c>
      <c r="C1892" s="272">
        <v>0</v>
      </c>
      <c r="D1892" s="220">
        <f t="shared" si="82"/>
        <v>0</v>
      </c>
      <c r="E1892" s="272" t="e">
        <v>#DIV/0!</v>
      </c>
      <c r="F1892" s="220" t="e">
        <f t="shared" si="83"/>
        <v>#DIV/0!</v>
      </c>
      <c r="G1892" s="272">
        <v>0</v>
      </c>
      <c r="H1892" s="220">
        <f t="shared" si="84"/>
        <v>0</v>
      </c>
      <c r="I1892" s="272">
        <v>0</v>
      </c>
      <c r="J1892" s="281">
        <f t="shared" si="85"/>
        <v>0</v>
      </c>
      <c r="M1892" s="668" t="s">
        <v>186</v>
      </c>
      <c r="N1892" s="668" t="s">
        <v>882</v>
      </c>
      <c r="O1892" s="668" t="s">
        <v>883</v>
      </c>
      <c r="P1892" s="139"/>
    </row>
    <row r="1893" spans="1:16" s="666" customFormat="1" ht="15" thickBot="1">
      <c r="A1893" s="667" t="s">
        <v>396</v>
      </c>
      <c r="B1893" s="667"/>
      <c r="C1893" s="278">
        <f>SUM(C1857:C1885)+0.0000000001</f>
        <v>1.0000000001</v>
      </c>
      <c r="D1893" s="279">
        <f>SUM(D1858:D1885)</f>
        <v>99.999999990000006</v>
      </c>
      <c r="E1893" s="278" t="e">
        <f>SUM(E1857:E1885)+0.0000000001</f>
        <v>#DIV/0!</v>
      </c>
      <c r="F1893" s="279" t="e">
        <f>SUM(F1857:F1885)</f>
        <v>#DIV/0!</v>
      </c>
      <c r="G1893" s="314">
        <f>SUM(G1857:G1885)+0.0000000001</f>
        <v>7.0000000001</v>
      </c>
      <c r="H1893" s="279">
        <f>SUM(H1857:H1885)</f>
        <v>99.99999999857144</v>
      </c>
      <c r="I1893" s="278">
        <f>SUM(I1857:I1885)+0.0000000001</f>
        <v>1E-10</v>
      </c>
      <c r="J1893" s="279">
        <f>SUM(J1857:J1885)</f>
        <v>0</v>
      </c>
      <c r="M1893" s="668" t="s">
        <v>399</v>
      </c>
      <c r="N1893" s="668" t="s">
        <v>882</v>
      </c>
      <c r="O1893" s="668" t="s">
        <v>883</v>
      </c>
      <c r="P1893" s="139">
        <f>AVERAGE(IC!BA3:BA39)</f>
        <v>240.90923076923076</v>
      </c>
    </row>
    <row r="1894" spans="1:16" s="666" customFormat="1" ht="15" thickBot="1">
      <c r="A1894" s="778" t="e">
        <f>C1893+E1893+G1893+I1893</f>
        <v>#DIV/0!</v>
      </c>
      <c r="B1894" s="779"/>
      <c r="C1894" s="779"/>
      <c r="D1894" s="779"/>
      <c r="E1894" s="779"/>
      <c r="F1894" s="779"/>
      <c r="G1894" s="779"/>
      <c r="H1894" s="779"/>
      <c r="I1894" s="779"/>
      <c r="J1894" s="780"/>
      <c r="M1894" s="668" t="s">
        <v>531</v>
      </c>
      <c r="N1894" s="668" t="s">
        <v>882</v>
      </c>
      <c r="O1894" s="668" t="s">
        <v>883</v>
      </c>
      <c r="P1894" s="139"/>
    </row>
    <row r="1895" spans="1:16" s="666" customFormat="1">
      <c r="A1895" s="671"/>
      <c r="B1895" s="671"/>
      <c r="C1895" s="671"/>
      <c r="D1895" s="671"/>
      <c r="E1895" s="671"/>
      <c r="F1895" s="671"/>
      <c r="G1895" s="671"/>
      <c r="H1895" s="671"/>
      <c r="I1895" s="671"/>
      <c r="J1895" s="671"/>
    </row>
    <row r="1896" spans="1:16" s="666" customFormat="1">
      <c r="A1896" s="671"/>
      <c r="B1896" s="671"/>
      <c r="C1896" s="671"/>
      <c r="D1896" s="671"/>
      <c r="E1896" s="671"/>
      <c r="F1896" s="671"/>
      <c r="G1896" s="671"/>
      <c r="H1896" s="671"/>
      <c r="I1896" s="671"/>
      <c r="J1896" s="671"/>
    </row>
    <row r="1897" spans="1:16" s="666" customFormat="1">
      <c r="A1897" s="671"/>
      <c r="B1897" s="671"/>
      <c r="C1897" s="671"/>
      <c r="D1897" s="671"/>
      <c r="E1897" s="671"/>
      <c r="F1897" s="671"/>
      <c r="G1897" s="671"/>
      <c r="H1897" s="671"/>
      <c r="I1897" s="671"/>
      <c r="J1897" s="671"/>
    </row>
    <row r="1898" spans="1:16" s="666" customFormat="1">
      <c r="A1898" s="671"/>
      <c r="B1898" s="671"/>
      <c r="C1898" s="671"/>
      <c r="D1898" s="671"/>
      <c r="E1898" s="671"/>
      <c r="F1898" s="671"/>
      <c r="G1898" s="671"/>
      <c r="H1898" s="671"/>
      <c r="I1898" s="671"/>
      <c r="J1898" s="671"/>
    </row>
    <row r="1899" spans="1:16" s="666" customFormat="1">
      <c r="A1899" s="671"/>
      <c r="B1899" s="671"/>
      <c r="C1899" s="671"/>
      <c r="D1899" s="671"/>
      <c r="E1899" s="671"/>
      <c r="F1899" s="671"/>
      <c r="G1899" s="671"/>
      <c r="H1899" s="671"/>
      <c r="I1899" s="671"/>
      <c r="J1899" s="671"/>
    </row>
    <row r="1900" spans="1:16" s="666" customFormat="1">
      <c r="A1900" s="671"/>
      <c r="B1900" s="671"/>
      <c r="C1900" s="671"/>
      <c r="D1900" s="671"/>
      <c r="E1900" s="671"/>
      <c r="F1900" s="671"/>
      <c r="G1900" s="671"/>
      <c r="H1900" s="671"/>
      <c r="I1900" s="671"/>
      <c r="J1900" s="671"/>
    </row>
    <row r="1901" spans="1:16" s="666" customFormat="1" ht="26.4" thickBot="1">
      <c r="A1901" s="670"/>
      <c r="B1901" s="671"/>
      <c r="C1901" s="671"/>
      <c r="D1901" s="671"/>
      <c r="E1901" s="671"/>
      <c r="F1901" s="671"/>
      <c r="G1901" s="671"/>
      <c r="H1901" s="671"/>
      <c r="I1901" s="671"/>
      <c r="J1901" s="671"/>
    </row>
    <row r="1902" spans="1:16" s="666" customFormat="1" ht="15" customHeight="1" thickBot="1">
      <c r="A1902" s="798" t="s">
        <v>1016</v>
      </c>
      <c r="B1902" s="780"/>
      <c r="C1902" s="799" t="s">
        <v>400</v>
      </c>
      <c r="D1902" s="799"/>
      <c r="E1902" s="800" t="s">
        <v>946</v>
      </c>
      <c r="F1902" s="800"/>
      <c r="G1902" s="799" t="s">
        <v>948</v>
      </c>
      <c r="H1902" s="799"/>
      <c r="I1902" s="800" t="s">
        <v>947</v>
      </c>
      <c r="J1902" s="800"/>
    </row>
    <row r="1903" spans="1:16" s="666" customFormat="1" ht="15" thickBot="1">
      <c r="A1903" s="251" t="s">
        <v>887</v>
      </c>
      <c r="B1903" s="251" t="s">
        <v>243</v>
      </c>
      <c r="C1903" s="252" t="s">
        <v>397</v>
      </c>
      <c r="D1903" s="253" t="s">
        <v>945</v>
      </c>
      <c r="E1903" s="254" t="s">
        <v>397</v>
      </c>
      <c r="F1903" s="255" t="s">
        <v>945</v>
      </c>
      <c r="G1903" s="256" t="s">
        <v>397</v>
      </c>
      <c r="H1903" s="257" t="s">
        <v>945</v>
      </c>
      <c r="I1903" s="254" t="s">
        <v>397</v>
      </c>
      <c r="J1903" s="258" t="s">
        <v>945</v>
      </c>
    </row>
    <row r="1904" spans="1:16" s="666" customFormat="1">
      <c r="A1904" s="284">
        <f>0.9999999999*B1904</f>
        <v>9.9999999990000005E-2</v>
      </c>
      <c r="B1904" s="284">
        <v>0.1</v>
      </c>
      <c r="C1904" s="260"/>
      <c r="D1904" s="261"/>
      <c r="E1904" s="260"/>
      <c r="F1904" s="261"/>
      <c r="G1904" s="260">
        <f t="array" ref="G1904:G1939">FREQUENCY(IC!BC3:BC39,Hists!A1905:A1939)</f>
        <v>8</v>
      </c>
      <c r="H1904" s="261">
        <f>G1904*100/G1940</f>
        <v>61.538461537988162</v>
      </c>
      <c r="I1904" s="260">
        <f t="array" ref="I1904:I1939">FREQUENCY(IC!BC40:BC64,Hists!A1905:A1939)</f>
        <v>0</v>
      </c>
      <c r="J1904" s="262">
        <f>I1904*100/I1940</f>
        <v>0</v>
      </c>
    </row>
    <row r="1905" spans="1:10" s="666" customFormat="1">
      <c r="A1905" s="284">
        <f>0.9999999999*B1905</f>
        <v>0.19999999998000001</v>
      </c>
      <c r="B1905" s="284">
        <v>0.2</v>
      </c>
      <c r="C1905" s="264"/>
      <c r="D1905" s="265"/>
      <c r="E1905" s="264"/>
      <c r="F1905" s="265"/>
      <c r="G1905" s="264">
        <v>0</v>
      </c>
      <c r="H1905" s="265">
        <f>G1905*100/G1940</f>
        <v>0</v>
      </c>
      <c r="I1905" s="264">
        <v>0</v>
      </c>
      <c r="J1905" s="266">
        <f>I1905*100/I1940</f>
        <v>0</v>
      </c>
    </row>
    <row r="1906" spans="1:10" s="666" customFormat="1">
      <c r="A1906" s="284">
        <f t="shared" ref="A1906:A1938" si="86">0.9999999999*B1906</f>
        <v>0.29999999996999999</v>
      </c>
      <c r="B1906" s="284">
        <v>0.3</v>
      </c>
      <c r="C1906" s="268"/>
      <c r="D1906" s="269"/>
      <c r="E1906" s="268"/>
      <c r="F1906" s="269"/>
      <c r="G1906" s="268">
        <v>0</v>
      </c>
      <c r="H1906" s="269">
        <f>G1906*100/G1940</f>
        <v>0</v>
      </c>
      <c r="I1906" s="268">
        <v>0</v>
      </c>
      <c r="J1906" s="270">
        <f>I1906*100/I1940</f>
        <v>0</v>
      </c>
    </row>
    <row r="1907" spans="1:10" s="666" customFormat="1">
      <c r="A1907" s="284">
        <f t="shared" si="86"/>
        <v>0.39999999996000002</v>
      </c>
      <c r="B1907" s="284">
        <v>0.4</v>
      </c>
      <c r="C1907" s="264"/>
      <c r="D1907" s="265"/>
      <c r="E1907" s="264"/>
      <c r="F1907" s="265"/>
      <c r="G1907" s="264">
        <v>0</v>
      </c>
      <c r="H1907" s="265">
        <f>G1907*100/G1940</f>
        <v>0</v>
      </c>
      <c r="I1907" s="264">
        <v>0</v>
      </c>
      <c r="J1907" s="266">
        <f>I1907*100/I1940</f>
        <v>0</v>
      </c>
    </row>
    <row r="1908" spans="1:10" s="666" customFormat="1">
      <c r="A1908" s="284">
        <f t="shared" si="86"/>
        <v>0.49999999995</v>
      </c>
      <c r="B1908" s="284">
        <v>0.5</v>
      </c>
      <c r="C1908" s="268"/>
      <c r="D1908" s="269"/>
      <c r="E1908" s="268"/>
      <c r="F1908" s="269"/>
      <c r="G1908" s="268">
        <v>2</v>
      </c>
      <c r="H1908" s="269">
        <f>G1908*100/G1940</f>
        <v>15.384615384497041</v>
      </c>
      <c r="I1908" s="268">
        <v>1</v>
      </c>
      <c r="J1908" s="270">
        <f>I1908*100/I1940</f>
        <v>33.333333332222224</v>
      </c>
    </row>
    <row r="1909" spans="1:10" s="666" customFormat="1">
      <c r="A1909" s="284">
        <f t="shared" si="86"/>
        <v>0.59999999993999997</v>
      </c>
      <c r="B1909" s="284">
        <v>0.6</v>
      </c>
      <c r="C1909" s="264"/>
      <c r="D1909" s="265"/>
      <c r="E1909" s="264"/>
      <c r="F1909" s="265"/>
      <c r="G1909" s="264">
        <v>0</v>
      </c>
      <c r="H1909" s="265">
        <f>G1909*100/G1940</f>
        <v>0</v>
      </c>
      <c r="I1909" s="264">
        <v>0</v>
      </c>
      <c r="J1909" s="266">
        <f>I1909*100/I1940</f>
        <v>0</v>
      </c>
    </row>
    <row r="1910" spans="1:10" s="666" customFormat="1">
      <c r="A1910" s="284">
        <f t="shared" si="86"/>
        <v>0.69999999992999995</v>
      </c>
      <c r="B1910" s="284">
        <v>0.7</v>
      </c>
      <c r="C1910" s="268"/>
      <c r="D1910" s="269"/>
      <c r="E1910" s="268"/>
      <c r="F1910" s="269"/>
      <c r="G1910" s="268">
        <v>0</v>
      </c>
      <c r="H1910" s="269">
        <f>G1910*100/G1940</f>
        <v>0</v>
      </c>
      <c r="I1910" s="268">
        <v>0</v>
      </c>
      <c r="J1910" s="270">
        <f>I1910*100/I1940</f>
        <v>0</v>
      </c>
    </row>
    <row r="1911" spans="1:10" s="666" customFormat="1">
      <c r="A1911" s="284">
        <f t="shared" si="86"/>
        <v>0.79999999992000004</v>
      </c>
      <c r="B1911" s="284">
        <v>0.8</v>
      </c>
      <c r="C1911" s="264"/>
      <c r="D1911" s="265"/>
      <c r="E1911" s="264"/>
      <c r="F1911" s="265"/>
      <c r="G1911" s="264">
        <v>0</v>
      </c>
      <c r="H1911" s="265">
        <f>G1911*100/G1940</f>
        <v>0</v>
      </c>
      <c r="I1911" s="264">
        <v>0</v>
      </c>
      <c r="J1911" s="266">
        <f>I1911*100/I1940</f>
        <v>0</v>
      </c>
    </row>
    <row r="1912" spans="1:10" s="666" customFormat="1" ht="15" customHeight="1">
      <c r="A1912" s="284">
        <f t="shared" si="86"/>
        <v>0.89999999991000001</v>
      </c>
      <c r="B1912" s="284">
        <v>0.9</v>
      </c>
      <c r="C1912" s="268"/>
      <c r="D1912" s="269"/>
      <c r="E1912" s="268"/>
      <c r="F1912" s="269"/>
      <c r="G1912" s="268">
        <v>1</v>
      </c>
      <c r="H1912" s="269">
        <f>G1912*100/G1940</f>
        <v>7.6923076922485203</v>
      </c>
      <c r="I1912" s="268">
        <v>0</v>
      </c>
      <c r="J1912" s="270">
        <f>I1912*100/I1940</f>
        <v>0</v>
      </c>
    </row>
    <row r="1913" spans="1:10" s="666" customFormat="1">
      <c r="A1913" s="284">
        <f t="shared" si="86"/>
        <v>0.99999999989999999</v>
      </c>
      <c r="B1913" s="284">
        <v>1</v>
      </c>
      <c r="C1913" s="264"/>
      <c r="D1913" s="265"/>
      <c r="E1913" s="264"/>
      <c r="F1913" s="265"/>
      <c r="G1913" s="264">
        <v>1</v>
      </c>
      <c r="H1913" s="265">
        <f>G1913*100/G1940</f>
        <v>7.6923076922485203</v>
      </c>
      <c r="I1913" s="264">
        <v>2</v>
      </c>
      <c r="J1913" s="266">
        <f>I1913*100/I1940</f>
        <v>66.666666664444449</v>
      </c>
    </row>
    <row r="1914" spans="1:10" s="666" customFormat="1">
      <c r="A1914" s="284">
        <f t="shared" si="86"/>
        <v>1.9999999998</v>
      </c>
      <c r="B1914" s="284">
        <v>2</v>
      </c>
      <c r="C1914" s="268"/>
      <c r="D1914" s="269"/>
      <c r="E1914" s="268"/>
      <c r="F1914" s="269"/>
      <c r="G1914" s="268">
        <v>0</v>
      </c>
      <c r="H1914" s="269">
        <f>G1914*100/G1940</f>
        <v>0</v>
      </c>
      <c r="I1914" s="268">
        <v>0</v>
      </c>
      <c r="J1914" s="270">
        <f>I1914*100/I1940</f>
        <v>0</v>
      </c>
    </row>
    <row r="1915" spans="1:10" s="666" customFormat="1">
      <c r="A1915" s="284">
        <f t="shared" si="86"/>
        <v>2.9999999997</v>
      </c>
      <c r="B1915" s="284">
        <v>3</v>
      </c>
      <c r="C1915" s="264"/>
      <c r="D1915" s="265"/>
      <c r="E1915" s="264"/>
      <c r="F1915" s="265"/>
      <c r="G1915" s="264">
        <v>0</v>
      </c>
      <c r="H1915" s="265">
        <f>G1915*100/G1940</f>
        <v>0</v>
      </c>
      <c r="I1915" s="264">
        <v>0</v>
      </c>
      <c r="J1915" s="266">
        <f>I1915*100/I1940</f>
        <v>0</v>
      </c>
    </row>
    <row r="1916" spans="1:10" s="666" customFormat="1">
      <c r="A1916" s="284">
        <f t="shared" si="86"/>
        <v>3.9999999996</v>
      </c>
      <c r="B1916" s="285">
        <v>4</v>
      </c>
      <c r="C1916" s="268"/>
      <c r="D1916" s="269"/>
      <c r="E1916" s="268"/>
      <c r="F1916" s="269"/>
      <c r="G1916" s="268">
        <v>1</v>
      </c>
      <c r="H1916" s="269">
        <f>G1916*100/G1940</f>
        <v>7.6923076922485203</v>
      </c>
      <c r="I1916" s="268">
        <v>0</v>
      </c>
      <c r="J1916" s="270">
        <f>I1916*100/I1940</f>
        <v>0</v>
      </c>
    </row>
    <row r="1917" spans="1:10" s="666" customFormat="1">
      <c r="A1917" s="284">
        <f t="shared" si="86"/>
        <v>4.9999999995</v>
      </c>
      <c r="B1917" s="285">
        <v>5</v>
      </c>
      <c r="C1917" s="264"/>
      <c r="D1917" s="265"/>
      <c r="E1917" s="264"/>
      <c r="F1917" s="265"/>
      <c r="G1917" s="264">
        <v>0</v>
      </c>
      <c r="H1917" s="265">
        <f>G1917*100/G1940</f>
        <v>0</v>
      </c>
      <c r="I1917" s="264">
        <v>0</v>
      </c>
      <c r="J1917" s="266">
        <f>I1917*100/I1940</f>
        <v>0</v>
      </c>
    </row>
    <row r="1918" spans="1:10" s="666" customFormat="1">
      <c r="A1918" s="284">
        <f t="shared" si="86"/>
        <v>5.9999999994</v>
      </c>
      <c r="B1918" s="285">
        <v>6</v>
      </c>
      <c r="C1918" s="268"/>
      <c r="D1918" s="269"/>
      <c r="E1918" s="268"/>
      <c r="F1918" s="269"/>
      <c r="G1918" s="268">
        <v>0</v>
      </c>
      <c r="H1918" s="269">
        <f>G1918*100/G1940</f>
        <v>0</v>
      </c>
      <c r="I1918" s="268">
        <v>0</v>
      </c>
      <c r="J1918" s="270">
        <f>I1918*100/I1940</f>
        <v>0</v>
      </c>
    </row>
    <row r="1919" spans="1:10" s="666" customFormat="1">
      <c r="A1919" s="284">
        <f t="shared" si="86"/>
        <v>6.9999999992999999</v>
      </c>
      <c r="B1919" s="284">
        <v>7</v>
      </c>
      <c r="C1919" s="264"/>
      <c r="D1919" s="265"/>
      <c r="E1919" s="264"/>
      <c r="F1919" s="265"/>
      <c r="G1919" s="264">
        <v>0</v>
      </c>
      <c r="H1919" s="265">
        <f>G1919*100/G1940</f>
        <v>0</v>
      </c>
      <c r="I1919" s="264">
        <v>0</v>
      </c>
      <c r="J1919" s="266">
        <f>I1919*100/I1940</f>
        <v>0</v>
      </c>
    </row>
    <row r="1920" spans="1:10" s="666" customFormat="1">
      <c r="A1920" s="284">
        <f t="shared" si="86"/>
        <v>7.9999999991999999</v>
      </c>
      <c r="B1920" s="285">
        <v>8</v>
      </c>
      <c r="C1920" s="268"/>
      <c r="D1920" s="269"/>
      <c r="E1920" s="268"/>
      <c r="F1920" s="269"/>
      <c r="G1920" s="268">
        <v>0</v>
      </c>
      <c r="H1920" s="269">
        <f>G1920*100/G1940</f>
        <v>0</v>
      </c>
      <c r="I1920" s="268">
        <v>0</v>
      </c>
      <c r="J1920" s="270">
        <f>I1920*100/I1940</f>
        <v>0</v>
      </c>
    </row>
    <row r="1921" spans="1:10" s="666" customFormat="1">
      <c r="A1921" s="284">
        <f t="shared" si="86"/>
        <v>8.9999999990999999</v>
      </c>
      <c r="B1921" s="284">
        <v>9</v>
      </c>
      <c r="C1921" s="264"/>
      <c r="D1921" s="265"/>
      <c r="E1921" s="264"/>
      <c r="F1921" s="265"/>
      <c r="G1921" s="264">
        <v>0</v>
      </c>
      <c r="H1921" s="265">
        <f>G1921*100/G1940</f>
        <v>0</v>
      </c>
      <c r="I1921" s="264">
        <v>0</v>
      </c>
      <c r="J1921" s="266">
        <f>I1921*100/I1940</f>
        <v>0</v>
      </c>
    </row>
    <row r="1922" spans="1:10" s="666" customFormat="1">
      <c r="A1922" s="284">
        <f t="shared" si="86"/>
        <v>9.9999999989999999</v>
      </c>
      <c r="B1922" s="285">
        <v>10</v>
      </c>
      <c r="C1922" s="268"/>
      <c r="D1922" s="269"/>
      <c r="E1922" s="268"/>
      <c r="F1922" s="269"/>
      <c r="G1922" s="268">
        <v>0</v>
      </c>
      <c r="H1922" s="269">
        <f>G1922*100/G1940</f>
        <v>0</v>
      </c>
      <c r="I1922" s="268">
        <v>0</v>
      </c>
      <c r="J1922" s="270">
        <f>I1922*100/I1940</f>
        <v>0</v>
      </c>
    </row>
    <row r="1923" spans="1:10" s="666" customFormat="1">
      <c r="A1923" s="284">
        <f t="shared" si="86"/>
        <v>19.999999998</v>
      </c>
      <c r="B1923" s="284">
        <v>20</v>
      </c>
      <c r="C1923" s="264"/>
      <c r="D1923" s="265"/>
      <c r="E1923" s="264"/>
      <c r="F1923" s="265"/>
      <c r="G1923" s="264">
        <v>0</v>
      </c>
      <c r="H1923" s="265">
        <f>G1923*100/G1940</f>
        <v>0</v>
      </c>
      <c r="I1923" s="264">
        <v>0</v>
      </c>
      <c r="J1923" s="266">
        <f>I1923*100/I1940</f>
        <v>0</v>
      </c>
    </row>
    <row r="1924" spans="1:10" s="666" customFormat="1">
      <c r="A1924" s="284">
        <f t="shared" si="86"/>
        <v>29.999999997</v>
      </c>
      <c r="B1924" s="285">
        <v>30</v>
      </c>
      <c r="C1924" s="268"/>
      <c r="D1924" s="269"/>
      <c r="E1924" s="268"/>
      <c r="F1924" s="269"/>
      <c r="G1924" s="268">
        <v>0</v>
      </c>
      <c r="H1924" s="269">
        <f>G1924*100/G1940</f>
        <v>0</v>
      </c>
      <c r="I1924" s="268">
        <v>0</v>
      </c>
      <c r="J1924" s="270">
        <f>I1924*100/I1940</f>
        <v>0</v>
      </c>
    </row>
    <row r="1925" spans="1:10" s="666" customFormat="1">
      <c r="A1925" s="284">
        <f t="shared" si="86"/>
        <v>39.999999996</v>
      </c>
      <c r="B1925" s="284">
        <v>40</v>
      </c>
      <c r="C1925" s="264"/>
      <c r="D1925" s="265"/>
      <c r="E1925" s="264"/>
      <c r="F1925" s="265"/>
      <c r="G1925" s="264">
        <v>0</v>
      </c>
      <c r="H1925" s="265">
        <f>G1925*100/G1940</f>
        <v>0</v>
      </c>
      <c r="I1925" s="264">
        <v>0</v>
      </c>
      <c r="J1925" s="266">
        <f>I1925*100/I1940</f>
        <v>0</v>
      </c>
    </row>
    <row r="1926" spans="1:10" s="666" customFormat="1">
      <c r="A1926" s="284">
        <f t="shared" si="86"/>
        <v>49.999999994999996</v>
      </c>
      <c r="B1926" s="285">
        <v>50</v>
      </c>
      <c r="C1926" s="268"/>
      <c r="D1926" s="271"/>
      <c r="E1926" s="272"/>
      <c r="F1926" s="271"/>
      <c r="G1926" s="272">
        <v>0</v>
      </c>
      <c r="H1926" s="271">
        <f>G1926*100/G1940</f>
        <v>0</v>
      </c>
      <c r="I1926" s="272">
        <v>0</v>
      </c>
      <c r="J1926" s="273">
        <f>I1926*100/I1940</f>
        <v>0</v>
      </c>
    </row>
    <row r="1927" spans="1:10" s="666" customFormat="1">
      <c r="A1927" s="284">
        <f t="shared" si="86"/>
        <v>59.999999994</v>
      </c>
      <c r="B1927" s="284">
        <v>60</v>
      </c>
      <c r="C1927" s="456"/>
      <c r="D1927" s="220"/>
      <c r="E1927" s="221"/>
      <c r="F1927" s="220"/>
      <c r="G1927" s="221">
        <v>0</v>
      </c>
      <c r="H1927" s="220">
        <f>G1927*100/G1940</f>
        <v>0</v>
      </c>
      <c r="I1927" s="221">
        <v>0</v>
      </c>
      <c r="J1927" s="281">
        <f>I1927*100/I1940</f>
        <v>0</v>
      </c>
    </row>
    <row r="1928" spans="1:10" s="666" customFormat="1">
      <c r="A1928" s="284">
        <f t="shared" si="86"/>
        <v>69.999999993000003</v>
      </c>
      <c r="B1928" s="285">
        <v>70</v>
      </c>
      <c r="C1928" s="268"/>
      <c r="D1928" s="271"/>
      <c r="E1928" s="272"/>
      <c r="F1928" s="271"/>
      <c r="G1928" s="272">
        <v>0</v>
      </c>
      <c r="H1928" s="271">
        <f>G1928*100/G1940</f>
        <v>0</v>
      </c>
      <c r="I1928" s="272">
        <v>0</v>
      </c>
      <c r="J1928" s="273">
        <f>I1928*100/I1940</f>
        <v>0</v>
      </c>
    </row>
    <row r="1929" spans="1:10" s="666" customFormat="1">
      <c r="A1929" s="284">
        <f t="shared" si="86"/>
        <v>79.999999991999999</v>
      </c>
      <c r="B1929" s="284">
        <v>80</v>
      </c>
      <c r="C1929" s="456"/>
      <c r="D1929" s="220"/>
      <c r="E1929" s="221"/>
      <c r="F1929" s="220"/>
      <c r="G1929" s="221">
        <v>0</v>
      </c>
      <c r="H1929" s="220">
        <f>G1929*100/G1940</f>
        <v>0</v>
      </c>
      <c r="I1929" s="221">
        <v>0</v>
      </c>
      <c r="J1929" s="281">
        <f>I1929*100/I1940</f>
        <v>0</v>
      </c>
    </row>
    <row r="1930" spans="1:10" s="666" customFormat="1">
      <c r="A1930" s="284">
        <f t="shared" si="86"/>
        <v>89.999999990999996</v>
      </c>
      <c r="B1930" s="285">
        <v>90</v>
      </c>
      <c r="C1930" s="268"/>
      <c r="D1930" s="271"/>
      <c r="E1930" s="272"/>
      <c r="F1930" s="271"/>
      <c r="G1930" s="272">
        <v>0</v>
      </c>
      <c r="H1930" s="271">
        <f>G1930*100/G1940</f>
        <v>0</v>
      </c>
      <c r="I1930" s="272">
        <v>0</v>
      </c>
      <c r="J1930" s="273">
        <f>I1930*100/I1940</f>
        <v>0</v>
      </c>
    </row>
    <row r="1931" spans="1:10" s="666" customFormat="1">
      <c r="A1931" s="284">
        <f t="shared" si="86"/>
        <v>99.999999989999992</v>
      </c>
      <c r="B1931" s="284">
        <v>100</v>
      </c>
      <c r="C1931" s="456"/>
      <c r="D1931" s="220"/>
      <c r="E1931" s="221"/>
      <c r="F1931" s="220"/>
      <c r="G1931" s="221">
        <v>0</v>
      </c>
      <c r="H1931" s="220">
        <f>G1931*100/G$1836</f>
        <v>0</v>
      </c>
      <c r="I1931" s="221">
        <v>0</v>
      </c>
      <c r="J1931" s="281">
        <f>I1931*100/I$1836</f>
        <v>0</v>
      </c>
    </row>
    <row r="1932" spans="1:10" s="666" customFormat="1">
      <c r="A1932" s="284">
        <f t="shared" si="86"/>
        <v>199.99999997999998</v>
      </c>
      <c r="B1932" s="285">
        <v>200</v>
      </c>
      <c r="C1932" s="272"/>
      <c r="D1932" s="220"/>
      <c r="E1932" s="272"/>
      <c r="F1932" s="220"/>
      <c r="G1932" s="272">
        <v>0</v>
      </c>
      <c r="H1932" s="220">
        <f t="shared" ref="H1932:H1939" si="87">G1932*100/G$1836</f>
        <v>0</v>
      </c>
      <c r="I1932" s="272">
        <v>0</v>
      </c>
      <c r="J1932" s="281">
        <f t="shared" ref="J1932:J1939" si="88">I1932*100/I$1836</f>
        <v>0</v>
      </c>
    </row>
    <row r="1933" spans="1:10" s="666" customFormat="1">
      <c r="A1933" s="284">
        <f t="shared" si="86"/>
        <v>299.99999996999998</v>
      </c>
      <c r="B1933" s="284">
        <v>300</v>
      </c>
      <c r="C1933" s="272"/>
      <c r="D1933" s="220"/>
      <c r="E1933" s="272"/>
      <c r="F1933" s="220"/>
      <c r="G1933" s="272">
        <v>0</v>
      </c>
      <c r="H1933" s="220">
        <f t="shared" si="87"/>
        <v>0</v>
      </c>
      <c r="I1933" s="272">
        <v>0</v>
      </c>
      <c r="J1933" s="281">
        <f t="shared" si="88"/>
        <v>0</v>
      </c>
    </row>
    <row r="1934" spans="1:10" s="666" customFormat="1">
      <c r="A1934" s="284">
        <f t="shared" si="86"/>
        <v>399.99999995999997</v>
      </c>
      <c r="B1934" s="285">
        <v>400</v>
      </c>
      <c r="C1934" s="272"/>
      <c r="D1934" s="220"/>
      <c r="E1934" s="272"/>
      <c r="F1934" s="220"/>
      <c r="G1934" s="272">
        <v>0</v>
      </c>
      <c r="H1934" s="220">
        <f t="shared" si="87"/>
        <v>0</v>
      </c>
      <c r="I1934" s="272">
        <v>0</v>
      </c>
      <c r="J1934" s="281">
        <f t="shared" si="88"/>
        <v>0</v>
      </c>
    </row>
    <row r="1935" spans="1:10" s="666" customFormat="1">
      <c r="A1935" s="284">
        <f t="shared" si="86"/>
        <v>499.99999995000002</v>
      </c>
      <c r="B1935" s="447">
        <v>500</v>
      </c>
      <c r="C1935" s="272"/>
      <c r="D1935" s="220"/>
      <c r="E1935" s="272"/>
      <c r="F1935" s="220"/>
      <c r="G1935" s="272">
        <v>0</v>
      </c>
      <c r="H1935" s="220">
        <f t="shared" si="87"/>
        <v>0</v>
      </c>
      <c r="I1935" s="272">
        <v>0</v>
      </c>
      <c r="J1935" s="281">
        <f t="shared" si="88"/>
        <v>0</v>
      </c>
    </row>
    <row r="1936" spans="1:10" s="666" customFormat="1">
      <c r="A1936" s="284">
        <f t="shared" si="86"/>
        <v>599.99999993999995</v>
      </c>
      <c r="B1936" s="450">
        <v>600</v>
      </c>
      <c r="C1936" s="272"/>
      <c r="D1936" s="220"/>
      <c r="E1936" s="272"/>
      <c r="F1936" s="220"/>
      <c r="G1936" s="272">
        <v>0</v>
      </c>
      <c r="H1936" s="220">
        <f t="shared" si="87"/>
        <v>0</v>
      </c>
      <c r="I1936" s="272">
        <v>0</v>
      </c>
      <c r="J1936" s="281">
        <f t="shared" si="88"/>
        <v>0</v>
      </c>
    </row>
    <row r="1937" spans="1:19" s="666" customFormat="1">
      <c r="A1937" s="284">
        <f t="shared" si="86"/>
        <v>699.99999992999994</v>
      </c>
      <c r="B1937" s="450">
        <v>700</v>
      </c>
      <c r="C1937" s="272"/>
      <c r="D1937" s="220"/>
      <c r="E1937" s="272"/>
      <c r="F1937" s="220"/>
      <c r="G1937" s="272">
        <v>0</v>
      </c>
      <c r="H1937" s="220">
        <f t="shared" si="87"/>
        <v>0</v>
      </c>
      <c r="I1937" s="272">
        <v>0</v>
      </c>
      <c r="J1937" s="281">
        <f t="shared" si="88"/>
        <v>0</v>
      </c>
    </row>
    <row r="1938" spans="1:19" s="666" customFormat="1">
      <c r="A1938" s="284">
        <f t="shared" si="86"/>
        <v>799.99999991999994</v>
      </c>
      <c r="B1938" s="450">
        <v>800</v>
      </c>
      <c r="C1938" s="272"/>
      <c r="D1938" s="220"/>
      <c r="E1938" s="272"/>
      <c r="F1938" s="220"/>
      <c r="G1938" s="272">
        <v>0</v>
      </c>
      <c r="H1938" s="220">
        <f t="shared" si="87"/>
        <v>0</v>
      </c>
      <c r="I1938" s="272">
        <v>0</v>
      </c>
      <c r="J1938" s="281">
        <f t="shared" si="88"/>
        <v>0</v>
      </c>
      <c r="M1938" s="668" t="s">
        <v>400</v>
      </c>
      <c r="N1938" s="668" t="s">
        <v>882</v>
      </c>
      <c r="O1938" s="668" t="s">
        <v>883</v>
      </c>
      <c r="P1938" s="139"/>
    </row>
    <row r="1939" spans="1:19" s="666" customFormat="1" ht="15" thickBot="1">
      <c r="A1939" s="449">
        <f>0.9999999999*B1939</f>
        <v>899.99999991000004</v>
      </c>
      <c r="B1939" s="449">
        <v>900</v>
      </c>
      <c r="C1939" s="272"/>
      <c r="D1939" s="220"/>
      <c r="E1939" s="272"/>
      <c r="F1939" s="220"/>
      <c r="G1939" s="272">
        <v>0</v>
      </c>
      <c r="H1939" s="220">
        <f t="shared" si="87"/>
        <v>0</v>
      </c>
      <c r="I1939" s="272">
        <v>0</v>
      </c>
      <c r="J1939" s="281">
        <f t="shared" si="88"/>
        <v>0</v>
      </c>
      <c r="M1939" s="668" t="s">
        <v>186</v>
      </c>
      <c r="N1939" s="668" t="s">
        <v>882</v>
      </c>
      <c r="O1939" s="668" t="s">
        <v>883</v>
      </c>
      <c r="P1939" s="139"/>
    </row>
    <row r="1940" spans="1:19" s="666" customFormat="1" ht="15" thickBot="1">
      <c r="A1940" s="669" t="s">
        <v>396</v>
      </c>
      <c r="B1940" s="669"/>
      <c r="C1940" s="278">
        <f>SUM(C1904:C1932)+0.0000000001</f>
        <v>1E-10</v>
      </c>
      <c r="D1940" s="279">
        <f>SUM(D1905:D1932)</f>
        <v>0</v>
      </c>
      <c r="E1940" s="278">
        <f>SUM(E1904:E1932)+0.0000000001</f>
        <v>1E-10</v>
      </c>
      <c r="F1940" s="279">
        <f>SUM(F1904:F1932)</f>
        <v>0</v>
      </c>
      <c r="G1940" s="314">
        <f>SUM(G1904:G1932)+0.0000000001</f>
        <v>13.0000000001</v>
      </c>
      <c r="H1940" s="279">
        <f>SUM(H1904:H1932)</f>
        <v>99.999999999230766</v>
      </c>
      <c r="I1940" s="278">
        <f>SUM(I1904:I1932)+0.0000000001</f>
        <v>3.0000000001</v>
      </c>
      <c r="J1940" s="279">
        <f>SUM(J1904:J1932)</f>
        <v>99.999999996666673</v>
      </c>
      <c r="M1940" s="668" t="s">
        <v>399</v>
      </c>
      <c r="N1940" s="668" t="s">
        <v>882</v>
      </c>
      <c r="O1940" s="668" t="s">
        <v>883</v>
      </c>
      <c r="P1940" s="139">
        <f>AVERAGE(IC!BC3:BC39)</f>
        <v>0.65769230769230758</v>
      </c>
    </row>
    <row r="1941" spans="1:19" s="666" customFormat="1" ht="15" thickBot="1">
      <c r="A1941" s="778">
        <f>C1940+E1940+G1940+I1940</f>
        <v>16.0000000004</v>
      </c>
      <c r="B1941" s="779"/>
      <c r="C1941" s="779"/>
      <c r="D1941" s="779"/>
      <c r="E1941" s="779"/>
      <c r="F1941" s="779"/>
      <c r="G1941" s="779"/>
      <c r="H1941" s="779"/>
      <c r="I1941" s="779"/>
      <c r="J1941" s="780"/>
      <c r="M1941" s="668" t="s">
        <v>531</v>
      </c>
      <c r="N1941" s="668" t="s">
        <v>882</v>
      </c>
      <c r="O1941" s="668" t="s">
        <v>883</v>
      </c>
      <c r="P1941" s="139">
        <f>AVERAGE(IC!BC40:BC64)</f>
        <v>0.83333333333333337</v>
      </c>
    </row>
    <row r="1942" spans="1:19" s="666" customFormat="1">
      <c r="A1942" s="671"/>
      <c r="B1942" s="671"/>
      <c r="C1942" s="671"/>
      <c r="D1942" s="671"/>
      <c r="E1942" s="671"/>
      <c r="F1942" s="671"/>
      <c r="G1942" s="671"/>
      <c r="H1942" s="671"/>
      <c r="I1942" s="671"/>
      <c r="J1942" s="671"/>
    </row>
    <row r="1943" spans="1:19" s="666" customFormat="1">
      <c r="A1943" s="671"/>
      <c r="B1943" s="671"/>
      <c r="C1943" s="671"/>
      <c r="D1943" s="671"/>
      <c r="E1943" s="671"/>
      <c r="F1943" s="671"/>
      <c r="G1943" s="671"/>
      <c r="H1943" s="671"/>
      <c r="I1943" s="671"/>
      <c r="J1943" s="671"/>
    </row>
    <row r="1944" spans="1:19" s="666" customFormat="1">
      <c r="D1944" s="140"/>
      <c r="F1944" s="140"/>
      <c r="H1944" s="139"/>
      <c r="J1944" s="139"/>
    </row>
    <row r="1945" spans="1:19" s="666" customFormat="1">
      <c r="D1945" s="140"/>
      <c r="F1945" s="140"/>
      <c r="H1945" s="139"/>
      <c r="J1945" s="139"/>
    </row>
    <row r="1952" spans="1:19" ht="15" thickBot="1">
      <c r="O1952" s="781"/>
      <c r="P1952" s="781"/>
      <c r="Q1952" s="781"/>
      <c r="R1952" s="781"/>
      <c r="S1952" s="781"/>
    </row>
    <row r="1953" spans="1:10" s="648" customFormat="1" ht="15.75" customHeight="1" thickBot="1">
      <c r="A1953" s="798" t="s">
        <v>756</v>
      </c>
      <c r="B1953" s="780"/>
      <c r="C1953" s="799" t="s">
        <v>400</v>
      </c>
      <c r="D1953" s="799"/>
      <c r="E1953" s="800" t="s">
        <v>946</v>
      </c>
      <c r="F1953" s="800"/>
      <c r="G1953" s="799" t="s">
        <v>948</v>
      </c>
      <c r="H1953" s="799"/>
      <c r="I1953" s="800" t="s">
        <v>947</v>
      </c>
      <c r="J1953" s="800"/>
    </row>
    <row r="1954" spans="1:10" s="648" customFormat="1" ht="15" thickBot="1">
      <c r="A1954" s="251" t="s">
        <v>887</v>
      </c>
      <c r="B1954" s="251" t="s">
        <v>243</v>
      </c>
      <c r="C1954" s="252" t="s">
        <v>397</v>
      </c>
      <c r="D1954" s="253" t="s">
        <v>945</v>
      </c>
      <c r="E1954" s="254" t="s">
        <v>397</v>
      </c>
      <c r="F1954" s="255" t="s">
        <v>945</v>
      </c>
      <c r="G1954" s="256" t="s">
        <v>397</v>
      </c>
      <c r="H1954" s="257" t="s">
        <v>945</v>
      </c>
      <c r="I1954" s="254" t="s">
        <v>397</v>
      </c>
      <c r="J1954" s="258" t="s">
        <v>945</v>
      </c>
    </row>
    <row r="1955" spans="1:10" s="648" customFormat="1">
      <c r="A1955" s="284">
        <f>0.9999999999*B1955</f>
        <v>9.9999999989999998E-3</v>
      </c>
      <c r="B1955" s="664">
        <v>0.01</v>
      </c>
      <c r="C1955" s="260">
        <f t="array" ref="C1955:C1990">FREQUENCY(Discrete!BN3:BN20,A1956:A1990)</f>
        <v>0</v>
      </c>
      <c r="D1955" s="261">
        <f>C1955*100/C1991</f>
        <v>0</v>
      </c>
      <c r="E1955" s="260">
        <f t="array" ref="E1955:E1990">FREQUENCY(Discrete!BN21:BN78,Hists!A1956:A1990)</f>
        <v>0</v>
      </c>
      <c r="F1955" s="261">
        <f>E1955*100/E1991</f>
        <v>0</v>
      </c>
      <c r="G1955" s="260">
        <f t="array" ref="G1955:G1990">FREQUENCY(IC!CI3:CI39,Hists!A1956:A1990)</f>
        <v>0</v>
      </c>
      <c r="H1955" s="261">
        <f>G1955*100/G1991</f>
        <v>0</v>
      </c>
      <c r="I1955" s="260">
        <f t="array" ref="I1955:I1990">FREQUENCY(IC!CI40:CI64,Hists!A1956:A1990)</f>
        <v>0</v>
      </c>
      <c r="J1955" s="262">
        <f>I1955*100/I1991</f>
        <v>0</v>
      </c>
    </row>
    <row r="1956" spans="1:10" s="648" customFormat="1">
      <c r="A1956" s="284">
        <f>0.9999999999*B1956</f>
        <v>1.9999999998E-2</v>
      </c>
      <c r="B1956" s="664">
        <v>0.02</v>
      </c>
      <c r="C1956" s="264">
        <v>0</v>
      </c>
      <c r="D1956" s="265">
        <f>C1956*100/C1991</f>
        <v>0</v>
      </c>
      <c r="E1956" s="264">
        <v>0</v>
      </c>
      <c r="F1956" s="265">
        <f>E1956*100/E1991</f>
        <v>0</v>
      </c>
      <c r="G1956" s="264">
        <v>0</v>
      </c>
      <c r="H1956" s="265">
        <f>G1956*100/G1991</f>
        <v>0</v>
      </c>
      <c r="I1956" s="264">
        <v>0</v>
      </c>
      <c r="J1956" s="266">
        <f>I1956*100/I1991</f>
        <v>0</v>
      </c>
    </row>
    <row r="1957" spans="1:10" s="648" customFormat="1">
      <c r="A1957" s="284">
        <f t="shared" ref="A1957:A1989" si="89">0.9999999999*B1957</f>
        <v>2.9999999996999999E-2</v>
      </c>
      <c r="B1957" s="664">
        <v>0.03</v>
      </c>
      <c r="C1957" s="268">
        <v>0</v>
      </c>
      <c r="D1957" s="269">
        <f>C1957*100/C1991</f>
        <v>0</v>
      </c>
      <c r="E1957" s="268">
        <v>0</v>
      </c>
      <c r="F1957" s="269">
        <f>E1957*100/E1991</f>
        <v>0</v>
      </c>
      <c r="G1957" s="268">
        <v>0</v>
      </c>
      <c r="H1957" s="269">
        <f>G1957*100/G1991</f>
        <v>0</v>
      </c>
      <c r="I1957" s="268">
        <v>0</v>
      </c>
      <c r="J1957" s="270">
        <f>I1957*100/I1991</f>
        <v>0</v>
      </c>
    </row>
    <row r="1958" spans="1:10" s="648" customFormat="1">
      <c r="A1958" s="284">
        <f t="shared" si="89"/>
        <v>3.9999999995999999E-2</v>
      </c>
      <c r="B1958" s="665">
        <v>0.04</v>
      </c>
      <c r="C1958" s="264">
        <v>0</v>
      </c>
      <c r="D1958" s="265">
        <f>C1958*100/C1991</f>
        <v>0</v>
      </c>
      <c r="E1958" s="264">
        <v>0</v>
      </c>
      <c r="F1958" s="265">
        <f>E1958*100/E1991</f>
        <v>0</v>
      </c>
      <c r="G1958" s="264">
        <v>0</v>
      </c>
      <c r="H1958" s="265">
        <f>G1958*100/G1991</f>
        <v>0</v>
      </c>
      <c r="I1958" s="264">
        <v>0</v>
      </c>
      <c r="J1958" s="266">
        <f>I1958*100/I1991</f>
        <v>0</v>
      </c>
    </row>
    <row r="1959" spans="1:10" s="648" customFormat="1">
      <c r="A1959" s="284">
        <f t="shared" si="89"/>
        <v>4.9999999995000002E-2</v>
      </c>
      <c r="B1959" s="665">
        <v>0.05</v>
      </c>
      <c r="C1959" s="268">
        <v>0</v>
      </c>
      <c r="D1959" s="269">
        <f>C1959*100/C1991</f>
        <v>0</v>
      </c>
      <c r="E1959" s="268">
        <v>0</v>
      </c>
      <c r="F1959" s="269">
        <f>E1959*100/E1991</f>
        <v>0</v>
      </c>
      <c r="G1959" s="268">
        <v>0</v>
      </c>
      <c r="H1959" s="269">
        <f>G1959*100/G1991</f>
        <v>0</v>
      </c>
      <c r="I1959" s="268">
        <v>0</v>
      </c>
      <c r="J1959" s="270">
        <f>I1959*100/I1991</f>
        <v>0</v>
      </c>
    </row>
    <row r="1960" spans="1:10" s="648" customFormat="1">
      <c r="A1960" s="284">
        <f t="shared" si="89"/>
        <v>5.9999999993999999E-2</v>
      </c>
      <c r="B1960" s="665">
        <v>0.06</v>
      </c>
      <c r="C1960" s="264">
        <v>0</v>
      </c>
      <c r="D1960" s="265">
        <f>C1960*100/C1991</f>
        <v>0</v>
      </c>
      <c r="E1960" s="264">
        <v>0</v>
      </c>
      <c r="F1960" s="265">
        <f>E1960*100/E1991</f>
        <v>0</v>
      </c>
      <c r="G1960" s="264">
        <v>0</v>
      </c>
      <c r="H1960" s="265">
        <f>G1960*100/G1991</f>
        <v>0</v>
      </c>
      <c r="I1960" s="264">
        <v>0</v>
      </c>
      <c r="J1960" s="266">
        <f>I1960*100/I1991</f>
        <v>0</v>
      </c>
    </row>
    <row r="1961" spans="1:10" s="648" customFormat="1">
      <c r="A1961" s="284">
        <f t="shared" si="89"/>
        <v>6.9999999993000009E-2</v>
      </c>
      <c r="B1961" s="664">
        <v>7.0000000000000007E-2</v>
      </c>
      <c r="C1961" s="268">
        <v>0</v>
      </c>
      <c r="D1961" s="269">
        <f>C1961*100/C1991</f>
        <v>0</v>
      </c>
      <c r="E1961" s="268">
        <v>0</v>
      </c>
      <c r="F1961" s="269">
        <f>E1961*100/E1991</f>
        <v>0</v>
      </c>
      <c r="G1961" s="268">
        <v>0</v>
      </c>
      <c r="H1961" s="269">
        <f>G1961*100/G1991</f>
        <v>0</v>
      </c>
      <c r="I1961" s="268">
        <v>0</v>
      </c>
      <c r="J1961" s="270">
        <f>I1961*100/I1991</f>
        <v>0</v>
      </c>
    </row>
    <row r="1962" spans="1:10" s="648" customFormat="1">
      <c r="A1962" s="284">
        <f t="shared" si="89"/>
        <v>7.9999999991999998E-2</v>
      </c>
      <c r="B1962" s="665">
        <v>0.08</v>
      </c>
      <c r="C1962" s="264">
        <v>0</v>
      </c>
      <c r="D1962" s="265">
        <f>C1962*100/C1991</f>
        <v>0</v>
      </c>
      <c r="E1962" s="264">
        <v>0</v>
      </c>
      <c r="F1962" s="265">
        <f>E1962*100/E1991</f>
        <v>0</v>
      </c>
      <c r="G1962" s="264">
        <v>0</v>
      </c>
      <c r="H1962" s="265">
        <f>G1962*100/G1991</f>
        <v>0</v>
      </c>
      <c r="I1962" s="264">
        <v>0</v>
      </c>
      <c r="J1962" s="266">
        <f>I1962*100/I1991</f>
        <v>0</v>
      </c>
    </row>
    <row r="1963" spans="1:10" s="648" customFormat="1">
      <c r="A1963" s="284">
        <f t="shared" si="89"/>
        <v>8.9999999991000001E-2</v>
      </c>
      <c r="B1963" s="664">
        <v>0.09</v>
      </c>
      <c r="C1963" s="268">
        <v>0</v>
      </c>
      <c r="D1963" s="269">
        <f>C1963*100/C1991</f>
        <v>0</v>
      </c>
      <c r="E1963" s="268">
        <v>0</v>
      </c>
      <c r="F1963" s="269">
        <f>E1963*100/E1991</f>
        <v>0</v>
      </c>
      <c r="G1963" s="268">
        <v>0</v>
      </c>
      <c r="H1963" s="269">
        <f>G1963*100/G1991</f>
        <v>0</v>
      </c>
      <c r="I1963" s="268">
        <v>0</v>
      </c>
      <c r="J1963" s="270">
        <f>I1963*100/I1991</f>
        <v>0</v>
      </c>
    </row>
    <row r="1964" spans="1:10" s="648" customFormat="1">
      <c r="A1964" s="284">
        <f t="shared" si="89"/>
        <v>9.9999999990000005E-2</v>
      </c>
      <c r="B1964" s="285">
        <v>0.1</v>
      </c>
      <c r="C1964" s="264">
        <v>0</v>
      </c>
      <c r="D1964" s="265">
        <f>C1964*100/C1991</f>
        <v>0</v>
      </c>
      <c r="E1964" s="264">
        <v>0</v>
      </c>
      <c r="F1964" s="265">
        <f>E1964*100/E1991</f>
        <v>0</v>
      </c>
      <c r="G1964" s="264">
        <v>1</v>
      </c>
      <c r="H1964" s="265">
        <f>G1964*100/G1991</f>
        <v>8.333333333263889</v>
      </c>
      <c r="I1964" s="264">
        <v>0</v>
      </c>
      <c r="J1964" s="266">
        <f>I1964*100/I1991</f>
        <v>0</v>
      </c>
    </row>
    <row r="1965" spans="1:10" s="648" customFormat="1">
      <c r="A1965" s="284">
        <f t="shared" si="89"/>
        <v>0.19999999998000001</v>
      </c>
      <c r="B1965" s="284">
        <v>0.2</v>
      </c>
      <c r="C1965" s="268">
        <v>0</v>
      </c>
      <c r="D1965" s="269">
        <f>C1965*100/C1991</f>
        <v>0</v>
      </c>
      <c r="E1965" s="268">
        <v>0</v>
      </c>
      <c r="F1965" s="269">
        <f>E1965*100/E1991</f>
        <v>0</v>
      </c>
      <c r="G1965" s="268">
        <v>0</v>
      </c>
      <c r="H1965" s="269">
        <f>G1965*100/G1991</f>
        <v>0</v>
      </c>
      <c r="I1965" s="268">
        <v>0</v>
      </c>
      <c r="J1965" s="270">
        <f>I1965*100/I1991</f>
        <v>0</v>
      </c>
    </row>
    <row r="1966" spans="1:10" s="648" customFormat="1">
      <c r="A1966" s="284">
        <f t="shared" si="89"/>
        <v>0.29999999996999999</v>
      </c>
      <c r="B1966" s="285">
        <v>0.3</v>
      </c>
      <c r="C1966" s="264">
        <v>0</v>
      </c>
      <c r="D1966" s="265">
        <f>C1966*100/C1991</f>
        <v>0</v>
      </c>
      <c r="E1966" s="264">
        <v>0</v>
      </c>
      <c r="F1966" s="265">
        <f>E1966*100/E1991</f>
        <v>0</v>
      </c>
      <c r="G1966" s="264">
        <v>0</v>
      </c>
      <c r="H1966" s="265">
        <f>G1966*100/G1991</f>
        <v>0</v>
      </c>
      <c r="I1966" s="264">
        <v>0</v>
      </c>
      <c r="J1966" s="266">
        <f>I1966*100/I1991</f>
        <v>0</v>
      </c>
    </row>
    <row r="1967" spans="1:10" s="648" customFormat="1">
      <c r="A1967" s="284">
        <f t="shared" si="89"/>
        <v>0.39999999996000002</v>
      </c>
      <c r="B1967" s="284">
        <v>0.4</v>
      </c>
      <c r="C1967" s="268">
        <v>0</v>
      </c>
      <c r="D1967" s="269">
        <f>C1967*100/C1991</f>
        <v>0</v>
      </c>
      <c r="E1967" s="268">
        <v>0</v>
      </c>
      <c r="F1967" s="269">
        <f>E1967*100/E1991</f>
        <v>0</v>
      </c>
      <c r="G1967" s="268">
        <v>0</v>
      </c>
      <c r="H1967" s="269">
        <f>G1967*100/G1991</f>
        <v>0</v>
      </c>
      <c r="I1967" s="268">
        <v>0</v>
      </c>
      <c r="J1967" s="270">
        <f>I1967*100/I1991</f>
        <v>0</v>
      </c>
    </row>
    <row r="1968" spans="1:10" s="648" customFormat="1">
      <c r="A1968" s="284">
        <f t="shared" si="89"/>
        <v>0.49999999995</v>
      </c>
      <c r="B1968" s="285">
        <v>0.5</v>
      </c>
      <c r="C1968" s="264">
        <v>0</v>
      </c>
      <c r="D1968" s="265">
        <f>C1968*100/C1991</f>
        <v>0</v>
      </c>
      <c r="E1968" s="264">
        <v>0</v>
      </c>
      <c r="F1968" s="265">
        <f>E1968*100/E1991</f>
        <v>0</v>
      </c>
      <c r="G1968" s="264">
        <v>0</v>
      </c>
      <c r="H1968" s="265">
        <f>G1968*100/G1991</f>
        <v>0</v>
      </c>
      <c r="I1968" s="264">
        <v>0</v>
      </c>
      <c r="J1968" s="266">
        <f>I1968*100/I1991</f>
        <v>0</v>
      </c>
    </row>
    <row r="1969" spans="1:10" s="648" customFormat="1">
      <c r="A1969" s="284">
        <f t="shared" si="89"/>
        <v>0.59999999993999997</v>
      </c>
      <c r="B1969" s="284">
        <v>0.6</v>
      </c>
      <c r="C1969" s="268">
        <v>0</v>
      </c>
      <c r="D1969" s="269">
        <f>C1969*100/C1991</f>
        <v>0</v>
      </c>
      <c r="E1969" s="268">
        <v>0</v>
      </c>
      <c r="F1969" s="269">
        <f>E1969*100/E1991</f>
        <v>0</v>
      </c>
      <c r="G1969" s="268">
        <v>0</v>
      </c>
      <c r="H1969" s="269">
        <f>G1969*100/G1991</f>
        <v>0</v>
      </c>
      <c r="I1969" s="268">
        <v>0</v>
      </c>
      <c r="J1969" s="270">
        <f>I1969*100/I1991</f>
        <v>0</v>
      </c>
    </row>
    <row r="1970" spans="1:10" s="648" customFormat="1">
      <c r="A1970" s="284">
        <f t="shared" si="89"/>
        <v>0.69999999992999995</v>
      </c>
      <c r="B1970" s="285">
        <v>0.7</v>
      </c>
      <c r="C1970" s="264">
        <v>0</v>
      </c>
      <c r="D1970" s="265">
        <f>C1970*100/C1991</f>
        <v>0</v>
      </c>
      <c r="E1970" s="264">
        <v>0</v>
      </c>
      <c r="F1970" s="265">
        <f>E1970*100/E1991</f>
        <v>0</v>
      </c>
      <c r="G1970" s="264">
        <v>0</v>
      </c>
      <c r="H1970" s="265">
        <f>G1970*100/G1991</f>
        <v>0</v>
      </c>
      <c r="I1970" s="264">
        <v>0</v>
      </c>
      <c r="J1970" s="266">
        <f>I1970*100/I1991</f>
        <v>0</v>
      </c>
    </row>
    <row r="1971" spans="1:10" s="648" customFormat="1">
      <c r="A1971" s="284">
        <f t="shared" si="89"/>
        <v>0.79999999992000004</v>
      </c>
      <c r="B1971" s="284">
        <v>0.8</v>
      </c>
      <c r="C1971" s="268">
        <v>0</v>
      </c>
      <c r="D1971" s="269">
        <f>C1971*100/C1991</f>
        <v>0</v>
      </c>
      <c r="E1971" s="268">
        <v>0</v>
      </c>
      <c r="F1971" s="269">
        <f>E1971*100/E1991</f>
        <v>0</v>
      </c>
      <c r="G1971" s="268">
        <v>0</v>
      </c>
      <c r="H1971" s="269">
        <f>G1971*100/G1991</f>
        <v>0</v>
      </c>
      <c r="I1971" s="268">
        <v>0</v>
      </c>
      <c r="J1971" s="270">
        <f>I1971*100/I1991</f>
        <v>0</v>
      </c>
    </row>
    <row r="1972" spans="1:10" s="648" customFormat="1">
      <c r="A1972" s="284">
        <f t="shared" si="89"/>
        <v>0.89999999991000001</v>
      </c>
      <c r="B1972" s="285">
        <v>0.9</v>
      </c>
      <c r="C1972" s="264">
        <v>0</v>
      </c>
      <c r="D1972" s="265">
        <f>C1972*100/C1991</f>
        <v>0</v>
      </c>
      <c r="E1972" s="264">
        <v>0</v>
      </c>
      <c r="F1972" s="265">
        <f>E1972*100/E1991</f>
        <v>0</v>
      </c>
      <c r="G1972" s="264">
        <v>0</v>
      </c>
      <c r="H1972" s="265">
        <f>G1972*100/G1991</f>
        <v>0</v>
      </c>
      <c r="I1972" s="264">
        <v>0</v>
      </c>
      <c r="J1972" s="266">
        <f>I1972*100/I1991</f>
        <v>0</v>
      </c>
    </row>
    <row r="1973" spans="1:10" s="648" customFormat="1">
      <c r="A1973" s="284">
        <f t="shared" si="89"/>
        <v>0.99999999989999999</v>
      </c>
      <c r="B1973" s="284">
        <v>1</v>
      </c>
      <c r="C1973" s="268">
        <v>0</v>
      </c>
      <c r="D1973" s="269">
        <f>C1973*100/C1991</f>
        <v>0</v>
      </c>
      <c r="E1973" s="268">
        <v>0</v>
      </c>
      <c r="F1973" s="269">
        <f>E1973*100/E1991</f>
        <v>0</v>
      </c>
      <c r="G1973" s="268">
        <v>0</v>
      </c>
      <c r="H1973" s="269">
        <f>G1973*100/G1991</f>
        <v>0</v>
      </c>
      <c r="I1973" s="268">
        <v>0</v>
      </c>
      <c r="J1973" s="270">
        <f>I1973*100/I1991</f>
        <v>0</v>
      </c>
    </row>
    <row r="1974" spans="1:10" s="648" customFormat="1">
      <c r="A1974" s="284">
        <f t="shared" si="89"/>
        <v>1.9999999998</v>
      </c>
      <c r="B1974" s="285">
        <v>2</v>
      </c>
      <c r="C1974" s="264">
        <v>0</v>
      </c>
      <c r="D1974" s="265">
        <f>C1974*100/C1991</f>
        <v>0</v>
      </c>
      <c r="E1974" s="264">
        <v>0</v>
      </c>
      <c r="F1974" s="265">
        <f>E1974*100/E1991</f>
        <v>0</v>
      </c>
      <c r="G1974" s="264">
        <v>4</v>
      </c>
      <c r="H1974" s="265">
        <f>G1974*100/G1991</f>
        <v>33.333333333055556</v>
      </c>
      <c r="I1974" s="264">
        <v>0</v>
      </c>
      <c r="J1974" s="266">
        <f>I1974*100/I1991</f>
        <v>0</v>
      </c>
    </row>
    <row r="1975" spans="1:10" s="648" customFormat="1">
      <c r="A1975" s="284">
        <f t="shared" si="89"/>
        <v>2.9999999997</v>
      </c>
      <c r="B1975" s="284">
        <v>3</v>
      </c>
      <c r="C1975" s="268">
        <v>0</v>
      </c>
      <c r="D1975" s="269">
        <f>C1975*100/C1991</f>
        <v>0</v>
      </c>
      <c r="E1975" s="268">
        <v>0</v>
      </c>
      <c r="F1975" s="269">
        <f>E1975*100/E1991</f>
        <v>0</v>
      </c>
      <c r="G1975" s="268">
        <v>0</v>
      </c>
      <c r="H1975" s="269">
        <f>G1975*100/G1991</f>
        <v>0</v>
      </c>
      <c r="I1975" s="268">
        <v>0</v>
      </c>
      <c r="J1975" s="270">
        <f>I1975*100/I1991</f>
        <v>0</v>
      </c>
    </row>
    <row r="1976" spans="1:10" s="648" customFormat="1">
      <c r="A1976" s="284">
        <f t="shared" si="89"/>
        <v>3.9999999996</v>
      </c>
      <c r="B1976" s="285">
        <v>4</v>
      </c>
      <c r="C1976" s="264">
        <v>0</v>
      </c>
      <c r="D1976" s="265">
        <f>C1976*100/C1991</f>
        <v>0</v>
      </c>
      <c r="E1976" s="264">
        <v>0</v>
      </c>
      <c r="F1976" s="265">
        <f>E1976*100/E1991</f>
        <v>0</v>
      </c>
      <c r="G1976" s="264">
        <v>3</v>
      </c>
      <c r="H1976" s="265">
        <f>G1976*100/G1991</f>
        <v>24.999999999791665</v>
      </c>
      <c r="I1976" s="264">
        <v>0</v>
      </c>
      <c r="J1976" s="266">
        <f>I1976*100/I1991</f>
        <v>0</v>
      </c>
    </row>
    <row r="1977" spans="1:10" s="648" customFormat="1">
      <c r="A1977" s="284">
        <f t="shared" si="89"/>
        <v>4.9999999995</v>
      </c>
      <c r="B1977" s="284">
        <v>5</v>
      </c>
      <c r="C1977" s="268">
        <v>0</v>
      </c>
      <c r="D1977" s="271">
        <f>C1977*100/C1991</f>
        <v>0</v>
      </c>
      <c r="E1977" s="272">
        <v>0</v>
      </c>
      <c r="F1977" s="271">
        <f>E1977*100/E1991</f>
        <v>0</v>
      </c>
      <c r="G1977" s="272">
        <v>0</v>
      </c>
      <c r="H1977" s="271">
        <f>G1977*100/G1991</f>
        <v>0</v>
      </c>
      <c r="I1977" s="272">
        <v>0</v>
      </c>
      <c r="J1977" s="273">
        <f>I1977*100/I1991</f>
        <v>0</v>
      </c>
    </row>
    <row r="1978" spans="1:10" s="648" customFormat="1">
      <c r="A1978" s="284">
        <f t="shared" si="89"/>
        <v>5.9999999994</v>
      </c>
      <c r="B1978" s="285">
        <v>6</v>
      </c>
      <c r="C1978" s="456">
        <v>0</v>
      </c>
      <c r="D1978" s="220">
        <f>C1978*100/C1991</f>
        <v>0</v>
      </c>
      <c r="E1978" s="221">
        <v>0</v>
      </c>
      <c r="F1978" s="220">
        <f>E1978*100/E1991</f>
        <v>0</v>
      </c>
      <c r="G1978" s="221">
        <v>0</v>
      </c>
      <c r="H1978" s="220">
        <f>G1978*100/G1991</f>
        <v>0</v>
      </c>
      <c r="I1978" s="221">
        <v>0</v>
      </c>
      <c r="J1978" s="281">
        <f>I1978*100/I1991</f>
        <v>0</v>
      </c>
    </row>
    <row r="1979" spans="1:10" s="648" customFormat="1">
      <c r="A1979" s="284">
        <f t="shared" si="89"/>
        <v>6.9999999992999999</v>
      </c>
      <c r="B1979" s="284">
        <v>7</v>
      </c>
      <c r="C1979" s="268">
        <v>0</v>
      </c>
      <c r="D1979" s="271">
        <f>C1979*100/C1991</f>
        <v>0</v>
      </c>
      <c r="E1979" s="272">
        <v>0</v>
      </c>
      <c r="F1979" s="271">
        <f>E1979*100/E1991</f>
        <v>0</v>
      </c>
      <c r="G1979" s="272">
        <v>1</v>
      </c>
      <c r="H1979" s="271">
        <f>G1979*100/G1991</f>
        <v>8.333333333263889</v>
      </c>
      <c r="I1979" s="272">
        <v>0</v>
      </c>
      <c r="J1979" s="273">
        <f>I1979*100/I1991</f>
        <v>0</v>
      </c>
    </row>
    <row r="1980" spans="1:10" s="648" customFormat="1">
      <c r="A1980" s="284">
        <f t="shared" si="89"/>
        <v>7.9999999991999999</v>
      </c>
      <c r="B1980" s="285">
        <v>8</v>
      </c>
      <c r="C1980" s="456">
        <v>0</v>
      </c>
      <c r="D1980" s="220">
        <f>C1980*100/C1991</f>
        <v>0</v>
      </c>
      <c r="E1980" s="221">
        <v>0</v>
      </c>
      <c r="F1980" s="220">
        <f>E1980*100/E1991</f>
        <v>0</v>
      </c>
      <c r="G1980" s="221">
        <v>0</v>
      </c>
      <c r="H1980" s="220">
        <f>G1980*100/G1991</f>
        <v>0</v>
      </c>
      <c r="I1980" s="221">
        <v>0</v>
      </c>
      <c r="J1980" s="281">
        <f>I1980*100/I1991</f>
        <v>0</v>
      </c>
    </row>
    <row r="1981" spans="1:10" s="648" customFormat="1">
      <c r="A1981" s="284">
        <f t="shared" si="89"/>
        <v>8.9999999990999999</v>
      </c>
      <c r="B1981" s="284">
        <v>9</v>
      </c>
      <c r="C1981" s="268">
        <v>0</v>
      </c>
      <c r="D1981" s="271">
        <f>C1981*100/C1991</f>
        <v>0</v>
      </c>
      <c r="E1981" s="272">
        <v>0</v>
      </c>
      <c r="F1981" s="271">
        <f>E1981*100/E1991</f>
        <v>0</v>
      </c>
      <c r="G1981" s="272">
        <v>0</v>
      </c>
      <c r="H1981" s="271">
        <f>G1981*100/G1991</f>
        <v>0</v>
      </c>
      <c r="I1981" s="272">
        <v>0</v>
      </c>
      <c r="J1981" s="273">
        <f>I1981*100/I1991</f>
        <v>0</v>
      </c>
    </row>
    <row r="1982" spans="1:10" s="648" customFormat="1">
      <c r="A1982" s="284">
        <f t="shared" si="89"/>
        <v>9.9999999989999999</v>
      </c>
      <c r="B1982" s="285">
        <v>10</v>
      </c>
      <c r="C1982" s="456">
        <v>0</v>
      </c>
      <c r="D1982" s="220">
        <f>C1982*100/C$2092</f>
        <v>0</v>
      </c>
      <c r="E1982" s="221">
        <v>0</v>
      </c>
      <c r="F1982" s="220">
        <f>E1982*100/E$2092</f>
        <v>0</v>
      </c>
      <c r="G1982" s="221">
        <v>0</v>
      </c>
      <c r="H1982" s="220">
        <f>G1982*100/G$2092</f>
        <v>0</v>
      </c>
      <c r="I1982" s="221">
        <v>0</v>
      </c>
      <c r="J1982" s="281">
        <f>I1982*100/I$2092</f>
        <v>0</v>
      </c>
    </row>
    <row r="1983" spans="1:10" s="648" customFormat="1">
      <c r="A1983" s="284">
        <f t="shared" si="89"/>
        <v>10.9999999989</v>
      </c>
      <c r="B1983" s="451">
        <v>11</v>
      </c>
      <c r="C1983" s="268">
        <v>0</v>
      </c>
      <c r="D1983" s="452">
        <f t="shared" ref="D1983:D1990" si="90">C1983*100/C$2092</f>
        <v>0</v>
      </c>
      <c r="E1983" s="268">
        <v>0</v>
      </c>
      <c r="F1983" s="452">
        <f t="shared" ref="F1983:F1990" si="91">E1983*100/E$2092</f>
        <v>0</v>
      </c>
      <c r="G1983" s="268">
        <v>0</v>
      </c>
      <c r="H1983" s="452">
        <f t="shared" ref="H1983:H1990" si="92">G1983*100/G$2092</f>
        <v>0</v>
      </c>
      <c r="I1983" s="268">
        <v>0</v>
      </c>
      <c r="J1983" s="453">
        <f t="shared" ref="J1983:J1990" si="93">I1983*100/I$2092</f>
        <v>0</v>
      </c>
    </row>
    <row r="1984" spans="1:10" s="648" customFormat="1">
      <c r="A1984" s="284">
        <f t="shared" si="89"/>
        <v>11.9999999988</v>
      </c>
      <c r="B1984" s="451">
        <v>12</v>
      </c>
      <c r="C1984" s="268">
        <v>0</v>
      </c>
      <c r="D1984" s="452">
        <f t="shared" si="90"/>
        <v>0</v>
      </c>
      <c r="E1984" s="268">
        <v>0</v>
      </c>
      <c r="F1984" s="452">
        <f t="shared" si="91"/>
        <v>0</v>
      </c>
      <c r="G1984" s="268">
        <v>0</v>
      </c>
      <c r="H1984" s="452">
        <f t="shared" si="92"/>
        <v>0</v>
      </c>
      <c r="I1984" s="268">
        <v>0</v>
      </c>
      <c r="J1984" s="453">
        <f t="shared" si="93"/>
        <v>0</v>
      </c>
    </row>
    <row r="1985" spans="1:10" s="648" customFormat="1">
      <c r="A1985" s="284">
        <f t="shared" si="89"/>
        <v>12.9999999987</v>
      </c>
      <c r="B1985" s="451">
        <v>13</v>
      </c>
      <c r="C1985" s="268">
        <v>0</v>
      </c>
      <c r="D1985" s="452">
        <f t="shared" si="90"/>
        <v>0</v>
      </c>
      <c r="E1985" s="268">
        <v>0</v>
      </c>
      <c r="F1985" s="452">
        <f t="shared" si="91"/>
        <v>0</v>
      </c>
      <c r="G1985" s="268">
        <v>0</v>
      </c>
      <c r="H1985" s="452">
        <f t="shared" si="92"/>
        <v>0</v>
      </c>
      <c r="I1985" s="268">
        <v>0</v>
      </c>
      <c r="J1985" s="453">
        <f t="shared" si="93"/>
        <v>0</v>
      </c>
    </row>
    <row r="1986" spans="1:10" s="648" customFormat="1">
      <c r="A1986" s="284">
        <f t="shared" si="89"/>
        <v>13.9999999986</v>
      </c>
      <c r="B1986" s="451">
        <v>14</v>
      </c>
      <c r="C1986" s="268">
        <v>0</v>
      </c>
      <c r="D1986" s="452">
        <f t="shared" si="90"/>
        <v>0</v>
      </c>
      <c r="E1986" s="268">
        <v>0</v>
      </c>
      <c r="F1986" s="452">
        <f t="shared" si="91"/>
        <v>0</v>
      </c>
      <c r="G1986" s="268">
        <v>3</v>
      </c>
      <c r="H1986" s="452">
        <f t="shared" si="92"/>
        <v>24.999999999791665</v>
      </c>
      <c r="I1986" s="268">
        <v>0</v>
      </c>
      <c r="J1986" s="453">
        <f t="shared" si="93"/>
        <v>0</v>
      </c>
    </row>
    <row r="1987" spans="1:10" s="648" customFormat="1">
      <c r="A1987" s="284">
        <f t="shared" si="89"/>
        <v>14.9999999985</v>
      </c>
      <c r="B1987" s="451">
        <v>15</v>
      </c>
      <c r="C1987" s="268">
        <v>0</v>
      </c>
      <c r="D1987" s="452">
        <f t="shared" si="90"/>
        <v>0</v>
      </c>
      <c r="E1987" s="268">
        <v>0</v>
      </c>
      <c r="F1987" s="452">
        <f t="shared" si="91"/>
        <v>0</v>
      </c>
      <c r="G1987" s="268">
        <v>0</v>
      </c>
      <c r="H1987" s="452">
        <f t="shared" si="92"/>
        <v>0</v>
      </c>
      <c r="I1987" s="268">
        <v>0</v>
      </c>
      <c r="J1987" s="453">
        <f t="shared" si="93"/>
        <v>0</v>
      </c>
    </row>
    <row r="1988" spans="1:10" s="648" customFormat="1">
      <c r="A1988" s="284">
        <f t="shared" si="89"/>
        <v>15.9999999984</v>
      </c>
      <c r="B1988" s="451">
        <v>16</v>
      </c>
      <c r="C1988" s="268">
        <v>0</v>
      </c>
      <c r="D1988" s="452">
        <f t="shared" si="90"/>
        <v>0</v>
      </c>
      <c r="E1988" s="268">
        <v>0</v>
      </c>
      <c r="F1988" s="452">
        <f t="shared" si="91"/>
        <v>0</v>
      </c>
      <c r="G1988" s="268">
        <v>0</v>
      </c>
      <c r="H1988" s="452">
        <f t="shared" si="92"/>
        <v>0</v>
      </c>
      <c r="I1988" s="268">
        <v>0</v>
      </c>
      <c r="J1988" s="453">
        <f t="shared" si="93"/>
        <v>0</v>
      </c>
    </row>
    <row r="1989" spans="1:10" s="648" customFormat="1">
      <c r="A1989" s="284">
        <f t="shared" si="89"/>
        <v>16.999999998299998</v>
      </c>
      <c r="B1989" s="451">
        <v>17</v>
      </c>
      <c r="C1989" s="268">
        <v>0</v>
      </c>
      <c r="D1989" s="452">
        <f t="shared" si="90"/>
        <v>0</v>
      </c>
      <c r="E1989" s="268">
        <v>0</v>
      </c>
      <c r="F1989" s="452">
        <f t="shared" si="91"/>
        <v>0</v>
      </c>
      <c r="G1989" s="268">
        <v>0</v>
      </c>
      <c r="H1989" s="452">
        <f t="shared" si="92"/>
        <v>0</v>
      </c>
      <c r="I1989" s="268">
        <v>0</v>
      </c>
      <c r="J1989" s="453">
        <f t="shared" si="93"/>
        <v>0</v>
      </c>
    </row>
    <row r="1990" spans="1:10" s="648" customFormat="1" ht="15" thickBot="1">
      <c r="A1990" s="449">
        <f>0.9999999999*B1990</f>
        <v>17.9999999982</v>
      </c>
      <c r="B1990" s="449">
        <v>18</v>
      </c>
      <c r="C1990" s="268">
        <v>0</v>
      </c>
      <c r="D1990" s="454">
        <f t="shared" si="90"/>
        <v>0</v>
      </c>
      <c r="E1990" s="275">
        <v>0</v>
      </c>
      <c r="F1990" s="454">
        <f t="shared" si="91"/>
        <v>0</v>
      </c>
      <c r="G1990" s="275">
        <v>0</v>
      </c>
      <c r="H1990" s="454">
        <f t="shared" si="92"/>
        <v>0</v>
      </c>
      <c r="I1990" s="275">
        <v>0</v>
      </c>
      <c r="J1990" s="455">
        <f t="shared" si="93"/>
        <v>0</v>
      </c>
    </row>
    <row r="1991" spans="1:10" s="648" customFormat="1" ht="15" thickBot="1">
      <c r="A1991" s="649" t="s">
        <v>396</v>
      </c>
      <c r="B1991" s="649"/>
      <c r="C1991" s="277">
        <f>SUM(C1955:C1990)+0.0000000001</f>
        <v>1E-10</v>
      </c>
      <c r="D1991" s="448">
        <f>SUM(D1956:D1990)</f>
        <v>0</v>
      </c>
      <c r="E1991" s="277">
        <f>SUM(E1955:E1990)+0.0000000001</f>
        <v>1E-10</v>
      </c>
      <c r="F1991" s="448">
        <f>SUM(F1955:F1990)</f>
        <v>0</v>
      </c>
      <c r="G1991" s="230">
        <f>SUM(G1955:G1990)+0.0000000001</f>
        <v>12.0000000001</v>
      </c>
      <c r="H1991" s="448">
        <f>SUM(H1955:H1990)</f>
        <v>99.999999999166675</v>
      </c>
      <c r="I1991" s="277">
        <f>SUM(I1955:I1990)+0.0000000001</f>
        <v>1E-10</v>
      </c>
      <c r="J1991" s="448">
        <f>SUM(J1955:J1990)</f>
        <v>0</v>
      </c>
    </row>
    <row r="1992" spans="1:10" s="648" customFormat="1" ht="15" thickBot="1">
      <c r="A1992" s="778">
        <f>C1991+E1991+G1991+I1991</f>
        <v>12.0000000004</v>
      </c>
      <c r="B1992" s="779"/>
      <c r="C1992" s="779"/>
      <c r="D1992" s="779"/>
      <c r="E1992" s="779"/>
      <c r="F1992" s="779"/>
      <c r="G1992" s="779"/>
      <c r="H1992" s="779"/>
      <c r="I1992" s="779"/>
      <c r="J1992" s="780"/>
    </row>
    <row r="1993" spans="1:10" s="648" customFormat="1">
      <c r="D1993" s="140"/>
      <c r="F1993" s="140"/>
      <c r="H1993" s="139"/>
      <c r="J1993" s="139"/>
    </row>
    <row r="1994" spans="1:10" s="648" customFormat="1">
      <c r="D1994" s="140"/>
      <c r="F1994" s="140"/>
      <c r="H1994" s="139"/>
      <c r="J1994" s="139"/>
    </row>
    <row r="1995" spans="1:10" s="648" customFormat="1">
      <c r="D1995" s="140"/>
      <c r="F1995" s="140"/>
      <c r="H1995" s="139"/>
      <c r="J1995" s="139"/>
    </row>
    <row r="1996" spans="1:10" s="648" customFormat="1">
      <c r="D1996" s="140"/>
      <c r="F1996" s="140"/>
      <c r="H1996" s="139"/>
      <c r="J1996" s="139"/>
    </row>
    <row r="1997" spans="1:10" s="648" customFormat="1">
      <c r="D1997" s="140"/>
      <c r="F1997" s="140"/>
      <c r="H1997" s="139"/>
      <c r="J1997" s="139"/>
    </row>
    <row r="1998" spans="1:10" s="648" customFormat="1">
      <c r="D1998" s="140"/>
      <c r="F1998" s="140"/>
      <c r="H1998" s="139"/>
      <c r="J1998" s="139"/>
    </row>
    <row r="1999" spans="1:10" s="648" customFormat="1">
      <c r="D1999" s="140"/>
      <c r="F1999" s="140"/>
      <c r="H1999" s="139"/>
      <c r="J1999" s="139"/>
    </row>
    <row r="2000" spans="1:10" s="648" customFormat="1">
      <c r="D2000" s="140"/>
      <c r="F2000" s="140"/>
      <c r="H2000" s="139"/>
      <c r="J2000" s="139"/>
    </row>
    <row r="2001" spans="1:19" s="648" customFormat="1">
      <c r="D2001" s="140"/>
      <c r="F2001" s="140"/>
      <c r="H2001" s="139"/>
      <c r="J2001" s="139"/>
      <c r="O2001" s="781"/>
      <c r="P2001" s="781"/>
      <c r="Q2001" s="781"/>
      <c r="R2001" s="781"/>
      <c r="S2001" s="781"/>
    </row>
    <row r="2002" spans="1:19" s="648" customFormat="1" ht="15" thickBot="1">
      <c r="D2002" s="140"/>
      <c r="F2002" s="140"/>
      <c r="H2002" s="139"/>
      <c r="J2002" s="139"/>
    </row>
    <row r="2003" spans="1:19" s="648" customFormat="1" ht="15.75" customHeight="1" thickBot="1">
      <c r="A2003" s="778" t="s">
        <v>1013</v>
      </c>
      <c r="B2003" s="780"/>
      <c r="C2003" s="799" t="s">
        <v>400</v>
      </c>
      <c r="D2003" s="799"/>
      <c r="E2003" s="800" t="s">
        <v>946</v>
      </c>
      <c r="F2003" s="800"/>
      <c r="G2003" s="799" t="s">
        <v>948</v>
      </c>
      <c r="H2003" s="799"/>
      <c r="I2003" s="800" t="s">
        <v>947</v>
      </c>
      <c r="J2003" s="800"/>
    </row>
    <row r="2004" spans="1:19" s="648" customFormat="1" ht="15" thickBot="1">
      <c r="A2004" s="251" t="s">
        <v>887</v>
      </c>
      <c r="B2004" s="251" t="s">
        <v>243</v>
      </c>
      <c r="C2004" s="252" t="s">
        <v>397</v>
      </c>
      <c r="D2004" s="253" t="s">
        <v>945</v>
      </c>
      <c r="E2004" s="254" t="s">
        <v>397</v>
      </c>
      <c r="F2004" s="255" t="s">
        <v>945</v>
      </c>
      <c r="G2004" s="256" t="s">
        <v>397</v>
      </c>
      <c r="H2004" s="257" t="s">
        <v>945</v>
      </c>
      <c r="I2004" s="254" t="s">
        <v>397</v>
      </c>
      <c r="J2004" s="258" t="s">
        <v>945</v>
      </c>
    </row>
    <row r="2005" spans="1:19" s="648" customFormat="1">
      <c r="A2005" s="284">
        <f>0.9999999999*B2005</f>
        <v>9.9999999990000005E-2</v>
      </c>
      <c r="B2005" s="284">
        <v>0.1</v>
      </c>
      <c r="C2005" s="260">
        <f t="array" ref="C2005:C2040">FREQUENCY(Discrete!BO3:BO19,A2006:A2040)</f>
        <v>0</v>
      </c>
      <c r="D2005" s="261">
        <f>C2005*100/C2041</f>
        <v>0</v>
      </c>
      <c r="E2005" s="260">
        <f t="array" ref="E2005:E2040">FREQUENCY(Discrete!BO21:BO78,Hists!A2006:A2040)</f>
        <v>0</v>
      </c>
      <c r="F2005" s="261">
        <f>E2005*100/E2041</f>
        <v>0</v>
      </c>
      <c r="G2005" s="260">
        <f t="array" ref="G2005:G2040">FREQUENCY(IC!CJ3:CJ39,Hists!A2006:A2040)</f>
        <v>0</v>
      </c>
      <c r="H2005" s="261">
        <f>G2005*100/G2041</f>
        <v>0</v>
      </c>
      <c r="I2005" s="260">
        <f t="array" ref="I2005:I2040">FREQUENCY(IC!CJ40:CJ64,Hists!A2006:A2040)</f>
        <v>0</v>
      </c>
      <c r="J2005" s="262">
        <f>I2005*100/I2041</f>
        <v>0</v>
      </c>
    </row>
    <row r="2006" spans="1:19" s="648" customFormat="1">
      <c r="A2006" s="284">
        <f>0.9999999999*B2006</f>
        <v>0.19999999998000001</v>
      </c>
      <c r="B2006" s="284">
        <v>0.2</v>
      </c>
      <c r="C2006" s="264">
        <v>0</v>
      </c>
      <c r="D2006" s="265">
        <f>C2006*100/C2041</f>
        <v>0</v>
      </c>
      <c r="E2006" s="264">
        <v>0</v>
      </c>
      <c r="F2006" s="265">
        <f>E2006*100/E2041</f>
        <v>0</v>
      </c>
      <c r="G2006" s="264">
        <v>0</v>
      </c>
      <c r="H2006" s="265">
        <f>G2006*100/G2041</f>
        <v>0</v>
      </c>
      <c r="I2006" s="264">
        <v>0</v>
      </c>
      <c r="J2006" s="266">
        <f>I2006*100/I2041</f>
        <v>0</v>
      </c>
    </row>
    <row r="2007" spans="1:19" s="648" customFormat="1">
      <c r="A2007" s="284">
        <f t="shared" ref="A2007:A2039" si="94">0.9999999999*B2007</f>
        <v>0.29999999996999999</v>
      </c>
      <c r="B2007" s="284">
        <v>0.3</v>
      </c>
      <c r="C2007" s="268">
        <v>0</v>
      </c>
      <c r="D2007" s="269">
        <f>C2007*100/C2041</f>
        <v>0</v>
      </c>
      <c r="E2007" s="268">
        <v>0</v>
      </c>
      <c r="F2007" s="269">
        <f>E2007*100/E2041</f>
        <v>0</v>
      </c>
      <c r="G2007" s="268">
        <v>0</v>
      </c>
      <c r="H2007" s="269">
        <f>G2007*100/G2041</f>
        <v>0</v>
      </c>
      <c r="I2007" s="268">
        <v>0</v>
      </c>
      <c r="J2007" s="270">
        <f>I2007*100/I2041</f>
        <v>0</v>
      </c>
    </row>
    <row r="2008" spans="1:19" s="648" customFormat="1">
      <c r="A2008" s="284">
        <f t="shared" si="94"/>
        <v>0.39999999996000002</v>
      </c>
      <c r="B2008" s="285">
        <v>0.4</v>
      </c>
      <c r="C2008" s="264">
        <v>0</v>
      </c>
      <c r="D2008" s="265">
        <f>C2008*100/C2041</f>
        <v>0</v>
      </c>
      <c r="E2008" s="264">
        <v>0</v>
      </c>
      <c r="F2008" s="265">
        <f>E2008*100/E2041</f>
        <v>0</v>
      </c>
      <c r="G2008" s="264">
        <v>0</v>
      </c>
      <c r="H2008" s="265">
        <f>G2008*100/G2041</f>
        <v>0</v>
      </c>
      <c r="I2008" s="264">
        <v>0</v>
      </c>
      <c r="J2008" s="266">
        <f>I2008*100/I2041</f>
        <v>0</v>
      </c>
    </row>
    <row r="2009" spans="1:19" s="648" customFormat="1">
      <c r="A2009" s="284">
        <f t="shared" si="94"/>
        <v>0.49999999995</v>
      </c>
      <c r="B2009" s="285">
        <v>0.5</v>
      </c>
      <c r="C2009" s="268">
        <v>0</v>
      </c>
      <c r="D2009" s="269">
        <f>C2009*100/C2041</f>
        <v>0</v>
      </c>
      <c r="E2009" s="268">
        <v>0</v>
      </c>
      <c r="F2009" s="269">
        <f>E2009*100/E2041</f>
        <v>0</v>
      </c>
      <c r="G2009" s="268">
        <v>0</v>
      </c>
      <c r="H2009" s="269">
        <f>G2009*100/G2041</f>
        <v>0</v>
      </c>
      <c r="I2009" s="268">
        <v>0</v>
      </c>
      <c r="J2009" s="270">
        <f>I2009*100/I2041</f>
        <v>0</v>
      </c>
    </row>
    <row r="2010" spans="1:19" s="648" customFormat="1">
      <c r="A2010" s="284">
        <f t="shared" si="94"/>
        <v>0.59999999993999997</v>
      </c>
      <c r="B2010" s="285">
        <v>0.6</v>
      </c>
      <c r="C2010" s="264">
        <v>0</v>
      </c>
      <c r="D2010" s="265">
        <f>C2010*100/C2041</f>
        <v>0</v>
      </c>
      <c r="E2010" s="264">
        <v>0</v>
      </c>
      <c r="F2010" s="265">
        <f>E2010*100/E2041</f>
        <v>0</v>
      </c>
      <c r="G2010" s="264">
        <v>0</v>
      </c>
      <c r="H2010" s="265">
        <f>G2010*100/G2041</f>
        <v>0</v>
      </c>
      <c r="I2010" s="264">
        <v>0</v>
      </c>
      <c r="J2010" s="266">
        <f>I2010*100/I2041</f>
        <v>0</v>
      </c>
    </row>
    <row r="2011" spans="1:19" s="648" customFormat="1">
      <c r="A2011" s="284">
        <f t="shared" si="94"/>
        <v>0.69999999992999995</v>
      </c>
      <c r="B2011" s="284">
        <v>0.7</v>
      </c>
      <c r="C2011" s="268">
        <v>0</v>
      </c>
      <c r="D2011" s="269">
        <f>C2011*100/C2041</f>
        <v>0</v>
      </c>
      <c r="E2011" s="268">
        <v>0</v>
      </c>
      <c r="F2011" s="269">
        <f>E2011*100/E2041</f>
        <v>0</v>
      </c>
      <c r="G2011" s="268">
        <v>0</v>
      </c>
      <c r="H2011" s="269">
        <f>G2011*100/G2041</f>
        <v>0</v>
      </c>
      <c r="I2011" s="268">
        <v>0</v>
      </c>
      <c r="J2011" s="270">
        <f>I2011*100/I2041</f>
        <v>0</v>
      </c>
    </row>
    <row r="2012" spans="1:19" s="648" customFormat="1">
      <c r="A2012" s="284">
        <f t="shared" si="94"/>
        <v>0.79999999992000004</v>
      </c>
      <c r="B2012" s="285">
        <v>0.8</v>
      </c>
      <c r="C2012" s="264">
        <v>0</v>
      </c>
      <c r="D2012" s="265">
        <f>C2012*100/C2041</f>
        <v>0</v>
      </c>
      <c r="E2012" s="264">
        <v>0</v>
      </c>
      <c r="F2012" s="265">
        <f>E2012*100/E2041</f>
        <v>0</v>
      </c>
      <c r="G2012" s="264">
        <v>0</v>
      </c>
      <c r="H2012" s="265">
        <f>G2012*100/G2041</f>
        <v>0</v>
      </c>
      <c r="I2012" s="264">
        <v>0</v>
      </c>
      <c r="J2012" s="266">
        <f>I2012*100/I2041</f>
        <v>0</v>
      </c>
    </row>
    <row r="2013" spans="1:19" s="648" customFormat="1">
      <c r="A2013" s="284">
        <f t="shared" si="94"/>
        <v>0.89999999991000001</v>
      </c>
      <c r="B2013" s="284">
        <v>0.9</v>
      </c>
      <c r="C2013" s="268">
        <v>0</v>
      </c>
      <c r="D2013" s="269">
        <f>C2013*100/C2041</f>
        <v>0</v>
      </c>
      <c r="E2013" s="268">
        <v>0</v>
      </c>
      <c r="F2013" s="269">
        <f>E2013*100/E2041</f>
        <v>0</v>
      </c>
      <c r="G2013" s="268">
        <v>0</v>
      </c>
      <c r="H2013" s="269">
        <f>G2013*100/G2041</f>
        <v>0</v>
      </c>
      <c r="I2013" s="268">
        <v>0</v>
      </c>
      <c r="J2013" s="270">
        <f>I2013*100/I2041</f>
        <v>0</v>
      </c>
    </row>
    <row r="2014" spans="1:19" s="648" customFormat="1">
      <c r="A2014" s="284">
        <f t="shared" si="94"/>
        <v>0.99999999989999999</v>
      </c>
      <c r="B2014" s="285">
        <v>1</v>
      </c>
      <c r="C2014" s="264">
        <v>0</v>
      </c>
      <c r="D2014" s="265">
        <f>C2014*100/C2041</f>
        <v>0</v>
      </c>
      <c r="E2014" s="264">
        <v>0</v>
      </c>
      <c r="F2014" s="265">
        <f>E2014*100/E2041</f>
        <v>0</v>
      </c>
      <c r="G2014" s="264">
        <v>1</v>
      </c>
      <c r="H2014" s="265">
        <f>G2014*100/G2041</f>
        <v>12.49999999984375</v>
      </c>
      <c r="I2014" s="264">
        <v>0</v>
      </c>
      <c r="J2014" s="266">
        <f>I2014*100/I2041</f>
        <v>0</v>
      </c>
    </row>
    <row r="2015" spans="1:19" s="648" customFormat="1">
      <c r="A2015" s="284">
        <f t="shared" si="94"/>
        <v>1.9999999998</v>
      </c>
      <c r="B2015" s="284">
        <v>2</v>
      </c>
      <c r="C2015" s="268">
        <v>0</v>
      </c>
      <c r="D2015" s="269">
        <f>C2015*100/C2041</f>
        <v>0</v>
      </c>
      <c r="E2015" s="268">
        <v>0</v>
      </c>
      <c r="F2015" s="269">
        <f>E2015*100/E2041</f>
        <v>0</v>
      </c>
      <c r="G2015" s="268">
        <v>0</v>
      </c>
      <c r="H2015" s="269">
        <f>G2015*100/G2041</f>
        <v>0</v>
      </c>
      <c r="I2015" s="268">
        <v>0</v>
      </c>
      <c r="J2015" s="270">
        <f>I2015*100/I2041</f>
        <v>0</v>
      </c>
    </row>
    <row r="2016" spans="1:19" s="648" customFormat="1">
      <c r="A2016" s="284">
        <f t="shared" si="94"/>
        <v>2.9999999997</v>
      </c>
      <c r="B2016" s="285">
        <v>3</v>
      </c>
      <c r="C2016" s="264">
        <v>0</v>
      </c>
      <c r="D2016" s="265">
        <f>C2016*100/C2041</f>
        <v>0</v>
      </c>
      <c r="E2016" s="264">
        <v>0</v>
      </c>
      <c r="F2016" s="265">
        <f>E2016*100/E2041</f>
        <v>0</v>
      </c>
      <c r="G2016" s="264">
        <v>0</v>
      </c>
      <c r="H2016" s="265">
        <f>G2016*100/G2041</f>
        <v>0</v>
      </c>
      <c r="I2016" s="264">
        <v>0</v>
      </c>
      <c r="J2016" s="266">
        <f>I2016*100/I2041</f>
        <v>0</v>
      </c>
    </row>
    <row r="2017" spans="1:10" s="648" customFormat="1">
      <c r="A2017" s="284">
        <f t="shared" si="94"/>
        <v>3.9999999996</v>
      </c>
      <c r="B2017" s="284">
        <v>4</v>
      </c>
      <c r="C2017" s="268">
        <v>0</v>
      </c>
      <c r="D2017" s="269">
        <f>C2017*100/C2041</f>
        <v>0</v>
      </c>
      <c r="E2017" s="268">
        <v>0</v>
      </c>
      <c r="F2017" s="269">
        <f>E2017*100/E2041</f>
        <v>0</v>
      </c>
      <c r="G2017" s="268">
        <v>0</v>
      </c>
      <c r="H2017" s="269">
        <f>G2017*100/G2041</f>
        <v>0</v>
      </c>
      <c r="I2017" s="268">
        <v>0</v>
      </c>
      <c r="J2017" s="270">
        <f>I2017*100/I2041</f>
        <v>0</v>
      </c>
    </row>
    <row r="2018" spans="1:10" s="648" customFormat="1">
      <c r="A2018" s="284">
        <f t="shared" si="94"/>
        <v>4.9999999995</v>
      </c>
      <c r="B2018" s="285">
        <v>5</v>
      </c>
      <c r="C2018" s="264">
        <v>0</v>
      </c>
      <c r="D2018" s="265">
        <f>C2018*100/C2041</f>
        <v>0</v>
      </c>
      <c r="E2018" s="264">
        <v>0</v>
      </c>
      <c r="F2018" s="265">
        <f>E2018*100/E2041</f>
        <v>0</v>
      </c>
      <c r="G2018" s="264">
        <v>0</v>
      </c>
      <c r="H2018" s="265">
        <f>G2018*100/G2041</f>
        <v>0</v>
      </c>
      <c r="I2018" s="264">
        <v>0</v>
      </c>
      <c r="J2018" s="266">
        <f>I2018*100/I2041</f>
        <v>0</v>
      </c>
    </row>
    <row r="2019" spans="1:10" s="648" customFormat="1">
      <c r="A2019" s="284">
        <f t="shared" si="94"/>
        <v>5.9999999994</v>
      </c>
      <c r="B2019" s="284">
        <v>6</v>
      </c>
      <c r="C2019" s="268">
        <v>0</v>
      </c>
      <c r="D2019" s="269">
        <f>C2019*100/C2041</f>
        <v>0</v>
      </c>
      <c r="E2019" s="268">
        <v>0</v>
      </c>
      <c r="F2019" s="269">
        <f>E2019*100/E2041</f>
        <v>0</v>
      </c>
      <c r="G2019" s="268">
        <v>0</v>
      </c>
      <c r="H2019" s="269">
        <f>G2019*100/G2041</f>
        <v>0</v>
      </c>
      <c r="I2019" s="268">
        <v>0</v>
      </c>
      <c r="J2019" s="270">
        <f>I2019*100/I2041</f>
        <v>0</v>
      </c>
    </row>
    <row r="2020" spans="1:10" s="648" customFormat="1">
      <c r="A2020" s="284">
        <f t="shared" si="94"/>
        <v>6.9999999992999999</v>
      </c>
      <c r="B2020" s="285">
        <v>7</v>
      </c>
      <c r="C2020" s="264">
        <v>0</v>
      </c>
      <c r="D2020" s="265">
        <f>C2020*100/C2041</f>
        <v>0</v>
      </c>
      <c r="E2020" s="264">
        <v>0</v>
      </c>
      <c r="F2020" s="265">
        <f>E2020*100/E2041</f>
        <v>0</v>
      </c>
      <c r="G2020" s="264">
        <v>0</v>
      </c>
      <c r="H2020" s="265">
        <f>G2020*100/G2041</f>
        <v>0</v>
      </c>
      <c r="I2020" s="264">
        <v>0</v>
      </c>
      <c r="J2020" s="266">
        <f>I2020*100/I2041</f>
        <v>0</v>
      </c>
    </row>
    <row r="2021" spans="1:10" s="648" customFormat="1">
      <c r="A2021" s="284">
        <f t="shared" si="94"/>
        <v>7.9999999991999999</v>
      </c>
      <c r="B2021" s="284">
        <v>8</v>
      </c>
      <c r="C2021" s="268">
        <v>0</v>
      </c>
      <c r="D2021" s="269">
        <f>C2021*100/C2041</f>
        <v>0</v>
      </c>
      <c r="E2021" s="268">
        <v>0</v>
      </c>
      <c r="F2021" s="269">
        <f>E2021*100/E2041</f>
        <v>0</v>
      </c>
      <c r="G2021" s="268">
        <v>0</v>
      </c>
      <c r="H2021" s="269">
        <f>G2021*100/G2041</f>
        <v>0</v>
      </c>
      <c r="I2021" s="268">
        <v>0</v>
      </c>
      <c r="J2021" s="270">
        <f>I2021*100/I2041</f>
        <v>0</v>
      </c>
    </row>
    <row r="2022" spans="1:10" s="648" customFormat="1">
      <c r="A2022" s="284">
        <f t="shared" si="94"/>
        <v>8.9999999990999999</v>
      </c>
      <c r="B2022" s="285">
        <v>9</v>
      </c>
      <c r="C2022" s="264">
        <v>0</v>
      </c>
      <c r="D2022" s="265">
        <f>C2022*100/C2041</f>
        <v>0</v>
      </c>
      <c r="E2022" s="264">
        <v>0</v>
      </c>
      <c r="F2022" s="265">
        <f>E2022*100/E2041</f>
        <v>0</v>
      </c>
      <c r="G2022" s="264">
        <v>0</v>
      </c>
      <c r="H2022" s="265">
        <f>G2022*100/G2041</f>
        <v>0</v>
      </c>
      <c r="I2022" s="264">
        <v>0</v>
      </c>
      <c r="J2022" s="266">
        <f>I2022*100/I2041</f>
        <v>0</v>
      </c>
    </row>
    <row r="2023" spans="1:10" s="648" customFormat="1">
      <c r="A2023" s="284">
        <f t="shared" si="94"/>
        <v>9.9999999989999999</v>
      </c>
      <c r="B2023" s="284">
        <v>10</v>
      </c>
      <c r="C2023" s="268">
        <v>0</v>
      </c>
      <c r="D2023" s="269">
        <f>C2023*100/C2041</f>
        <v>0</v>
      </c>
      <c r="E2023" s="268">
        <v>0</v>
      </c>
      <c r="F2023" s="269">
        <f>E2023*100/E2041</f>
        <v>0</v>
      </c>
      <c r="G2023" s="268">
        <v>0</v>
      </c>
      <c r="H2023" s="269">
        <f>G2023*100/G2041</f>
        <v>0</v>
      </c>
      <c r="I2023" s="268">
        <v>0</v>
      </c>
      <c r="J2023" s="270">
        <f>I2023*100/I2041</f>
        <v>0</v>
      </c>
    </row>
    <row r="2024" spans="1:10" s="648" customFormat="1">
      <c r="A2024" s="284">
        <f t="shared" si="94"/>
        <v>19.999999998</v>
      </c>
      <c r="B2024" s="285">
        <v>20</v>
      </c>
      <c r="C2024" s="264">
        <v>0</v>
      </c>
      <c r="D2024" s="265">
        <f>C2024*100/C2041</f>
        <v>0</v>
      </c>
      <c r="E2024" s="264">
        <v>0</v>
      </c>
      <c r="F2024" s="265">
        <f>E2024*100/E2041</f>
        <v>0</v>
      </c>
      <c r="G2024" s="264">
        <v>0</v>
      </c>
      <c r="H2024" s="265">
        <f>G2024*100/G2041</f>
        <v>0</v>
      </c>
      <c r="I2024" s="264">
        <v>0</v>
      </c>
      <c r="J2024" s="266">
        <f>I2024*100/I2041</f>
        <v>0</v>
      </c>
    </row>
    <row r="2025" spans="1:10" s="648" customFormat="1">
      <c r="A2025" s="284">
        <f t="shared" si="94"/>
        <v>29.999999997</v>
      </c>
      <c r="B2025" s="284">
        <v>30</v>
      </c>
      <c r="C2025" s="268">
        <v>0</v>
      </c>
      <c r="D2025" s="269">
        <f>C2025*100/C2041</f>
        <v>0</v>
      </c>
      <c r="E2025" s="268">
        <v>0</v>
      </c>
      <c r="F2025" s="269">
        <f>E2025*100/E2041</f>
        <v>0</v>
      </c>
      <c r="G2025" s="268">
        <v>0</v>
      </c>
      <c r="H2025" s="269">
        <f>G2025*100/G2041</f>
        <v>0</v>
      </c>
      <c r="I2025" s="268">
        <v>0</v>
      </c>
      <c r="J2025" s="270">
        <f>I2025*100/I2041</f>
        <v>0</v>
      </c>
    </row>
    <row r="2026" spans="1:10" s="648" customFormat="1">
      <c r="A2026" s="284">
        <f t="shared" si="94"/>
        <v>39.999999996</v>
      </c>
      <c r="B2026" s="285">
        <v>40</v>
      </c>
      <c r="C2026" s="264">
        <v>0</v>
      </c>
      <c r="D2026" s="265">
        <f>C2026*100/C2041</f>
        <v>0</v>
      </c>
      <c r="E2026" s="264">
        <v>0</v>
      </c>
      <c r="F2026" s="265">
        <f>E2026*100/E2041</f>
        <v>0</v>
      </c>
      <c r="G2026" s="264">
        <v>3</v>
      </c>
      <c r="H2026" s="265">
        <f>G2026*100/G2041</f>
        <v>37.499999999531248</v>
      </c>
      <c r="I2026" s="264">
        <v>0</v>
      </c>
      <c r="J2026" s="266">
        <f>I2026*100/I2041</f>
        <v>0</v>
      </c>
    </row>
    <row r="2027" spans="1:10" s="648" customFormat="1">
      <c r="A2027" s="284">
        <f t="shared" si="94"/>
        <v>49.999999994999996</v>
      </c>
      <c r="B2027" s="284">
        <v>50</v>
      </c>
      <c r="C2027" s="268">
        <v>0</v>
      </c>
      <c r="D2027" s="271">
        <f>C2027*100/C2041</f>
        <v>0</v>
      </c>
      <c r="E2027" s="272">
        <v>0</v>
      </c>
      <c r="F2027" s="271">
        <f>E2027*100/E2041</f>
        <v>0</v>
      </c>
      <c r="G2027" s="272">
        <v>0</v>
      </c>
      <c r="H2027" s="271">
        <f>G2027*100/G2041</f>
        <v>0</v>
      </c>
      <c r="I2027" s="272">
        <v>0</v>
      </c>
      <c r="J2027" s="273">
        <f>I2027*100/I2041</f>
        <v>0</v>
      </c>
    </row>
    <row r="2028" spans="1:10" s="648" customFormat="1">
      <c r="A2028" s="284">
        <f t="shared" si="94"/>
        <v>59.999999994</v>
      </c>
      <c r="B2028" s="285">
        <v>60</v>
      </c>
      <c r="C2028" s="456">
        <v>0</v>
      </c>
      <c r="D2028" s="220">
        <f>C2028*100/C2041</f>
        <v>0</v>
      </c>
      <c r="E2028" s="221">
        <v>0</v>
      </c>
      <c r="F2028" s="220">
        <f>E2028*100/E2041</f>
        <v>0</v>
      </c>
      <c r="G2028" s="221">
        <v>0</v>
      </c>
      <c r="H2028" s="220">
        <f>G2028*100/G2041</f>
        <v>0</v>
      </c>
      <c r="I2028" s="221">
        <v>0</v>
      </c>
      <c r="J2028" s="281">
        <f>I2028*100/I2041</f>
        <v>0</v>
      </c>
    </row>
    <row r="2029" spans="1:10" s="648" customFormat="1">
      <c r="A2029" s="284">
        <f t="shared" si="94"/>
        <v>69.999999993000003</v>
      </c>
      <c r="B2029" s="284">
        <v>70</v>
      </c>
      <c r="C2029" s="268">
        <v>0</v>
      </c>
      <c r="D2029" s="271">
        <f>C2029*100/C2041</f>
        <v>0</v>
      </c>
      <c r="E2029" s="272">
        <v>0</v>
      </c>
      <c r="F2029" s="271">
        <f>E2029*100/E2041</f>
        <v>0</v>
      </c>
      <c r="G2029" s="272">
        <v>0</v>
      </c>
      <c r="H2029" s="271">
        <f>G2029*100/G2041</f>
        <v>0</v>
      </c>
      <c r="I2029" s="272">
        <v>0</v>
      </c>
      <c r="J2029" s="273">
        <f>I2029*100/I2041</f>
        <v>0</v>
      </c>
    </row>
    <row r="2030" spans="1:10" s="648" customFormat="1">
      <c r="A2030" s="284">
        <f t="shared" si="94"/>
        <v>79.999999991999999</v>
      </c>
      <c r="B2030" s="285">
        <v>80</v>
      </c>
      <c r="C2030" s="456">
        <v>0</v>
      </c>
      <c r="D2030" s="220">
        <f>C2030*100/C2041</f>
        <v>0</v>
      </c>
      <c r="E2030" s="221">
        <v>0</v>
      </c>
      <c r="F2030" s="220">
        <f>E2030*100/E2041</f>
        <v>0</v>
      </c>
      <c r="G2030" s="221">
        <v>0</v>
      </c>
      <c r="H2030" s="220">
        <f>G2030*100/G2041</f>
        <v>0</v>
      </c>
      <c r="I2030" s="221">
        <v>0</v>
      </c>
      <c r="J2030" s="281">
        <f>I2030*100/I2041</f>
        <v>0</v>
      </c>
    </row>
    <row r="2031" spans="1:10" s="648" customFormat="1">
      <c r="A2031" s="284">
        <f t="shared" si="94"/>
        <v>89.999999990999996</v>
      </c>
      <c r="B2031" s="284">
        <v>90</v>
      </c>
      <c r="C2031" s="268">
        <v>0</v>
      </c>
      <c r="D2031" s="271">
        <f>C2031*100/C2041</f>
        <v>0</v>
      </c>
      <c r="E2031" s="272">
        <v>0</v>
      </c>
      <c r="F2031" s="271">
        <f>E2031*100/E2041</f>
        <v>0</v>
      </c>
      <c r="G2031" s="272">
        <v>1</v>
      </c>
      <c r="H2031" s="271">
        <f>G2031*100/G2041</f>
        <v>12.49999999984375</v>
      </c>
      <c r="I2031" s="272">
        <v>0</v>
      </c>
      <c r="J2031" s="273">
        <f>I2031*100/I2041</f>
        <v>0</v>
      </c>
    </row>
    <row r="2032" spans="1:10" s="648" customFormat="1">
      <c r="A2032" s="284">
        <f t="shared" si="94"/>
        <v>99.999999989999992</v>
      </c>
      <c r="B2032" s="285">
        <v>100</v>
      </c>
      <c r="C2032" s="456">
        <v>0</v>
      </c>
      <c r="D2032" s="220">
        <f>C2032*100/C$2092</f>
        <v>0</v>
      </c>
      <c r="E2032" s="221">
        <v>0</v>
      </c>
      <c r="F2032" s="220">
        <f>E2032*100/E$2092</f>
        <v>0</v>
      </c>
      <c r="G2032" s="221">
        <v>0</v>
      </c>
      <c r="H2032" s="220">
        <f>G2032*100/G$2092</f>
        <v>0</v>
      </c>
      <c r="I2032" s="221">
        <v>0</v>
      </c>
      <c r="J2032" s="281">
        <f>I2032*100/I$2092</f>
        <v>0</v>
      </c>
    </row>
    <row r="2033" spans="1:10" s="648" customFormat="1">
      <c r="A2033" s="284">
        <f t="shared" si="94"/>
        <v>109.999999989</v>
      </c>
      <c r="B2033" s="451">
        <v>110</v>
      </c>
      <c r="C2033" s="268">
        <v>0</v>
      </c>
      <c r="D2033" s="452">
        <f t="shared" ref="D2033:D2040" si="95">C2033*100/C$2092</f>
        <v>0</v>
      </c>
      <c r="E2033" s="268">
        <v>0</v>
      </c>
      <c r="F2033" s="452">
        <f t="shared" ref="F2033:F2040" si="96">E2033*100/E$2092</f>
        <v>0</v>
      </c>
      <c r="G2033" s="268">
        <v>0</v>
      </c>
      <c r="H2033" s="452">
        <f t="shared" ref="H2033:H2040" si="97">G2033*100/G$2092</f>
        <v>0</v>
      </c>
      <c r="I2033" s="268">
        <v>0</v>
      </c>
      <c r="J2033" s="453">
        <f t="shared" ref="J2033:J2040" si="98">I2033*100/I$2092</f>
        <v>0</v>
      </c>
    </row>
    <row r="2034" spans="1:10" s="648" customFormat="1">
      <c r="A2034" s="284">
        <f t="shared" si="94"/>
        <v>119.999999988</v>
      </c>
      <c r="B2034" s="451">
        <v>120</v>
      </c>
      <c r="C2034" s="268">
        <v>0</v>
      </c>
      <c r="D2034" s="452">
        <f t="shared" si="95"/>
        <v>0</v>
      </c>
      <c r="E2034" s="268">
        <v>0</v>
      </c>
      <c r="F2034" s="452">
        <f t="shared" si="96"/>
        <v>0</v>
      </c>
      <c r="G2034" s="268">
        <v>0</v>
      </c>
      <c r="H2034" s="452">
        <f t="shared" si="97"/>
        <v>0</v>
      </c>
      <c r="I2034" s="268">
        <v>0</v>
      </c>
      <c r="J2034" s="453">
        <f t="shared" si="98"/>
        <v>0</v>
      </c>
    </row>
    <row r="2035" spans="1:10" s="648" customFormat="1">
      <c r="A2035" s="284">
        <f t="shared" si="94"/>
        <v>129.999999987</v>
      </c>
      <c r="B2035" s="451">
        <v>130</v>
      </c>
      <c r="C2035" s="268">
        <v>0</v>
      </c>
      <c r="D2035" s="452">
        <f t="shared" si="95"/>
        <v>0</v>
      </c>
      <c r="E2035" s="268">
        <v>0</v>
      </c>
      <c r="F2035" s="452">
        <f t="shared" si="96"/>
        <v>0</v>
      </c>
      <c r="G2035" s="268">
        <v>0</v>
      </c>
      <c r="H2035" s="452">
        <f t="shared" si="97"/>
        <v>0</v>
      </c>
      <c r="I2035" s="268">
        <v>0</v>
      </c>
      <c r="J2035" s="453">
        <f t="shared" si="98"/>
        <v>0</v>
      </c>
    </row>
    <row r="2036" spans="1:10" s="648" customFormat="1">
      <c r="A2036" s="284">
        <f t="shared" si="94"/>
        <v>139.99999998600001</v>
      </c>
      <c r="B2036" s="451">
        <v>140</v>
      </c>
      <c r="C2036" s="268">
        <v>0</v>
      </c>
      <c r="D2036" s="452">
        <f t="shared" si="95"/>
        <v>0</v>
      </c>
      <c r="E2036" s="268">
        <v>0</v>
      </c>
      <c r="F2036" s="452">
        <f t="shared" si="96"/>
        <v>0</v>
      </c>
      <c r="G2036" s="268">
        <v>0</v>
      </c>
      <c r="H2036" s="452">
        <f t="shared" si="97"/>
        <v>0</v>
      </c>
      <c r="I2036" s="268">
        <v>0</v>
      </c>
      <c r="J2036" s="453">
        <f t="shared" si="98"/>
        <v>0</v>
      </c>
    </row>
    <row r="2037" spans="1:10" s="648" customFormat="1">
      <c r="A2037" s="284">
        <f t="shared" si="94"/>
        <v>149.99999998499999</v>
      </c>
      <c r="B2037" s="451">
        <v>150</v>
      </c>
      <c r="C2037" s="268">
        <v>0</v>
      </c>
      <c r="D2037" s="452">
        <f t="shared" si="95"/>
        <v>0</v>
      </c>
      <c r="E2037" s="268">
        <v>0</v>
      </c>
      <c r="F2037" s="452">
        <f t="shared" si="96"/>
        <v>0</v>
      </c>
      <c r="G2037" s="268">
        <v>3</v>
      </c>
      <c r="H2037" s="452">
        <f t="shared" si="97"/>
        <v>24.999999999791665</v>
      </c>
      <c r="I2037" s="268">
        <v>0</v>
      </c>
      <c r="J2037" s="453">
        <f t="shared" si="98"/>
        <v>0</v>
      </c>
    </row>
    <row r="2038" spans="1:10" s="648" customFormat="1">
      <c r="A2038" s="284">
        <f t="shared" si="94"/>
        <v>159.999999984</v>
      </c>
      <c r="B2038" s="451">
        <v>160</v>
      </c>
      <c r="C2038" s="268">
        <v>0</v>
      </c>
      <c r="D2038" s="452">
        <f t="shared" si="95"/>
        <v>0</v>
      </c>
      <c r="E2038" s="268">
        <v>0</v>
      </c>
      <c r="F2038" s="452">
        <f t="shared" si="96"/>
        <v>0</v>
      </c>
      <c r="G2038" s="268">
        <v>0</v>
      </c>
      <c r="H2038" s="452">
        <f t="shared" si="97"/>
        <v>0</v>
      </c>
      <c r="I2038" s="268">
        <v>0</v>
      </c>
      <c r="J2038" s="453">
        <f t="shared" si="98"/>
        <v>0</v>
      </c>
    </row>
    <row r="2039" spans="1:10" s="648" customFormat="1">
      <c r="A2039" s="284">
        <f t="shared" si="94"/>
        <v>169.99999998300001</v>
      </c>
      <c r="B2039" s="451">
        <v>170</v>
      </c>
      <c r="C2039" s="268">
        <v>0</v>
      </c>
      <c r="D2039" s="452">
        <f t="shared" si="95"/>
        <v>0</v>
      </c>
      <c r="E2039" s="268">
        <v>0</v>
      </c>
      <c r="F2039" s="452">
        <f t="shared" si="96"/>
        <v>0</v>
      </c>
      <c r="G2039" s="268">
        <v>0</v>
      </c>
      <c r="H2039" s="452">
        <f t="shared" si="97"/>
        <v>0</v>
      </c>
      <c r="I2039" s="268">
        <v>0</v>
      </c>
      <c r="J2039" s="453">
        <f t="shared" si="98"/>
        <v>0</v>
      </c>
    </row>
    <row r="2040" spans="1:10" s="648" customFormat="1" ht="15" thickBot="1">
      <c r="A2040" s="449">
        <f>0.9999999999*B2040</f>
        <v>179.99999998199999</v>
      </c>
      <c r="B2040" s="449">
        <v>180</v>
      </c>
      <c r="C2040" s="268">
        <v>0</v>
      </c>
      <c r="D2040" s="454">
        <f t="shared" si="95"/>
        <v>0</v>
      </c>
      <c r="E2040" s="275">
        <v>0</v>
      </c>
      <c r="F2040" s="454">
        <f t="shared" si="96"/>
        <v>0</v>
      </c>
      <c r="G2040" s="275">
        <v>0</v>
      </c>
      <c r="H2040" s="454">
        <f t="shared" si="97"/>
        <v>0</v>
      </c>
      <c r="I2040" s="275">
        <v>0</v>
      </c>
      <c r="J2040" s="455">
        <f t="shared" si="98"/>
        <v>0</v>
      </c>
    </row>
    <row r="2041" spans="1:10" s="648" customFormat="1" ht="15" thickBot="1">
      <c r="A2041" s="649" t="s">
        <v>396</v>
      </c>
      <c r="B2041" s="649"/>
      <c r="C2041" s="277">
        <f>SUM(C2005:C2040)+0.0000000001</f>
        <v>1E-10</v>
      </c>
      <c r="D2041" s="448">
        <f>SUM(D2006:D2040)</f>
        <v>0</v>
      </c>
      <c r="E2041" s="277">
        <f>SUM(E2005:E2040)+0.0000000001</f>
        <v>1E-10</v>
      </c>
      <c r="F2041" s="448">
        <f>SUM(F2005:F2040)</f>
        <v>0</v>
      </c>
      <c r="G2041" s="230">
        <f>SUM(G2005:G2040)+0.0000000001</f>
        <v>8.0000000001</v>
      </c>
      <c r="H2041" s="448">
        <f>SUM(H2005:H2040)</f>
        <v>87.499999999010413</v>
      </c>
      <c r="I2041" s="277">
        <f>SUM(I2005:I2040)+0.0000000001</f>
        <v>1E-10</v>
      </c>
      <c r="J2041" s="448">
        <f>SUM(J2005:J2040)</f>
        <v>0</v>
      </c>
    </row>
    <row r="2042" spans="1:10" s="648" customFormat="1" ht="15" thickBot="1">
      <c r="A2042" s="778">
        <f>C2041+E2041+G2041+I2041</f>
        <v>8.0000000004</v>
      </c>
      <c r="B2042" s="779"/>
      <c r="C2042" s="779"/>
      <c r="D2042" s="779"/>
      <c r="E2042" s="779"/>
      <c r="F2042" s="779"/>
      <c r="G2042" s="779"/>
      <c r="H2042" s="779"/>
      <c r="I2042" s="779"/>
      <c r="J2042" s="780"/>
    </row>
    <row r="2043" spans="1:10" s="648" customFormat="1">
      <c r="D2043" s="140"/>
      <c r="F2043" s="140"/>
      <c r="H2043" s="139"/>
      <c r="J2043" s="139"/>
    </row>
    <row r="2044" spans="1:10" s="648" customFormat="1">
      <c r="D2044" s="140"/>
      <c r="F2044" s="140"/>
      <c r="H2044" s="139"/>
      <c r="J2044" s="139"/>
    </row>
    <row r="2045" spans="1:10" s="648" customFormat="1">
      <c r="D2045" s="140"/>
      <c r="F2045" s="140"/>
      <c r="H2045" s="139"/>
      <c r="J2045" s="139"/>
    </row>
    <row r="2046" spans="1:10" s="648" customFormat="1">
      <c r="D2046" s="140"/>
      <c r="F2046" s="140"/>
      <c r="H2046" s="139"/>
      <c r="J2046" s="139"/>
    </row>
    <row r="2047" spans="1:10" s="648" customFormat="1">
      <c r="D2047" s="140"/>
      <c r="F2047" s="140"/>
      <c r="H2047" s="139"/>
      <c r="J2047" s="139"/>
    </row>
    <row r="2048" spans="1:10" s="648" customFormat="1">
      <c r="D2048" s="140"/>
      <c r="F2048" s="140"/>
      <c r="H2048" s="139"/>
      <c r="J2048" s="139"/>
    </row>
    <row r="2049" spans="1:19" s="648" customFormat="1">
      <c r="D2049" s="140"/>
      <c r="F2049" s="140"/>
      <c r="H2049" s="139"/>
      <c r="J2049" s="139"/>
    </row>
    <row r="2050" spans="1:19" s="648" customFormat="1">
      <c r="D2050" s="140"/>
      <c r="F2050" s="140"/>
      <c r="H2050" s="139"/>
      <c r="J2050" s="139"/>
    </row>
    <row r="2051" spans="1:19" s="648" customFormat="1">
      <c r="D2051" s="140"/>
      <c r="F2051" s="140"/>
      <c r="H2051" s="139"/>
      <c r="J2051" s="139"/>
      <c r="O2051" s="781"/>
      <c r="P2051" s="781"/>
      <c r="Q2051" s="781"/>
      <c r="R2051" s="781"/>
      <c r="S2051" s="781"/>
    </row>
    <row r="2052" spans="1:19" s="648" customFormat="1">
      <c r="D2052" s="140"/>
      <c r="F2052" s="140"/>
      <c r="H2052" s="139"/>
      <c r="J2052" s="139"/>
    </row>
    <row r="2053" spans="1:19" ht="15" thickBot="1">
      <c r="A2053" s="250"/>
    </row>
    <row r="2054" spans="1:19" ht="15" thickBot="1">
      <c r="A2054" s="798" t="s">
        <v>1009</v>
      </c>
      <c r="B2054" s="780"/>
      <c r="C2054" s="799" t="s">
        <v>400</v>
      </c>
      <c r="D2054" s="799"/>
      <c r="E2054" s="800" t="s">
        <v>946</v>
      </c>
      <c r="F2054" s="800"/>
      <c r="G2054" s="799" t="s">
        <v>948</v>
      </c>
      <c r="H2054" s="799"/>
      <c r="I2054" s="800" t="s">
        <v>947</v>
      </c>
      <c r="J2054" s="800"/>
    </row>
    <row r="2055" spans="1:19" ht="15" thickBot="1">
      <c r="A2055" s="251" t="s">
        <v>887</v>
      </c>
      <c r="B2055" s="251" t="s">
        <v>243</v>
      </c>
      <c r="C2055" s="252" t="s">
        <v>397</v>
      </c>
      <c r="D2055" s="253" t="s">
        <v>945</v>
      </c>
      <c r="E2055" s="254" t="s">
        <v>397</v>
      </c>
      <c r="F2055" s="255" t="s">
        <v>945</v>
      </c>
      <c r="G2055" s="256" t="s">
        <v>397</v>
      </c>
      <c r="H2055" s="257" t="s">
        <v>945</v>
      </c>
      <c r="I2055" s="254" t="s">
        <v>397</v>
      </c>
      <c r="J2055" s="258" t="s">
        <v>945</v>
      </c>
    </row>
    <row r="2056" spans="1:19">
      <c r="A2056" s="445">
        <f>0.9999999999*B2056</f>
        <v>0.99999999989999999</v>
      </c>
      <c r="B2056" s="445">
        <v>1</v>
      </c>
      <c r="C2056" s="260">
        <f t="array" ref="C2056:C2091">FREQUENCY(Discrete!BP3:BP20,A2057:A2091)</f>
        <v>0</v>
      </c>
      <c r="D2056" s="261">
        <f>C2056*100/C2092</f>
        <v>0</v>
      </c>
      <c r="E2056" s="260">
        <f t="array" ref="E2056:E2091">FREQUENCY(Discrete!BP21:BP78,Hists!A2057:A2091)</f>
        <v>0</v>
      </c>
      <c r="F2056" s="261">
        <f>E2056*100/E2092</f>
        <v>0</v>
      </c>
      <c r="G2056" s="260">
        <f t="array" ref="G2056:G2091">FREQUENCY(IC!CK3:CK39,Hists!A2057:A2091)</f>
        <v>0</v>
      </c>
      <c r="H2056" s="261">
        <f>G2056*100/G2092</f>
        <v>0</v>
      </c>
      <c r="I2056" s="260">
        <f t="array" ref="I2056:I2091">FREQUENCY(IC!CK40:CK64,Hists!A2057:A2091)</f>
        <v>0</v>
      </c>
      <c r="J2056" s="262">
        <f>I2056*100/I2092</f>
        <v>0</v>
      </c>
    </row>
    <row r="2057" spans="1:19">
      <c r="A2057" s="445">
        <f>0.9999999999*B2057</f>
        <v>1.9999999998</v>
      </c>
      <c r="B2057" s="445">
        <v>2</v>
      </c>
      <c r="C2057" s="264">
        <v>0</v>
      </c>
      <c r="D2057" s="265">
        <f>C2057*100/C2092</f>
        <v>0</v>
      </c>
      <c r="E2057" s="264">
        <v>0</v>
      </c>
      <c r="F2057" s="265">
        <f>E2057*100/E2092</f>
        <v>0</v>
      </c>
      <c r="G2057" s="264">
        <v>1</v>
      </c>
      <c r="H2057" s="265">
        <f>G2057*100/G2092</f>
        <v>8.333333333263889</v>
      </c>
      <c r="I2057" s="264">
        <v>0</v>
      </c>
      <c r="J2057" s="266">
        <f>I2057*100/I2092</f>
        <v>0</v>
      </c>
    </row>
    <row r="2058" spans="1:19">
      <c r="A2058" s="445">
        <f t="shared" ref="A2058:A2090" si="99">0.9999999999*B2058</f>
        <v>2.9999999997</v>
      </c>
      <c r="B2058" s="445">
        <v>3</v>
      </c>
      <c r="C2058" s="268">
        <v>0</v>
      </c>
      <c r="D2058" s="269">
        <f>C2058*100/C2092</f>
        <v>0</v>
      </c>
      <c r="E2058" s="268">
        <v>0</v>
      </c>
      <c r="F2058" s="269">
        <f>E2058*100/E2092</f>
        <v>0</v>
      </c>
      <c r="G2058" s="268">
        <v>0</v>
      </c>
      <c r="H2058" s="269">
        <f>G2058*100/G2092</f>
        <v>0</v>
      </c>
      <c r="I2058" s="268">
        <v>0</v>
      </c>
      <c r="J2058" s="270">
        <f>I2058*100/I2092</f>
        <v>0</v>
      </c>
    </row>
    <row r="2059" spans="1:19">
      <c r="A2059" s="445">
        <f t="shared" si="99"/>
        <v>3.9999999996</v>
      </c>
      <c r="B2059" s="446">
        <v>4</v>
      </c>
      <c r="C2059" s="264">
        <v>0</v>
      </c>
      <c r="D2059" s="265">
        <f>C2059*100/C2092</f>
        <v>0</v>
      </c>
      <c r="E2059" s="264">
        <v>0</v>
      </c>
      <c r="F2059" s="265">
        <f>E2059*100/E2092</f>
        <v>0</v>
      </c>
      <c r="G2059" s="264">
        <v>0</v>
      </c>
      <c r="H2059" s="265">
        <f>G2059*100/G2092</f>
        <v>0</v>
      </c>
      <c r="I2059" s="264">
        <v>0</v>
      </c>
      <c r="J2059" s="266">
        <f>I2059*100/I2092</f>
        <v>0</v>
      </c>
    </row>
    <row r="2060" spans="1:19">
      <c r="A2060" s="445">
        <f t="shared" si="99"/>
        <v>4.9999999995</v>
      </c>
      <c r="B2060" s="446">
        <v>5</v>
      </c>
      <c r="C2060" s="268">
        <v>0</v>
      </c>
      <c r="D2060" s="269">
        <f>C2060*100/C2092</f>
        <v>0</v>
      </c>
      <c r="E2060" s="268">
        <v>0</v>
      </c>
      <c r="F2060" s="269">
        <f>E2060*100/E2092</f>
        <v>0</v>
      </c>
      <c r="G2060" s="268">
        <v>0</v>
      </c>
      <c r="H2060" s="269">
        <f>G2060*100/G2092</f>
        <v>0</v>
      </c>
      <c r="I2060" s="268">
        <v>0</v>
      </c>
      <c r="J2060" s="270">
        <f>I2060*100/I2092</f>
        <v>0</v>
      </c>
    </row>
    <row r="2061" spans="1:19">
      <c r="A2061" s="445">
        <f t="shared" si="99"/>
        <v>5.9999999994</v>
      </c>
      <c r="B2061" s="446">
        <v>6</v>
      </c>
      <c r="C2061" s="264">
        <v>0</v>
      </c>
      <c r="D2061" s="265">
        <f>C2061*100/C2092</f>
        <v>0</v>
      </c>
      <c r="E2061" s="264">
        <v>0</v>
      </c>
      <c r="F2061" s="265">
        <f>E2061*100/E2092</f>
        <v>0</v>
      </c>
      <c r="G2061" s="264">
        <v>0</v>
      </c>
      <c r="H2061" s="265">
        <f>G2061*100/G2092</f>
        <v>0</v>
      </c>
      <c r="I2061" s="264">
        <v>0</v>
      </c>
      <c r="J2061" s="266">
        <f>I2061*100/I2092</f>
        <v>0</v>
      </c>
    </row>
    <row r="2062" spans="1:19">
      <c r="A2062" s="445">
        <f t="shared" si="99"/>
        <v>6.9999999992999999</v>
      </c>
      <c r="B2062" s="445">
        <v>7</v>
      </c>
      <c r="C2062" s="268">
        <v>0</v>
      </c>
      <c r="D2062" s="269">
        <f>C2062*100/C2092</f>
        <v>0</v>
      </c>
      <c r="E2062" s="268">
        <v>0</v>
      </c>
      <c r="F2062" s="269">
        <f>E2062*100/E2092</f>
        <v>0</v>
      </c>
      <c r="G2062" s="268">
        <v>0</v>
      </c>
      <c r="H2062" s="269">
        <f>G2062*100/G2092</f>
        <v>0</v>
      </c>
      <c r="I2062" s="268">
        <v>0</v>
      </c>
      <c r="J2062" s="270">
        <f>I2062*100/I2092</f>
        <v>0</v>
      </c>
    </row>
    <row r="2063" spans="1:19">
      <c r="A2063" s="445">
        <f t="shared" si="99"/>
        <v>7.9999999991999999</v>
      </c>
      <c r="B2063" s="446">
        <v>8</v>
      </c>
      <c r="C2063" s="264">
        <v>0</v>
      </c>
      <c r="D2063" s="265">
        <f>C2063*100/C2092</f>
        <v>0</v>
      </c>
      <c r="E2063" s="264">
        <v>0</v>
      </c>
      <c r="F2063" s="265">
        <f>E2063*100/E2092</f>
        <v>0</v>
      </c>
      <c r="G2063" s="264">
        <v>0</v>
      </c>
      <c r="H2063" s="265">
        <f>G2063*100/G2092</f>
        <v>0</v>
      </c>
      <c r="I2063" s="264">
        <v>0</v>
      </c>
      <c r="J2063" s="266">
        <f>I2063*100/I2092</f>
        <v>0</v>
      </c>
    </row>
    <row r="2064" spans="1:19">
      <c r="A2064" s="445">
        <f t="shared" si="99"/>
        <v>8.9999999990999999</v>
      </c>
      <c r="B2064" s="445">
        <v>9</v>
      </c>
      <c r="C2064" s="268">
        <v>0</v>
      </c>
      <c r="D2064" s="269">
        <f>C2064*100/C2092</f>
        <v>0</v>
      </c>
      <c r="E2064" s="268">
        <v>0</v>
      </c>
      <c r="F2064" s="269">
        <f>E2064*100/E2092</f>
        <v>0</v>
      </c>
      <c r="G2064" s="268">
        <v>3</v>
      </c>
      <c r="H2064" s="269">
        <f>G2064*100/G2092</f>
        <v>24.999999999791665</v>
      </c>
      <c r="I2064" s="268">
        <v>0</v>
      </c>
      <c r="J2064" s="270">
        <f>I2064*100/I2092</f>
        <v>0</v>
      </c>
    </row>
    <row r="2065" spans="1:10">
      <c r="A2065" s="445">
        <f t="shared" si="99"/>
        <v>99.999999989999992</v>
      </c>
      <c r="B2065" s="446">
        <v>100</v>
      </c>
      <c r="C2065" s="264">
        <v>0</v>
      </c>
      <c r="D2065" s="265">
        <f>C2065*100/C2092</f>
        <v>0</v>
      </c>
      <c r="E2065" s="264">
        <v>0</v>
      </c>
      <c r="F2065" s="265">
        <f>E2065*100/E2092</f>
        <v>0</v>
      </c>
      <c r="G2065" s="264">
        <v>5</v>
      </c>
      <c r="H2065" s="265">
        <f>G2065*100/G2092</f>
        <v>41.666666666319443</v>
      </c>
      <c r="I2065" s="264">
        <v>0</v>
      </c>
      <c r="J2065" s="266">
        <f>I2065*100/I2092</f>
        <v>0</v>
      </c>
    </row>
    <row r="2066" spans="1:10">
      <c r="A2066" s="445">
        <f t="shared" si="99"/>
        <v>199.99999997999998</v>
      </c>
      <c r="B2066" s="445">
        <v>200</v>
      </c>
      <c r="C2066" s="268">
        <v>0</v>
      </c>
      <c r="D2066" s="269">
        <f>C2066*100/C2092</f>
        <v>0</v>
      </c>
      <c r="E2066" s="268">
        <v>0</v>
      </c>
      <c r="F2066" s="269">
        <f>E2066*100/E2092</f>
        <v>0</v>
      </c>
      <c r="G2066" s="268">
        <v>0</v>
      </c>
      <c r="H2066" s="269">
        <f>G2066*100/G2092</f>
        <v>0</v>
      </c>
      <c r="I2066" s="268">
        <v>0</v>
      </c>
      <c r="J2066" s="270">
        <f>I2066*100/I2092</f>
        <v>0</v>
      </c>
    </row>
    <row r="2067" spans="1:10">
      <c r="A2067" s="445">
        <f t="shared" si="99"/>
        <v>299.99999996999998</v>
      </c>
      <c r="B2067" s="446">
        <v>300</v>
      </c>
      <c r="C2067" s="264">
        <v>0</v>
      </c>
      <c r="D2067" s="265">
        <f>C2067*100/C2092</f>
        <v>0</v>
      </c>
      <c r="E2067" s="264">
        <v>0</v>
      </c>
      <c r="F2067" s="265">
        <f>E2067*100/E2092</f>
        <v>0</v>
      </c>
      <c r="G2067" s="264">
        <v>0</v>
      </c>
      <c r="H2067" s="265">
        <f>G2067*100/G2092</f>
        <v>0</v>
      </c>
      <c r="I2067" s="264">
        <v>0</v>
      </c>
      <c r="J2067" s="266">
        <f>I2067*100/I2092</f>
        <v>0</v>
      </c>
    </row>
    <row r="2068" spans="1:10">
      <c r="A2068" s="445">
        <f t="shared" si="99"/>
        <v>399.99999995999997</v>
      </c>
      <c r="B2068" s="445">
        <v>400</v>
      </c>
      <c r="C2068" s="268">
        <v>0</v>
      </c>
      <c r="D2068" s="269">
        <f>C2068*100/C2092</f>
        <v>0</v>
      </c>
      <c r="E2068" s="268">
        <v>0</v>
      </c>
      <c r="F2068" s="269">
        <f>E2068*100/E2092</f>
        <v>0</v>
      </c>
      <c r="G2068" s="268">
        <v>0</v>
      </c>
      <c r="H2068" s="269">
        <f>G2068*100/G2092</f>
        <v>0</v>
      </c>
      <c r="I2068" s="268">
        <v>0</v>
      </c>
      <c r="J2068" s="270">
        <f>I2068*100/I2092</f>
        <v>0</v>
      </c>
    </row>
    <row r="2069" spans="1:10">
      <c r="A2069" s="445">
        <f t="shared" si="99"/>
        <v>499.99999995000002</v>
      </c>
      <c r="B2069" s="446">
        <v>500</v>
      </c>
      <c r="C2069" s="264">
        <v>0</v>
      </c>
      <c r="D2069" s="265">
        <f>C2069*100/C2092</f>
        <v>0</v>
      </c>
      <c r="E2069" s="264">
        <v>0</v>
      </c>
      <c r="F2069" s="265">
        <f>E2069*100/E2092</f>
        <v>0</v>
      </c>
      <c r="G2069" s="264">
        <v>0</v>
      </c>
      <c r="H2069" s="265">
        <f>G2069*100/G2092</f>
        <v>0</v>
      </c>
      <c r="I2069" s="264">
        <v>0</v>
      </c>
      <c r="J2069" s="266">
        <f>I2069*100/I2092</f>
        <v>0</v>
      </c>
    </row>
    <row r="2070" spans="1:10">
      <c r="A2070" s="445">
        <f t="shared" si="99"/>
        <v>599.99999993999995</v>
      </c>
      <c r="B2070" s="445">
        <v>600</v>
      </c>
      <c r="C2070" s="268">
        <v>0</v>
      </c>
      <c r="D2070" s="269">
        <f>C2070*100/C2092</f>
        <v>0</v>
      </c>
      <c r="E2070" s="268">
        <v>0</v>
      </c>
      <c r="F2070" s="269">
        <f>E2070*100/E2092</f>
        <v>0</v>
      </c>
      <c r="G2070" s="268">
        <v>0</v>
      </c>
      <c r="H2070" s="269">
        <f>G2070*100/G2092</f>
        <v>0</v>
      </c>
      <c r="I2070" s="268">
        <v>0</v>
      </c>
      <c r="J2070" s="270">
        <f>I2070*100/I2092</f>
        <v>0</v>
      </c>
    </row>
    <row r="2071" spans="1:10">
      <c r="A2071" s="445">
        <f t="shared" si="99"/>
        <v>699.99999992999994</v>
      </c>
      <c r="B2071" s="446">
        <v>700</v>
      </c>
      <c r="C2071" s="264">
        <v>0</v>
      </c>
      <c r="D2071" s="265">
        <f>C2071*100/C2092</f>
        <v>0</v>
      </c>
      <c r="E2071" s="264">
        <v>0</v>
      </c>
      <c r="F2071" s="265">
        <f>E2071*100/E2092</f>
        <v>0</v>
      </c>
      <c r="G2071" s="264">
        <v>0</v>
      </c>
      <c r="H2071" s="265">
        <f>G2071*100/G2092</f>
        <v>0</v>
      </c>
      <c r="I2071" s="264">
        <v>0</v>
      </c>
      <c r="J2071" s="266">
        <f>I2071*100/I2092</f>
        <v>0</v>
      </c>
    </row>
    <row r="2072" spans="1:10">
      <c r="A2072" s="445">
        <f t="shared" si="99"/>
        <v>799.99999991999994</v>
      </c>
      <c r="B2072" s="445">
        <v>800</v>
      </c>
      <c r="C2072" s="268">
        <v>0</v>
      </c>
      <c r="D2072" s="269">
        <f>C2072*100/C2092</f>
        <v>0</v>
      </c>
      <c r="E2072" s="268">
        <v>0</v>
      </c>
      <c r="F2072" s="269">
        <f>E2072*100/E2092</f>
        <v>0</v>
      </c>
      <c r="G2072" s="268">
        <v>0</v>
      </c>
      <c r="H2072" s="269">
        <f>G2072*100/G2092</f>
        <v>0</v>
      </c>
      <c r="I2072" s="268">
        <v>0</v>
      </c>
      <c r="J2072" s="270">
        <f>I2072*100/I2092</f>
        <v>0</v>
      </c>
    </row>
    <row r="2073" spans="1:10">
      <c r="A2073" s="445">
        <f t="shared" si="99"/>
        <v>899.99999991000004</v>
      </c>
      <c r="B2073" s="446">
        <v>900</v>
      </c>
      <c r="C2073" s="264">
        <v>0</v>
      </c>
      <c r="D2073" s="265">
        <f>C2073*100/C2092</f>
        <v>0</v>
      </c>
      <c r="E2073" s="264">
        <v>0</v>
      </c>
      <c r="F2073" s="265">
        <f>E2073*100/E2092</f>
        <v>0</v>
      </c>
      <c r="G2073" s="264">
        <v>0</v>
      </c>
      <c r="H2073" s="265">
        <f>G2073*100/G2092</f>
        <v>0</v>
      </c>
      <c r="I2073" s="264">
        <v>0</v>
      </c>
      <c r="J2073" s="266">
        <f>I2073*100/I2092</f>
        <v>0</v>
      </c>
    </row>
    <row r="2074" spans="1:10">
      <c r="A2074" s="445">
        <f t="shared" si="99"/>
        <v>999.99999990000003</v>
      </c>
      <c r="B2074" s="445">
        <v>1000</v>
      </c>
      <c r="C2074" s="268">
        <v>0</v>
      </c>
      <c r="D2074" s="269">
        <f>C2074*100/C2092</f>
        <v>0</v>
      </c>
      <c r="E2074" s="268">
        <v>0</v>
      </c>
      <c r="F2074" s="269">
        <f>E2074*100/E2092</f>
        <v>0</v>
      </c>
      <c r="G2074" s="268">
        <v>0</v>
      </c>
      <c r="H2074" s="269">
        <f>G2074*100/G2092</f>
        <v>0</v>
      </c>
      <c r="I2074" s="268">
        <v>0</v>
      </c>
      <c r="J2074" s="270">
        <f>I2074*100/I2092</f>
        <v>0</v>
      </c>
    </row>
    <row r="2075" spans="1:10">
      <c r="A2075" s="445">
        <f t="shared" si="99"/>
        <v>199.99999997999998</v>
      </c>
      <c r="B2075" s="446">
        <v>200</v>
      </c>
      <c r="C2075" s="264">
        <v>0</v>
      </c>
      <c r="D2075" s="265">
        <f>C2075*100/C2092</f>
        <v>0</v>
      </c>
      <c r="E2075" s="264">
        <v>0</v>
      </c>
      <c r="F2075" s="265">
        <f>E2075*100/E2092</f>
        <v>0</v>
      </c>
      <c r="G2075" s="264">
        <v>0</v>
      </c>
      <c r="H2075" s="265">
        <f>G2075*100/G2092</f>
        <v>0</v>
      </c>
      <c r="I2075" s="264">
        <v>0</v>
      </c>
      <c r="J2075" s="266">
        <f>I2075*100/I2092</f>
        <v>0</v>
      </c>
    </row>
    <row r="2076" spans="1:10">
      <c r="A2076" s="445">
        <f t="shared" si="99"/>
        <v>299.99999996999998</v>
      </c>
      <c r="B2076" s="445">
        <v>300</v>
      </c>
      <c r="C2076" s="268">
        <v>0</v>
      </c>
      <c r="D2076" s="269">
        <f>C2076*100/C2092</f>
        <v>0</v>
      </c>
      <c r="E2076" s="268">
        <v>0</v>
      </c>
      <c r="F2076" s="269">
        <f>E2076*100/E2092</f>
        <v>0</v>
      </c>
      <c r="G2076" s="268">
        <v>0</v>
      </c>
      <c r="H2076" s="269">
        <f>G2076*100/G2092</f>
        <v>0</v>
      </c>
      <c r="I2076" s="268">
        <v>0</v>
      </c>
      <c r="J2076" s="270">
        <f>I2076*100/I2092</f>
        <v>0</v>
      </c>
    </row>
    <row r="2077" spans="1:10">
      <c r="A2077" s="445">
        <f t="shared" si="99"/>
        <v>399.99999995999997</v>
      </c>
      <c r="B2077" s="446">
        <v>400</v>
      </c>
      <c r="C2077" s="264">
        <v>0</v>
      </c>
      <c r="D2077" s="265">
        <f>C2077*100/C2092</f>
        <v>0</v>
      </c>
      <c r="E2077" s="264">
        <v>0</v>
      </c>
      <c r="F2077" s="265">
        <f>E2077*100/E2092</f>
        <v>0</v>
      </c>
      <c r="G2077" s="264">
        <v>3</v>
      </c>
      <c r="H2077" s="265">
        <f>G2077*100/G2092</f>
        <v>24.999999999791665</v>
      </c>
      <c r="I2077" s="264">
        <v>0</v>
      </c>
      <c r="J2077" s="266">
        <f>I2077*100/I2092</f>
        <v>0</v>
      </c>
    </row>
    <row r="2078" spans="1:10">
      <c r="A2078" s="445">
        <f t="shared" si="99"/>
        <v>4999.9999994999998</v>
      </c>
      <c r="B2078" s="445">
        <v>5000</v>
      </c>
      <c r="C2078" s="268">
        <v>0</v>
      </c>
      <c r="D2078" s="271">
        <f>C2078*100/C2092</f>
        <v>0</v>
      </c>
      <c r="E2078" s="272">
        <v>0</v>
      </c>
      <c r="F2078" s="271">
        <f>E2078*100/E2092</f>
        <v>0</v>
      </c>
      <c r="G2078" s="272">
        <v>0</v>
      </c>
      <c r="H2078" s="271">
        <f>G2078*100/G2092</f>
        <v>0</v>
      </c>
      <c r="I2078" s="272">
        <v>0</v>
      </c>
      <c r="J2078" s="273">
        <f>I2078*100/I2092</f>
        <v>0</v>
      </c>
    </row>
    <row r="2079" spans="1:10">
      <c r="A2079" s="445">
        <f t="shared" si="99"/>
        <v>5999.9999994</v>
      </c>
      <c r="B2079" s="446">
        <v>6000</v>
      </c>
      <c r="C2079" s="219">
        <v>0</v>
      </c>
      <c r="D2079" s="220">
        <f>C2079*100/C2092</f>
        <v>0</v>
      </c>
      <c r="E2079" s="221">
        <v>0</v>
      </c>
      <c r="F2079" s="220">
        <f>E2079*100/E2092</f>
        <v>0</v>
      </c>
      <c r="G2079" s="221">
        <v>0</v>
      </c>
      <c r="H2079" s="220">
        <f>G2079*100/G2092</f>
        <v>0</v>
      </c>
      <c r="I2079" s="221">
        <v>0</v>
      </c>
      <c r="J2079" s="281">
        <f>I2079*100/I2092</f>
        <v>0</v>
      </c>
    </row>
    <row r="2080" spans="1:10">
      <c r="A2080" s="445">
        <f t="shared" si="99"/>
        <v>6999.9999993000001</v>
      </c>
      <c r="B2080" s="445">
        <v>7000</v>
      </c>
      <c r="C2080" s="268">
        <v>0</v>
      </c>
      <c r="D2080" s="271">
        <f>C2080*100/C2092</f>
        <v>0</v>
      </c>
      <c r="E2080" s="272">
        <v>0</v>
      </c>
      <c r="F2080" s="271">
        <f>E2080*100/E2092</f>
        <v>0</v>
      </c>
      <c r="G2080" s="272">
        <v>0</v>
      </c>
      <c r="H2080" s="271">
        <f>G2080*100/G2092</f>
        <v>0</v>
      </c>
      <c r="I2080" s="272">
        <v>0</v>
      </c>
      <c r="J2080" s="273">
        <f>I2080*100/I2092</f>
        <v>0</v>
      </c>
    </row>
    <row r="2081" spans="1:10">
      <c r="A2081" s="445">
        <f t="shared" si="99"/>
        <v>7999.9999992000003</v>
      </c>
      <c r="B2081" s="446">
        <v>8000</v>
      </c>
      <c r="C2081" s="219">
        <v>0</v>
      </c>
      <c r="D2081" s="220">
        <f>C2081*100/C2092</f>
        <v>0</v>
      </c>
      <c r="E2081" s="221">
        <v>0</v>
      </c>
      <c r="F2081" s="220">
        <f>E2081*100/E2092</f>
        <v>0</v>
      </c>
      <c r="G2081" s="221">
        <v>0</v>
      </c>
      <c r="H2081" s="220">
        <f>G2081*100/G2092</f>
        <v>0</v>
      </c>
      <c r="I2081" s="221">
        <v>0</v>
      </c>
      <c r="J2081" s="281">
        <f>I2081*100/I2092</f>
        <v>0</v>
      </c>
    </row>
    <row r="2082" spans="1:10">
      <c r="A2082" s="445">
        <f t="shared" si="99"/>
        <v>8999.9999991000004</v>
      </c>
      <c r="B2082" s="445">
        <v>9000</v>
      </c>
      <c r="C2082" s="268">
        <v>0</v>
      </c>
      <c r="D2082" s="271">
        <f>C2082*100/C2092</f>
        <v>0</v>
      </c>
      <c r="E2082" s="272">
        <v>0</v>
      </c>
      <c r="F2082" s="271">
        <f>E2082*100/E2092</f>
        <v>0</v>
      </c>
      <c r="G2082" s="272">
        <v>0</v>
      </c>
      <c r="H2082" s="271">
        <f>G2082*100/G2092</f>
        <v>0</v>
      </c>
      <c r="I2082" s="272">
        <v>0</v>
      </c>
      <c r="J2082" s="273">
        <f>I2082*100/I2092</f>
        <v>0</v>
      </c>
    </row>
    <row r="2083" spans="1:10">
      <c r="A2083" s="445">
        <f t="shared" si="99"/>
        <v>9999.9999989999997</v>
      </c>
      <c r="B2083" s="446">
        <v>10000</v>
      </c>
      <c r="C2083" s="219">
        <v>0</v>
      </c>
      <c r="D2083" s="220">
        <f>C2083*100/C$2092</f>
        <v>0</v>
      </c>
      <c r="E2083" s="221">
        <v>0</v>
      </c>
      <c r="F2083" s="220">
        <f>E2083*100/E$2092</f>
        <v>0</v>
      </c>
      <c r="G2083" s="221">
        <v>0</v>
      </c>
      <c r="H2083" s="220">
        <f>G2083*100/G$2092</f>
        <v>0</v>
      </c>
      <c r="I2083" s="221">
        <v>3</v>
      </c>
      <c r="J2083" s="281">
        <f>I2083*100/I$2092</f>
        <v>99.999999996666673</v>
      </c>
    </row>
    <row r="2084" spans="1:10">
      <c r="A2084" s="445">
        <f t="shared" si="99"/>
        <v>19999.999997999999</v>
      </c>
      <c r="B2084" s="651">
        <v>20000</v>
      </c>
      <c r="C2084" s="268">
        <v>0</v>
      </c>
      <c r="D2084" s="452">
        <f t="shared" ref="D2084:D2091" si="100">C2084*100/C$2092</f>
        <v>0</v>
      </c>
      <c r="E2084" s="268">
        <v>0</v>
      </c>
      <c r="F2084" s="452">
        <f t="shared" ref="F2084:F2091" si="101">E2084*100/E$2092</f>
        <v>0</v>
      </c>
      <c r="G2084" s="268">
        <v>0</v>
      </c>
      <c r="H2084" s="452">
        <f t="shared" ref="H2084:H2091" si="102">G2084*100/G$2092</f>
        <v>0</v>
      </c>
      <c r="I2084" s="268">
        <v>0</v>
      </c>
      <c r="J2084" s="453">
        <f t="shared" ref="J2084:J2091" si="103">I2084*100/I$2092</f>
        <v>0</v>
      </c>
    </row>
    <row r="2085" spans="1:10" s="250" customFormat="1">
      <c r="A2085" s="445">
        <f t="shared" si="99"/>
        <v>29999.999996999999</v>
      </c>
      <c r="B2085" s="651">
        <v>30000</v>
      </c>
      <c r="C2085" s="268">
        <v>0</v>
      </c>
      <c r="D2085" s="452">
        <f t="shared" si="100"/>
        <v>0</v>
      </c>
      <c r="E2085" s="268">
        <v>0</v>
      </c>
      <c r="F2085" s="452">
        <f t="shared" si="101"/>
        <v>0</v>
      </c>
      <c r="G2085" s="268">
        <v>0</v>
      </c>
      <c r="H2085" s="452">
        <f t="shared" si="102"/>
        <v>0</v>
      </c>
      <c r="I2085" s="268">
        <v>0</v>
      </c>
      <c r="J2085" s="453">
        <f t="shared" si="103"/>
        <v>0</v>
      </c>
    </row>
    <row r="2086" spans="1:10" s="250" customFormat="1">
      <c r="A2086" s="445">
        <f t="shared" si="99"/>
        <v>39999.999995999999</v>
      </c>
      <c r="B2086" s="651">
        <v>40000</v>
      </c>
      <c r="C2086" s="268">
        <v>0</v>
      </c>
      <c r="D2086" s="452">
        <f t="shared" si="100"/>
        <v>0</v>
      </c>
      <c r="E2086" s="268">
        <v>0</v>
      </c>
      <c r="F2086" s="452">
        <f t="shared" si="101"/>
        <v>0</v>
      </c>
      <c r="G2086" s="268">
        <v>0</v>
      </c>
      <c r="H2086" s="452">
        <f t="shared" si="102"/>
        <v>0</v>
      </c>
      <c r="I2086" s="268">
        <v>0</v>
      </c>
      <c r="J2086" s="453">
        <f t="shared" si="103"/>
        <v>0</v>
      </c>
    </row>
    <row r="2087" spans="1:10" s="250" customFormat="1">
      <c r="A2087" s="445">
        <f t="shared" si="99"/>
        <v>49999.999994999998</v>
      </c>
      <c r="B2087" s="651">
        <v>50000</v>
      </c>
      <c r="C2087" s="268">
        <v>0</v>
      </c>
      <c r="D2087" s="452">
        <f t="shared" si="100"/>
        <v>0</v>
      </c>
      <c r="E2087" s="268">
        <v>0</v>
      </c>
      <c r="F2087" s="452">
        <f t="shared" si="101"/>
        <v>0</v>
      </c>
      <c r="G2087" s="268">
        <v>0</v>
      </c>
      <c r="H2087" s="452">
        <f t="shared" si="102"/>
        <v>0</v>
      </c>
      <c r="I2087" s="268">
        <v>0</v>
      </c>
      <c r="J2087" s="453">
        <f t="shared" si="103"/>
        <v>0</v>
      </c>
    </row>
    <row r="2088" spans="1:10" s="250" customFormat="1">
      <c r="A2088" s="445">
        <f t="shared" si="99"/>
        <v>59999.999993999998</v>
      </c>
      <c r="B2088" s="651">
        <v>60000</v>
      </c>
      <c r="C2088" s="268">
        <v>0</v>
      </c>
      <c r="D2088" s="452">
        <f t="shared" si="100"/>
        <v>0</v>
      </c>
      <c r="E2088" s="268">
        <v>0</v>
      </c>
      <c r="F2088" s="452">
        <f t="shared" si="101"/>
        <v>0</v>
      </c>
      <c r="G2088" s="268">
        <v>0</v>
      </c>
      <c r="H2088" s="452">
        <f t="shared" si="102"/>
        <v>0</v>
      </c>
      <c r="I2088" s="268">
        <v>0</v>
      </c>
      <c r="J2088" s="453">
        <f t="shared" si="103"/>
        <v>0</v>
      </c>
    </row>
    <row r="2089" spans="1:10" s="250" customFormat="1">
      <c r="A2089" s="445">
        <f t="shared" si="99"/>
        <v>69999.999993000005</v>
      </c>
      <c r="B2089" s="651">
        <v>70000</v>
      </c>
      <c r="C2089" s="268">
        <v>0</v>
      </c>
      <c r="D2089" s="452">
        <f t="shared" si="100"/>
        <v>0</v>
      </c>
      <c r="E2089" s="268">
        <v>0</v>
      </c>
      <c r="F2089" s="452">
        <f t="shared" si="101"/>
        <v>0</v>
      </c>
      <c r="G2089" s="268">
        <v>0</v>
      </c>
      <c r="H2089" s="452">
        <f t="shared" si="102"/>
        <v>0</v>
      </c>
      <c r="I2089" s="268">
        <v>0</v>
      </c>
      <c r="J2089" s="453">
        <f t="shared" si="103"/>
        <v>0</v>
      </c>
    </row>
    <row r="2090" spans="1:10" s="250" customFormat="1">
      <c r="A2090" s="445">
        <f t="shared" si="99"/>
        <v>79999.999991999997</v>
      </c>
      <c r="B2090" s="651">
        <v>80000</v>
      </c>
      <c r="C2090" s="268">
        <v>0</v>
      </c>
      <c r="D2090" s="452">
        <f t="shared" si="100"/>
        <v>0</v>
      </c>
      <c r="E2090" s="268">
        <v>0</v>
      </c>
      <c r="F2090" s="452">
        <f t="shared" si="101"/>
        <v>0</v>
      </c>
      <c r="G2090" s="268">
        <v>0</v>
      </c>
      <c r="H2090" s="452">
        <f t="shared" si="102"/>
        <v>0</v>
      </c>
      <c r="I2090" s="268">
        <v>0</v>
      </c>
      <c r="J2090" s="453">
        <f t="shared" si="103"/>
        <v>0</v>
      </c>
    </row>
    <row r="2091" spans="1:10" s="250" customFormat="1" ht="15" thickBot="1">
      <c r="A2091" s="650">
        <f>0.9999999999*B2091</f>
        <v>899999.99991000001</v>
      </c>
      <c r="B2091" s="650">
        <v>900000</v>
      </c>
      <c r="C2091" s="268">
        <v>0</v>
      </c>
      <c r="D2091" s="454">
        <f t="shared" si="100"/>
        <v>0</v>
      </c>
      <c r="E2091" s="275">
        <v>0</v>
      </c>
      <c r="F2091" s="454">
        <f t="shared" si="101"/>
        <v>0</v>
      </c>
      <c r="G2091" s="275">
        <v>0</v>
      </c>
      <c r="H2091" s="454">
        <f t="shared" si="102"/>
        <v>0</v>
      </c>
      <c r="I2091" s="275">
        <v>0</v>
      </c>
      <c r="J2091" s="455">
        <f t="shared" si="103"/>
        <v>0</v>
      </c>
    </row>
    <row r="2092" spans="1:10" ht="15" thickBot="1">
      <c r="A2092" s="317" t="s">
        <v>396</v>
      </c>
      <c r="B2092" s="317"/>
      <c r="C2092" s="277">
        <f>SUM(C2056:C2091)+0.0000000001</f>
        <v>1E-10</v>
      </c>
      <c r="D2092" s="448">
        <f>SUM(D2057:D2091)</f>
        <v>0</v>
      </c>
      <c r="E2092" s="277">
        <f>SUM(E2056:E2091)+0.0000000001</f>
        <v>1E-10</v>
      </c>
      <c r="F2092" s="448">
        <f>SUM(F2056:F2091)</f>
        <v>0</v>
      </c>
      <c r="G2092" s="230">
        <f>SUM(G2056:G2091)+0.0000000001</f>
        <v>12.0000000001</v>
      </c>
      <c r="H2092" s="448">
        <f>SUM(H2056:H2091)</f>
        <v>99.999999999166675</v>
      </c>
      <c r="I2092" s="277">
        <f>SUM(I2056:I2091)+0.0000000001</f>
        <v>3.0000000001</v>
      </c>
      <c r="J2092" s="448">
        <f>SUM(J2056:J2091)</f>
        <v>99.999999996666673</v>
      </c>
    </row>
    <row r="2093" spans="1:10" ht="15" thickBot="1">
      <c r="A2093" s="778">
        <f>C2092+E2092+G2092+I2092</f>
        <v>15.0000000004</v>
      </c>
      <c r="B2093" s="779"/>
      <c r="C2093" s="779"/>
      <c r="D2093" s="779"/>
      <c r="E2093" s="779"/>
      <c r="F2093" s="779"/>
      <c r="G2093" s="779"/>
      <c r="H2093" s="779"/>
      <c r="I2093" s="779"/>
      <c r="J2093" s="780"/>
    </row>
    <row r="2102" spans="1:19">
      <c r="O2102" s="781" t="s">
        <v>872</v>
      </c>
      <c r="P2102" s="781"/>
      <c r="Q2102" s="781"/>
      <c r="R2102" s="781"/>
      <c r="S2102" s="781"/>
    </row>
    <row r="2103" spans="1:19" ht="15" thickBot="1">
      <c r="A2103" s="250"/>
    </row>
    <row r="2104" spans="1:19" ht="15" thickBot="1">
      <c r="A2104" s="798" t="s">
        <v>872</v>
      </c>
      <c r="B2104" s="780"/>
      <c r="C2104" s="799" t="s">
        <v>400</v>
      </c>
      <c r="D2104" s="799"/>
      <c r="E2104" s="800" t="s">
        <v>946</v>
      </c>
      <c r="F2104" s="800"/>
      <c r="G2104" s="799" t="s">
        <v>948</v>
      </c>
      <c r="H2104" s="799"/>
      <c r="I2104" s="800" t="s">
        <v>947</v>
      </c>
      <c r="J2104" s="800"/>
      <c r="K2104" s="790" t="s">
        <v>396</v>
      </c>
      <c r="L2104" s="782" t="s">
        <v>490</v>
      </c>
    </row>
    <row r="2105" spans="1:19" ht="15" thickBot="1">
      <c r="A2105" s="846" t="s">
        <v>416</v>
      </c>
      <c r="B2105" s="847"/>
      <c r="C2105" s="848" t="s">
        <v>397</v>
      </c>
      <c r="D2105" s="849"/>
      <c r="E2105" s="850" t="s">
        <v>397</v>
      </c>
      <c r="F2105" s="840"/>
      <c r="G2105" s="851" t="s">
        <v>397</v>
      </c>
      <c r="H2105" s="852"/>
      <c r="I2105" s="839" t="s">
        <v>397</v>
      </c>
      <c r="J2105" s="840"/>
      <c r="K2105" s="791"/>
      <c r="L2105" s="783"/>
    </row>
    <row r="2106" spans="1:19">
      <c r="A2106" s="818" t="s">
        <v>814</v>
      </c>
      <c r="B2106" s="819"/>
      <c r="C2106" s="466">
        <f>SUM(Discrete!GJ3:GJ20)</f>
        <v>1</v>
      </c>
      <c r="D2106" s="467"/>
      <c r="E2106" s="466">
        <f>SUM(Discrete!GJ21:GJ78)</f>
        <v>8</v>
      </c>
      <c r="F2106" s="467"/>
      <c r="G2106" s="473">
        <f>SUM(IC!HF3:HF39)</f>
        <v>16</v>
      </c>
      <c r="H2106" s="467"/>
      <c r="I2106" s="473">
        <f>SUM(IC!HF40:HF64)</f>
        <v>0</v>
      </c>
      <c r="J2106" s="467"/>
      <c r="K2106" s="207">
        <f>SUM(C2106:J2106)</f>
        <v>25</v>
      </c>
      <c r="L2106" s="208">
        <f>RANK(K2106,K2106:K2138)</f>
        <v>5</v>
      </c>
    </row>
    <row r="2107" spans="1:19">
      <c r="A2107" s="810" t="s">
        <v>865</v>
      </c>
      <c r="B2107" s="811"/>
      <c r="C2107" s="466">
        <f>SUM(Discrete!GK3:GK20)</f>
        <v>0</v>
      </c>
      <c r="D2107" s="467"/>
      <c r="E2107" s="466">
        <f>SUM(Discrete!GK21:GK78)</f>
        <v>0</v>
      </c>
      <c r="F2107" s="467"/>
      <c r="G2107" s="473">
        <f>SUM(IC!HG3:HG39)</f>
        <v>5</v>
      </c>
      <c r="H2107" s="467"/>
      <c r="I2107" s="473">
        <f>SUM(IC!HG40:HG64)</f>
        <v>0</v>
      </c>
      <c r="J2107" s="467"/>
      <c r="K2107" s="201">
        <f>SUM(C2107:J2107)</f>
        <v>5</v>
      </c>
      <c r="L2107" s="208">
        <f>RANK(K2107,K2106:K2138)</f>
        <v>11</v>
      </c>
    </row>
    <row r="2108" spans="1:19" s="250" customFormat="1">
      <c r="A2108" s="820" t="s">
        <v>873</v>
      </c>
      <c r="B2108" s="821"/>
      <c r="C2108" s="466">
        <f>SUM(C2106:D2107)</f>
        <v>1</v>
      </c>
      <c r="D2108" s="467"/>
      <c r="E2108" s="466">
        <f>SUM(E2106:F2107)</f>
        <v>8</v>
      </c>
      <c r="F2108" s="467"/>
      <c r="G2108" s="466">
        <f>SUM(G2106:H2107)</f>
        <v>21</v>
      </c>
      <c r="H2108" s="467"/>
      <c r="I2108" s="466">
        <f>SUM(I2106:J2107)</f>
        <v>0</v>
      </c>
      <c r="J2108" s="467"/>
      <c r="K2108" s="201"/>
      <c r="L2108" s="208">
        <f>RANK(K2108,K2106:K2138)</f>
        <v>31</v>
      </c>
    </row>
    <row r="2109" spans="1:19">
      <c r="A2109" s="822" t="s">
        <v>712</v>
      </c>
      <c r="B2109" s="811"/>
      <c r="C2109" s="466">
        <f>SUM(Discrete!GL3:GL20)</f>
        <v>4</v>
      </c>
      <c r="D2109" s="467"/>
      <c r="E2109" s="466">
        <f>SUM(Discrete!GL21:GL78)</f>
        <v>16</v>
      </c>
      <c r="F2109" s="467"/>
      <c r="G2109" s="473">
        <f>SUM(IC!HH3:HH39)</f>
        <v>27</v>
      </c>
      <c r="H2109" s="467"/>
      <c r="I2109" s="473">
        <f>SUM(IC!HH40:HH64)</f>
        <v>1</v>
      </c>
      <c r="J2109" s="467"/>
      <c r="K2109" s="202">
        <f t="shared" ref="K2109:K2138" si="104">SUM(C2109:J2109)</f>
        <v>48</v>
      </c>
      <c r="L2109" s="208">
        <f>RANK(K2109,K2106:K2138)</f>
        <v>2</v>
      </c>
    </row>
    <row r="2110" spans="1:19">
      <c r="A2110" s="820" t="s">
        <v>953</v>
      </c>
      <c r="B2110" s="821"/>
      <c r="C2110" s="466">
        <f>SUM(Discrete!GM3:GM20)</f>
        <v>0</v>
      </c>
      <c r="D2110" s="467"/>
      <c r="E2110" s="466">
        <f>SUM(Discrete!GM21:GM78)</f>
        <v>0</v>
      </c>
      <c r="F2110" s="467"/>
      <c r="G2110" s="473">
        <f>SUM(IC!HI3:HI39)</f>
        <v>4</v>
      </c>
      <c r="H2110" s="467"/>
      <c r="I2110" s="473">
        <f>SUM(IC!HI40:HI64)</f>
        <v>0</v>
      </c>
      <c r="J2110" s="467"/>
      <c r="K2110" s="201">
        <f t="shared" si="104"/>
        <v>4</v>
      </c>
      <c r="L2110" s="208">
        <f>RANK(K2110,K2106:K2138)</f>
        <v>12</v>
      </c>
    </row>
    <row r="2111" spans="1:19">
      <c r="A2111" s="822" t="s">
        <v>954</v>
      </c>
      <c r="B2111" s="823"/>
      <c r="C2111" s="466">
        <f>SUM(Discrete!GN3:GN20)</f>
        <v>0</v>
      </c>
      <c r="D2111" s="467"/>
      <c r="E2111" s="466">
        <f>SUM(Discrete!GN21:GN78)</f>
        <v>0</v>
      </c>
      <c r="F2111" s="467"/>
      <c r="G2111" s="473">
        <f>SUM(IC!HJ3:HJ39)</f>
        <v>2</v>
      </c>
      <c r="H2111" s="467"/>
      <c r="I2111" s="473">
        <f>SUM(IC!HJ40:HJ64)</f>
        <v>0</v>
      </c>
      <c r="J2111" s="467"/>
      <c r="K2111" s="202">
        <f t="shared" si="104"/>
        <v>2</v>
      </c>
      <c r="L2111" s="205">
        <f>RANK(K2111,K2106:K2138)</f>
        <v>15</v>
      </c>
    </row>
    <row r="2112" spans="1:19" s="250" customFormat="1">
      <c r="A2112" s="820" t="s">
        <v>874</v>
      </c>
      <c r="B2112" s="821"/>
      <c r="C2112" s="466">
        <f>SUM(C2109:D2111)</f>
        <v>4</v>
      </c>
      <c r="D2112" s="467"/>
      <c r="E2112" s="466">
        <f>SUM(E2109:F2111)</f>
        <v>16</v>
      </c>
      <c r="F2112" s="467"/>
      <c r="G2112" s="466">
        <f>SUM(G2109:H2111)</f>
        <v>33</v>
      </c>
      <c r="H2112" s="467"/>
      <c r="I2112" s="466">
        <f>SUM(I2109:J2111)</f>
        <v>1</v>
      </c>
      <c r="J2112" s="467"/>
      <c r="K2112" s="202"/>
      <c r="L2112" s="205"/>
    </row>
    <row r="2113" spans="1:12">
      <c r="A2113" s="822" t="s">
        <v>845</v>
      </c>
      <c r="B2113" s="823"/>
      <c r="C2113" s="466">
        <f>SUM(Discrete!GO3:GO20)</f>
        <v>0</v>
      </c>
      <c r="D2113" s="467"/>
      <c r="E2113" s="466">
        <f>SUM(Discrete!GO21:GO78)</f>
        <v>2</v>
      </c>
      <c r="F2113" s="467"/>
      <c r="G2113" s="473">
        <f>SUM(IC!HK3:HK39)</f>
        <v>4</v>
      </c>
      <c r="H2113" s="467"/>
      <c r="I2113" s="473">
        <f>SUM(IC!HK40:HK64)</f>
        <v>0</v>
      </c>
      <c r="J2113" s="467"/>
      <c r="K2113" s="201">
        <f t="shared" si="104"/>
        <v>6</v>
      </c>
      <c r="L2113" s="205">
        <f>RANK(K2113,K2106:K2138)</f>
        <v>10</v>
      </c>
    </row>
    <row r="2114" spans="1:12">
      <c r="A2114" s="820" t="s">
        <v>844</v>
      </c>
      <c r="B2114" s="821"/>
      <c r="C2114" s="466">
        <f>SUM(Discrete!GP3:GP20)</f>
        <v>3</v>
      </c>
      <c r="D2114" s="467"/>
      <c r="E2114" s="466">
        <f>SUM(Discrete!GP21:GP78)</f>
        <v>20</v>
      </c>
      <c r="F2114" s="467"/>
      <c r="G2114" s="473">
        <f>SUM(IC!HL3:HL39)</f>
        <v>19</v>
      </c>
      <c r="H2114" s="467"/>
      <c r="I2114" s="473">
        <f>SUM(IC!HL40:HL64)</f>
        <v>3</v>
      </c>
      <c r="J2114" s="467"/>
      <c r="K2114" s="202">
        <f t="shared" si="104"/>
        <v>45</v>
      </c>
      <c r="L2114" s="205">
        <f>RANK(K2114,K2106:K2138)</f>
        <v>3</v>
      </c>
    </row>
    <row r="2115" spans="1:12">
      <c r="A2115" s="822" t="s">
        <v>577</v>
      </c>
      <c r="B2115" s="823"/>
      <c r="C2115" s="466">
        <f>SUM(Discrete!GQ3:GQ20)</f>
        <v>4</v>
      </c>
      <c r="D2115" s="467"/>
      <c r="E2115" s="466">
        <f>SUM(Discrete!GQ21:GQ78)</f>
        <v>20</v>
      </c>
      <c r="F2115" s="467"/>
      <c r="G2115" s="473">
        <f>SUM(IC!HM3:HM39)</f>
        <v>22</v>
      </c>
      <c r="H2115" s="467"/>
      <c r="I2115" s="473">
        <f>SUM(IC!HM40:HM64)</f>
        <v>14</v>
      </c>
      <c r="J2115" s="467"/>
      <c r="K2115" s="201">
        <f t="shared" si="104"/>
        <v>60</v>
      </c>
      <c r="L2115" s="205">
        <f>RANK(K2115,K2106:K2138)</f>
        <v>1</v>
      </c>
    </row>
    <row r="2116" spans="1:12">
      <c r="A2116" s="820" t="s">
        <v>862</v>
      </c>
      <c r="B2116" s="821"/>
      <c r="C2116" s="466">
        <f>SUM(Discrete!GR3:GR20)</f>
        <v>0</v>
      </c>
      <c r="D2116" s="467"/>
      <c r="E2116" s="466">
        <f>SUM(Discrete!GR21:GR78)</f>
        <v>3</v>
      </c>
      <c r="F2116" s="467"/>
      <c r="G2116" s="473">
        <f>SUM(IC!HN3:HN39)</f>
        <v>14</v>
      </c>
      <c r="H2116" s="467"/>
      <c r="I2116" s="473">
        <f>SUM(IC!HN40:HN64)</f>
        <v>1</v>
      </c>
      <c r="J2116" s="467"/>
      <c r="K2116" s="202">
        <f t="shared" si="104"/>
        <v>18</v>
      </c>
      <c r="L2116" s="205">
        <f>RANK(K2116,K2106:K2138)</f>
        <v>6</v>
      </c>
    </row>
    <row r="2117" spans="1:12">
      <c r="A2117" s="810" t="s">
        <v>556</v>
      </c>
      <c r="B2117" s="811"/>
      <c r="C2117" s="466">
        <f>SUM(Discrete!GS3:GS20)</f>
        <v>2</v>
      </c>
      <c r="D2117" s="467"/>
      <c r="E2117" s="466">
        <f>SUM(Discrete!GS21:GS78)</f>
        <v>13</v>
      </c>
      <c r="F2117" s="467"/>
      <c r="G2117" s="473">
        <f>SUM(IC!HO3:HO39)</f>
        <v>1</v>
      </c>
      <c r="H2117" s="467"/>
      <c r="I2117" s="473">
        <f>SUM(IC!HO40:HO64)</f>
        <v>0</v>
      </c>
      <c r="J2117" s="467"/>
      <c r="K2117" s="201">
        <f t="shared" si="104"/>
        <v>16</v>
      </c>
      <c r="L2117" s="205">
        <f>RANK(K2117,K2106:K2138)</f>
        <v>7</v>
      </c>
    </row>
    <row r="2118" spans="1:12">
      <c r="A2118" s="808" t="s">
        <v>553</v>
      </c>
      <c r="B2118" s="809"/>
      <c r="C2118" s="466">
        <f>SUM(Discrete!GT3:GT20)</f>
        <v>2</v>
      </c>
      <c r="D2118" s="467"/>
      <c r="E2118" s="466">
        <f>SUM(Discrete!GT21:GT78)</f>
        <v>1</v>
      </c>
      <c r="F2118" s="467"/>
      <c r="G2118" s="473">
        <f>SUM(IC!HP3:HP39)</f>
        <v>5</v>
      </c>
      <c r="H2118" s="467"/>
      <c r="I2118" s="473">
        <f>SUM(IC!HP40:HP64)</f>
        <v>0</v>
      </c>
      <c r="J2118" s="467"/>
      <c r="K2118" s="202">
        <f t="shared" si="104"/>
        <v>8</v>
      </c>
      <c r="L2118" s="205">
        <f>RANK(K2118,K2106:K2138)</f>
        <v>8</v>
      </c>
    </row>
    <row r="2119" spans="1:12">
      <c r="A2119" s="810" t="s">
        <v>858</v>
      </c>
      <c r="B2119" s="811"/>
      <c r="C2119" s="466">
        <f>SUM(Discrete!GU3:GU20)</f>
        <v>0</v>
      </c>
      <c r="D2119" s="467"/>
      <c r="E2119" s="466">
        <f>SUM(Discrete!GU21:GU78)</f>
        <v>1</v>
      </c>
      <c r="F2119" s="467"/>
      <c r="G2119" s="473">
        <f>SUM(IC!HQ3:HQ39)</f>
        <v>0</v>
      </c>
      <c r="H2119" s="467"/>
      <c r="I2119" s="473">
        <f>SUM(IC!HQ40:HQ64)</f>
        <v>0</v>
      </c>
      <c r="J2119" s="467"/>
      <c r="K2119" s="201">
        <f t="shared" si="104"/>
        <v>1</v>
      </c>
      <c r="L2119" s="205">
        <f>RANK(K2119,K2106:K2138)</f>
        <v>21</v>
      </c>
    </row>
    <row r="2120" spans="1:12">
      <c r="A2120" s="808" t="s">
        <v>846</v>
      </c>
      <c r="B2120" s="809"/>
      <c r="C2120" s="466">
        <f>SUM(Discrete!GV3:GV20)</f>
        <v>0</v>
      </c>
      <c r="D2120" s="467"/>
      <c r="E2120" s="466">
        <f>SUM(Discrete!GV21:GV78)</f>
        <v>2</v>
      </c>
      <c r="F2120" s="467"/>
      <c r="G2120" s="473">
        <f>SUM(IC!HR3:HR39)</f>
        <v>0</v>
      </c>
      <c r="H2120" s="467"/>
      <c r="I2120" s="473">
        <f>SUM(IC!HR40:HR64)</f>
        <v>0</v>
      </c>
      <c r="J2120" s="467"/>
      <c r="K2120" s="202">
        <f t="shared" si="104"/>
        <v>2</v>
      </c>
      <c r="L2120" s="205">
        <f>RANK(K2120,K2106:K2138)</f>
        <v>15</v>
      </c>
    </row>
    <row r="2121" spans="1:12">
      <c r="A2121" s="810" t="s">
        <v>849</v>
      </c>
      <c r="B2121" s="811"/>
      <c r="C2121" s="466">
        <f>SUM(Discrete!GW3:GW20)</f>
        <v>0</v>
      </c>
      <c r="D2121" s="467"/>
      <c r="E2121" s="466">
        <f>SUM(Discrete!GW21:GW78)</f>
        <v>1</v>
      </c>
      <c r="F2121" s="467"/>
      <c r="G2121" s="473">
        <f>SUM(IC!HS3:HS39)</f>
        <v>1</v>
      </c>
      <c r="H2121" s="467"/>
      <c r="I2121" s="473">
        <f>SUM(IC!HS40:HS64)</f>
        <v>0</v>
      </c>
      <c r="J2121" s="467"/>
      <c r="K2121" s="201">
        <f t="shared" si="104"/>
        <v>2</v>
      </c>
      <c r="L2121" s="205">
        <f>RANK(K2121,K2106:K2138)</f>
        <v>15</v>
      </c>
    </row>
    <row r="2122" spans="1:12" s="250" customFormat="1">
      <c r="A2122" s="808" t="s">
        <v>875</v>
      </c>
      <c r="B2122" s="809"/>
      <c r="C2122" s="466">
        <f>SUM(C2117:D2121)</f>
        <v>4</v>
      </c>
      <c r="D2122" s="467"/>
      <c r="E2122" s="466">
        <f>SUM(E2117:F2121)</f>
        <v>18</v>
      </c>
      <c r="F2122" s="467"/>
      <c r="G2122" s="473">
        <f>SUM(G2117:H2121)</f>
        <v>7</v>
      </c>
      <c r="H2122" s="467"/>
      <c r="I2122" s="466">
        <f>SUM(I2117:J2121)</f>
        <v>0</v>
      </c>
      <c r="J2122" s="467"/>
      <c r="K2122" s="201">
        <f>SUM(C2122:J2122)</f>
        <v>29</v>
      </c>
      <c r="L2122" s="205">
        <f>RANK(K2122,K2106:K2138)</f>
        <v>4</v>
      </c>
    </row>
    <row r="2123" spans="1:12">
      <c r="A2123" s="810" t="s">
        <v>847</v>
      </c>
      <c r="B2123" s="811"/>
      <c r="C2123" s="466">
        <f>SUM(Discrete!GX3:GX20)</f>
        <v>0</v>
      </c>
      <c r="D2123" s="467"/>
      <c r="E2123" s="466">
        <f>SUM(Discrete!GX21:GX78)</f>
        <v>4</v>
      </c>
      <c r="F2123" s="467"/>
      <c r="G2123" s="473">
        <f>SUM(IC!HT3:HT39)</f>
        <v>0</v>
      </c>
      <c r="H2123" s="467"/>
      <c r="I2123" s="473">
        <f>SUM(IC!HT40:HT64)</f>
        <v>0</v>
      </c>
      <c r="J2123" s="467"/>
      <c r="K2123" s="202">
        <f t="shared" si="104"/>
        <v>4</v>
      </c>
      <c r="L2123" s="205">
        <f>RANK(K2123,K2106:K2138)</f>
        <v>12</v>
      </c>
    </row>
    <row r="2124" spans="1:12">
      <c r="A2124" s="808" t="s">
        <v>848</v>
      </c>
      <c r="B2124" s="809"/>
      <c r="C2124" s="466">
        <f>SUM(Discrete!GY3:GY20)</f>
        <v>0</v>
      </c>
      <c r="D2124" s="467"/>
      <c r="E2124" s="466">
        <f>SUM(Discrete!GY21:GY78)</f>
        <v>1</v>
      </c>
      <c r="F2124" s="467"/>
      <c r="G2124" s="473">
        <f>SUM(IC!HU3:HU39)</f>
        <v>0</v>
      </c>
      <c r="H2124" s="467"/>
      <c r="I2124" s="473">
        <f>SUM(IC!HU40:HU64)</f>
        <v>0</v>
      </c>
      <c r="J2124" s="467"/>
      <c r="K2124" s="201">
        <f t="shared" si="104"/>
        <v>1</v>
      </c>
      <c r="L2124" s="205">
        <f>RANK(K2124,K2106:K2138)</f>
        <v>21</v>
      </c>
    </row>
    <row r="2125" spans="1:12">
      <c r="A2125" s="810" t="s">
        <v>850</v>
      </c>
      <c r="B2125" s="811"/>
      <c r="C2125" s="466">
        <f>SUM(Discrete!GZ3:GZ20)</f>
        <v>0</v>
      </c>
      <c r="D2125" s="467"/>
      <c r="E2125" s="466">
        <f>SUM(Discrete!GZ21:GZ78)</f>
        <v>0</v>
      </c>
      <c r="F2125" s="467"/>
      <c r="G2125" s="473">
        <f>SUM(IC!HV3:HV39)</f>
        <v>0</v>
      </c>
      <c r="H2125" s="467"/>
      <c r="I2125" s="473">
        <f>SUM(IC!HV40:HV64)</f>
        <v>0</v>
      </c>
      <c r="J2125" s="467"/>
      <c r="K2125" s="202">
        <f t="shared" si="104"/>
        <v>0</v>
      </c>
      <c r="L2125" s="205">
        <f>RANK(K2125,K2106:K2138)</f>
        <v>31</v>
      </c>
    </row>
    <row r="2126" spans="1:12">
      <c r="A2126" s="808" t="s">
        <v>851</v>
      </c>
      <c r="B2126" s="809"/>
      <c r="C2126" s="466">
        <f>SUM(Discrete!HA3:HA20)</f>
        <v>0</v>
      </c>
      <c r="D2126" s="467"/>
      <c r="E2126" s="466">
        <f>SUM(Discrete!HA21:HA78)</f>
        <v>1</v>
      </c>
      <c r="F2126" s="467"/>
      <c r="G2126" s="473">
        <f>SUM(IC!HW3:HW39)</f>
        <v>0</v>
      </c>
      <c r="H2126" s="467"/>
      <c r="I2126" s="473">
        <f>SUM(IC!HW40:HW64)</f>
        <v>0</v>
      </c>
      <c r="J2126" s="467"/>
      <c r="K2126" s="201">
        <f t="shared" si="104"/>
        <v>1</v>
      </c>
      <c r="L2126" s="205">
        <f>RANK(K2126,K2106:K2138)</f>
        <v>21</v>
      </c>
    </row>
    <row r="2127" spans="1:12">
      <c r="A2127" s="810" t="s">
        <v>852</v>
      </c>
      <c r="B2127" s="811"/>
      <c r="C2127" s="466">
        <f>SUM(Discrete!HB3:HB20)</f>
        <v>0</v>
      </c>
      <c r="D2127" s="467"/>
      <c r="E2127" s="466">
        <f>SUM(Discrete!HB21:HB78)</f>
        <v>1</v>
      </c>
      <c r="F2127" s="467"/>
      <c r="G2127" s="473">
        <f>SUM(IC!HX3:HX39)</f>
        <v>0</v>
      </c>
      <c r="H2127" s="467"/>
      <c r="I2127" s="473">
        <f>SUM(IC!HX40:HX64)</f>
        <v>0</v>
      </c>
      <c r="J2127" s="467"/>
      <c r="K2127" s="202">
        <f t="shared" si="104"/>
        <v>1</v>
      </c>
      <c r="L2127" s="203">
        <f>RANK(K2127,K2106:K2138)</f>
        <v>21</v>
      </c>
    </row>
    <row r="2128" spans="1:12">
      <c r="A2128" s="808" t="s">
        <v>853</v>
      </c>
      <c r="B2128" s="809"/>
      <c r="C2128" s="466">
        <f>SUM(Discrete!HC3:HC20)</f>
        <v>0</v>
      </c>
      <c r="D2128" s="467"/>
      <c r="E2128" s="466">
        <f>SUM(Discrete!HC21:HC78)</f>
        <v>1</v>
      </c>
      <c r="F2128" s="467"/>
      <c r="G2128" s="473">
        <f>SUM(IC!HY3:HY39)</f>
        <v>0</v>
      </c>
      <c r="H2128" s="467"/>
      <c r="I2128" s="473">
        <f>SUM(IC!HY40:HY64)</f>
        <v>0</v>
      </c>
      <c r="J2128" s="467"/>
      <c r="K2128" s="201">
        <f t="shared" si="104"/>
        <v>1</v>
      </c>
      <c r="L2128" s="205">
        <f>RANK(K2128,K2106:K2138)</f>
        <v>21</v>
      </c>
    </row>
    <row r="2129" spans="1:12">
      <c r="A2129" s="810" t="s">
        <v>850</v>
      </c>
      <c r="B2129" s="811"/>
      <c r="C2129" s="466">
        <f>SUM(Discrete!HD3:HD20)</f>
        <v>0</v>
      </c>
      <c r="D2129" s="467"/>
      <c r="E2129" s="466">
        <f>SUM(Discrete!HD21:HD78)</f>
        <v>7</v>
      </c>
      <c r="F2129" s="467"/>
      <c r="G2129" s="473">
        <f>SUM(IC!HZ3:HZ39)</f>
        <v>0</v>
      </c>
      <c r="H2129" s="467"/>
      <c r="I2129" s="473">
        <f>SUM(IC!HZ40:HZ64)</f>
        <v>0</v>
      </c>
      <c r="J2129" s="467"/>
      <c r="K2129" s="202">
        <f t="shared" si="104"/>
        <v>7</v>
      </c>
      <c r="L2129" s="203">
        <f>RANK(K2129,K2106:K2138)</f>
        <v>9</v>
      </c>
    </row>
    <row r="2130" spans="1:12" ht="15" thickBot="1">
      <c r="A2130" s="808" t="s">
        <v>854</v>
      </c>
      <c r="B2130" s="809"/>
      <c r="C2130" s="466">
        <f>SUM(Discrete!HE3:HE20)</f>
        <v>0</v>
      </c>
      <c r="D2130" s="467"/>
      <c r="E2130" s="466">
        <f>SUM(Discrete!HE21:HE78)</f>
        <v>1</v>
      </c>
      <c r="F2130" s="467"/>
      <c r="G2130" s="473">
        <f>SUM(IC!IA3:IA39)</f>
        <v>0</v>
      </c>
      <c r="H2130" s="467"/>
      <c r="I2130" s="473">
        <f>SUM(IC!IA40:IA64)</f>
        <v>0</v>
      </c>
      <c r="J2130" s="467"/>
      <c r="K2130" s="201">
        <f t="shared" si="104"/>
        <v>1</v>
      </c>
      <c r="L2130" s="205">
        <f>RANK(K2130,K2106:K2138)</f>
        <v>21</v>
      </c>
    </row>
    <row r="2131" spans="1:12">
      <c r="A2131" s="818" t="s">
        <v>855</v>
      </c>
      <c r="B2131" s="819"/>
      <c r="C2131" s="466">
        <f>SUM(Discrete!HF3:HF20)</f>
        <v>0</v>
      </c>
      <c r="D2131" s="467"/>
      <c r="E2131" s="466">
        <f>SUM(Discrete!HF21:HF78)</f>
        <v>1</v>
      </c>
      <c r="F2131" s="467"/>
      <c r="G2131" s="473">
        <f>SUM(IC!IB3:IB39)</f>
        <v>0</v>
      </c>
      <c r="H2131" s="467"/>
      <c r="I2131" s="473">
        <f>SUM(IC!IB40:IB64)</f>
        <v>0</v>
      </c>
      <c r="J2131" s="467"/>
      <c r="K2131" s="202">
        <f t="shared" si="104"/>
        <v>1</v>
      </c>
      <c r="L2131" s="203">
        <f>RANK(K2131,K2106:K2138)</f>
        <v>21</v>
      </c>
    </row>
    <row r="2132" spans="1:12">
      <c r="A2132" s="810" t="s">
        <v>856</v>
      </c>
      <c r="B2132" s="811"/>
      <c r="C2132" s="466">
        <f>SUM(Discrete!HG3:HG20)</f>
        <v>0</v>
      </c>
      <c r="D2132" s="467"/>
      <c r="E2132" s="466">
        <f>SUM(Discrete!HG21:HG78)</f>
        <v>1</v>
      </c>
      <c r="F2132" s="467"/>
      <c r="G2132" s="473">
        <f>SUM(IC!IC3:IC39)</f>
        <v>0</v>
      </c>
      <c r="H2132" s="467"/>
      <c r="I2132" s="473">
        <f>SUM(IC!IC40:IC64)</f>
        <v>0</v>
      </c>
      <c r="J2132" s="467"/>
      <c r="K2132" s="201">
        <f t="shared" si="104"/>
        <v>1</v>
      </c>
      <c r="L2132" s="205">
        <f>RANK(K2132,K2106:K2138)</f>
        <v>21</v>
      </c>
    </row>
    <row r="2133" spans="1:12">
      <c r="A2133" s="820" t="s">
        <v>871</v>
      </c>
      <c r="B2133" s="821"/>
      <c r="C2133" s="466">
        <f>SUM(Discrete!HH3:HH20)</f>
        <v>0</v>
      </c>
      <c r="D2133" s="467"/>
      <c r="E2133" s="466">
        <f>SUM(Discrete!HH21:HH78)</f>
        <v>0</v>
      </c>
      <c r="F2133" s="467"/>
      <c r="G2133" s="473">
        <f>SUM(IC!ID3:ID39)</f>
        <v>0</v>
      </c>
      <c r="H2133" s="467"/>
      <c r="I2133" s="473">
        <f>SUM(IC!ID40:ID64)</f>
        <v>1</v>
      </c>
      <c r="J2133" s="467"/>
      <c r="K2133" s="202">
        <f t="shared" si="104"/>
        <v>1</v>
      </c>
      <c r="L2133" s="205">
        <f>RANK(K2133,K2106:K2138)</f>
        <v>21</v>
      </c>
    </row>
    <row r="2134" spans="1:12">
      <c r="A2134" s="822" t="s">
        <v>867</v>
      </c>
      <c r="B2134" s="811"/>
      <c r="C2134" s="466">
        <f>SUM(Discrete!HI3:HI20)</f>
        <v>0</v>
      </c>
      <c r="D2134" s="467"/>
      <c r="E2134" s="466">
        <f>SUM(Discrete!HI21:HI78)</f>
        <v>1</v>
      </c>
      <c r="F2134" s="467"/>
      <c r="G2134" s="473">
        <f>SUM(IC!IE3:IE39)</f>
        <v>1</v>
      </c>
      <c r="H2134" s="467"/>
      <c r="I2134" s="473">
        <f>SUM(IC!IE40:IE64)</f>
        <v>0</v>
      </c>
      <c r="J2134" s="467"/>
      <c r="K2134" s="202">
        <f t="shared" si="104"/>
        <v>2</v>
      </c>
      <c r="L2134" s="205">
        <f>RANK(K2134,K2106:K2138)</f>
        <v>15</v>
      </c>
    </row>
    <row r="2135" spans="1:12">
      <c r="A2135" s="820" t="s">
        <v>864</v>
      </c>
      <c r="B2135" s="821"/>
      <c r="C2135" s="466">
        <f>SUM(Discrete!HJ3:HJ20)</f>
        <v>0</v>
      </c>
      <c r="D2135" s="467"/>
      <c r="E2135" s="466">
        <f>SUM(Discrete!HJ21:HJ78)</f>
        <v>2</v>
      </c>
      <c r="F2135" s="467"/>
      <c r="G2135" s="473">
        <f>SUM(IC!IF3:IF39)</f>
        <v>0</v>
      </c>
      <c r="H2135" s="467"/>
      <c r="I2135" s="473">
        <f>SUM(IC!IF40:IF64)</f>
        <v>0</v>
      </c>
      <c r="J2135" s="467"/>
      <c r="K2135" s="202">
        <f t="shared" si="104"/>
        <v>2</v>
      </c>
      <c r="L2135" s="205">
        <f>RANK(K2135,K2106:K2138)</f>
        <v>15</v>
      </c>
    </row>
    <row r="2136" spans="1:12">
      <c r="A2136" s="822" t="s">
        <v>863</v>
      </c>
      <c r="B2136" s="823"/>
      <c r="C2136" s="466">
        <f>SUM(Discrete!HK3:HK20)</f>
        <v>0</v>
      </c>
      <c r="D2136" s="467"/>
      <c r="E2136" s="466">
        <f>SUM(Discrete!HK21:HK78)</f>
        <v>1</v>
      </c>
      <c r="F2136" s="467"/>
      <c r="G2136" s="473">
        <f>SUM(IC!IG3:IG39)</f>
        <v>0</v>
      </c>
      <c r="H2136" s="467"/>
      <c r="I2136" s="473">
        <f>SUM(IC!IG40:IG64)</f>
        <v>0</v>
      </c>
      <c r="J2136" s="467"/>
      <c r="K2136" s="202">
        <f t="shared" si="104"/>
        <v>1</v>
      </c>
      <c r="L2136" s="205">
        <f>RANK(K2136,K2106:K2138)</f>
        <v>21</v>
      </c>
    </row>
    <row r="2137" spans="1:12" s="250" customFormat="1">
      <c r="A2137" s="820" t="s">
        <v>859</v>
      </c>
      <c r="B2137" s="821"/>
      <c r="C2137" s="466">
        <f>SUM(Discrete!HL3:HL20)</f>
        <v>0</v>
      </c>
      <c r="D2137" s="467"/>
      <c r="E2137" s="466">
        <f>SUM(Discrete!HL21:HL78)</f>
        <v>1</v>
      </c>
      <c r="F2137" s="467"/>
      <c r="G2137" s="473">
        <f>SUM(IC!IH3:IH39)</f>
        <v>1</v>
      </c>
      <c r="H2137" s="467"/>
      <c r="I2137" s="473">
        <f>SUM(IC!IH40:IH64)</f>
        <v>0</v>
      </c>
      <c r="J2137" s="467"/>
      <c r="K2137" s="202">
        <f t="shared" si="104"/>
        <v>2</v>
      </c>
      <c r="L2137" s="205">
        <f>RANK(K2137,K2106:K2138)</f>
        <v>15</v>
      </c>
    </row>
    <row r="2138" spans="1:12" s="250" customFormat="1" ht="15" thickBot="1">
      <c r="A2138" s="822" t="s">
        <v>860</v>
      </c>
      <c r="B2138" s="823"/>
      <c r="C2138" s="466">
        <f>SUM(Discrete!HM3:HM20)</f>
        <v>0</v>
      </c>
      <c r="D2138" s="467"/>
      <c r="E2138" s="466">
        <f>SUM(Discrete!HM21:HM78)</f>
        <v>1</v>
      </c>
      <c r="F2138" s="467"/>
      <c r="G2138" s="473">
        <f>SUM(IC!II3:II39)</f>
        <v>2</v>
      </c>
      <c r="H2138" s="467"/>
      <c r="I2138" s="473">
        <f>SUM(IC!II40:II64)</f>
        <v>0</v>
      </c>
      <c r="J2138" s="467"/>
      <c r="K2138" s="202">
        <f t="shared" si="104"/>
        <v>3</v>
      </c>
      <c r="L2138" s="205">
        <f>RANK(K2138,K2106:K2138)</f>
        <v>14</v>
      </c>
    </row>
    <row r="2139" spans="1:12" ht="15" thickBot="1">
      <c r="A2139" s="844"/>
      <c r="B2139" s="844"/>
      <c r="C2139" s="841">
        <f>SUM(C2106:C2138)-C2108-C2112-C2122</f>
        <v>16</v>
      </c>
      <c r="D2139" s="842"/>
      <c r="E2139" s="841">
        <f>SUM(E2106:E2138)-E2108-E2112-E2122</f>
        <v>111</v>
      </c>
      <c r="F2139" s="842"/>
      <c r="G2139" s="843">
        <f>SUM(G2106:G2138)-G2108-G2112-G2122</f>
        <v>124</v>
      </c>
      <c r="H2139" s="842"/>
      <c r="I2139" s="841">
        <f>SUM(I2106:I2138)-I2108-I2112-I2122</f>
        <v>20</v>
      </c>
      <c r="J2139" s="842"/>
      <c r="K2139" s="792">
        <f>SUM(K2106:K2138)</f>
        <v>300</v>
      </c>
      <c r="L2139" s="250"/>
    </row>
    <row r="2140" spans="1:12" ht="15" thickBot="1">
      <c r="A2140" s="853">
        <f>C2139+E2139+G2139+I2139</f>
        <v>271</v>
      </c>
      <c r="B2140" s="854"/>
      <c r="C2140" s="817"/>
      <c r="D2140" s="817"/>
      <c r="E2140" s="817"/>
      <c r="F2140" s="817"/>
      <c r="G2140" s="817"/>
      <c r="H2140" s="817"/>
      <c r="I2140" s="817"/>
      <c r="J2140" s="817"/>
      <c r="K2140" s="793"/>
      <c r="L2140" s="250"/>
    </row>
  </sheetData>
  <mergeCells count="466">
    <mergeCell ref="A1902:B1902"/>
    <mergeCell ref="C1902:D1902"/>
    <mergeCell ref="E1902:F1902"/>
    <mergeCell ref="G1902:H1902"/>
    <mergeCell ref="I1902:J1902"/>
    <mergeCell ref="A1941:J1941"/>
    <mergeCell ref="A1855:B1855"/>
    <mergeCell ref="C1855:D1855"/>
    <mergeCell ref="E1855:F1855"/>
    <mergeCell ref="G1855:H1855"/>
    <mergeCell ref="I1855:J1855"/>
    <mergeCell ref="A1894:J1894"/>
    <mergeCell ref="O1796:S1796"/>
    <mergeCell ref="O1952:S1952"/>
    <mergeCell ref="O2102:S2102"/>
    <mergeCell ref="O1248:S1248"/>
    <mergeCell ref="O1298:S1298"/>
    <mergeCell ref="O1346:S1346"/>
    <mergeCell ref="O1396:S1396"/>
    <mergeCell ref="O1447:S1447"/>
    <mergeCell ref="O1496:S1496"/>
    <mergeCell ref="O1546:S1546"/>
    <mergeCell ref="O1596:S1596"/>
    <mergeCell ref="O1646:S1646"/>
    <mergeCell ref="O2001:S2001"/>
    <mergeCell ref="A2112:B2112"/>
    <mergeCell ref="K2139:K2140"/>
    <mergeCell ref="A2140:J2140"/>
    <mergeCell ref="A2106:B2106"/>
    <mergeCell ref="O296:S296"/>
    <mergeCell ref="O346:S346"/>
    <mergeCell ref="O396:S396"/>
    <mergeCell ref="O446:S446"/>
    <mergeCell ref="O496:S496"/>
    <mergeCell ref="O546:S546"/>
    <mergeCell ref="O596:S596"/>
    <mergeCell ref="O646:S646"/>
    <mergeCell ref="O696:S696"/>
    <mergeCell ref="O746:S746"/>
    <mergeCell ref="O796:S796"/>
    <mergeCell ref="O846:S846"/>
    <mergeCell ref="O896:S896"/>
    <mergeCell ref="O946:S946"/>
    <mergeCell ref="O996:S996"/>
    <mergeCell ref="O1046:S1046"/>
    <mergeCell ref="O1096:S1096"/>
    <mergeCell ref="O1148:S1148"/>
    <mergeCell ref="O1696:S1696"/>
    <mergeCell ref="O1746:S1746"/>
    <mergeCell ref="A2115:B2115"/>
    <mergeCell ref="A2116:B2116"/>
    <mergeCell ref="A2117:B2117"/>
    <mergeCell ref="A2108:B2108"/>
    <mergeCell ref="O1198:S1198"/>
    <mergeCell ref="A2131:B2131"/>
    <mergeCell ref="A2132:B2132"/>
    <mergeCell ref="A2133:B2133"/>
    <mergeCell ref="A2134:B2134"/>
    <mergeCell ref="A2107:B2107"/>
    <mergeCell ref="A2128:B2128"/>
    <mergeCell ref="A2129:B2129"/>
    <mergeCell ref="A2130:B2130"/>
    <mergeCell ref="A2109:B2109"/>
    <mergeCell ref="A2110:B2110"/>
    <mergeCell ref="A2111:B2111"/>
    <mergeCell ref="A2113:B2113"/>
    <mergeCell ref="A2114:B2114"/>
    <mergeCell ref="K2104:K2105"/>
    <mergeCell ref="L2104:L2105"/>
    <mergeCell ref="A2105:B2105"/>
    <mergeCell ref="C2105:D2105"/>
    <mergeCell ref="E2105:F2105"/>
    <mergeCell ref="G2105:H2105"/>
    <mergeCell ref="A2138:B2138"/>
    <mergeCell ref="C2139:D2139"/>
    <mergeCell ref="E2139:F2139"/>
    <mergeCell ref="G2139:H2139"/>
    <mergeCell ref="I2139:J2139"/>
    <mergeCell ref="A2118:B2118"/>
    <mergeCell ref="A2119:B2119"/>
    <mergeCell ref="A2120:B2120"/>
    <mergeCell ref="A2121:B2121"/>
    <mergeCell ref="A2123:B2123"/>
    <mergeCell ref="A2124:B2124"/>
    <mergeCell ref="A2125:B2125"/>
    <mergeCell ref="A2126:B2126"/>
    <mergeCell ref="A2127:B2127"/>
    <mergeCell ref="A2122:B2122"/>
    <mergeCell ref="A2135:B2135"/>
    <mergeCell ref="A2136:B2136"/>
    <mergeCell ref="A2137:B2137"/>
    <mergeCell ref="A2139:B2139"/>
    <mergeCell ref="I2105:J2105"/>
    <mergeCell ref="A1837:J1837"/>
    <mergeCell ref="A2054:B2054"/>
    <mergeCell ref="C2054:D2054"/>
    <mergeCell ref="E2054:F2054"/>
    <mergeCell ref="G2054:H2054"/>
    <mergeCell ref="I2054:J2054"/>
    <mergeCell ref="A2093:J2093"/>
    <mergeCell ref="A2104:B2104"/>
    <mergeCell ref="C2104:D2104"/>
    <mergeCell ref="E2104:F2104"/>
    <mergeCell ref="G2104:H2104"/>
    <mergeCell ref="I2104:J2104"/>
    <mergeCell ref="A1953:B1953"/>
    <mergeCell ref="C1953:D1953"/>
    <mergeCell ref="E1953:F1953"/>
    <mergeCell ref="G1953:H1953"/>
    <mergeCell ref="I1953:J1953"/>
    <mergeCell ref="A1992:J1992"/>
    <mergeCell ref="A2003:B2003"/>
    <mergeCell ref="C2003:D2003"/>
    <mergeCell ref="E2003:F2003"/>
    <mergeCell ref="G2003:H2003"/>
    <mergeCell ref="I2003:J2003"/>
    <mergeCell ref="A1748:B1748"/>
    <mergeCell ref="C1748:D1748"/>
    <mergeCell ref="E1748:F1748"/>
    <mergeCell ref="G1748:H1748"/>
    <mergeCell ref="I1748:J1748"/>
    <mergeCell ref="A1780:J1780"/>
    <mergeCell ref="A1798:B1798"/>
    <mergeCell ref="C1798:D1798"/>
    <mergeCell ref="E1798:F1798"/>
    <mergeCell ref="G1798:H1798"/>
    <mergeCell ref="I1798:J1798"/>
    <mergeCell ref="A1580:J1580"/>
    <mergeCell ref="A1348:B1348"/>
    <mergeCell ref="C1348:D1348"/>
    <mergeCell ref="E1348:F1348"/>
    <mergeCell ref="G1348:H1348"/>
    <mergeCell ref="I1348:J1348"/>
    <mergeCell ref="A1379:B1379"/>
    <mergeCell ref="A1380:J1380"/>
    <mergeCell ref="A1398:B1398"/>
    <mergeCell ref="C1398:D1398"/>
    <mergeCell ref="E1398:F1398"/>
    <mergeCell ref="G1398:H1398"/>
    <mergeCell ref="I1398:J1398"/>
    <mergeCell ref="A1429:B1429"/>
    <mergeCell ref="A1430:J1430"/>
    <mergeCell ref="A1448:B1448"/>
    <mergeCell ref="C1448:D1448"/>
    <mergeCell ref="E1448:F1448"/>
    <mergeCell ref="G1448:H1448"/>
    <mergeCell ref="I1448:J1448"/>
    <mergeCell ref="A1479:B1479"/>
    <mergeCell ref="A1680:J1680"/>
    <mergeCell ref="A1530:J1530"/>
    <mergeCell ref="A1480:J1480"/>
    <mergeCell ref="A1598:B1598"/>
    <mergeCell ref="C1598:D1598"/>
    <mergeCell ref="E1598:F1598"/>
    <mergeCell ref="G1598:H1598"/>
    <mergeCell ref="I1598:J1598"/>
    <mergeCell ref="A1630:J1630"/>
    <mergeCell ref="A1648:B1648"/>
    <mergeCell ref="C1648:D1648"/>
    <mergeCell ref="E1648:F1648"/>
    <mergeCell ref="G1648:H1648"/>
    <mergeCell ref="I1648:J1648"/>
    <mergeCell ref="A1498:B1498"/>
    <mergeCell ref="C1498:D1498"/>
    <mergeCell ref="E1498:F1498"/>
    <mergeCell ref="G1498:H1498"/>
    <mergeCell ref="I1498:J1498"/>
    <mergeCell ref="A1548:B1548"/>
    <mergeCell ref="C1548:D1548"/>
    <mergeCell ref="E1548:F1548"/>
    <mergeCell ref="G1548:H1548"/>
    <mergeCell ref="I1548:J1548"/>
    <mergeCell ref="A1329:B1329"/>
    <mergeCell ref="A1330:J1330"/>
    <mergeCell ref="A1248:B1248"/>
    <mergeCell ref="C1248:D1248"/>
    <mergeCell ref="E1248:F1248"/>
    <mergeCell ref="G1248:H1248"/>
    <mergeCell ref="I1248:J1248"/>
    <mergeCell ref="A1279:B1279"/>
    <mergeCell ref="A1280:J1280"/>
    <mergeCell ref="A1298:B1298"/>
    <mergeCell ref="C1298:D1298"/>
    <mergeCell ref="E1298:F1298"/>
    <mergeCell ref="G1298:H1298"/>
    <mergeCell ref="I1298:J1298"/>
    <mergeCell ref="A1129:B1129"/>
    <mergeCell ref="A1130:J1130"/>
    <mergeCell ref="A1198:B1198"/>
    <mergeCell ref="C1198:D1198"/>
    <mergeCell ref="E1198:F1198"/>
    <mergeCell ref="G1198:H1198"/>
    <mergeCell ref="I1198:J1198"/>
    <mergeCell ref="A1229:B1229"/>
    <mergeCell ref="A1230:J1230"/>
    <mergeCell ref="A1148:B1148"/>
    <mergeCell ref="C1148:D1148"/>
    <mergeCell ref="E1148:F1148"/>
    <mergeCell ref="G1148:H1148"/>
    <mergeCell ref="I1148:J1148"/>
    <mergeCell ref="A1179:B1179"/>
    <mergeCell ref="A1180:J1180"/>
    <mergeCell ref="A1079:B1079"/>
    <mergeCell ref="A1080:J1080"/>
    <mergeCell ref="A1098:B1098"/>
    <mergeCell ref="C1098:D1098"/>
    <mergeCell ref="E1098:F1098"/>
    <mergeCell ref="G1098:H1098"/>
    <mergeCell ref="I1098:J1098"/>
    <mergeCell ref="K1098:K1099"/>
    <mergeCell ref="L1098:L1099"/>
    <mergeCell ref="A1029:B1029"/>
    <mergeCell ref="A1030:J1030"/>
    <mergeCell ref="A1048:B1048"/>
    <mergeCell ref="C1048:D1048"/>
    <mergeCell ref="E1048:F1048"/>
    <mergeCell ref="G1048:H1048"/>
    <mergeCell ref="I1048:J1048"/>
    <mergeCell ref="K1048:K1049"/>
    <mergeCell ref="L1048:L1049"/>
    <mergeCell ref="A979:B979"/>
    <mergeCell ref="A980:J980"/>
    <mergeCell ref="A998:B998"/>
    <mergeCell ref="C998:D998"/>
    <mergeCell ref="E998:F998"/>
    <mergeCell ref="G998:H998"/>
    <mergeCell ref="I998:J998"/>
    <mergeCell ref="K998:K999"/>
    <mergeCell ref="L998:L999"/>
    <mergeCell ref="A929:B929"/>
    <mergeCell ref="A930:J930"/>
    <mergeCell ref="A948:B948"/>
    <mergeCell ref="C948:D948"/>
    <mergeCell ref="E948:F948"/>
    <mergeCell ref="G948:H948"/>
    <mergeCell ref="I948:J948"/>
    <mergeCell ref="K948:K949"/>
    <mergeCell ref="L948:L949"/>
    <mergeCell ref="A879:B879"/>
    <mergeCell ref="A880:J880"/>
    <mergeCell ref="A898:B898"/>
    <mergeCell ref="C898:D898"/>
    <mergeCell ref="E898:F898"/>
    <mergeCell ref="G898:H898"/>
    <mergeCell ref="I898:J898"/>
    <mergeCell ref="K898:K899"/>
    <mergeCell ref="L898:L899"/>
    <mergeCell ref="A829:B829"/>
    <mergeCell ref="A830:J830"/>
    <mergeCell ref="A848:B848"/>
    <mergeCell ref="C848:D848"/>
    <mergeCell ref="E848:F848"/>
    <mergeCell ref="G848:H848"/>
    <mergeCell ref="I848:J848"/>
    <mergeCell ref="K848:K849"/>
    <mergeCell ref="L848:L849"/>
    <mergeCell ref="G748:H748"/>
    <mergeCell ref="I748:J748"/>
    <mergeCell ref="K748:K749"/>
    <mergeCell ref="L748:L749"/>
    <mergeCell ref="A779:B779"/>
    <mergeCell ref="A780:J780"/>
    <mergeCell ref="A798:B798"/>
    <mergeCell ref="C798:D798"/>
    <mergeCell ref="E798:F798"/>
    <mergeCell ref="G798:H798"/>
    <mergeCell ref="I798:J798"/>
    <mergeCell ref="K798:K799"/>
    <mergeCell ref="L798:L799"/>
    <mergeCell ref="K648:K649"/>
    <mergeCell ref="L648:L649"/>
    <mergeCell ref="A679:B679"/>
    <mergeCell ref="A680:J680"/>
    <mergeCell ref="A698:B698"/>
    <mergeCell ref="C698:D698"/>
    <mergeCell ref="E698:F698"/>
    <mergeCell ref="G698:H698"/>
    <mergeCell ref="I698:J698"/>
    <mergeCell ref="K698:K699"/>
    <mergeCell ref="L698:L699"/>
    <mergeCell ref="K548:K549"/>
    <mergeCell ref="L548:L549"/>
    <mergeCell ref="A579:B579"/>
    <mergeCell ref="A580:J580"/>
    <mergeCell ref="A598:B598"/>
    <mergeCell ref="C598:D598"/>
    <mergeCell ref="E598:F598"/>
    <mergeCell ref="G598:H598"/>
    <mergeCell ref="I598:J598"/>
    <mergeCell ref="K598:K599"/>
    <mergeCell ref="L598:L599"/>
    <mergeCell ref="G548:H548"/>
    <mergeCell ref="I548:J548"/>
    <mergeCell ref="K448:K449"/>
    <mergeCell ref="L448:L449"/>
    <mergeCell ref="A479:B479"/>
    <mergeCell ref="A480:J480"/>
    <mergeCell ref="A498:B498"/>
    <mergeCell ref="C498:D498"/>
    <mergeCell ref="E498:F498"/>
    <mergeCell ref="G498:H498"/>
    <mergeCell ref="I498:J498"/>
    <mergeCell ref="K498:K499"/>
    <mergeCell ref="L498:L499"/>
    <mergeCell ref="A448:B448"/>
    <mergeCell ref="C448:D448"/>
    <mergeCell ref="E448:F448"/>
    <mergeCell ref="G448:H448"/>
    <mergeCell ref="K348:K349"/>
    <mergeCell ref="L348:L349"/>
    <mergeCell ref="A379:B379"/>
    <mergeCell ref="A380:J380"/>
    <mergeCell ref="A398:B398"/>
    <mergeCell ref="C398:D398"/>
    <mergeCell ref="E398:F398"/>
    <mergeCell ref="G398:H398"/>
    <mergeCell ref="I398:J398"/>
    <mergeCell ref="K398:K399"/>
    <mergeCell ref="L398:L399"/>
    <mergeCell ref="A348:B348"/>
    <mergeCell ref="C348:D348"/>
    <mergeCell ref="E348:F348"/>
    <mergeCell ref="G348:H348"/>
    <mergeCell ref="I348:J348"/>
    <mergeCell ref="K248:K249"/>
    <mergeCell ref="L248:L249"/>
    <mergeCell ref="K298:K299"/>
    <mergeCell ref="L298:L299"/>
    <mergeCell ref="A298:B298"/>
    <mergeCell ref="C298:D298"/>
    <mergeCell ref="E298:F298"/>
    <mergeCell ref="G298:H298"/>
    <mergeCell ref="I298:J298"/>
    <mergeCell ref="G177:H177"/>
    <mergeCell ref="G178:H178"/>
    <mergeCell ref="C150:D150"/>
    <mergeCell ref="E150:F150"/>
    <mergeCell ref="G150:H150"/>
    <mergeCell ref="I150:J150"/>
    <mergeCell ref="A162:B162"/>
    <mergeCell ref="A164:B164"/>
    <mergeCell ref="A178:B178"/>
    <mergeCell ref="A177:B177"/>
    <mergeCell ref="A175:B175"/>
    <mergeCell ref="E176:F176"/>
    <mergeCell ref="A176:B176"/>
    <mergeCell ref="G99:H99"/>
    <mergeCell ref="I99:J99"/>
    <mergeCell ref="A180:J180"/>
    <mergeCell ref="A151:B151"/>
    <mergeCell ref="A152:B152"/>
    <mergeCell ref="A153:B153"/>
    <mergeCell ref="A154:B154"/>
    <mergeCell ref="A155:B155"/>
    <mergeCell ref="A156:B156"/>
    <mergeCell ref="A157:B157"/>
    <mergeCell ref="A158:B158"/>
    <mergeCell ref="A159:B159"/>
    <mergeCell ref="A160:B160"/>
    <mergeCell ref="A161:B161"/>
    <mergeCell ref="A167:B167"/>
    <mergeCell ref="A163:B163"/>
    <mergeCell ref="C176:D176"/>
    <mergeCell ref="C177:D177"/>
    <mergeCell ref="C175:D175"/>
    <mergeCell ref="C178:D178"/>
    <mergeCell ref="E179:F179"/>
    <mergeCell ref="G179:H179"/>
    <mergeCell ref="I179:J179"/>
    <mergeCell ref="G176:H176"/>
    <mergeCell ref="A49:B49"/>
    <mergeCell ref="C49:D49"/>
    <mergeCell ref="E49:F49"/>
    <mergeCell ref="G49:H49"/>
    <mergeCell ref="I49:J49"/>
    <mergeCell ref="A33:J33"/>
    <mergeCell ref="A32:B32"/>
    <mergeCell ref="C1:D1"/>
    <mergeCell ref="E1:F1"/>
    <mergeCell ref="I1:J1"/>
    <mergeCell ref="G1:H1"/>
    <mergeCell ref="A1:B1"/>
    <mergeCell ref="A80:B80"/>
    <mergeCell ref="A81:J81"/>
    <mergeCell ref="I149:J149"/>
    <mergeCell ref="A179:B179"/>
    <mergeCell ref="A165:B165"/>
    <mergeCell ref="A130:B130"/>
    <mergeCell ref="A131:J131"/>
    <mergeCell ref="A168:B168"/>
    <mergeCell ref="A169:B169"/>
    <mergeCell ref="A150:B150"/>
    <mergeCell ref="A170:B170"/>
    <mergeCell ref="A171:B171"/>
    <mergeCell ref="A172:B172"/>
    <mergeCell ref="A173:B173"/>
    <mergeCell ref="A174:B174"/>
    <mergeCell ref="A166:B166"/>
    <mergeCell ref="C179:D179"/>
    <mergeCell ref="A149:B149"/>
    <mergeCell ref="C149:D149"/>
    <mergeCell ref="E149:F149"/>
    <mergeCell ref="G149:H149"/>
    <mergeCell ref="A99:B99"/>
    <mergeCell ref="C99:D99"/>
    <mergeCell ref="E99:F99"/>
    <mergeCell ref="A1730:J1730"/>
    <mergeCell ref="A429:B429"/>
    <mergeCell ref="A430:J430"/>
    <mergeCell ref="A329:B329"/>
    <mergeCell ref="A330:J330"/>
    <mergeCell ref="A248:B248"/>
    <mergeCell ref="C248:D248"/>
    <mergeCell ref="E248:F248"/>
    <mergeCell ref="G248:H248"/>
    <mergeCell ref="I248:J248"/>
    <mergeCell ref="A279:B279"/>
    <mergeCell ref="A280:J280"/>
    <mergeCell ref="I448:J448"/>
    <mergeCell ref="A529:B529"/>
    <mergeCell ref="A530:J530"/>
    <mergeCell ref="A548:B548"/>
    <mergeCell ref="C548:D548"/>
    <mergeCell ref="E548:F548"/>
    <mergeCell ref="I648:J648"/>
    <mergeCell ref="A729:B729"/>
    <mergeCell ref="A730:J730"/>
    <mergeCell ref="A748:B748"/>
    <mergeCell ref="C748:D748"/>
    <mergeCell ref="E748:F748"/>
    <mergeCell ref="C198:D198"/>
    <mergeCell ref="E198:F198"/>
    <mergeCell ref="G198:H198"/>
    <mergeCell ref="I198:J198"/>
    <mergeCell ref="A229:B229"/>
    <mergeCell ref="A230:J230"/>
    <mergeCell ref="E648:F648"/>
    <mergeCell ref="G648:H648"/>
    <mergeCell ref="A629:B629"/>
    <mergeCell ref="A630:J630"/>
    <mergeCell ref="A648:B648"/>
    <mergeCell ref="C648:D648"/>
    <mergeCell ref="A2042:J2042"/>
    <mergeCell ref="O2051:S2051"/>
    <mergeCell ref="O2:S2"/>
    <mergeCell ref="O50:S50"/>
    <mergeCell ref="O102:S102"/>
    <mergeCell ref="O148:S148"/>
    <mergeCell ref="O197:S197"/>
    <mergeCell ref="O247:S247"/>
    <mergeCell ref="L149:L150"/>
    <mergeCell ref="I176:J176"/>
    <mergeCell ref="I177:J177"/>
    <mergeCell ref="I178:J178"/>
    <mergeCell ref="K149:K150"/>
    <mergeCell ref="K179:K180"/>
    <mergeCell ref="K198:K199"/>
    <mergeCell ref="L198:L199"/>
    <mergeCell ref="A1698:B1698"/>
    <mergeCell ref="C1698:D1698"/>
    <mergeCell ref="E1698:F1698"/>
    <mergeCell ref="G1698:H1698"/>
    <mergeCell ref="I1698:J1698"/>
    <mergeCell ref="E177:F177"/>
    <mergeCell ref="E178:F178"/>
    <mergeCell ref="A198:B198"/>
  </mergeCells>
  <pageMargins left="0.7" right="0.7" top="0.75" bottom="0.75" header="0.3" footer="0.3"/>
  <pageSetup paperSize="9" orientation="portrait" horizont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topLeftCell="B1" zoomScale="91" zoomScaleNormal="91" workbookViewId="0">
      <selection activeCell="S31" sqref="S31"/>
    </sheetView>
  </sheetViews>
  <sheetFormatPr defaultRowHeight="14.4"/>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K155"/>
  <sheetViews>
    <sheetView workbookViewId="0">
      <selection activeCell="H23" sqref="H23"/>
    </sheetView>
  </sheetViews>
  <sheetFormatPr defaultRowHeight="14.4"/>
  <sheetData>
    <row r="2" spans="2:11" ht="21">
      <c r="B2" s="855" t="s">
        <v>405</v>
      </c>
      <c r="C2" s="855"/>
      <c r="D2" s="855"/>
      <c r="E2" s="855"/>
      <c r="F2" s="855"/>
      <c r="G2" s="855"/>
      <c r="H2" s="855"/>
      <c r="I2" s="855"/>
      <c r="J2" s="855"/>
      <c r="K2" s="855"/>
    </row>
    <row r="149" spans="1:11" s="78" customFormat="1" ht="43.2">
      <c r="A149" s="321"/>
      <c r="B149" s="321" t="s">
        <v>265</v>
      </c>
      <c r="C149" s="322" t="s">
        <v>601</v>
      </c>
      <c r="D149" s="321" t="s">
        <v>148</v>
      </c>
      <c r="E149" s="321" t="s">
        <v>297</v>
      </c>
      <c r="F149" s="321" t="s">
        <v>304</v>
      </c>
      <c r="G149" s="321" t="s">
        <v>363</v>
      </c>
      <c r="H149" s="321" t="s">
        <v>381</v>
      </c>
      <c r="I149" s="321" t="s">
        <v>331</v>
      </c>
      <c r="J149" s="321" t="s">
        <v>332</v>
      </c>
      <c r="K149" s="321" t="s">
        <v>354</v>
      </c>
    </row>
    <row r="150" spans="1:11">
      <c r="A150" s="325" t="s">
        <v>757</v>
      </c>
      <c r="B150" s="321">
        <f>SUM(Discrete!GG4:GG78)</f>
        <v>70</v>
      </c>
      <c r="C150" s="321">
        <f>SUM(Discrete!GH4:GH78)</f>
        <v>2</v>
      </c>
      <c r="D150" s="321">
        <f>SUM(Discrete!GI4:GI78)</f>
        <v>2</v>
      </c>
      <c r="E150" s="323"/>
      <c r="F150" s="323"/>
      <c r="G150" s="323"/>
      <c r="H150" s="323"/>
      <c r="I150" s="323"/>
      <c r="J150" s="323"/>
      <c r="K150" s="323"/>
    </row>
    <row r="151" spans="1:11">
      <c r="A151" s="325" t="s">
        <v>759</v>
      </c>
      <c r="B151" s="321">
        <f>SUM(IC!GX3:GX64)</f>
        <v>26</v>
      </c>
      <c r="C151" s="321"/>
      <c r="D151" s="321"/>
      <c r="E151" s="321">
        <f>SUM(IC!GY3:GY64)</f>
        <v>6</v>
      </c>
      <c r="F151" s="321">
        <f>SUM(IC!GZ3:GZ64)</f>
        <v>3</v>
      </c>
      <c r="G151" s="321">
        <f>SUM(IC!HA3:HA64)</f>
        <v>3</v>
      </c>
      <c r="H151" s="321">
        <f>SUM(IC!HB3:HB64)</f>
        <v>1</v>
      </c>
      <c r="I151" s="321">
        <f>SUM(IC!HC3:HC64)</f>
        <v>10</v>
      </c>
      <c r="J151" s="321">
        <f>SUM(IC!HD3:HD64)</f>
        <v>3</v>
      </c>
      <c r="K151" s="321">
        <f>SUM(IC!HE3:HE64)</f>
        <v>1</v>
      </c>
    </row>
    <row r="152" spans="1:11">
      <c r="A152" s="78"/>
      <c r="B152" s="78"/>
      <c r="C152" s="78"/>
      <c r="D152" s="78"/>
      <c r="E152" s="78"/>
      <c r="F152" s="78"/>
      <c r="G152" s="78"/>
      <c r="H152" s="78"/>
      <c r="I152" s="78"/>
      <c r="J152" s="78"/>
      <c r="K152" s="78"/>
    </row>
    <row r="153" spans="1:11">
      <c r="A153" s="78"/>
      <c r="B153" s="78"/>
      <c r="C153" s="78"/>
      <c r="D153" s="78"/>
    </row>
    <row r="154" spans="1:11">
      <c r="A154" s="78"/>
      <c r="B154" s="78"/>
      <c r="C154" s="78"/>
      <c r="D154" s="78"/>
    </row>
    <row r="155" spans="1:11">
      <c r="A155" s="78"/>
      <c r="B155" s="78"/>
      <c r="C155" s="78"/>
      <c r="D155" s="78"/>
    </row>
  </sheetData>
  <mergeCells count="1">
    <mergeCell ref="B2:K2"/>
  </mergeCells>
  <pageMargins left="0.7" right="0.7" top="0.75" bottom="0.75" header="0.3" footer="0.3"/>
  <pageSetup paperSize="9" orientation="portrait" horizontalDpi="30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
  <sheetViews>
    <sheetView workbookViewId="0">
      <selection activeCell="G25" sqref="G25"/>
    </sheetView>
  </sheetViews>
  <sheetFormatPr defaultRowHeight="14.4"/>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Discrete</vt:lpstr>
      <vt:lpstr>IC</vt:lpstr>
      <vt:lpstr>Calcs</vt:lpstr>
      <vt:lpstr>Hists</vt:lpstr>
      <vt:lpstr>Trends</vt:lpstr>
      <vt:lpstr>Pies</vt:lpstr>
      <vt:lpstr>Curves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2017-08-13T07:38:47Z</dcterms:modified>
</cp:coreProperties>
</file>