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ml.chartshapes+xml"/>
  <Override PartName="/xl/charts/chart2.xml" ContentType="application/vnd.openxmlformats-officedocument.drawingml.chart+xml"/>
  <Override PartName="/xl/drawings/drawing3.xml" ContentType="application/vnd.openxmlformats-officedocument.drawingml.chartshapes+xml"/>
  <Override PartName="/xl/charts/chart3.xml" ContentType="application/vnd.openxmlformats-officedocument.drawingml.chart+xml"/>
  <Override PartName="/xl/drawings/drawing4.xml" ContentType="application/vnd.openxmlformats-officedocument.drawingml.chartshapes+xml"/>
  <Override PartName="/xl/charts/chart4.xml" ContentType="application/vnd.openxmlformats-officedocument.drawingml.chart+xml"/>
  <Override PartName="/xl/charts/chart5.xml" ContentType="application/vnd.openxmlformats-officedocument.drawingml.chart+xml"/>
  <Override PartName="/xl/drawings/drawing5.xml" ContentType="application/vnd.openxmlformats-officedocument.drawingml.chartshapes+xml"/>
  <Override PartName="/xl/charts/chart6.xml" ContentType="application/vnd.openxmlformats-officedocument.drawingml.chart+xml"/>
  <Override PartName="/xl/drawings/drawing6.xml" ContentType="application/vnd.openxmlformats-officedocument.drawingml.chartshapes+xml"/>
  <Override PartName="/xl/charts/chart7.xml" ContentType="application/vnd.openxmlformats-officedocument.drawingml.chart+xml"/>
  <Override PartName="/xl/drawings/drawing7.xml" ContentType="application/vnd.openxmlformats-officedocument.drawingml.chartshapes+xml"/>
  <Override PartName="/xl/charts/chart8.xml" ContentType="application/vnd.openxmlformats-officedocument.drawingml.chart+xml"/>
  <Override PartName="/xl/drawings/drawing8.xml" ContentType="application/vnd.openxmlformats-officedocument.drawingml.chartshapes+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ml.chartshapes+xml"/>
  <Override PartName="/xl/charts/chart10.xml" ContentType="application/vnd.openxmlformats-officedocument.drawingml.chart+xml"/>
  <Override PartName="/xl/drawings/drawing11.xml" ContentType="application/vnd.openxmlformats-officedocument.drawingml.chartshapes+xml"/>
  <Override PartName="/xl/charts/chart11.xml" ContentType="application/vnd.openxmlformats-officedocument.drawingml.chart+xml"/>
  <Override PartName="/xl/drawings/drawing12.xml" ContentType="application/vnd.openxmlformats-officedocument.drawingml.chartshapes+xml"/>
  <Override PartName="/xl/charts/chart12.xml" ContentType="application/vnd.openxmlformats-officedocument.drawingml.chart+xml"/>
  <Override PartName="/xl/drawings/drawing13.xml" ContentType="application/vnd.openxmlformats-officedocument.drawingml.chartshapes+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drawings/drawing14.xml" ContentType="application/vnd.openxmlformats-officedocument.drawingml.chartshapes+xml"/>
  <Override PartName="/xl/charts/chart16.xml" ContentType="application/vnd.openxmlformats-officedocument.drawingml.chart+xml"/>
  <Override PartName="/xl/charts/chart17.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filterPrivacy="1" updateLinks="never" codeName="ThisWorkbook"/>
  <xr:revisionPtr revIDLastSave="0" documentId="13_ncr:1_{D7B2EB94-65BF-474B-B417-4D02206E6587}" xr6:coauthVersionLast="36" xr6:coauthVersionMax="47" xr10:uidLastSave="{00000000-0000-0000-0000-000000000000}"/>
  <bookViews>
    <workbookView xWindow="1656" yWindow="0" windowWidth="24300" windowHeight="15540" activeTab="5" xr2:uid="{7E0066C6-60DC-4D7E-AF1C-E79F1AECB212}"/>
  </bookViews>
  <sheets>
    <sheet name="PUF" sheetId="9" r:id="rId1"/>
    <sheet name="TRNG" sheetId="6" r:id="rId2"/>
    <sheet name="Symmetric ciphers" sheetId="4" r:id="rId3"/>
    <sheet name="PUF DEFINITION" sheetId="12" r:id="rId4"/>
    <sheet name="PUF TRENDS" sheetId="11" r:id="rId5"/>
    <sheet name="TRNG TRENDS" sheetId="8" r:id="rId6"/>
    <sheet name="PUF_Data" sheetId="14" state="hidden" r:id="rId7"/>
    <sheet name="TRNG_Data" sheetId="13" state="hidden" r:id="rId8"/>
  </sheets>
  <definedNames>
    <definedName name="_xlnm._FilterDatabase" localSheetId="0" hidden="1">PUF!$A$1:$AP$87</definedName>
    <definedName name="_xlnm._FilterDatabase" localSheetId="1" hidden="1">TRNG!$A$1:$V$37</definedName>
    <definedName name="_xlnm.Print_Area" localSheetId="0">PUF!$A$1:$AP$34</definedName>
  </definedNames>
  <calcPr calcId="191029" iterateDelta="1E-4"/>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V89" i="14" l="1"/>
  <c r="CB89" i="14"/>
  <c r="BZ81" i="14"/>
  <c r="B88" i="14"/>
  <c r="C88" i="14"/>
  <c r="K88" i="14" s="1"/>
  <c r="D88" i="14"/>
  <c r="CF88" i="14" s="1"/>
  <c r="AH88" i="14"/>
  <c r="B89" i="14"/>
  <c r="C89" i="14"/>
  <c r="D89" i="14"/>
  <c r="N89" i="14" s="1"/>
  <c r="X89" i="14" s="1"/>
  <c r="U89" i="14"/>
  <c r="AH89" i="14"/>
  <c r="B80" i="14"/>
  <c r="C80" i="14"/>
  <c r="D80" i="14"/>
  <c r="N80" i="14" s="1"/>
  <c r="X80" i="14" s="1"/>
  <c r="B81" i="14"/>
  <c r="C81" i="14"/>
  <c r="D81" i="14"/>
  <c r="N81" i="14" s="1"/>
  <c r="X81" i="14" s="1"/>
  <c r="B82" i="14"/>
  <c r="C82" i="14"/>
  <c r="D82" i="14"/>
  <c r="N82" i="14" s="1"/>
  <c r="X82" i="14" s="1"/>
  <c r="B83" i="14"/>
  <c r="BX83" i="14" s="1"/>
  <c r="C83" i="14"/>
  <c r="U83" i="14" s="1"/>
  <c r="D83" i="14"/>
  <c r="AH83" i="14" s="1"/>
  <c r="B84" i="14"/>
  <c r="C84" i="14"/>
  <c r="D84" i="14"/>
  <c r="AH84" i="14" s="1"/>
  <c r="B85" i="14"/>
  <c r="BO85" i="14" s="1"/>
  <c r="C85" i="14"/>
  <c r="I85" i="14" s="1"/>
  <c r="D85" i="14"/>
  <c r="N85" i="14" s="1"/>
  <c r="X85" i="14" s="1"/>
  <c r="B86" i="14"/>
  <c r="BM86" i="14" s="1"/>
  <c r="C86" i="14"/>
  <c r="D86" i="14"/>
  <c r="BL86" i="14" s="1"/>
  <c r="B87" i="14"/>
  <c r="BH87" i="14" s="1"/>
  <c r="C87" i="14"/>
  <c r="D87" i="14"/>
  <c r="N87" i="14" s="1"/>
  <c r="X87" i="14" s="1"/>
  <c r="S87" i="14"/>
  <c r="V65" i="9"/>
  <c r="AH65" i="9"/>
  <c r="AI65" i="9"/>
  <c r="O78" i="9"/>
  <c r="O80" i="9"/>
  <c r="O81" i="9"/>
  <c r="O82" i="9"/>
  <c r="O83" i="9"/>
  <c r="O84" i="9"/>
  <c r="O86" i="9"/>
  <c r="O87" i="9"/>
  <c r="CD82" i="14" l="1"/>
  <c r="BE87" i="14"/>
  <c r="AF84" i="14"/>
  <c r="J80" i="14"/>
  <c r="L86" i="14"/>
  <c r="BQ81" i="14"/>
  <c r="CB82" i="14"/>
  <c r="BD82" i="14"/>
  <c r="BB89" i="14"/>
  <c r="AP86" i="14"/>
  <c r="K89" i="14"/>
  <c r="AM86" i="14"/>
  <c r="H86" i="14"/>
  <c r="BD85" i="14"/>
  <c r="BJ83" i="14"/>
  <c r="AE89" i="14"/>
  <c r="BQ87" i="14"/>
  <c r="BS86" i="14"/>
  <c r="BX85" i="14"/>
  <c r="CG83" i="14"/>
  <c r="CK82" i="14"/>
  <c r="BB82" i="14"/>
  <c r="CB80" i="14"/>
  <c r="CK89" i="14"/>
  <c r="AK87" i="14"/>
  <c r="AJ86" i="14"/>
  <c r="N84" i="14"/>
  <c r="L82" i="14"/>
  <c r="AC89" i="14"/>
  <c r="BO87" i="14"/>
  <c r="BQ85" i="14"/>
  <c r="BZ83" i="14"/>
  <c r="CI81" i="14"/>
  <c r="BV80" i="14"/>
  <c r="CD89" i="14"/>
  <c r="I87" i="14"/>
  <c r="AB86" i="14"/>
  <c r="BI86" i="14"/>
  <c r="AN89" i="14"/>
  <c r="T89" i="14"/>
  <c r="BF87" i="14"/>
  <c r="BM80" i="14"/>
  <c r="Z86" i="14"/>
  <c r="E82" i="14"/>
  <c r="AM89" i="14"/>
  <c r="R89" i="14"/>
  <c r="CI87" i="14"/>
  <c r="CM86" i="14"/>
  <c r="BB86" i="14"/>
  <c r="BF85" i="14"/>
  <c r="BO83" i="14"/>
  <c r="BS82" i="14"/>
  <c r="BH81" i="14"/>
  <c r="BJ80" i="14"/>
  <c r="BS89" i="14"/>
  <c r="BS80" i="14"/>
  <c r="BI88" i="14"/>
  <c r="BD86" i="14"/>
  <c r="BH85" i="14"/>
  <c r="BQ83" i="14"/>
  <c r="BV82" i="14"/>
  <c r="AP85" i="14"/>
  <c r="BE84" i="14"/>
  <c r="S86" i="14"/>
  <c r="P85" i="14"/>
  <c r="N83" i="14"/>
  <c r="X83" i="14" s="1"/>
  <c r="AJ89" i="14"/>
  <c r="CG87" i="14"/>
  <c r="CK86" i="14"/>
  <c r="CI85" i="14"/>
  <c r="BH83" i="14"/>
  <c r="BM82" i="14"/>
  <c r="CM80" i="14"/>
  <c r="BD80" i="14"/>
  <c r="BM89" i="14"/>
  <c r="AF86" i="14"/>
  <c r="Q86" i="14"/>
  <c r="BZ87" i="14"/>
  <c r="CD86" i="14"/>
  <c r="CG85" i="14"/>
  <c r="BB84" i="14"/>
  <c r="BF83" i="14"/>
  <c r="BJ82" i="14"/>
  <c r="CK80" i="14"/>
  <c r="BB80" i="14"/>
  <c r="BJ89" i="14"/>
  <c r="BJ86" i="14"/>
  <c r="L81" i="14"/>
  <c r="AF89" i="14"/>
  <c r="BX87" i="14"/>
  <c r="CB86" i="14"/>
  <c r="BZ85" i="14"/>
  <c r="CI83" i="14"/>
  <c r="CM82" i="14"/>
  <c r="CD80" i="14"/>
  <c r="CM89" i="14"/>
  <c r="BD89" i="14"/>
  <c r="O84" i="14"/>
  <c r="V88" i="14"/>
  <c r="CM87" i="14"/>
  <c r="CD87" i="14"/>
  <c r="BV87" i="14"/>
  <c r="BM87" i="14"/>
  <c r="BD87" i="14"/>
  <c r="CI86" i="14"/>
  <c r="BZ86" i="14"/>
  <c r="BQ86" i="14"/>
  <c r="BH86" i="14"/>
  <c r="CM85" i="14"/>
  <c r="CD85" i="14"/>
  <c r="BV85" i="14"/>
  <c r="BM85" i="14"/>
  <c r="CI84" i="14"/>
  <c r="BZ84" i="14"/>
  <c r="BQ84" i="14"/>
  <c r="BH84" i="14"/>
  <c r="CM83" i="14"/>
  <c r="CD83" i="14"/>
  <c r="BV83" i="14"/>
  <c r="BM83" i="14"/>
  <c r="BD83" i="14"/>
  <c r="CI82" i="14"/>
  <c r="BZ82" i="14"/>
  <c r="BQ82" i="14"/>
  <c r="BH82" i="14"/>
  <c r="CM81" i="14"/>
  <c r="CD81" i="14"/>
  <c r="BV81" i="14"/>
  <c r="BM81" i="14"/>
  <c r="BD81" i="14"/>
  <c r="CI80" i="14"/>
  <c r="BZ80" i="14"/>
  <c r="BQ80" i="14"/>
  <c r="BH80" i="14"/>
  <c r="CI89" i="14"/>
  <c r="BZ89" i="14"/>
  <c r="BQ89" i="14"/>
  <c r="BH89" i="14"/>
  <c r="CM88" i="14"/>
  <c r="CD88" i="14"/>
  <c r="BM88" i="14"/>
  <c r="BD88" i="14"/>
  <c r="AE84" i="14"/>
  <c r="CB84" i="14"/>
  <c r="CG81" i="14"/>
  <c r="BX81" i="14"/>
  <c r="BO81" i="14"/>
  <c r="BF81" i="14"/>
  <c r="CG88" i="14"/>
  <c r="BX88" i="14"/>
  <c r="BF88" i="14"/>
  <c r="AI87" i="14"/>
  <c r="R87" i="14"/>
  <c r="AH86" i="14"/>
  <c r="R86" i="14"/>
  <c r="F86" i="14"/>
  <c r="L85" i="14"/>
  <c r="N88" i="14"/>
  <c r="CL87" i="14"/>
  <c r="CC87" i="14"/>
  <c r="BT87" i="14"/>
  <c r="BL87" i="14"/>
  <c r="BC87" i="14"/>
  <c r="CH86" i="14"/>
  <c r="BY86" i="14"/>
  <c r="BP86" i="14"/>
  <c r="BG86" i="14"/>
  <c r="CL85" i="14"/>
  <c r="CC85" i="14"/>
  <c r="BT85" i="14"/>
  <c r="BL85" i="14"/>
  <c r="BC85" i="14"/>
  <c r="CH84" i="14"/>
  <c r="BY84" i="14"/>
  <c r="BP84" i="14"/>
  <c r="BG84" i="14"/>
  <c r="CL83" i="14"/>
  <c r="CC83" i="14"/>
  <c r="BT83" i="14"/>
  <c r="BL83" i="14"/>
  <c r="BC83" i="14"/>
  <c r="CH82" i="14"/>
  <c r="BY82" i="14"/>
  <c r="BP82" i="14"/>
  <c r="BG82" i="14"/>
  <c r="CL81" i="14"/>
  <c r="CC81" i="14"/>
  <c r="BT81" i="14"/>
  <c r="BL81" i="14"/>
  <c r="BC81" i="14"/>
  <c r="CH80" i="14"/>
  <c r="BY80" i="14"/>
  <c r="BP80" i="14"/>
  <c r="BG80" i="14"/>
  <c r="CH89" i="14"/>
  <c r="BY89" i="14"/>
  <c r="BP89" i="14"/>
  <c r="BG89" i="14"/>
  <c r="CL88" i="14"/>
  <c r="CC88" i="14"/>
  <c r="BT88" i="14"/>
  <c r="BL88" i="14"/>
  <c r="BC88" i="14"/>
  <c r="CD84" i="14"/>
  <c r="BM84" i="14"/>
  <c r="CI88" i="14"/>
  <c r="BZ88" i="14"/>
  <c r="BH88" i="14"/>
  <c r="CK84" i="14"/>
  <c r="BJ84" i="14"/>
  <c r="BO88" i="14"/>
  <c r="AA87" i="14"/>
  <c r="L88" i="14"/>
  <c r="CK87" i="14"/>
  <c r="CB87" i="14"/>
  <c r="BS87" i="14"/>
  <c r="BJ87" i="14"/>
  <c r="BB87" i="14"/>
  <c r="CG86" i="14"/>
  <c r="BX86" i="14"/>
  <c r="BO86" i="14"/>
  <c r="BF86" i="14"/>
  <c r="CK85" i="14"/>
  <c r="CB85" i="14"/>
  <c r="BS85" i="14"/>
  <c r="BJ85" i="14"/>
  <c r="BB85" i="14"/>
  <c r="CG84" i="14"/>
  <c r="BX84" i="14"/>
  <c r="BO84" i="14"/>
  <c r="BF84" i="14"/>
  <c r="CK83" i="14"/>
  <c r="CB83" i="14"/>
  <c r="BS83" i="14"/>
  <c r="BB83" i="14"/>
  <c r="CG82" i="14"/>
  <c r="BX82" i="14"/>
  <c r="BO82" i="14"/>
  <c r="BF82" i="14"/>
  <c r="CK81" i="14"/>
  <c r="CB81" i="14"/>
  <c r="BS81" i="14"/>
  <c r="BJ81" i="14"/>
  <c r="BB81" i="14"/>
  <c r="CG80" i="14"/>
  <c r="BX80" i="14"/>
  <c r="BO80" i="14"/>
  <c r="BF80" i="14"/>
  <c r="CG89" i="14"/>
  <c r="BX89" i="14"/>
  <c r="BO89" i="14"/>
  <c r="BF89" i="14"/>
  <c r="CK88" i="14"/>
  <c r="CB88" i="14"/>
  <c r="BS88" i="14"/>
  <c r="BJ88" i="14"/>
  <c r="BB88" i="14"/>
  <c r="AL84" i="14"/>
  <c r="AP88" i="14"/>
  <c r="CM84" i="14"/>
  <c r="BD84" i="14"/>
  <c r="BQ88" i="14"/>
  <c r="AF88" i="14"/>
  <c r="BS84" i="14"/>
  <c r="E84" i="14"/>
  <c r="Z87" i="14"/>
  <c r="AD86" i="14"/>
  <c r="N86" i="14"/>
  <c r="AO84" i="14"/>
  <c r="F83" i="14"/>
  <c r="AA89" i="14"/>
  <c r="CJ87" i="14"/>
  <c r="CA87" i="14"/>
  <c r="BR87" i="14"/>
  <c r="BI87" i="14"/>
  <c r="CN86" i="14"/>
  <c r="CF86" i="14"/>
  <c r="BW86" i="14"/>
  <c r="BN86" i="14"/>
  <c r="BE86" i="14"/>
  <c r="CJ85" i="14"/>
  <c r="CA85" i="14"/>
  <c r="BR85" i="14"/>
  <c r="BI85" i="14"/>
  <c r="CN84" i="14"/>
  <c r="CF84" i="14"/>
  <c r="BW84" i="14"/>
  <c r="BN84" i="14"/>
  <c r="CJ83" i="14"/>
  <c r="CA83" i="14"/>
  <c r="BR83" i="14"/>
  <c r="BI83" i="14"/>
  <c r="CN82" i="14"/>
  <c r="CF82" i="14"/>
  <c r="BW82" i="14"/>
  <c r="BN82" i="14"/>
  <c r="BE82" i="14"/>
  <c r="CJ81" i="14"/>
  <c r="CA81" i="14"/>
  <c r="BR81" i="14"/>
  <c r="BI81" i="14"/>
  <c r="CN80" i="14"/>
  <c r="CF80" i="14"/>
  <c r="BW80" i="14"/>
  <c r="BN80" i="14"/>
  <c r="BE80" i="14"/>
  <c r="CN89" i="14"/>
  <c r="CF89" i="14"/>
  <c r="BW89" i="14"/>
  <c r="BN89" i="14"/>
  <c r="BE89" i="14"/>
  <c r="CJ88" i="14"/>
  <c r="CA88" i="14"/>
  <c r="BR88" i="14"/>
  <c r="Q87" i="14"/>
  <c r="AN86" i="14"/>
  <c r="AA86" i="14"/>
  <c r="I86" i="14"/>
  <c r="AE85" i="14"/>
  <c r="H84" i="14"/>
  <c r="AD82" i="14"/>
  <c r="E88" i="14"/>
  <c r="CH87" i="14"/>
  <c r="BY87" i="14"/>
  <c r="BP87" i="14"/>
  <c r="BG87" i="14"/>
  <c r="CL86" i="14"/>
  <c r="CC86" i="14"/>
  <c r="BT86" i="14"/>
  <c r="BC86" i="14"/>
  <c r="CH85" i="14"/>
  <c r="BY85" i="14"/>
  <c r="BP85" i="14"/>
  <c r="BG85" i="14"/>
  <c r="CL84" i="14"/>
  <c r="CC84" i="14"/>
  <c r="BT84" i="14"/>
  <c r="BL84" i="14"/>
  <c r="BC84" i="14"/>
  <c r="CH83" i="14"/>
  <c r="BY83" i="14"/>
  <c r="BP83" i="14"/>
  <c r="BG83" i="14"/>
  <c r="CL82" i="14"/>
  <c r="CC82" i="14"/>
  <c r="BT82" i="14"/>
  <c r="BL82" i="14"/>
  <c r="BC82" i="14"/>
  <c r="CH81" i="14"/>
  <c r="BY81" i="14"/>
  <c r="BP81" i="14"/>
  <c r="BG81" i="14"/>
  <c r="CL80" i="14"/>
  <c r="CC80" i="14"/>
  <c r="BT80" i="14"/>
  <c r="BL80" i="14"/>
  <c r="BC80" i="14"/>
  <c r="CL89" i="14"/>
  <c r="CC89" i="14"/>
  <c r="BT89" i="14"/>
  <c r="BL89" i="14"/>
  <c r="BC89" i="14"/>
  <c r="CH88" i="14"/>
  <c r="BY88" i="14"/>
  <c r="BP88" i="14"/>
  <c r="BG88" i="14"/>
  <c r="H87" i="14"/>
  <c r="AK86" i="14"/>
  <c r="V86" i="14"/>
  <c r="G86" i="14"/>
  <c r="T84" i="14"/>
  <c r="K82" i="14"/>
  <c r="I89" i="14"/>
  <c r="CN87" i="14"/>
  <c r="CF87" i="14"/>
  <c r="BW87" i="14"/>
  <c r="BN87" i="14"/>
  <c r="CJ86" i="14"/>
  <c r="CA86" i="14"/>
  <c r="BR86" i="14"/>
  <c r="CN85" i="14"/>
  <c r="CF85" i="14"/>
  <c r="BW85" i="14"/>
  <c r="BN85" i="14"/>
  <c r="BE85" i="14"/>
  <c r="CJ84" i="14"/>
  <c r="CA84" i="14"/>
  <c r="BR84" i="14"/>
  <c r="BI84" i="14"/>
  <c r="CN83" i="14"/>
  <c r="CF83" i="14"/>
  <c r="BW83" i="14"/>
  <c r="BN83" i="14"/>
  <c r="BE83" i="14"/>
  <c r="CJ82" i="14"/>
  <c r="CA82" i="14"/>
  <c r="BR82" i="14"/>
  <c r="BI82" i="14"/>
  <c r="CN81" i="14"/>
  <c r="CF81" i="14"/>
  <c r="BW81" i="14"/>
  <c r="BN81" i="14"/>
  <c r="BE81" i="14"/>
  <c r="CJ80" i="14"/>
  <c r="CA80" i="14"/>
  <c r="BR80" i="14"/>
  <c r="BI80" i="14"/>
  <c r="CJ89" i="14"/>
  <c r="CA89" i="14"/>
  <c r="BR89" i="14"/>
  <c r="BI89" i="14"/>
  <c r="CN88" i="14"/>
  <c r="BW88" i="14"/>
  <c r="BN88" i="14"/>
  <c r="BE88" i="14"/>
  <c r="AN83" i="14"/>
  <c r="H85" i="14"/>
  <c r="AE83" i="14"/>
  <c r="AC88" i="14"/>
  <c r="S88" i="14"/>
  <c r="AH87" i="14"/>
  <c r="V85" i="14"/>
  <c r="AD85" i="14"/>
  <c r="AL85" i="14"/>
  <c r="K83" i="14"/>
  <c r="AB80" i="14"/>
  <c r="AM88" i="14"/>
  <c r="H88" i="14"/>
  <c r="AI85" i="14"/>
  <c r="G85" i="14"/>
  <c r="AN84" i="14"/>
  <c r="V84" i="14"/>
  <c r="AD83" i="14"/>
  <c r="E83" i="14"/>
  <c r="AC82" i="14"/>
  <c r="S80" i="14"/>
  <c r="AL88" i="14"/>
  <c r="AB88" i="14"/>
  <c r="Q88" i="14"/>
  <c r="G88" i="14"/>
  <c r="AB87" i="14"/>
  <c r="J87" i="14"/>
  <c r="AO86" i="14"/>
  <c r="AE86" i="14"/>
  <c r="U86" i="14"/>
  <c r="J86" i="14"/>
  <c r="K86" i="14"/>
  <c r="AH85" i="14"/>
  <c r="U85" i="14"/>
  <c r="F85" i="14"/>
  <c r="AM84" i="14"/>
  <c r="U84" i="14"/>
  <c r="G84" i="14"/>
  <c r="AC83" i="14"/>
  <c r="U82" i="14"/>
  <c r="AL89" i="14"/>
  <c r="V89" i="14"/>
  <c r="J89" i="14"/>
  <c r="AK88" i="14"/>
  <c r="Z88" i="14"/>
  <c r="P88" i="14"/>
  <c r="F88" i="14"/>
  <c r="O85" i="14"/>
  <c r="T83" i="14"/>
  <c r="AF85" i="14"/>
  <c r="Q85" i="14"/>
  <c r="E85" i="14"/>
  <c r="V83" i="14"/>
  <c r="J83" i="14"/>
  <c r="T82" i="14"/>
  <c r="AB81" i="14"/>
  <c r="AI88" i="14"/>
  <c r="Y88" i="14"/>
  <c r="O88" i="14"/>
  <c r="AO85" i="14"/>
  <c r="K80" i="14"/>
  <c r="P86" i="14"/>
  <c r="AN85" i="14"/>
  <c r="Z85" i="14"/>
  <c r="AD84" i="14"/>
  <c r="L84" i="14"/>
  <c r="AM83" i="14"/>
  <c r="AM82" i="14"/>
  <c r="AK80" i="14"/>
  <c r="AO88" i="14"/>
  <c r="AE88" i="14"/>
  <c r="U88" i="14"/>
  <c r="I88" i="14"/>
  <c r="AJ87" i="14"/>
  <c r="K87" i="14"/>
  <c r="AI86" i="14"/>
  <c r="Y86" i="14"/>
  <c r="O86" i="14"/>
  <c r="E86" i="14"/>
  <c r="AM85" i="14"/>
  <c r="Y85" i="14"/>
  <c r="AC84" i="14"/>
  <c r="F84" i="14"/>
  <c r="AL83" i="14"/>
  <c r="L83" i="14"/>
  <c r="AL82" i="14"/>
  <c r="AJ82" i="14"/>
  <c r="AH80" i="14"/>
  <c r="AO89" i="14"/>
  <c r="AD89" i="14"/>
  <c r="AN88" i="14"/>
  <c r="AD88" i="14"/>
  <c r="T88" i="14"/>
  <c r="J88" i="14"/>
  <c r="AI89" i="14"/>
  <c r="Z89" i="14"/>
  <c r="Q89" i="14"/>
  <c r="H89" i="14"/>
  <c r="AP89" i="14"/>
  <c r="Y89" i="14"/>
  <c r="P89" i="14"/>
  <c r="G89" i="14"/>
  <c r="O89" i="14"/>
  <c r="F89" i="14"/>
  <c r="E89" i="14"/>
  <c r="L89" i="14"/>
  <c r="AK89" i="14"/>
  <c r="AB89" i="14"/>
  <c r="S89" i="14"/>
  <c r="AJ88" i="14"/>
  <c r="AA88" i="14"/>
  <c r="R88" i="14"/>
  <c r="AK81" i="14"/>
  <c r="AA80" i="14"/>
  <c r="I80" i="14"/>
  <c r="P87" i="14"/>
  <c r="AK82" i="14"/>
  <c r="AB82" i="14"/>
  <c r="S82" i="14"/>
  <c r="J82" i="14"/>
  <c r="AJ81" i="14"/>
  <c r="AA81" i="14"/>
  <c r="R81" i="14"/>
  <c r="I81" i="14"/>
  <c r="AI80" i="14"/>
  <c r="Z80" i="14"/>
  <c r="Q80" i="14"/>
  <c r="H80" i="14"/>
  <c r="R80" i="14"/>
  <c r="AF87" i="14"/>
  <c r="P80" i="14"/>
  <c r="V87" i="14"/>
  <c r="AB84" i="14"/>
  <c r="S84" i="14"/>
  <c r="AJ83" i="14"/>
  <c r="AA83" i="14"/>
  <c r="R83" i="14"/>
  <c r="I83" i="14"/>
  <c r="AI82" i="14"/>
  <c r="Z82" i="14"/>
  <c r="Q82" i="14"/>
  <c r="H82" i="14"/>
  <c r="AP81" i="14"/>
  <c r="AH81" i="14"/>
  <c r="Y81" i="14"/>
  <c r="P81" i="14"/>
  <c r="G81" i="14"/>
  <c r="AO80" i="14"/>
  <c r="AF80" i="14"/>
  <c r="O80" i="14"/>
  <c r="F80" i="14"/>
  <c r="AL81" i="14"/>
  <c r="AC81" i="14"/>
  <c r="T81" i="14"/>
  <c r="K81" i="14"/>
  <c r="S81" i="14"/>
  <c r="J81" i="14"/>
  <c r="AJ80" i="14"/>
  <c r="AP87" i="14"/>
  <c r="Y87" i="14"/>
  <c r="G87" i="14"/>
  <c r="AO87" i="14"/>
  <c r="F87" i="14"/>
  <c r="AB83" i="14"/>
  <c r="S83" i="14"/>
  <c r="AA82" i="14"/>
  <c r="R82" i="14"/>
  <c r="I82" i="14"/>
  <c r="AI81" i="14"/>
  <c r="Z81" i="14"/>
  <c r="Q81" i="14"/>
  <c r="H81" i="14"/>
  <c r="Y80" i="14"/>
  <c r="G80" i="14"/>
  <c r="AN87" i="14"/>
  <c r="AE87" i="14"/>
  <c r="E87" i="14"/>
  <c r="AC85" i="14"/>
  <c r="T85" i="14"/>
  <c r="K85" i="14"/>
  <c r="AK84" i="14"/>
  <c r="J84" i="14"/>
  <c r="AM87" i="14"/>
  <c r="AD87" i="14"/>
  <c r="U87" i="14"/>
  <c r="L87" i="14"/>
  <c r="AL86" i="14"/>
  <c r="AC86" i="14"/>
  <c r="T86" i="14"/>
  <c r="AK85" i="14"/>
  <c r="AB85" i="14"/>
  <c r="S85" i="14"/>
  <c r="J85" i="14"/>
  <c r="AJ84" i="14"/>
  <c r="AA84" i="14"/>
  <c r="R84" i="14"/>
  <c r="I84" i="14"/>
  <c r="AI83" i="14"/>
  <c r="Z83" i="14"/>
  <c r="Q83" i="14"/>
  <c r="H83" i="14"/>
  <c r="AP82" i="14"/>
  <c r="AH82" i="14"/>
  <c r="Y82" i="14"/>
  <c r="P82" i="14"/>
  <c r="G82" i="14"/>
  <c r="AO81" i="14"/>
  <c r="AF81" i="14"/>
  <c r="O81" i="14"/>
  <c r="F81" i="14"/>
  <c r="AN80" i="14"/>
  <c r="AE80" i="14"/>
  <c r="V80" i="14"/>
  <c r="E80" i="14"/>
  <c r="O87" i="14"/>
  <c r="K84" i="14"/>
  <c r="AK83" i="14"/>
  <c r="AP80" i="14"/>
  <c r="AL87" i="14"/>
  <c r="AC87" i="14"/>
  <c r="T87" i="14"/>
  <c r="AJ85" i="14"/>
  <c r="AA85" i="14"/>
  <c r="R85" i="14"/>
  <c r="AI84" i="14"/>
  <c r="Z84" i="14"/>
  <c r="Q84" i="14"/>
  <c r="AP83" i="14"/>
  <c r="Y83" i="14"/>
  <c r="P83" i="14"/>
  <c r="G83" i="14"/>
  <c r="AO82" i="14"/>
  <c r="AF82" i="14"/>
  <c r="O82" i="14"/>
  <c r="F82" i="14"/>
  <c r="AN81" i="14"/>
  <c r="AE81" i="14"/>
  <c r="V81" i="14"/>
  <c r="E81" i="14"/>
  <c r="AM80" i="14"/>
  <c r="AD80" i="14"/>
  <c r="U80" i="14"/>
  <c r="L80" i="14"/>
  <c r="AP84" i="14"/>
  <c r="Y84" i="14"/>
  <c r="P84" i="14"/>
  <c r="AO83" i="14"/>
  <c r="AF83" i="14"/>
  <c r="O83" i="14"/>
  <c r="AN82" i="14"/>
  <c r="AE82" i="14"/>
  <c r="V82" i="14"/>
  <c r="AM81" i="14"/>
  <c r="AD81" i="14"/>
  <c r="U81" i="14"/>
  <c r="AL80" i="14"/>
  <c r="AC80" i="14"/>
  <c r="T80" i="14"/>
  <c r="R64" i="8" a="1"/>
  <c r="R64" i="8" s="1"/>
  <c r="R63" i="8" a="1"/>
  <c r="R63" i="8" s="1"/>
  <c r="R62" i="8" a="1"/>
  <c r="R62" i="8" s="1"/>
  <c r="R61" i="8" a="1"/>
  <c r="R61" i="8" s="1"/>
  <c r="K65" i="8" a="1"/>
  <c r="K65" i="8" s="1"/>
  <c r="K64" i="8" a="1"/>
  <c r="K64" i="8" s="1"/>
  <c r="K63" i="8" a="1"/>
  <c r="K63" i="8" s="1"/>
  <c r="K62" i="8" a="1"/>
  <c r="K62" i="8" s="1"/>
  <c r="K61" i="8" a="1"/>
  <c r="K61" i="8" s="1"/>
  <c r="K60" i="8" a="1"/>
  <c r="K60" i="8" s="1"/>
  <c r="AW42" i="8" a="1"/>
  <c r="AW42" i="8" s="1"/>
  <c r="AW40" i="8" a="1"/>
  <c r="AW40" i="8" s="1"/>
  <c r="AW39" i="8" a="1"/>
  <c r="AW39" i="8" s="1"/>
  <c r="AP43" i="8" a="1"/>
  <c r="AP43" i="8" s="1"/>
  <c r="AP42" i="8" a="1"/>
  <c r="AP42" i="8" s="1"/>
  <c r="AP41" i="8" a="1"/>
  <c r="AP41" i="8" s="1"/>
  <c r="AP40" i="8" a="1"/>
  <c r="AP40" i="8" s="1"/>
  <c r="AP39" i="8" a="1"/>
  <c r="AP39" i="8" s="1"/>
  <c r="AP38" i="8" a="1"/>
  <c r="AP38" i="8" s="1"/>
  <c r="R43" i="8" a="1"/>
  <c r="R43" i="8" s="1"/>
  <c r="R42" i="8" a="1"/>
  <c r="R42" i="8" s="1"/>
  <c r="R41" i="8" a="1"/>
  <c r="R41" i="8" s="1"/>
  <c r="R39" i="8" a="1"/>
  <c r="R39" i="8" s="1"/>
  <c r="K43" i="8" a="1"/>
  <c r="K43" i="8" s="1"/>
  <c r="K42" i="8" a="1"/>
  <c r="K42" i="8" s="1"/>
  <c r="K41" i="8" a="1"/>
  <c r="K41" i="8" s="1"/>
  <c r="K40" i="8" a="1"/>
  <c r="K40" i="8" s="1"/>
  <c r="K39" i="8" a="1"/>
  <c r="K39" i="8" s="1"/>
  <c r="K38" i="8" a="1"/>
  <c r="K38" i="8" s="1"/>
  <c r="R17" i="8" a="1"/>
  <c r="R17" i="8" s="1"/>
  <c r="R16" i="8" a="1"/>
  <c r="R16" i="8" s="1"/>
  <c r="R15" i="8" a="1"/>
  <c r="R15" i="8" s="1"/>
  <c r="R14" i="8" a="1"/>
  <c r="R14" i="8" s="1"/>
  <c r="R13" i="8" a="1"/>
  <c r="R13" i="8" s="1"/>
  <c r="K18" i="8" a="1"/>
  <c r="K18" i="8" s="1"/>
  <c r="K17" i="8" a="1"/>
  <c r="K17" i="8" s="1"/>
  <c r="K16" i="8" a="1"/>
  <c r="K16" i="8" s="1"/>
  <c r="K15" i="8" a="1"/>
  <c r="K15" i="8" s="1"/>
  <c r="K14" i="8" a="1"/>
  <c r="K14" i="8" s="1"/>
  <c r="K13" i="8" a="1"/>
  <c r="K13" i="8" s="1"/>
  <c r="R3" i="8" a="1"/>
  <c r="R3" i="8" s="1"/>
  <c r="D41" i="13"/>
  <c r="D40" i="13"/>
  <c r="B29" i="13"/>
  <c r="E29" i="13" s="1"/>
  <c r="C29" i="13"/>
  <c r="D29" i="13"/>
  <c r="AH29" i="13" s="1"/>
  <c r="F29" i="13"/>
  <c r="AY29" i="13" s="1"/>
  <c r="G29" i="13"/>
  <c r="AM29" i="13" s="1"/>
  <c r="H29" i="13"/>
  <c r="I29" i="13"/>
  <c r="BD29" i="13" s="1"/>
  <c r="K29" i="13"/>
  <c r="L29" i="13"/>
  <c r="M29" i="13"/>
  <c r="BY29" i="13" s="1"/>
  <c r="N29" i="13"/>
  <c r="O29" i="13"/>
  <c r="AP29" i="13" s="1"/>
  <c r="P29" i="13"/>
  <c r="CE29" i="13" s="1"/>
  <c r="R29" i="13"/>
  <c r="S29" i="13"/>
  <c r="T29" i="13"/>
  <c r="U29" i="13"/>
  <c r="V29" i="13"/>
  <c r="CP29" i="13" s="1"/>
  <c r="W29" i="13"/>
  <c r="Y29" i="13"/>
  <c r="CH29" i="13" s="1"/>
  <c r="Z29" i="13"/>
  <c r="BV29" i="13" s="1"/>
  <c r="AA29" i="13"/>
  <c r="AB29" i="13"/>
  <c r="CM29" i="13" s="1"/>
  <c r="AC29" i="13"/>
  <c r="AD29" i="13"/>
  <c r="CD29" i="13" s="1"/>
  <c r="AG29" i="13"/>
  <c r="AO29" i="13"/>
  <c r="AR29" i="13"/>
  <c r="AX29" i="13"/>
  <c r="BA29" i="13"/>
  <c r="BE29" i="13"/>
  <c r="BG29" i="13"/>
  <c r="BL29" i="13"/>
  <c r="BO29" i="13"/>
  <c r="BP29" i="13"/>
  <c r="BQ29" i="13"/>
  <c r="BR29" i="13"/>
  <c r="BU29" i="13"/>
  <c r="BX29" i="13"/>
  <c r="BZ29" i="13"/>
  <c r="CA29" i="13"/>
  <c r="CC29" i="13"/>
  <c r="CG29" i="13"/>
  <c r="CJ29" i="13"/>
  <c r="CK29" i="13"/>
  <c r="CL29" i="13"/>
  <c r="CN29" i="13"/>
  <c r="CO29" i="13"/>
  <c r="CQ29" i="13"/>
  <c r="CR29" i="13"/>
  <c r="B40" i="13"/>
  <c r="L40" i="13" s="1"/>
  <c r="C40" i="13"/>
  <c r="B41" i="13"/>
  <c r="G41" i="13" s="1"/>
  <c r="C41" i="13"/>
  <c r="S41" i="13"/>
  <c r="A39" i="6"/>
  <c r="A38" i="6"/>
  <c r="X84" i="14" l="1"/>
  <c r="BV84" i="14"/>
  <c r="X88" i="14"/>
  <c r="BV88" i="14"/>
  <c r="X86" i="14"/>
  <c r="BV86" i="14"/>
  <c r="AV29" i="13"/>
  <c r="AW29" i="13"/>
  <c r="AI29" i="13"/>
  <c r="BI29" i="13"/>
  <c r="AJ29" i="13"/>
  <c r="BJ29" i="13"/>
  <c r="BC29" i="13"/>
  <c r="AU29" i="13"/>
  <c r="AL29" i="13"/>
  <c r="CB29" i="13"/>
  <c r="BT29" i="13"/>
  <c r="BK29" i="13"/>
  <c r="BB29" i="13"/>
  <c r="AT29" i="13"/>
  <c r="AK29" i="13"/>
  <c r="CI29" i="13"/>
  <c r="AZ29" i="13"/>
  <c r="AQ29" i="13"/>
  <c r="BH29" i="13"/>
  <c r="BW29" i="13"/>
  <c r="BN29" i="13"/>
  <c r="AN29" i="13"/>
  <c r="BM29" i="13"/>
  <c r="O41" i="13"/>
  <c r="AD41" i="13"/>
  <c r="AB41" i="13"/>
  <c r="BN41" i="13" s="1"/>
  <c r="E40" i="13"/>
  <c r="N41" i="13"/>
  <c r="CA41" i="13" s="1"/>
  <c r="AC41" i="13"/>
  <c r="CB41" i="13" s="1"/>
  <c r="Y41" i="13"/>
  <c r="M41" i="13"/>
  <c r="W41" i="13"/>
  <c r="CR41" i="13" s="1"/>
  <c r="L41" i="13"/>
  <c r="V41" i="13"/>
  <c r="K41" i="13"/>
  <c r="U41" i="13"/>
  <c r="CM41" i="13" s="1"/>
  <c r="I41" i="13"/>
  <c r="BQ41" i="13" s="1"/>
  <c r="T41" i="13"/>
  <c r="F41" i="13"/>
  <c r="AL41" i="13" s="1"/>
  <c r="E41" i="13"/>
  <c r="AW41" i="13" s="1"/>
  <c r="AM41" i="13"/>
  <c r="K40" i="13"/>
  <c r="AA40" i="13"/>
  <c r="R40" i="13"/>
  <c r="H40" i="13"/>
  <c r="AP40" i="13" s="1"/>
  <c r="AG41" i="13"/>
  <c r="AB40" i="13"/>
  <c r="I40" i="13"/>
  <c r="G40" i="13"/>
  <c r="AA41" i="13"/>
  <c r="BK41" i="13" s="1"/>
  <c r="R41" i="13"/>
  <c r="H41" i="13"/>
  <c r="AI40" i="13"/>
  <c r="Y40" i="13"/>
  <c r="O40" i="13"/>
  <c r="F40" i="13"/>
  <c r="AC40" i="13"/>
  <c r="T40" i="13"/>
  <c r="CK40" i="13" s="1"/>
  <c r="S40" i="13"/>
  <c r="AV40" i="13" s="1"/>
  <c r="Z40" i="13"/>
  <c r="P40" i="13"/>
  <c r="Z41" i="13"/>
  <c r="CJ41" i="13" s="1"/>
  <c r="P41" i="13"/>
  <c r="W40" i="13"/>
  <c r="N40" i="13"/>
  <c r="AM40" i="13" s="1"/>
  <c r="AH40" i="13"/>
  <c r="V40" i="13"/>
  <c r="BC40" i="13" s="1"/>
  <c r="M40" i="13"/>
  <c r="AN40" i="13"/>
  <c r="AD40" i="13"/>
  <c r="U40" i="13"/>
  <c r="AZ40" i="13" s="1"/>
  <c r="AH3" i="14"/>
  <c r="D79" i="14"/>
  <c r="C79" i="14"/>
  <c r="B79" i="14"/>
  <c r="D78" i="14"/>
  <c r="AH78" i="14" s="1"/>
  <c r="C78" i="14"/>
  <c r="B78" i="14"/>
  <c r="D77" i="14"/>
  <c r="AH77" i="14" s="1"/>
  <c r="C77" i="14"/>
  <c r="B77" i="14"/>
  <c r="D76" i="14"/>
  <c r="AH76" i="14" s="1"/>
  <c r="C76" i="14"/>
  <c r="B76" i="14"/>
  <c r="D75" i="14"/>
  <c r="AH75" i="14" s="1"/>
  <c r="C75" i="14"/>
  <c r="B75" i="14"/>
  <c r="D74" i="14"/>
  <c r="AH74" i="14" s="1"/>
  <c r="C74" i="14"/>
  <c r="B74" i="14"/>
  <c r="D73" i="14"/>
  <c r="AH73" i="14" s="1"/>
  <c r="C73" i="14"/>
  <c r="B73" i="14"/>
  <c r="D72" i="14"/>
  <c r="AH72" i="14" s="1"/>
  <c r="C72" i="14"/>
  <c r="B72" i="14"/>
  <c r="D71" i="14"/>
  <c r="AH71" i="14" s="1"/>
  <c r="C71" i="14"/>
  <c r="B71" i="14"/>
  <c r="D70" i="14"/>
  <c r="AH70" i="14" s="1"/>
  <c r="C70" i="14"/>
  <c r="B70" i="14"/>
  <c r="D69" i="14"/>
  <c r="AH69" i="14" s="1"/>
  <c r="C69" i="14"/>
  <c r="B69" i="14"/>
  <c r="D68" i="14"/>
  <c r="AH68" i="14" s="1"/>
  <c r="C68" i="14"/>
  <c r="B68" i="14"/>
  <c r="D67" i="14"/>
  <c r="AH67" i="14" s="1"/>
  <c r="C67" i="14"/>
  <c r="B67" i="14"/>
  <c r="D66" i="14"/>
  <c r="AH66" i="14" s="1"/>
  <c r="C66" i="14"/>
  <c r="B66" i="14"/>
  <c r="D65" i="14"/>
  <c r="AH65" i="14" s="1"/>
  <c r="C65" i="14"/>
  <c r="B65" i="14"/>
  <c r="D64" i="14"/>
  <c r="AH64" i="14" s="1"/>
  <c r="C64" i="14"/>
  <c r="B64" i="14"/>
  <c r="D63" i="14"/>
  <c r="AH63" i="14" s="1"/>
  <c r="C63" i="14"/>
  <c r="B63" i="14"/>
  <c r="D62" i="14"/>
  <c r="AH62" i="14" s="1"/>
  <c r="C62" i="14"/>
  <c r="B62" i="14"/>
  <c r="AI60" i="9"/>
  <c r="AH60" i="9"/>
  <c r="V60" i="9"/>
  <c r="Y60" i="9" s="1"/>
  <c r="S60" i="9"/>
  <c r="B22" i="13"/>
  <c r="B23" i="13"/>
  <c r="B24" i="13"/>
  <c r="B25" i="13"/>
  <c r="B26" i="13"/>
  <c r="B27" i="13"/>
  <c r="B28" i="13"/>
  <c r="B30" i="13"/>
  <c r="B31" i="13"/>
  <c r="B32" i="13"/>
  <c r="B33" i="13"/>
  <c r="B34" i="13"/>
  <c r="B35" i="13"/>
  <c r="B36" i="13"/>
  <c r="E36" i="13" s="1"/>
  <c r="B37" i="13"/>
  <c r="B38" i="13"/>
  <c r="E38" i="13" s="1"/>
  <c r="B39" i="13"/>
  <c r="E39" i="13" s="1"/>
  <c r="C5" i="13"/>
  <c r="C6" i="13"/>
  <c r="C7" i="13"/>
  <c r="C8" i="13"/>
  <c r="C9" i="13"/>
  <c r="C10" i="13"/>
  <c r="C11" i="13"/>
  <c r="C12" i="13"/>
  <c r="C13" i="13"/>
  <c r="C14" i="13"/>
  <c r="C15" i="13"/>
  <c r="C16" i="13"/>
  <c r="C17" i="13"/>
  <c r="C18" i="13"/>
  <c r="C19" i="13"/>
  <c r="C20" i="13"/>
  <c r="C21" i="13"/>
  <c r="C22" i="13"/>
  <c r="C23" i="13"/>
  <c r="C24" i="13"/>
  <c r="C25" i="13"/>
  <c r="C26" i="13"/>
  <c r="C27" i="13"/>
  <c r="C28" i="13"/>
  <c r="C30" i="13"/>
  <c r="C31" i="13"/>
  <c r="C32" i="13"/>
  <c r="C33" i="13"/>
  <c r="C34" i="13"/>
  <c r="C35" i="13"/>
  <c r="C36" i="13"/>
  <c r="C37" i="13"/>
  <c r="C38" i="13"/>
  <c r="C39" i="13"/>
  <c r="C4" i="13"/>
  <c r="AH79" i="14" l="1"/>
  <c r="CF79" i="14"/>
  <c r="BB79" i="14"/>
  <c r="BL79" i="14"/>
  <c r="BE79" i="14"/>
  <c r="BN79" i="14"/>
  <c r="BW79" i="14"/>
  <c r="CN79" i="14"/>
  <c r="BG79" i="14"/>
  <c r="BP79" i="14"/>
  <c r="BY79" i="14"/>
  <c r="CH79" i="14"/>
  <c r="BI79" i="14"/>
  <c r="BR79" i="14"/>
  <c r="CA79" i="14"/>
  <c r="CJ79" i="14"/>
  <c r="BH79" i="14"/>
  <c r="BZ79" i="14"/>
  <c r="BJ79" i="14"/>
  <c r="BS79" i="14"/>
  <c r="CB79" i="14"/>
  <c r="CK79" i="14"/>
  <c r="CG79" i="14"/>
  <c r="BQ79" i="14"/>
  <c r="CI79" i="14"/>
  <c r="BC79" i="14"/>
  <c r="BT79" i="14"/>
  <c r="CC79" i="14"/>
  <c r="CL79" i="14"/>
  <c r="BF79" i="14"/>
  <c r="BO79" i="14"/>
  <c r="BX79" i="14"/>
  <c r="BD79" i="14"/>
  <c r="BM79" i="14"/>
  <c r="CD79" i="14"/>
  <c r="CM79" i="14"/>
  <c r="AO79" i="14"/>
  <c r="AL69" i="14"/>
  <c r="AO77" i="14"/>
  <c r="AO78" i="14"/>
  <c r="I73" i="14"/>
  <c r="AD69" i="14"/>
  <c r="AK68" i="14"/>
  <c r="I70" i="14"/>
  <c r="BH41" i="13"/>
  <c r="CD40" i="13"/>
  <c r="AH41" i="13"/>
  <c r="AW40" i="13"/>
  <c r="AQ40" i="13"/>
  <c r="BZ41" i="13"/>
  <c r="AN41" i="13"/>
  <c r="BR41" i="13"/>
  <c r="CL40" i="13"/>
  <c r="BG41" i="13"/>
  <c r="BM41" i="13"/>
  <c r="CP41" i="13"/>
  <c r="BU41" i="13"/>
  <c r="CC41" i="13"/>
  <c r="AR41" i="13"/>
  <c r="BO40" i="13"/>
  <c r="BT41" i="13"/>
  <c r="BD41" i="13"/>
  <c r="CK41" i="13"/>
  <c r="AK41" i="13"/>
  <c r="CM40" i="13"/>
  <c r="AR40" i="13"/>
  <c r="BE41" i="13"/>
  <c r="BE40" i="13"/>
  <c r="BP40" i="13"/>
  <c r="AZ41" i="13"/>
  <c r="CO41" i="13"/>
  <c r="CH40" i="13"/>
  <c r="BA41" i="13"/>
  <c r="BJ41" i="13"/>
  <c r="BT40" i="13"/>
  <c r="BL41" i="13"/>
  <c r="AJ41" i="13"/>
  <c r="BQ40" i="13"/>
  <c r="CE40" i="13"/>
  <c r="CJ40" i="13"/>
  <c r="CB40" i="13"/>
  <c r="CG41" i="13"/>
  <c r="BM40" i="13"/>
  <c r="BX40" i="13"/>
  <c r="AV41" i="13"/>
  <c r="AX41" i="13"/>
  <c r="AK40" i="13"/>
  <c r="AO40" i="13"/>
  <c r="BU40" i="13"/>
  <c r="AT41" i="13"/>
  <c r="CC40" i="13"/>
  <c r="CN41" i="13"/>
  <c r="BG40" i="13"/>
  <c r="CP40" i="13"/>
  <c r="AI41" i="13"/>
  <c r="AY41" i="13"/>
  <c r="CQ41" i="13"/>
  <c r="AP41" i="13"/>
  <c r="BP41" i="13"/>
  <c r="BC41" i="13"/>
  <c r="AO41" i="13"/>
  <c r="BO41" i="13"/>
  <c r="CN40" i="13"/>
  <c r="AL40" i="13"/>
  <c r="CG40" i="13"/>
  <c r="AY40" i="13"/>
  <c r="BI40" i="13"/>
  <c r="AJ40" i="13"/>
  <c r="AT40" i="13"/>
  <c r="BH40" i="13"/>
  <c r="BV40" i="13"/>
  <c r="BJ40" i="13"/>
  <c r="BB40" i="13"/>
  <c r="BZ40" i="13"/>
  <c r="BN40" i="13"/>
  <c r="BY40" i="13"/>
  <c r="BA40" i="13"/>
  <c r="AU40" i="13"/>
  <c r="CI40" i="13"/>
  <c r="CR40" i="13"/>
  <c r="AG40" i="13"/>
  <c r="CO40" i="13"/>
  <c r="BB41" i="13"/>
  <c r="CA40" i="13"/>
  <c r="BK40" i="13"/>
  <c r="BW40" i="13"/>
  <c r="AX40" i="13"/>
  <c r="BR40" i="13"/>
  <c r="BL40" i="13"/>
  <c r="CQ40" i="13"/>
  <c r="BD40" i="13"/>
  <c r="AQ41" i="13"/>
  <c r="CE41" i="13"/>
  <c r="CH41" i="13"/>
  <c r="BI41" i="13"/>
  <c r="BV41" i="13"/>
  <c r="CI41" i="13"/>
  <c r="BW41" i="13"/>
  <c r="AU41" i="13"/>
  <c r="BY41" i="13"/>
  <c r="CL41" i="13"/>
  <c r="BX41" i="13"/>
  <c r="CD41" i="13"/>
  <c r="H69" i="14"/>
  <c r="AJ71" i="14"/>
  <c r="AP73" i="14"/>
  <c r="AI75" i="14"/>
  <c r="H68" i="14"/>
  <c r="AJ70" i="14"/>
  <c r="AK76" i="14"/>
  <c r="H72" i="14"/>
  <c r="H78" i="14"/>
  <c r="AN71" i="14"/>
  <c r="I76" i="14"/>
  <c r="L69" i="14"/>
  <c r="L70" i="14"/>
  <c r="AP76" i="14"/>
  <c r="AM70" i="14"/>
  <c r="L68" i="14"/>
  <c r="AL71" i="14"/>
  <c r="AI74" i="14"/>
  <c r="I75" i="14"/>
  <c r="AN75" i="14"/>
  <c r="AI70" i="14"/>
  <c r="AK70" i="14"/>
  <c r="I77" i="14"/>
  <c r="AO74" i="14"/>
  <c r="AK69" i="14"/>
  <c r="H71" i="14"/>
  <c r="H74" i="14"/>
  <c r="AK62" i="14"/>
  <c r="AP68" i="14"/>
  <c r="H70" i="14"/>
  <c r="L71" i="14"/>
  <c r="AI78" i="14"/>
  <c r="I79" i="14"/>
  <c r="AP71" i="14"/>
  <c r="AO63" i="14"/>
  <c r="AK63" i="14"/>
  <c r="AN63" i="14"/>
  <c r="AP63" i="14"/>
  <c r="AI63" i="14"/>
  <c r="AJ63" i="14"/>
  <c r="L72" i="14"/>
  <c r="I78" i="14"/>
  <c r="AN78" i="14"/>
  <c r="AM76" i="14"/>
  <c r="AI67" i="14"/>
  <c r="H66" i="14"/>
  <c r="H67" i="14"/>
  <c r="AD72" i="14"/>
  <c r="L73" i="14"/>
  <c r="I74" i="14"/>
  <c r="AD75" i="14"/>
  <c r="AD77" i="14"/>
  <c r="AD78" i="14"/>
  <c r="AK78" i="14"/>
  <c r="AL76" i="14"/>
  <c r="AM74" i="14"/>
  <c r="AO72" i="14"/>
  <c r="AM63" i="14"/>
  <c r="I66" i="14"/>
  <c r="L67" i="14"/>
  <c r="AD73" i="14"/>
  <c r="AD74" i="14"/>
  <c r="AP79" i="14"/>
  <c r="AJ74" i="14"/>
  <c r="AL72" i="14"/>
  <c r="AM66" i="14"/>
  <c r="AL63" i="14"/>
  <c r="AM65" i="14"/>
  <c r="AI65" i="14"/>
  <c r="AJ65" i="14"/>
  <c r="AL65" i="14"/>
  <c r="AD65" i="14"/>
  <c r="AN65" i="14"/>
  <c r="L77" i="14"/>
  <c r="AD79" i="14"/>
  <c r="AP72" i="14"/>
  <c r="L65" i="14"/>
  <c r="L66" i="14"/>
  <c r="AP65" i="14"/>
  <c r="AL67" i="14"/>
  <c r="AD67" i="14"/>
  <c r="AP62" i="14"/>
  <c r="AL62" i="14"/>
  <c r="AI62" i="14"/>
  <c r="AM62" i="14"/>
  <c r="AN62" i="14"/>
  <c r="AO62" i="14"/>
  <c r="AN64" i="14"/>
  <c r="AJ64" i="14"/>
  <c r="AL64" i="14"/>
  <c r="AP64" i="14"/>
  <c r="AK64" i="14"/>
  <c r="U65" i="14"/>
  <c r="AN72" i="14"/>
  <c r="AJ72" i="14"/>
  <c r="U72" i="14"/>
  <c r="AI72" i="14"/>
  <c r="AK72" i="14"/>
  <c r="I72" i="14"/>
  <c r="AM72" i="14"/>
  <c r="AJ76" i="14"/>
  <c r="AN76" i="14"/>
  <c r="AO76" i="14"/>
  <c r="L76" i="14"/>
  <c r="H76" i="14"/>
  <c r="AI76" i="14"/>
  <c r="AI77" i="14"/>
  <c r="AM77" i="14"/>
  <c r="AP77" i="14"/>
  <c r="H77" i="14"/>
  <c r="AK77" i="14"/>
  <c r="AP78" i="14"/>
  <c r="AL78" i="14"/>
  <c r="AJ78" i="14"/>
  <c r="AM78" i="14"/>
  <c r="L78" i="14"/>
  <c r="AK79" i="14"/>
  <c r="AI79" i="14"/>
  <c r="AL79" i="14"/>
  <c r="L79" i="14"/>
  <c r="AN79" i="14"/>
  <c r="H79" i="14"/>
  <c r="AM79" i="14"/>
  <c r="AN77" i="14"/>
  <c r="AO65" i="14"/>
  <c r="AJ68" i="14"/>
  <c r="AN68" i="14"/>
  <c r="AL68" i="14"/>
  <c r="AD68" i="14"/>
  <c r="AM68" i="14"/>
  <c r="AO68" i="14"/>
  <c r="I68" i="14"/>
  <c r="AM73" i="14"/>
  <c r="AI73" i="14"/>
  <c r="AJ73" i="14"/>
  <c r="H73" i="14"/>
  <c r="AL73" i="14"/>
  <c r="AO73" i="14"/>
  <c r="AL74" i="14"/>
  <c r="AP74" i="14"/>
  <c r="AK74" i="14"/>
  <c r="AN74" i="14"/>
  <c r="L74" i="14"/>
  <c r="AK75" i="14"/>
  <c r="AO75" i="14"/>
  <c r="AM75" i="14"/>
  <c r="AP75" i="14"/>
  <c r="L75" i="14"/>
  <c r="H75" i="14"/>
  <c r="AJ79" i="14"/>
  <c r="AL77" i="14"/>
  <c r="AL75" i="14"/>
  <c r="AN73" i="14"/>
  <c r="AI68" i="14"/>
  <c r="AK65" i="14"/>
  <c r="AJ62" i="14"/>
  <c r="AN66" i="14"/>
  <c r="AM67" i="14"/>
  <c r="AO69" i="14"/>
  <c r="AP69" i="14"/>
  <c r="AJ69" i="14"/>
  <c r="AI71" i="14"/>
  <c r="AD71" i="14"/>
  <c r="AM71" i="14"/>
  <c r="AJ77" i="14"/>
  <c r="AJ75" i="14"/>
  <c r="AK73" i="14"/>
  <c r="AN70" i="14"/>
  <c r="AO64" i="14"/>
  <c r="AN67" i="14"/>
  <c r="AM64" i="14"/>
  <c r="AI64" i="14"/>
  <c r="AO66" i="14"/>
  <c r="AD66" i="14"/>
  <c r="I67" i="14"/>
  <c r="AI69" i="14"/>
  <c r="AM69" i="14"/>
  <c r="AD70" i="14"/>
  <c r="I71" i="14"/>
  <c r="AP67" i="14"/>
  <c r="AL66" i="14"/>
  <c r="AP66" i="14"/>
  <c r="AP70" i="14"/>
  <c r="AL70" i="14"/>
  <c r="AK66" i="14"/>
  <c r="AJ66" i="14"/>
  <c r="AK67" i="14"/>
  <c r="AO67" i="14"/>
  <c r="I69" i="14"/>
  <c r="AO71" i="14"/>
  <c r="AK71" i="14"/>
  <c r="AO70" i="14"/>
  <c r="AN69" i="14"/>
  <c r="AJ67" i="14"/>
  <c r="AI66" i="14"/>
  <c r="Q66" i="14"/>
  <c r="Q67" i="14"/>
  <c r="Q68" i="14"/>
  <c r="Q69" i="14"/>
  <c r="Q70" i="14"/>
  <c r="Q71" i="14"/>
  <c r="Q72" i="14"/>
  <c r="Q73" i="14"/>
  <c r="Q74" i="14"/>
  <c r="Q75" i="14"/>
  <c r="Q76" i="14"/>
  <c r="Q77" i="14"/>
  <c r="Q78" i="14"/>
  <c r="Q79" i="14"/>
  <c r="R66" i="14"/>
  <c r="R67" i="14"/>
  <c r="R68" i="14"/>
  <c r="R69" i="14"/>
  <c r="R70" i="14"/>
  <c r="R71" i="14"/>
  <c r="R72" i="14"/>
  <c r="R73" i="14"/>
  <c r="R74" i="14"/>
  <c r="R75" i="14"/>
  <c r="R76" i="14"/>
  <c r="R77" i="14"/>
  <c r="R78" i="14"/>
  <c r="R79" i="14"/>
  <c r="U67" i="14"/>
  <c r="U69" i="14"/>
  <c r="U71" i="14"/>
  <c r="U73" i="14"/>
  <c r="U74" i="14"/>
  <c r="U77" i="14"/>
  <c r="U78" i="14"/>
  <c r="U79" i="14"/>
  <c r="Z66" i="14"/>
  <c r="Z67" i="14"/>
  <c r="Z68" i="14"/>
  <c r="Z69" i="14"/>
  <c r="Z70" i="14"/>
  <c r="Z71" i="14"/>
  <c r="Z72" i="14"/>
  <c r="Z73" i="14"/>
  <c r="Z74" i="14"/>
  <c r="Z75" i="14"/>
  <c r="Z76" i="14"/>
  <c r="Z77" i="14"/>
  <c r="Z78" i="14"/>
  <c r="Z79" i="14"/>
  <c r="U66" i="14"/>
  <c r="U68" i="14"/>
  <c r="U70" i="14"/>
  <c r="U75" i="14"/>
  <c r="U76" i="14"/>
  <c r="AA66" i="14"/>
  <c r="AA67" i="14"/>
  <c r="AA68" i="14"/>
  <c r="AA69" i="14"/>
  <c r="AA70" i="14"/>
  <c r="AA71" i="14"/>
  <c r="AA72" i="14"/>
  <c r="AA73" i="14"/>
  <c r="AA74" i="14"/>
  <c r="AA75" i="14"/>
  <c r="AA76" i="14"/>
  <c r="AA77" i="14"/>
  <c r="AA79" i="14"/>
  <c r="U62" i="14"/>
  <c r="N69" i="14"/>
  <c r="N73" i="14"/>
  <c r="N77" i="14"/>
  <c r="N79" i="14"/>
  <c r="BV79" i="14" s="1"/>
  <c r="E62" i="14"/>
  <c r="N62" i="14"/>
  <c r="V62" i="14"/>
  <c r="AE62" i="14"/>
  <c r="E63" i="14"/>
  <c r="N63" i="14"/>
  <c r="V63" i="14"/>
  <c r="AE63" i="14"/>
  <c r="E64" i="14"/>
  <c r="N64" i="14"/>
  <c r="V64" i="14"/>
  <c r="AE64" i="14"/>
  <c r="E65" i="14"/>
  <c r="N65" i="14"/>
  <c r="V65" i="14"/>
  <c r="AE65" i="14"/>
  <c r="U63" i="14"/>
  <c r="U64" i="14"/>
  <c r="N75" i="14"/>
  <c r="O62" i="14"/>
  <c r="F63" i="14"/>
  <c r="F64" i="14"/>
  <c r="AF65" i="14"/>
  <c r="G62" i="14"/>
  <c r="P62" i="14"/>
  <c r="Y62" i="14"/>
  <c r="G63" i="14"/>
  <c r="P63" i="14"/>
  <c r="Y63" i="14"/>
  <c r="G64" i="14"/>
  <c r="P64" i="14"/>
  <c r="Y64" i="14"/>
  <c r="G65" i="14"/>
  <c r="P65" i="14"/>
  <c r="Y65" i="14"/>
  <c r="AC62" i="14"/>
  <c r="AD63" i="14"/>
  <c r="N67" i="14"/>
  <c r="AF63" i="14"/>
  <c r="H63" i="14"/>
  <c r="Q63" i="14"/>
  <c r="Z63" i="14"/>
  <c r="H64" i="14"/>
  <c r="Q64" i="14"/>
  <c r="Z64" i="14"/>
  <c r="H65" i="14"/>
  <c r="Q65" i="14"/>
  <c r="Z65" i="14"/>
  <c r="N66" i="14"/>
  <c r="N68" i="14"/>
  <c r="N70" i="14"/>
  <c r="N72" i="14"/>
  <c r="N74" i="14"/>
  <c r="N76" i="14"/>
  <c r="N78" i="14"/>
  <c r="T62" i="14"/>
  <c r="L62" i="14"/>
  <c r="L63" i="14"/>
  <c r="L64" i="14"/>
  <c r="O64" i="14"/>
  <c r="O65" i="14"/>
  <c r="H62" i="14"/>
  <c r="R63" i="14"/>
  <c r="R64" i="14"/>
  <c r="I65" i="14"/>
  <c r="R65" i="14"/>
  <c r="AA65" i="14"/>
  <c r="K62" i="14"/>
  <c r="K63" i="14"/>
  <c r="AD62" i="14"/>
  <c r="AD64" i="14"/>
  <c r="N71" i="14"/>
  <c r="F62" i="14"/>
  <c r="AF62" i="14"/>
  <c r="O63" i="14"/>
  <c r="AF64" i="14"/>
  <c r="F65" i="14"/>
  <c r="Q62" i="14"/>
  <c r="Z62" i="14"/>
  <c r="I62" i="14"/>
  <c r="R62" i="14"/>
  <c r="AA62" i="14"/>
  <c r="I63" i="14"/>
  <c r="I64" i="14"/>
  <c r="AA64" i="14"/>
  <c r="J62" i="14"/>
  <c r="S62" i="14"/>
  <c r="AB62" i="14"/>
  <c r="J63" i="14"/>
  <c r="S63" i="14"/>
  <c r="AB63" i="14"/>
  <c r="J64" i="14"/>
  <c r="S64" i="14"/>
  <c r="AB64" i="14"/>
  <c r="J65" i="14"/>
  <c r="S65" i="14"/>
  <c r="AB65" i="14"/>
  <c r="T63" i="14"/>
  <c r="AC63" i="14"/>
  <c r="K64" i="14"/>
  <c r="T64" i="14"/>
  <c r="K65" i="14"/>
  <c r="T65" i="14"/>
  <c r="AC65" i="14"/>
  <c r="J66" i="14"/>
  <c r="S66" i="14"/>
  <c r="AB66" i="14"/>
  <c r="J67" i="14"/>
  <c r="S67" i="14"/>
  <c r="AB67" i="14"/>
  <c r="J68" i="14"/>
  <c r="AB68" i="14"/>
  <c r="J69" i="14"/>
  <c r="S69" i="14"/>
  <c r="AB69" i="14"/>
  <c r="J70" i="14"/>
  <c r="S70" i="14"/>
  <c r="AB70" i="14"/>
  <c r="J71" i="14"/>
  <c r="S71" i="14"/>
  <c r="AB71" i="14"/>
  <c r="J72" i="14"/>
  <c r="S72" i="14"/>
  <c r="AB72" i="14"/>
  <c r="J73" i="14"/>
  <c r="S73" i="14"/>
  <c r="AB73" i="14"/>
  <c r="J74" i="14"/>
  <c r="S74" i="14"/>
  <c r="AB74" i="14"/>
  <c r="J75" i="14"/>
  <c r="S75" i="14"/>
  <c r="AB75" i="14"/>
  <c r="J76" i="14"/>
  <c r="S76" i="14"/>
  <c r="AB76" i="14"/>
  <c r="J77" i="14"/>
  <c r="S77" i="14"/>
  <c r="AB77" i="14"/>
  <c r="J78" i="14"/>
  <c r="S78" i="14"/>
  <c r="AB78" i="14"/>
  <c r="J79" i="14"/>
  <c r="S79" i="14"/>
  <c r="AB79" i="14"/>
  <c r="K66" i="14"/>
  <c r="T66" i="14"/>
  <c r="AC66" i="14"/>
  <c r="K67" i="14"/>
  <c r="T67" i="14"/>
  <c r="AC67" i="14"/>
  <c r="K68" i="14"/>
  <c r="T68" i="14"/>
  <c r="K69" i="14"/>
  <c r="T69" i="14"/>
  <c r="AC69" i="14"/>
  <c r="K70" i="14"/>
  <c r="T70" i="14"/>
  <c r="AC70" i="14"/>
  <c r="K71" i="14"/>
  <c r="T71" i="14"/>
  <c r="AC71" i="14"/>
  <c r="K72" i="14"/>
  <c r="T72" i="14"/>
  <c r="AC72" i="14"/>
  <c r="K73" i="14"/>
  <c r="T73" i="14"/>
  <c r="AC73" i="14"/>
  <c r="K74" i="14"/>
  <c r="T74" i="14"/>
  <c r="AC74" i="14"/>
  <c r="K75" i="14"/>
  <c r="T75" i="14"/>
  <c r="AC75" i="14"/>
  <c r="K76" i="14"/>
  <c r="T76" i="14"/>
  <c r="AC76" i="14"/>
  <c r="K77" i="14"/>
  <c r="T77" i="14"/>
  <c r="AC77" i="14"/>
  <c r="K78" i="14"/>
  <c r="T78" i="14"/>
  <c r="AC78" i="14"/>
  <c r="K79" i="14"/>
  <c r="T79" i="14"/>
  <c r="AC79" i="14"/>
  <c r="E66" i="14"/>
  <c r="V66" i="14"/>
  <c r="AE66" i="14"/>
  <c r="E67" i="14"/>
  <c r="V67" i="14"/>
  <c r="AE67" i="14"/>
  <c r="E68" i="14"/>
  <c r="V68" i="14"/>
  <c r="AE68" i="14"/>
  <c r="E69" i="14"/>
  <c r="V69" i="14"/>
  <c r="AE69" i="14"/>
  <c r="E70" i="14"/>
  <c r="V70" i="14"/>
  <c r="AE70" i="14"/>
  <c r="E71" i="14"/>
  <c r="V71" i="14"/>
  <c r="AE71" i="14"/>
  <c r="E72" i="14"/>
  <c r="V72" i="14"/>
  <c r="AE72" i="14"/>
  <c r="E73" i="14"/>
  <c r="V73" i="14"/>
  <c r="AE73" i="14"/>
  <c r="E74" i="14"/>
  <c r="V74" i="14"/>
  <c r="AE74" i="14"/>
  <c r="E75" i="14"/>
  <c r="V75" i="14"/>
  <c r="AE75" i="14"/>
  <c r="E76" i="14"/>
  <c r="V76" i="14"/>
  <c r="AE76" i="14"/>
  <c r="E77" i="14"/>
  <c r="V77" i="14"/>
  <c r="AE77" i="14"/>
  <c r="E78" i="14"/>
  <c r="V78" i="14"/>
  <c r="AE78" i="14"/>
  <c r="E79" i="14"/>
  <c r="V79" i="14"/>
  <c r="AE79" i="14"/>
  <c r="F66" i="14"/>
  <c r="O66" i="14"/>
  <c r="AF66" i="14"/>
  <c r="F67" i="14"/>
  <c r="O67" i="14"/>
  <c r="AF67" i="14"/>
  <c r="F68" i="14"/>
  <c r="O68" i="14"/>
  <c r="AF68" i="14"/>
  <c r="F69" i="14"/>
  <c r="O69" i="14"/>
  <c r="AF69" i="14"/>
  <c r="F70" i="14"/>
  <c r="O70" i="14"/>
  <c r="F71" i="14"/>
  <c r="O71" i="14"/>
  <c r="AF71" i="14"/>
  <c r="F72" i="14"/>
  <c r="O72" i="14"/>
  <c r="AF72" i="14"/>
  <c r="F73" i="14"/>
  <c r="O73" i="14"/>
  <c r="AF73" i="14"/>
  <c r="F74" i="14"/>
  <c r="O74" i="14"/>
  <c r="AF74" i="14"/>
  <c r="F75" i="14"/>
  <c r="O75" i="14"/>
  <c r="AF75" i="14"/>
  <c r="F76" i="14"/>
  <c r="O76" i="14"/>
  <c r="AF76" i="14"/>
  <c r="F77" i="14"/>
  <c r="O77" i="14"/>
  <c r="AF77" i="14"/>
  <c r="F78" i="14"/>
  <c r="O78" i="14"/>
  <c r="AF78" i="14"/>
  <c r="F79" i="14"/>
  <c r="O79" i="14"/>
  <c r="AF79" i="14"/>
  <c r="G66" i="14"/>
  <c r="P66" i="14"/>
  <c r="Y66" i="14"/>
  <c r="G67" i="14"/>
  <c r="P67" i="14"/>
  <c r="Y67" i="14"/>
  <c r="G68" i="14"/>
  <c r="P68" i="14"/>
  <c r="Y68" i="14"/>
  <c r="G69" i="14"/>
  <c r="P69" i="14"/>
  <c r="Y69" i="14"/>
  <c r="G70" i="14"/>
  <c r="P70" i="14"/>
  <c r="Y70" i="14"/>
  <c r="G71" i="14"/>
  <c r="P71" i="14"/>
  <c r="Y71" i="14"/>
  <c r="G72" i="14"/>
  <c r="P72" i="14"/>
  <c r="Y72" i="14"/>
  <c r="G73" i="14"/>
  <c r="P73" i="14"/>
  <c r="Y73" i="14"/>
  <c r="G74" i="14"/>
  <c r="P74" i="14"/>
  <c r="Y74" i="14"/>
  <c r="G75" i="14"/>
  <c r="P75" i="14"/>
  <c r="Y75" i="14"/>
  <c r="G76" i="14"/>
  <c r="P76" i="14"/>
  <c r="Y76" i="14"/>
  <c r="G77" i="14"/>
  <c r="P77" i="14"/>
  <c r="Y77" i="14"/>
  <c r="G78" i="14"/>
  <c r="P78" i="14"/>
  <c r="Y78" i="14"/>
  <c r="G79" i="14"/>
  <c r="P79" i="14"/>
  <c r="Y79" i="14"/>
  <c r="X71" i="14" l="1"/>
  <c r="X72" i="14"/>
  <c r="X67" i="14"/>
  <c r="X65" i="14"/>
  <c r="X73" i="14"/>
  <c r="X75" i="14"/>
  <c r="X70" i="14"/>
  <c r="X62" i="14"/>
  <c r="X76" i="14"/>
  <c r="X68" i="14"/>
  <c r="X63" i="14"/>
  <c r="X79" i="14"/>
  <c r="X69" i="14"/>
  <c r="X78" i="14"/>
  <c r="X74" i="14"/>
  <c r="X66" i="14"/>
  <c r="X64" i="14"/>
  <c r="X77" i="14"/>
  <c r="S25" i="9"/>
  <c r="S47" i="9"/>
  <c r="S53" i="9"/>
  <c r="S62" i="9"/>
  <c r="AC64" i="14" s="1"/>
  <c r="S64" i="9"/>
  <c r="S67" i="9"/>
  <c r="S70" i="9"/>
  <c r="S77" i="9"/>
  <c r="S21" i="9" l="1"/>
  <c r="S20" i="9"/>
  <c r="S74" i="9"/>
  <c r="AD76" i="14" s="1"/>
  <c r="M44" i="9"/>
  <c r="S44" i="9"/>
  <c r="S76" i="9"/>
  <c r="AA78" i="14" s="1"/>
  <c r="S61" i="9"/>
  <c r="AA63" i="14" s="1"/>
  <c r="B5" i="14" l="1"/>
  <c r="B6" i="14"/>
  <c r="B7" i="14"/>
  <c r="B8" i="14"/>
  <c r="B9" i="14"/>
  <c r="B10" i="14"/>
  <c r="B11" i="14"/>
  <c r="B12" i="14"/>
  <c r="B13" i="14"/>
  <c r="B14" i="14"/>
  <c r="B15" i="14"/>
  <c r="B16" i="14"/>
  <c r="B17" i="14"/>
  <c r="B18" i="14"/>
  <c r="B19" i="14"/>
  <c r="B20" i="14"/>
  <c r="B21" i="14"/>
  <c r="B22" i="14"/>
  <c r="B23" i="14"/>
  <c r="B24" i="14"/>
  <c r="B25" i="14"/>
  <c r="B26" i="14"/>
  <c r="B27" i="14"/>
  <c r="B28" i="14"/>
  <c r="B29" i="14"/>
  <c r="B30" i="14"/>
  <c r="B31" i="14"/>
  <c r="B32" i="14"/>
  <c r="B33" i="14"/>
  <c r="B34" i="14"/>
  <c r="B35" i="14"/>
  <c r="B36" i="14"/>
  <c r="B37" i="14"/>
  <c r="B38" i="14"/>
  <c r="B39" i="14"/>
  <c r="B40" i="14"/>
  <c r="B41" i="14"/>
  <c r="B42" i="14"/>
  <c r="B43" i="14"/>
  <c r="B44" i="14"/>
  <c r="B45" i="14"/>
  <c r="B46" i="14"/>
  <c r="B47" i="14"/>
  <c r="B48" i="14"/>
  <c r="B49" i="14"/>
  <c r="B50" i="14"/>
  <c r="B51" i="14"/>
  <c r="B52" i="14"/>
  <c r="B53" i="14"/>
  <c r="B54" i="14"/>
  <c r="B55" i="14"/>
  <c r="B56" i="14"/>
  <c r="B57" i="14"/>
  <c r="B58" i="14"/>
  <c r="B59" i="14"/>
  <c r="B60" i="14"/>
  <c r="B61" i="14"/>
  <c r="F42" i="13" l="1" a="1"/>
  <c r="F42" i="13" s="1"/>
  <c r="F43" i="13" a="1"/>
  <c r="F43" i="13" s="1"/>
  <c r="F44" i="13" a="1"/>
  <c r="F44" i="13" s="1"/>
  <c r="F45" i="13" a="1"/>
  <c r="F45" i="13" s="1"/>
  <c r="F46" i="13" a="1"/>
  <c r="F46" i="13" s="1"/>
  <c r="B4" i="13"/>
  <c r="B5" i="13"/>
  <c r="B6" i="13"/>
  <c r="B7" i="13"/>
  <c r="S7" i="13" s="1"/>
  <c r="B8" i="13"/>
  <c r="B9" i="13"/>
  <c r="B10" i="13"/>
  <c r="B11" i="13"/>
  <c r="B12" i="13"/>
  <c r="B13" i="13"/>
  <c r="B14" i="13"/>
  <c r="B15" i="13"/>
  <c r="R15" i="13" s="1"/>
  <c r="B16" i="13"/>
  <c r="B17" i="13"/>
  <c r="B18" i="13"/>
  <c r="R18" i="13" s="1"/>
  <c r="B19" i="13"/>
  <c r="B20" i="13"/>
  <c r="B21" i="13"/>
  <c r="R14" i="13"/>
  <c r="M35" i="13" l="1"/>
  <c r="M27" i="13"/>
  <c r="M19" i="13"/>
  <c r="M11" i="13"/>
  <c r="K34" i="13"/>
  <c r="K26" i="13"/>
  <c r="K18" i="13"/>
  <c r="K10" i="13"/>
  <c r="O33" i="13"/>
  <c r="O25" i="13"/>
  <c r="O17" i="13"/>
  <c r="O9" i="13"/>
  <c r="L32" i="13"/>
  <c r="L24" i="13"/>
  <c r="L16" i="13"/>
  <c r="L8" i="13"/>
  <c r="R9" i="13"/>
  <c r="K39" i="13"/>
  <c r="K31" i="13"/>
  <c r="K23" i="13"/>
  <c r="K15" i="13"/>
  <c r="K7" i="13"/>
  <c r="R8" i="13"/>
  <c r="N38" i="13"/>
  <c r="N30" i="13"/>
  <c r="N22" i="13"/>
  <c r="N14" i="13"/>
  <c r="N6" i="13"/>
  <c r="R7" i="13"/>
  <c r="N37" i="13"/>
  <c r="L13" i="13"/>
  <c r="P5" i="13"/>
  <c r="R31" i="13"/>
  <c r="R36" i="13"/>
  <c r="R28" i="13"/>
  <c r="P20" i="13"/>
  <c r="R12" i="13"/>
  <c r="D4" i="13"/>
  <c r="R30" i="13"/>
  <c r="R22" i="13"/>
  <c r="R10" i="13"/>
  <c r="R34" i="13"/>
  <c r="R26" i="13"/>
  <c r="R39" i="13"/>
  <c r="R23" i="13"/>
  <c r="R38" i="13"/>
  <c r="R27" i="13"/>
  <c r="R4" i="13"/>
  <c r="R24" i="13"/>
  <c r="R32" i="13"/>
  <c r="N39" i="13"/>
  <c r="R16" i="13"/>
  <c r="L38" i="13"/>
  <c r="L18" i="13"/>
  <c r="P16" i="13"/>
  <c r="R11" i="13"/>
  <c r="R35" i="13"/>
  <c r="P36" i="13"/>
  <c r="L26" i="13"/>
  <c r="N15" i="13"/>
  <c r="N35" i="13"/>
  <c r="L14" i="13"/>
  <c r="N27" i="13"/>
  <c r="L34" i="13"/>
  <c r="N23" i="13"/>
  <c r="N11" i="13"/>
  <c r="R20" i="13"/>
  <c r="P32" i="13"/>
  <c r="L22" i="13"/>
  <c r="L10" i="13"/>
  <c r="R19" i="13"/>
  <c r="N31" i="13"/>
  <c r="P8" i="13"/>
  <c r="P28" i="13"/>
  <c r="L30" i="13"/>
  <c r="N19" i="13"/>
  <c r="L6" i="13"/>
  <c r="D21" i="13"/>
  <c r="I21" i="13"/>
  <c r="E21" i="13"/>
  <c r="F21" i="13"/>
  <c r="H21" i="13"/>
  <c r="G21" i="13"/>
  <c r="I36" i="13"/>
  <c r="G36" i="13"/>
  <c r="H36" i="13"/>
  <c r="D36" i="13"/>
  <c r="F36" i="13"/>
  <c r="I28" i="13"/>
  <c r="H28" i="13"/>
  <c r="F28" i="13"/>
  <c r="D28" i="13"/>
  <c r="G28" i="13"/>
  <c r="E28" i="13"/>
  <c r="H20" i="13"/>
  <c r="I20" i="13"/>
  <c r="G20" i="13"/>
  <c r="F20" i="13"/>
  <c r="D20" i="13"/>
  <c r="E20" i="13"/>
  <c r="I12" i="13"/>
  <c r="G12" i="13"/>
  <c r="D12" i="13"/>
  <c r="E12" i="13"/>
  <c r="F12" i="13"/>
  <c r="H12" i="13"/>
  <c r="I4" i="13"/>
  <c r="G4" i="13"/>
  <c r="E4" i="13"/>
  <c r="H4" i="13"/>
  <c r="F4" i="13"/>
  <c r="P4" i="13"/>
  <c r="M39" i="13"/>
  <c r="K38" i="13"/>
  <c r="O36" i="13"/>
  <c r="O32" i="13"/>
  <c r="M31" i="13"/>
  <c r="K30" i="13"/>
  <c r="O28" i="13"/>
  <c r="O24" i="13"/>
  <c r="M23" i="13"/>
  <c r="K22" i="13"/>
  <c r="O20" i="13"/>
  <c r="O16" i="13"/>
  <c r="M15" i="13"/>
  <c r="K14" i="13"/>
  <c r="O12" i="13"/>
  <c r="M7" i="13"/>
  <c r="R37" i="13"/>
  <c r="R21" i="13"/>
  <c r="R13" i="13"/>
  <c r="E35" i="13"/>
  <c r="G35" i="13"/>
  <c r="H35" i="13"/>
  <c r="I35" i="13"/>
  <c r="D35" i="13"/>
  <c r="F35" i="13"/>
  <c r="G27" i="13"/>
  <c r="E27" i="13"/>
  <c r="H27" i="13"/>
  <c r="F27" i="13"/>
  <c r="I27" i="13"/>
  <c r="D27" i="13"/>
  <c r="F19" i="13"/>
  <c r="G19" i="13"/>
  <c r="H19" i="13"/>
  <c r="E19" i="13"/>
  <c r="I19" i="13"/>
  <c r="D19" i="13"/>
  <c r="G11" i="13"/>
  <c r="H11" i="13"/>
  <c r="E11" i="13"/>
  <c r="F11" i="13"/>
  <c r="I11" i="13"/>
  <c r="D11" i="13"/>
  <c r="O4" i="13"/>
  <c r="L39" i="13"/>
  <c r="P37" i="13"/>
  <c r="N36" i="13"/>
  <c r="L35" i="13"/>
  <c r="P33" i="13"/>
  <c r="N32" i="13"/>
  <c r="L31" i="13"/>
  <c r="N28" i="13"/>
  <c r="L27" i="13"/>
  <c r="P25" i="13"/>
  <c r="N24" i="13"/>
  <c r="L23" i="13"/>
  <c r="P21" i="13"/>
  <c r="N20" i="13"/>
  <c r="L19" i="13"/>
  <c r="P17" i="13"/>
  <c r="N16" i="13"/>
  <c r="P13" i="13"/>
  <c r="N12" i="13"/>
  <c r="L11" i="13"/>
  <c r="P9" i="13"/>
  <c r="N8" i="13"/>
  <c r="L7" i="13"/>
  <c r="D5" i="13"/>
  <c r="I5" i="13"/>
  <c r="E5" i="13"/>
  <c r="F5" i="13"/>
  <c r="H5" i="13"/>
  <c r="G5" i="13"/>
  <c r="D34" i="13"/>
  <c r="E34" i="13"/>
  <c r="F34" i="13"/>
  <c r="G34" i="13"/>
  <c r="H34" i="13"/>
  <c r="I34" i="13"/>
  <c r="D26" i="13"/>
  <c r="E26" i="13"/>
  <c r="F26" i="13"/>
  <c r="G26" i="13"/>
  <c r="H26" i="13"/>
  <c r="I26" i="13"/>
  <c r="E18" i="13"/>
  <c r="D18" i="13"/>
  <c r="F18" i="13"/>
  <c r="G18" i="13"/>
  <c r="H18" i="13"/>
  <c r="I18" i="13"/>
  <c r="D10" i="13"/>
  <c r="AU10" i="13" s="1"/>
  <c r="E10" i="13"/>
  <c r="F10" i="13"/>
  <c r="G10" i="13"/>
  <c r="H10" i="13"/>
  <c r="I10" i="13"/>
  <c r="N4" i="13"/>
  <c r="O37" i="13"/>
  <c r="M36" i="13"/>
  <c r="K35" i="13"/>
  <c r="M32" i="13"/>
  <c r="M28" i="13"/>
  <c r="K27" i="13"/>
  <c r="M24" i="13"/>
  <c r="O21" i="13"/>
  <c r="M20" i="13"/>
  <c r="K19" i="13"/>
  <c r="M16" i="13"/>
  <c r="O13" i="13"/>
  <c r="M12" i="13"/>
  <c r="M8" i="13"/>
  <c r="O5" i="13"/>
  <c r="R5" i="13"/>
  <c r="D33" i="13"/>
  <c r="I33" i="13"/>
  <c r="E33" i="13"/>
  <c r="F33" i="13"/>
  <c r="H33" i="13"/>
  <c r="G33" i="13"/>
  <c r="D25" i="13"/>
  <c r="E25" i="13"/>
  <c r="H25" i="13"/>
  <c r="I25" i="13"/>
  <c r="F25" i="13"/>
  <c r="G25" i="13"/>
  <c r="D17" i="13"/>
  <c r="I17" i="13"/>
  <c r="E17" i="13"/>
  <c r="F17" i="13"/>
  <c r="H17" i="13"/>
  <c r="AO17" i="13" s="1"/>
  <c r="G17" i="13"/>
  <c r="D9" i="13"/>
  <c r="I9" i="13"/>
  <c r="E9" i="13"/>
  <c r="F9" i="13"/>
  <c r="G9" i="13"/>
  <c r="H9" i="13"/>
  <c r="M4" i="13"/>
  <c r="P38" i="13"/>
  <c r="L36" i="13"/>
  <c r="P34" i="13"/>
  <c r="N33" i="13"/>
  <c r="P30" i="13"/>
  <c r="L28" i="13"/>
  <c r="P26" i="13"/>
  <c r="N25" i="13"/>
  <c r="P22" i="13"/>
  <c r="N21" i="13"/>
  <c r="L20" i="13"/>
  <c r="P18" i="13"/>
  <c r="N17" i="13"/>
  <c r="P14" i="13"/>
  <c r="N13" i="13"/>
  <c r="L12" i="13"/>
  <c r="P10" i="13"/>
  <c r="N9" i="13"/>
  <c r="P6" i="13"/>
  <c r="N5" i="13"/>
  <c r="I37" i="13"/>
  <c r="D37" i="13"/>
  <c r="H37" i="13"/>
  <c r="E37" i="13"/>
  <c r="F37" i="13"/>
  <c r="G37" i="13"/>
  <c r="H32" i="13"/>
  <c r="I32" i="13"/>
  <c r="G32" i="13"/>
  <c r="F32" i="13"/>
  <c r="D32" i="13"/>
  <c r="E32" i="13"/>
  <c r="I24" i="13"/>
  <c r="F24" i="13"/>
  <c r="G24" i="13"/>
  <c r="D24" i="13"/>
  <c r="E24" i="13"/>
  <c r="H24" i="13"/>
  <c r="G16" i="13"/>
  <c r="H16" i="13"/>
  <c r="I16" i="13"/>
  <c r="F16" i="13"/>
  <c r="D16" i="13"/>
  <c r="E16" i="13"/>
  <c r="H8" i="13"/>
  <c r="I8" i="13"/>
  <c r="G8" i="13"/>
  <c r="D8" i="13"/>
  <c r="F8" i="13"/>
  <c r="E8" i="13"/>
  <c r="O38" i="13"/>
  <c r="M37" i="13"/>
  <c r="K36" i="13"/>
  <c r="O34" i="13"/>
  <c r="M33" i="13"/>
  <c r="K32" i="13"/>
  <c r="O30" i="13"/>
  <c r="K28" i="13"/>
  <c r="O26" i="13"/>
  <c r="M25" i="13"/>
  <c r="K24" i="13"/>
  <c r="O22" i="13"/>
  <c r="M21" i="13"/>
  <c r="K20" i="13"/>
  <c r="O18" i="13"/>
  <c r="M17" i="13"/>
  <c r="K16" i="13"/>
  <c r="O14" i="13"/>
  <c r="K12" i="13"/>
  <c r="M9" i="13"/>
  <c r="K8" i="13"/>
  <c r="O6" i="13"/>
  <c r="M5" i="13"/>
  <c r="R33" i="13"/>
  <c r="R25" i="13"/>
  <c r="R17" i="13"/>
  <c r="G39" i="13"/>
  <c r="F39" i="13"/>
  <c r="H39" i="13"/>
  <c r="I39" i="13"/>
  <c r="D39" i="13"/>
  <c r="G31" i="13"/>
  <c r="H31" i="13"/>
  <c r="E31" i="13"/>
  <c r="I31" i="13"/>
  <c r="F31" i="13"/>
  <c r="D31" i="13"/>
  <c r="G23" i="13"/>
  <c r="E23" i="13"/>
  <c r="H23" i="13"/>
  <c r="I23" i="13"/>
  <c r="F23" i="13"/>
  <c r="D23" i="13"/>
  <c r="G15" i="13"/>
  <c r="E15" i="13"/>
  <c r="H15" i="13"/>
  <c r="I15" i="13"/>
  <c r="F15" i="13"/>
  <c r="D15" i="13"/>
  <c r="F7" i="13"/>
  <c r="G7" i="13"/>
  <c r="E7" i="13"/>
  <c r="H7" i="13"/>
  <c r="I7" i="13"/>
  <c r="D7" i="13"/>
  <c r="P39" i="13"/>
  <c r="L37" i="13"/>
  <c r="P35" i="13"/>
  <c r="N34" i="13"/>
  <c r="L33" i="13"/>
  <c r="P31" i="13"/>
  <c r="P27" i="13"/>
  <c r="N26" i="13"/>
  <c r="L25" i="13"/>
  <c r="P23" i="13"/>
  <c r="L21" i="13"/>
  <c r="P19" i="13"/>
  <c r="N18" i="13"/>
  <c r="L17" i="13"/>
  <c r="P15" i="13"/>
  <c r="P11" i="13"/>
  <c r="N10" i="13"/>
  <c r="P7" i="13"/>
  <c r="L5" i="13"/>
  <c r="D13" i="13"/>
  <c r="I13" i="13"/>
  <c r="E13" i="13"/>
  <c r="F13" i="13"/>
  <c r="H13" i="13"/>
  <c r="G13" i="13"/>
  <c r="F38" i="13"/>
  <c r="G38" i="13"/>
  <c r="H38" i="13"/>
  <c r="D38" i="13"/>
  <c r="I38" i="13"/>
  <c r="E30" i="13"/>
  <c r="F30" i="13"/>
  <c r="G30" i="13"/>
  <c r="H30" i="13"/>
  <c r="D30" i="13"/>
  <c r="I30" i="13"/>
  <c r="AR30" i="13" s="1"/>
  <c r="E22" i="13"/>
  <c r="F22" i="13"/>
  <c r="G22" i="13"/>
  <c r="D22" i="13"/>
  <c r="H22" i="13"/>
  <c r="I22" i="13"/>
  <c r="E14" i="13"/>
  <c r="F14" i="13"/>
  <c r="G14" i="13"/>
  <c r="H14" i="13"/>
  <c r="D14" i="13"/>
  <c r="AU14" i="13" s="1"/>
  <c r="I14" i="13"/>
  <c r="D6" i="13"/>
  <c r="E6" i="13"/>
  <c r="F6" i="13"/>
  <c r="G6" i="13"/>
  <c r="H6" i="13"/>
  <c r="I6" i="13"/>
  <c r="O39" i="13"/>
  <c r="M38" i="13"/>
  <c r="K37" i="13"/>
  <c r="O35" i="13"/>
  <c r="M34" i="13"/>
  <c r="K33" i="13"/>
  <c r="O31" i="13"/>
  <c r="M30" i="13"/>
  <c r="O27" i="13"/>
  <c r="M26" i="13"/>
  <c r="K25" i="13"/>
  <c r="O23" i="13"/>
  <c r="M22" i="13"/>
  <c r="K21" i="13"/>
  <c r="O19" i="13"/>
  <c r="M18" i="13"/>
  <c r="K17" i="13"/>
  <c r="O15" i="13"/>
  <c r="M14" i="13"/>
  <c r="K13" i="13"/>
  <c r="O11" i="13"/>
  <c r="M10" i="13"/>
  <c r="K9" i="13"/>
  <c r="O7" i="13"/>
  <c r="M6" i="13"/>
  <c r="K5" i="13"/>
  <c r="R6" i="13"/>
  <c r="S4" i="13"/>
  <c r="T4" i="13"/>
  <c r="U4" i="13"/>
  <c r="V4" i="13"/>
  <c r="W4" i="13"/>
  <c r="S5" i="13"/>
  <c r="T5" i="13"/>
  <c r="U5" i="13"/>
  <c r="V5" i="13"/>
  <c r="W5" i="13"/>
  <c r="S6" i="13"/>
  <c r="T6" i="13"/>
  <c r="U6" i="13"/>
  <c r="V6" i="13"/>
  <c r="W6" i="13"/>
  <c r="T7" i="13"/>
  <c r="U7" i="13"/>
  <c r="V7" i="13"/>
  <c r="W7" i="13"/>
  <c r="S8" i="13"/>
  <c r="T8" i="13"/>
  <c r="U8" i="13"/>
  <c r="V8" i="13"/>
  <c r="W8" i="13"/>
  <c r="S9" i="13"/>
  <c r="T9" i="13"/>
  <c r="U9" i="13"/>
  <c r="V9" i="13"/>
  <c r="W9" i="13"/>
  <c r="S10" i="13"/>
  <c r="T10" i="13"/>
  <c r="U10" i="13"/>
  <c r="V10" i="13"/>
  <c r="W10" i="13"/>
  <c r="S11" i="13"/>
  <c r="T11" i="13"/>
  <c r="U11" i="13"/>
  <c r="V11" i="13"/>
  <c r="W11" i="13"/>
  <c r="S12" i="13"/>
  <c r="T12" i="13"/>
  <c r="U12" i="13"/>
  <c r="V12" i="13"/>
  <c r="W12" i="13"/>
  <c r="S13" i="13"/>
  <c r="T13" i="13"/>
  <c r="U13" i="13"/>
  <c r="V13" i="13"/>
  <c r="W13" i="13"/>
  <c r="S14" i="13"/>
  <c r="T14" i="13"/>
  <c r="U14" i="13"/>
  <c r="V14" i="13"/>
  <c r="W14" i="13"/>
  <c r="S15" i="13"/>
  <c r="T15" i="13"/>
  <c r="U15" i="13"/>
  <c r="V15" i="13"/>
  <c r="W15" i="13"/>
  <c r="S16" i="13"/>
  <c r="T16" i="13"/>
  <c r="U16" i="13"/>
  <c r="V16" i="13"/>
  <c r="W16" i="13"/>
  <c r="S17" i="13"/>
  <c r="T17" i="13"/>
  <c r="U17" i="13"/>
  <c r="V17" i="13"/>
  <c r="W17" i="13"/>
  <c r="S18" i="13"/>
  <c r="T18" i="13"/>
  <c r="U18" i="13"/>
  <c r="V18" i="13"/>
  <c r="W18" i="13"/>
  <c r="S19" i="13"/>
  <c r="T19" i="13"/>
  <c r="U19" i="13"/>
  <c r="V19" i="13"/>
  <c r="W19" i="13"/>
  <c r="S20" i="13"/>
  <c r="T20" i="13"/>
  <c r="U20" i="13"/>
  <c r="V20" i="13"/>
  <c r="W20" i="13"/>
  <c r="S21" i="13"/>
  <c r="T21" i="13"/>
  <c r="U21" i="13"/>
  <c r="V21" i="13"/>
  <c r="W21" i="13"/>
  <c r="S22" i="13"/>
  <c r="T22" i="13"/>
  <c r="U22" i="13"/>
  <c r="V22" i="13"/>
  <c r="W22" i="13"/>
  <c r="S23" i="13"/>
  <c r="T23" i="13"/>
  <c r="U23" i="13"/>
  <c r="V23" i="13"/>
  <c r="W23" i="13"/>
  <c r="S24" i="13"/>
  <c r="T24" i="13"/>
  <c r="U24" i="13"/>
  <c r="V24" i="13"/>
  <c r="W24" i="13"/>
  <c r="S25" i="13"/>
  <c r="T25" i="13"/>
  <c r="U25" i="13"/>
  <c r="V25" i="13"/>
  <c r="W25" i="13"/>
  <c r="S26" i="13"/>
  <c r="T26" i="13"/>
  <c r="U26" i="13"/>
  <c r="V26" i="13"/>
  <c r="W26" i="13"/>
  <c r="S27" i="13"/>
  <c r="T27" i="13"/>
  <c r="U27" i="13"/>
  <c r="V27" i="13"/>
  <c r="W27" i="13"/>
  <c r="S28" i="13"/>
  <c r="T28" i="13"/>
  <c r="U28" i="13"/>
  <c r="V28" i="13"/>
  <c r="W28" i="13"/>
  <c r="S30" i="13"/>
  <c r="T30" i="13"/>
  <c r="U30" i="13"/>
  <c r="V30" i="13"/>
  <c r="W30" i="13"/>
  <c r="S31" i="13"/>
  <c r="T31" i="13"/>
  <c r="U31" i="13"/>
  <c r="V31" i="13"/>
  <c r="W31" i="13"/>
  <c r="S32" i="13"/>
  <c r="T32" i="13"/>
  <c r="U32" i="13"/>
  <c r="V32" i="13"/>
  <c r="W32" i="13"/>
  <c r="S33" i="13"/>
  <c r="T33" i="13"/>
  <c r="U33" i="13"/>
  <c r="V33" i="13"/>
  <c r="W33" i="13"/>
  <c r="S34" i="13"/>
  <c r="T34" i="13"/>
  <c r="U34" i="13"/>
  <c r="V34" i="13"/>
  <c r="W34" i="13"/>
  <c r="S35" i="13"/>
  <c r="T35" i="13"/>
  <c r="U35" i="13"/>
  <c r="V35" i="13"/>
  <c r="W35" i="13"/>
  <c r="S36" i="13"/>
  <c r="T36" i="13"/>
  <c r="U36" i="13"/>
  <c r="V36" i="13"/>
  <c r="W36" i="13"/>
  <c r="S37" i="13"/>
  <c r="T37" i="13"/>
  <c r="U37" i="13"/>
  <c r="V37" i="13"/>
  <c r="W37" i="13"/>
  <c r="S38" i="13"/>
  <c r="T38" i="13"/>
  <c r="U38" i="13"/>
  <c r="V38" i="13"/>
  <c r="W38" i="13"/>
  <c r="S39" i="13"/>
  <c r="T39" i="13"/>
  <c r="U39" i="13"/>
  <c r="V39" i="13"/>
  <c r="W39" i="13"/>
  <c r="AK7" i="13" l="1"/>
  <c r="BE31" i="13"/>
  <c r="AO24" i="13"/>
  <c r="AY21" i="13"/>
  <c r="AV6" i="13"/>
  <c r="AT13" i="13"/>
  <c r="Z14" i="8"/>
  <c r="AR9" i="13"/>
  <c r="AL8" i="13"/>
  <c r="AR5" i="13"/>
  <c r="AT12" i="13"/>
  <c r="AR26" i="13"/>
  <c r="AO6" i="13"/>
  <c r="BC5" i="13"/>
  <c r="AT39" i="13"/>
  <c r="AH22" i="13"/>
  <c r="AO5" i="13"/>
  <c r="BC35" i="13"/>
  <c r="AM22" i="13"/>
  <c r="AH5" i="13"/>
  <c r="AN5" i="13"/>
  <c r="AG20" i="13"/>
  <c r="AX11" i="13"/>
  <c r="AL37" i="13"/>
  <c r="AJ5" i="13"/>
  <c r="BD6" i="13"/>
  <c r="BC14" i="13"/>
  <c r="AI21" i="13"/>
  <c r="BA6" i="13"/>
  <c r="AY14" i="13"/>
  <c r="AG21" i="13"/>
  <c r="BC30" i="13"/>
  <c r="AQ31" i="13"/>
  <c r="AY23" i="13"/>
  <c r="AX35" i="13"/>
  <c r="AT35" i="13"/>
  <c r="AY32" i="13"/>
  <c r="AV25" i="13"/>
  <c r="AN28" i="13"/>
  <c r="AR37" i="13"/>
  <c r="AO30" i="13"/>
  <c r="AJ14" i="13"/>
  <c r="AJ7" i="13"/>
  <c r="AP30" i="13"/>
  <c r="BA5" i="13"/>
  <c r="AQ5" i="13"/>
  <c r="AP22" i="13"/>
  <c r="BA39" i="13"/>
  <c r="BB5" i="13"/>
  <c r="AN21" i="13"/>
  <c r="AR6" i="13"/>
  <c r="AR14" i="13"/>
  <c r="AK30" i="13"/>
  <c r="BD23" i="13"/>
  <c r="BB31" i="13"/>
  <c r="AI8" i="13"/>
  <c r="AY16" i="13"/>
  <c r="AZ37" i="13"/>
  <c r="AX33" i="13"/>
  <c r="AP13" i="13"/>
  <c r="AY19" i="13"/>
  <c r="AU37" i="13"/>
  <c r="BB21" i="13"/>
  <c r="AN6" i="13"/>
  <c r="AZ5" i="13"/>
  <c r="AX17" i="13"/>
  <c r="AV30" i="13"/>
  <c r="AY37" i="13"/>
  <c r="AK21" i="13"/>
  <c r="AV21" i="13"/>
  <c r="BB7" i="13"/>
  <c r="BE6" i="13"/>
  <c r="AK22" i="13"/>
  <c r="AY13" i="13"/>
  <c r="AV23" i="13"/>
  <c r="AV37" i="13"/>
  <c r="AR27" i="13"/>
  <c r="AP14" i="13"/>
  <c r="AZ14" i="13"/>
  <c r="AW22" i="13"/>
  <c r="AW13" i="13"/>
  <c r="AO15" i="13"/>
  <c r="AZ23" i="13"/>
  <c r="AP37" i="13"/>
  <c r="AT5" i="13"/>
  <c r="AZ35" i="13"/>
  <c r="BD21" i="13"/>
  <c r="AU21" i="13"/>
  <c r="AK6" i="13"/>
  <c r="AL6" i="13"/>
  <c r="AY6" i="13"/>
  <c r="AG30" i="13"/>
  <c r="AM15" i="13"/>
  <c r="AZ15" i="13"/>
  <c r="BC8" i="13"/>
  <c r="BB8" i="13"/>
  <c r="AI24" i="13"/>
  <c r="AJ24" i="13"/>
  <c r="AW24" i="13"/>
  <c r="AV24" i="13"/>
  <c r="AZ32" i="13"/>
  <c r="BA32" i="13"/>
  <c r="AM32" i="13"/>
  <c r="AI17" i="13"/>
  <c r="AJ17" i="13"/>
  <c r="AW17" i="13"/>
  <c r="AV17" i="13"/>
  <c r="AK26" i="13"/>
  <c r="AY26" i="13"/>
  <c r="AX26" i="13"/>
  <c r="AL26" i="13"/>
  <c r="AU34" i="13"/>
  <c r="AT11" i="13"/>
  <c r="AU11" i="13"/>
  <c r="AI27" i="13"/>
  <c r="AV27" i="13"/>
  <c r="AW27" i="13"/>
  <c r="AJ27" i="13"/>
  <c r="BA4" i="13"/>
  <c r="AM4" i="13"/>
  <c r="AZ4" i="13"/>
  <c r="AN4" i="13"/>
  <c r="AG28" i="13"/>
  <c r="AH28" i="13"/>
  <c r="AU28" i="13"/>
  <c r="AT28" i="13"/>
  <c r="AX5" i="13"/>
  <c r="AQ37" i="13"/>
  <c r="BD37" i="13"/>
  <c r="AQ14" i="13"/>
  <c r="AU22" i="13"/>
  <c r="AT38" i="13"/>
  <c r="AN15" i="13"/>
  <c r="BB17" i="13"/>
  <c r="BD22" i="13"/>
  <c r="AQ22" i="13"/>
  <c r="AR22" i="13"/>
  <c r="AK38" i="13"/>
  <c r="AY38" i="13"/>
  <c r="AZ7" i="13"/>
  <c r="BA7" i="13"/>
  <c r="AH23" i="13"/>
  <c r="AU23" i="13"/>
  <c r="AG23" i="13"/>
  <c r="AT23" i="13"/>
  <c r="BD31" i="13"/>
  <c r="AR31" i="13"/>
  <c r="AY39" i="13"/>
  <c r="AL39" i="13"/>
  <c r="AX39" i="13"/>
  <c r="AW16" i="13"/>
  <c r="AI16" i="13"/>
  <c r="AV16" i="13"/>
  <c r="AU24" i="13"/>
  <c r="AG24" i="13"/>
  <c r="AH24" i="13"/>
  <c r="AT24" i="13"/>
  <c r="BE32" i="13"/>
  <c r="BD32" i="13"/>
  <c r="AQ32" i="13"/>
  <c r="AR32" i="13"/>
  <c r="AK9" i="13"/>
  <c r="AL9" i="13"/>
  <c r="AX9" i="13"/>
  <c r="AY9" i="13"/>
  <c r="AQ17" i="13"/>
  <c r="BE17" i="13"/>
  <c r="BD17" i="13"/>
  <c r="AR17" i="13"/>
  <c r="AZ33" i="13"/>
  <c r="BA33" i="13"/>
  <c r="AN33" i="13"/>
  <c r="AM33" i="13"/>
  <c r="BD10" i="13"/>
  <c r="AQ10" i="13"/>
  <c r="AR10" i="13"/>
  <c r="BE10" i="13"/>
  <c r="AZ18" i="13"/>
  <c r="BA18" i="13"/>
  <c r="AN18" i="13"/>
  <c r="AI26" i="13"/>
  <c r="AJ26" i="13"/>
  <c r="AW26" i="13"/>
  <c r="AV26" i="13"/>
  <c r="AQ11" i="13"/>
  <c r="BD11" i="13"/>
  <c r="AO19" i="13"/>
  <c r="BC19" i="13"/>
  <c r="AP19" i="13"/>
  <c r="AZ27" i="13"/>
  <c r="AM27" i="13"/>
  <c r="BA27" i="13"/>
  <c r="AN27" i="13"/>
  <c r="AR4" i="13"/>
  <c r="BD4" i="13"/>
  <c r="BE4" i="13"/>
  <c r="AQ4" i="13"/>
  <c r="AT20" i="13"/>
  <c r="AU20" i="13"/>
  <c r="AY28" i="13"/>
  <c r="AX28" i="13"/>
  <c r="AL28" i="13"/>
  <c r="AK28" i="13"/>
  <c r="BD36" i="13"/>
  <c r="BE36" i="13"/>
  <c r="AR36" i="13"/>
  <c r="AQ36" i="13"/>
  <c r="AP5" i="13"/>
  <c r="AW5" i="13"/>
  <c r="AM5" i="13"/>
  <c r="AH13" i="13"/>
  <c r="AJ13" i="13"/>
  <c r="AT21" i="13"/>
  <c r="AQ21" i="13"/>
  <c r="AM21" i="13"/>
  <c r="AK37" i="13"/>
  <c r="BA37" i="13"/>
  <c r="AJ35" i="13"/>
  <c r="AI35" i="13"/>
  <c r="BB35" i="13"/>
  <c r="AW6" i="13"/>
  <c r="AT6" i="13"/>
  <c r="AX6" i="13"/>
  <c r="AK14" i="13"/>
  <c r="AY22" i="13"/>
  <c r="AH30" i="13"/>
  <c r="AO38" i="13"/>
  <c r="AW15" i="13"/>
  <c r="AQ23" i="13"/>
  <c r="BE23" i="13"/>
  <c r="AO31" i="13"/>
  <c r="AM38" i="13"/>
  <c r="BA38" i="13"/>
  <c r="AZ38" i="13"/>
  <c r="AV7" i="13"/>
  <c r="AX31" i="13"/>
  <c r="AY31" i="13"/>
  <c r="AK31" i="13"/>
  <c r="AP39" i="13"/>
  <c r="AO39" i="13"/>
  <c r="AZ9" i="13"/>
  <c r="AM9" i="13"/>
  <c r="BA9" i="13"/>
  <c r="AN9" i="13"/>
  <c r="AG25" i="13"/>
  <c r="AU25" i="13"/>
  <c r="AT25" i="13"/>
  <c r="AH25" i="13"/>
  <c r="BB18" i="13"/>
  <c r="BC18" i="13"/>
  <c r="AP18" i="13"/>
  <c r="AO18" i="13"/>
  <c r="AW19" i="13"/>
  <c r="AV19" i="13"/>
  <c r="AI19" i="13"/>
  <c r="AW20" i="13"/>
  <c r="AJ20" i="13"/>
  <c r="AI20" i="13"/>
  <c r="AV20" i="13"/>
  <c r="AN36" i="13"/>
  <c r="BA36" i="13"/>
  <c r="AM36" i="13"/>
  <c r="AZ36" i="13"/>
  <c r="AU4" i="13"/>
  <c r="AT4" i="13"/>
  <c r="AG13" i="13"/>
  <c r="AP21" i="13"/>
  <c r="AG35" i="13"/>
  <c r="AM30" i="13"/>
  <c r="AI38" i="13"/>
  <c r="AW38" i="13"/>
  <c r="AX7" i="13"/>
  <c r="AX23" i="13"/>
  <c r="AW31" i="13"/>
  <c r="AJ31" i="13"/>
  <c r="AV31" i="13"/>
  <c r="AM39" i="13"/>
  <c r="AN39" i="13"/>
  <c r="AG16" i="13"/>
  <c r="AH16" i="13"/>
  <c r="AU16" i="13"/>
  <c r="AN24" i="13"/>
  <c r="AM24" i="13"/>
  <c r="BA24" i="13"/>
  <c r="BB32" i="13"/>
  <c r="BC32" i="13"/>
  <c r="AP32" i="13"/>
  <c r="AW9" i="13"/>
  <c r="AT17" i="13"/>
  <c r="AH17" i="13"/>
  <c r="AG17" i="13"/>
  <c r="AU17" i="13"/>
  <c r="AO33" i="13"/>
  <c r="BC33" i="13"/>
  <c r="AP33" i="13"/>
  <c r="BB33" i="13"/>
  <c r="BC10" i="13"/>
  <c r="BB10" i="13"/>
  <c r="AL18" i="13"/>
  <c r="AK18" i="13"/>
  <c r="AX18" i="13"/>
  <c r="AY18" i="13"/>
  <c r="AT26" i="13"/>
  <c r="AG26" i="13"/>
  <c r="AH26" i="13"/>
  <c r="AU26" i="13"/>
  <c r="AY11" i="13"/>
  <c r="AK11" i="13"/>
  <c r="AL11" i="13"/>
  <c r="BA19" i="13"/>
  <c r="AZ19" i="13"/>
  <c r="AL35" i="13"/>
  <c r="AP12" i="13"/>
  <c r="BB12" i="13"/>
  <c r="AO12" i="13"/>
  <c r="BC12" i="13"/>
  <c r="AL20" i="13"/>
  <c r="AX20" i="13"/>
  <c r="AY20" i="13"/>
  <c r="AK20" i="13"/>
  <c r="AO28" i="13"/>
  <c r="BB28" i="13"/>
  <c r="BC28" i="13"/>
  <c r="AP28" i="13"/>
  <c r="AL5" i="13"/>
  <c r="AR13" i="13"/>
  <c r="AH21" i="13"/>
  <c r="AO21" i="13"/>
  <c r="AW21" i="13"/>
  <c r="AI37" i="13"/>
  <c r="AG37" i="13"/>
  <c r="AQ35" i="13"/>
  <c r="BD35" i="13"/>
  <c r="AJ6" i="13"/>
  <c r="AZ6" i="13"/>
  <c r="AM14" i="13"/>
  <c r="BC22" i="13"/>
  <c r="AJ38" i="13"/>
  <c r="AL7" i="13"/>
  <c r="BA15" i="13"/>
  <c r="BC39" i="13"/>
  <c r="AR11" i="13"/>
  <c r="AX8" i="13"/>
  <c r="AJ16" i="13"/>
  <c r="AX30" i="13"/>
  <c r="AY30" i="13"/>
  <c r="AG15" i="13"/>
  <c r="AT15" i="13"/>
  <c r="AU15" i="13"/>
  <c r="AK24" i="13"/>
  <c r="AL24" i="13"/>
  <c r="AY24" i="13"/>
  <c r="BA25" i="13"/>
  <c r="AM25" i="13"/>
  <c r="AZ25" i="13"/>
  <c r="AN25" i="13"/>
  <c r="AM10" i="13"/>
  <c r="BA10" i="13"/>
  <c r="AN10" i="13"/>
  <c r="AZ10" i="13"/>
  <c r="AI22" i="13"/>
  <c r="BE22" i="13"/>
  <c r="AN30" i="13"/>
  <c r="AZ30" i="13"/>
  <c r="AV38" i="13"/>
  <c r="AN19" i="13"/>
  <c r="AI7" i="13"/>
  <c r="AW7" i="13"/>
  <c r="BB15" i="13"/>
  <c r="AK39" i="13"/>
  <c r="AT16" i="13"/>
  <c r="AO32" i="13"/>
  <c r="AM28" i="13"/>
  <c r="BC31" i="13"/>
  <c r="AJ8" i="13"/>
  <c r="AL16" i="13"/>
  <c r="AX16" i="13"/>
  <c r="AK16" i="13"/>
  <c r="AL33" i="13"/>
  <c r="AY33" i="13"/>
  <c r="BE34" i="13"/>
  <c r="BD34" i="13"/>
  <c r="AW11" i="13"/>
  <c r="AX19" i="13"/>
  <c r="AK19" i="13"/>
  <c r="AL19" i="13"/>
  <c r="BD28" i="13"/>
  <c r="BE28" i="13"/>
  <c r="AQ28" i="13"/>
  <c r="AR28" i="13"/>
  <c r="AU13" i="13"/>
  <c r="AM37" i="13"/>
  <c r="BA35" i="13"/>
  <c r="AI14" i="13"/>
  <c r="AH14" i="13"/>
  <c r="BA22" i="13"/>
  <c r="AJ30" i="13"/>
  <c r="AW30" i="13"/>
  <c r="AY15" i="13"/>
  <c r="AK15" i="13"/>
  <c r="AX15" i="13"/>
  <c r="AL15" i="13"/>
  <c r="AO23" i="13"/>
  <c r="BB23" i="13"/>
  <c r="BC23" i="13"/>
  <c r="AP23" i="13"/>
  <c r="AM31" i="13"/>
  <c r="AN31" i="13"/>
  <c r="AZ31" i="13"/>
  <c r="AK8" i="13"/>
  <c r="AY8" i="13"/>
  <c r="AR16" i="13"/>
  <c r="BD16" i="13"/>
  <c r="BE16" i="13"/>
  <c r="BD24" i="13"/>
  <c r="BE24" i="13"/>
  <c r="AH9" i="13"/>
  <c r="AG9" i="13"/>
  <c r="AU9" i="13"/>
  <c r="AK25" i="13"/>
  <c r="AX25" i="13"/>
  <c r="AY25" i="13"/>
  <c r="AW33" i="13"/>
  <c r="AJ33" i="13"/>
  <c r="AV33" i="13"/>
  <c r="AI33" i="13"/>
  <c r="AY10" i="13"/>
  <c r="AK10" i="13"/>
  <c r="AL10" i="13"/>
  <c r="AV18" i="13"/>
  <c r="AJ18" i="13"/>
  <c r="AI18" i="13"/>
  <c r="AW18" i="13"/>
  <c r="BC34" i="13"/>
  <c r="BB34" i="13"/>
  <c r="AP11" i="13"/>
  <c r="BB11" i="13"/>
  <c r="AO11" i="13"/>
  <c r="BC11" i="13"/>
  <c r="AG27" i="13"/>
  <c r="AT27" i="13"/>
  <c r="AH27" i="13"/>
  <c r="AU27" i="13"/>
  <c r="AR35" i="13"/>
  <c r="AW12" i="13"/>
  <c r="AI12" i="13"/>
  <c r="AJ12" i="13"/>
  <c r="AV12" i="13"/>
  <c r="AR20" i="13"/>
  <c r="BD20" i="13"/>
  <c r="BE20" i="13"/>
  <c r="AQ20" i="13"/>
  <c r="AK36" i="13"/>
  <c r="AY36" i="13"/>
  <c r="AL36" i="13"/>
  <c r="AX36" i="13"/>
  <c r="AV5" i="13"/>
  <c r="AU5" i="13"/>
  <c r="BE5" i="13"/>
  <c r="AX13" i="13"/>
  <c r="AQ13" i="13"/>
  <c r="AZ13" i="13"/>
  <c r="AZ21" i="13"/>
  <c r="BA21" i="13"/>
  <c r="BC21" i="13"/>
  <c r="AX37" i="13"/>
  <c r="BC37" i="13"/>
  <c r="AO35" i="13"/>
  <c r="AH35" i="13"/>
  <c r="BE35" i="13"/>
  <c r="AI6" i="13"/>
  <c r="AW14" i="13"/>
  <c r="AV14" i="13"/>
  <c r="BE14" i="13"/>
  <c r="AO22" i="13"/>
  <c r="AT30" i="13"/>
  <c r="BB30" i="13"/>
  <c r="AX38" i="13"/>
  <c r="AT19" i="13"/>
  <c r="AY7" i="13"/>
  <c r="AM23" i="13"/>
  <c r="AP31" i="13"/>
  <c r="AJ11" i="13"/>
  <c r="AW8" i="13"/>
  <c r="AX24" i="13"/>
  <c r="AK33" i="13"/>
  <c r="AM18" i="13"/>
  <c r="AT34" i="13"/>
  <c r="AR23" i="13"/>
  <c r="BE9" i="13"/>
  <c r="AQ9" i="13"/>
  <c r="AU18" i="13"/>
  <c r="AT18" i="13"/>
  <c r="AG18" i="13"/>
  <c r="AH18" i="13"/>
  <c r="AX12" i="13"/>
  <c r="AL12" i="13"/>
  <c r="AY12" i="13"/>
  <c r="AK12" i="13"/>
  <c r="AM20" i="13"/>
  <c r="BA20" i="13"/>
  <c r="AN20" i="13"/>
  <c r="AZ20" i="13"/>
  <c r="AI13" i="13"/>
  <c r="AL22" i="13"/>
  <c r="BE38" i="13"/>
  <c r="AR38" i="13"/>
  <c r="BD38" i="13"/>
  <c r="AQ38" i="13"/>
  <c r="AU7" i="13"/>
  <c r="AH7" i="13"/>
  <c r="AT7" i="13"/>
  <c r="AG7" i="13"/>
  <c r="BE15" i="13"/>
  <c r="AR15" i="13"/>
  <c r="AQ15" i="13"/>
  <c r="BD15" i="13"/>
  <c r="AW23" i="13"/>
  <c r="AJ23" i="13"/>
  <c r="AI23" i="13"/>
  <c r="AU39" i="13"/>
  <c r="AG39" i="13"/>
  <c r="AH39" i="13"/>
  <c r="AH8" i="13"/>
  <c r="AU8" i="13"/>
  <c r="AT8" i="13"/>
  <c r="AG8" i="13"/>
  <c r="AP16" i="13"/>
  <c r="AO16" i="13"/>
  <c r="BB16" i="13"/>
  <c r="BC16" i="13"/>
  <c r="AI32" i="13"/>
  <c r="AW32" i="13"/>
  <c r="AV32" i="13"/>
  <c r="AJ32" i="13"/>
  <c r="AW37" i="13"/>
  <c r="AN17" i="13"/>
  <c r="AZ17" i="13"/>
  <c r="AM17" i="13"/>
  <c r="BA17" i="13"/>
  <c r="BD25" i="13"/>
  <c r="AQ25" i="13"/>
  <c r="BE25" i="13"/>
  <c r="AR25" i="13"/>
  <c r="AQ33" i="13"/>
  <c r="BE33" i="13"/>
  <c r="AR33" i="13"/>
  <c r="BD33" i="13"/>
  <c r="AV10" i="13"/>
  <c r="AW10" i="13"/>
  <c r="AI10" i="13"/>
  <c r="AJ10" i="13"/>
  <c r="BD26" i="13"/>
  <c r="BE26" i="13"/>
  <c r="AQ26" i="13"/>
  <c r="BA34" i="13"/>
  <c r="AZ34" i="13"/>
  <c r="BA11" i="13"/>
  <c r="AN11" i="13"/>
  <c r="AZ11" i="13"/>
  <c r="AM11" i="13"/>
  <c r="AQ27" i="13"/>
  <c r="BE27" i="13"/>
  <c r="BD27" i="13"/>
  <c r="AP35" i="13"/>
  <c r="AY4" i="13"/>
  <c r="AK4" i="13"/>
  <c r="AX4" i="13"/>
  <c r="AL4" i="13"/>
  <c r="AH12" i="13"/>
  <c r="AG12" i="13"/>
  <c r="AU12" i="13"/>
  <c r="BB20" i="13"/>
  <c r="BC20" i="13"/>
  <c r="AO20" i="13"/>
  <c r="AP20" i="13"/>
  <c r="AV36" i="13"/>
  <c r="AJ36" i="13"/>
  <c r="AW36" i="13"/>
  <c r="AI36" i="13"/>
  <c r="AK5" i="13"/>
  <c r="AG5" i="13"/>
  <c r="BD5" i="13"/>
  <c r="AN13" i="13"/>
  <c r="AM13" i="13"/>
  <c r="BA13" i="13"/>
  <c r="AL21" i="13"/>
  <c r="BE21" i="13"/>
  <c r="AJ37" i="13"/>
  <c r="BE37" i="13"/>
  <c r="AU35" i="13"/>
  <c r="AY35" i="13"/>
  <c r="AQ6" i="13"/>
  <c r="AM6" i="13"/>
  <c r="AN14" i="13"/>
  <c r="AG22" i="13"/>
  <c r="AX22" i="13"/>
  <c r="AL30" i="13"/>
  <c r="AG38" i="13"/>
  <c r="AJ19" i="13"/>
  <c r="BB19" i="13"/>
  <c r="AK23" i="13"/>
  <c r="AL31" i="13"/>
  <c r="AZ39" i="13"/>
  <c r="BE11" i="13"/>
  <c r="AV8" i="13"/>
  <c r="AZ24" i="13"/>
  <c r="AV9" i="13"/>
  <c r="AL25" i="13"/>
  <c r="BC6" i="13"/>
  <c r="BB6" i="13"/>
  <c r="AU38" i="13"/>
  <c r="AH38" i="13"/>
  <c r="BC15" i="13"/>
  <c r="AP15" i="13"/>
  <c r="AW39" i="13"/>
  <c r="AI39" i="13"/>
  <c r="AJ39" i="13"/>
  <c r="BA16" i="13"/>
  <c r="AN16" i="13"/>
  <c r="AZ16" i="13"/>
  <c r="AM16" i="13"/>
  <c r="AO13" i="13"/>
  <c r="BB13" i="13"/>
  <c r="BC13" i="13"/>
  <c r="AX21" i="13"/>
  <c r="AJ21" i="13"/>
  <c r="AK35" i="13"/>
  <c r="AU6" i="13"/>
  <c r="AP6" i="13"/>
  <c r="AO14" i="13"/>
  <c r="AT14" i="13"/>
  <c r="BB14" i="13"/>
  <c r="AN22" i="13"/>
  <c r="AZ22" i="13"/>
  <c r="BA30" i="13"/>
  <c r="AN38" i="13"/>
  <c r="AM19" i="13"/>
  <c r="AH15" i="13"/>
  <c r="BB39" i="13"/>
  <c r="AI11" i="13"/>
  <c r="AN32" i="13"/>
  <c r="AT9" i="13"/>
  <c r="BA14" i="13"/>
  <c r="AJ22" i="13"/>
  <c r="AV22" i="13"/>
  <c r="AR7" i="13"/>
  <c r="BD7" i="13"/>
  <c r="AQ7" i="13"/>
  <c r="BE7" i="13"/>
  <c r="BA23" i="13"/>
  <c r="AN23" i="13"/>
  <c r="BA8" i="13"/>
  <c r="AZ8" i="13"/>
  <c r="AN8" i="13"/>
  <c r="AM8" i="13"/>
  <c r="AH32" i="13"/>
  <c r="AU32" i="13"/>
  <c r="AG32" i="13"/>
  <c r="AT32" i="13"/>
  <c r="AO37" i="13"/>
  <c r="BC17" i="13"/>
  <c r="AP17" i="13"/>
  <c r="BB25" i="13"/>
  <c r="AO25" i="13"/>
  <c r="AP25" i="13"/>
  <c r="BC25" i="13"/>
  <c r="AU33" i="13"/>
  <c r="AT33" i="13"/>
  <c r="AG33" i="13"/>
  <c r="AH33" i="13"/>
  <c r="AT10" i="13"/>
  <c r="AH10" i="13"/>
  <c r="AG10" i="13"/>
  <c r="BC26" i="13"/>
  <c r="BB26" i="13"/>
  <c r="AP26" i="13"/>
  <c r="AO26" i="13"/>
  <c r="AX34" i="13"/>
  <c r="AY34" i="13"/>
  <c r="AG19" i="13"/>
  <c r="AU19" i="13"/>
  <c r="AH19" i="13"/>
  <c r="AY27" i="13"/>
  <c r="AX27" i="13"/>
  <c r="AL27" i="13"/>
  <c r="AK27" i="13"/>
  <c r="AO4" i="13"/>
  <c r="BB4" i="13"/>
  <c r="BC4" i="13"/>
  <c r="AP4" i="13"/>
  <c r="AM12" i="13"/>
  <c r="AZ12" i="13"/>
  <c r="BA12" i="13"/>
  <c r="AN12" i="13"/>
  <c r="AI28" i="13"/>
  <c r="AV28" i="13"/>
  <c r="AW28" i="13"/>
  <c r="AJ28" i="13"/>
  <c r="AU36" i="13"/>
  <c r="AT36" i="13"/>
  <c r="AH36" i="13"/>
  <c r="AG36" i="13"/>
  <c r="AY5" i="13"/>
  <c r="AX14" i="13"/>
  <c r="AL14" i="13"/>
  <c r="BE30" i="13"/>
  <c r="BD30" i="13"/>
  <c r="AQ30" i="13"/>
  <c r="BB38" i="13"/>
  <c r="AP38" i="13"/>
  <c r="AO7" i="13"/>
  <c r="BC7" i="13"/>
  <c r="AV15" i="13"/>
  <c r="AU31" i="13"/>
  <c r="AH31" i="13"/>
  <c r="AT31" i="13"/>
  <c r="AG31" i="13"/>
  <c r="AQ39" i="13"/>
  <c r="BD39" i="13"/>
  <c r="BE39" i="13"/>
  <c r="AR39" i="13"/>
  <c r="BD8" i="13"/>
  <c r="AQ8" i="13"/>
  <c r="AR8" i="13"/>
  <c r="BC24" i="13"/>
  <c r="BB24" i="13"/>
  <c r="AP24" i="13"/>
  <c r="AX32" i="13"/>
  <c r="AK32" i="13"/>
  <c r="AL32" i="13"/>
  <c r="AT37" i="13"/>
  <c r="BB9" i="13"/>
  <c r="AP9" i="13"/>
  <c r="BC9" i="13"/>
  <c r="AO9" i="13"/>
  <c r="AL17" i="13"/>
  <c r="AY17" i="13"/>
  <c r="AK17" i="13"/>
  <c r="AW25" i="13"/>
  <c r="AJ25" i="13"/>
  <c r="AI25" i="13"/>
  <c r="AR18" i="13"/>
  <c r="AQ18" i="13"/>
  <c r="BD18" i="13"/>
  <c r="BE18" i="13"/>
  <c r="BA26" i="13"/>
  <c r="AN26" i="13"/>
  <c r="AZ26" i="13"/>
  <c r="AM26" i="13"/>
  <c r="AV34" i="13"/>
  <c r="AW34" i="13"/>
  <c r="BD19" i="13"/>
  <c r="AQ19" i="13"/>
  <c r="AR19" i="13"/>
  <c r="BB27" i="13"/>
  <c r="AP27" i="13"/>
  <c r="BC27" i="13"/>
  <c r="AO27" i="13"/>
  <c r="AW35" i="13"/>
  <c r="AW4" i="13"/>
  <c r="AV4" i="13"/>
  <c r="BD12" i="13"/>
  <c r="BE12" i="13"/>
  <c r="AZ28" i="13"/>
  <c r="BA28" i="13"/>
  <c r="AO36" i="13"/>
  <c r="BB36" i="13"/>
  <c r="AP36" i="13"/>
  <c r="AI5" i="13"/>
  <c r="AV13" i="13"/>
  <c r="BD13" i="13"/>
  <c r="BE13" i="13"/>
  <c r="AR21" i="13"/>
  <c r="AH37" i="13"/>
  <c r="AN37" i="13"/>
  <c r="BB37" i="13"/>
  <c r="AM35" i="13"/>
  <c r="AN35" i="13"/>
  <c r="AV35" i="13"/>
  <c r="AG14" i="13"/>
  <c r="BD14" i="13"/>
  <c r="AT22" i="13"/>
  <c r="BB22" i="13"/>
  <c r="AI30" i="13"/>
  <c r="AU30" i="13"/>
  <c r="AL38" i="13"/>
  <c r="BC38" i="13"/>
  <c r="BE19" i="13"/>
  <c r="AP7" i="13"/>
  <c r="AL23" i="13"/>
  <c r="AI31" i="13"/>
  <c r="BA31" i="13"/>
  <c r="AV39" i="13"/>
  <c r="AV11" i="13"/>
  <c r="BE8" i="13"/>
  <c r="AQ16" i="13"/>
  <c r="BD9" i="13"/>
  <c r="AX10" i="13"/>
  <c r="AH20" i="13"/>
  <c r="BC36" i="13"/>
  <c r="AO34" i="13"/>
  <c r="AP34" i="13"/>
  <c r="AN34" i="13"/>
  <c r="AM34" i="13"/>
  <c r="AG34" i="13"/>
  <c r="AH34" i="13"/>
  <c r="AQ34" i="13"/>
  <c r="AR34" i="13"/>
  <c r="AL34" i="13"/>
  <c r="AK34" i="13"/>
  <c r="AI34" i="13"/>
  <c r="AJ34" i="13"/>
  <c r="Z13" i="8"/>
  <c r="BE42" i="8"/>
  <c r="Z16" i="8"/>
  <c r="BE40" i="8"/>
  <c r="BE39" i="8"/>
  <c r="Z15" i="8"/>
  <c r="Z17" i="8"/>
  <c r="AB54" i="11" l="1"/>
  <c r="Y24" i="13" l="1"/>
  <c r="Z24" i="13"/>
  <c r="AA24" i="13"/>
  <c r="AB24" i="13"/>
  <c r="AC24" i="13"/>
  <c r="AD24" i="13"/>
  <c r="Y25" i="13"/>
  <c r="Z25" i="13"/>
  <c r="AA25" i="13"/>
  <c r="AB25" i="13"/>
  <c r="AC25" i="13"/>
  <c r="AD25" i="13"/>
  <c r="Y26" i="13"/>
  <c r="Z26" i="13"/>
  <c r="AA26" i="13"/>
  <c r="AB26" i="13"/>
  <c r="AC26" i="13"/>
  <c r="AD26" i="13"/>
  <c r="Y27" i="13"/>
  <c r="Z27" i="13"/>
  <c r="AA27" i="13"/>
  <c r="AB27" i="13"/>
  <c r="AC27" i="13"/>
  <c r="AD27" i="13"/>
  <c r="Y28" i="13"/>
  <c r="Z28" i="13"/>
  <c r="AA28" i="13"/>
  <c r="AB28" i="13"/>
  <c r="AC28" i="13"/>
  <c r="AD28" i="13"/>
  <c r="Y30" i="13"/>
  <c r="Z30" i="13"/>
  <c r="AA30" i="13"/>
  <c r="AB30" i="13"/>
  <c r="AC30" i="13"/>
  <c r="AD30" i="13"/>
  <c r="Y31" i="13"/>
  <c r="Z31" i="13"/>
  <c r="AA31" i="13"/>
  <c r="AB31" i="13"/>
  <c r="AC31" i="13"/>
  <c r="AD31" i="13"/>
  <c r="Y32" i="13"/>
  <c r="Z32" i="13"/>
  <c r="AA32" i="13"/>
  <c r="AB32" i="13"/>
  <c r="AC32" i="13"/>
  <c r="AD32" i="13"/>
  <c r="Y33" i="13"/>
  <c r="Z33" i="13"/>
  <c r="AA33" i="13"/>
  <c r="AB33" i="13"/>
  <c r="AC33" i="13"/>
  <c r="AD33" i="13"/>
  <c r="Y34" i="13"/>
  <c r="Z34" i="13"/>
  <c r="AA34" i="13"/>
  <c r="AB34" i="13"/>
  <c r="AC34" i="13"/>
  <c r="AD34" i="13"/>
  <c r="Y35" i="13"/>
  <c r="Z35" i="13"/>
  <c r="AA35" i="13"/>
  <c r="AB35" i="13"/>
  <c r="AC35" i="13"/>
  <c r="AD35" i="13"/>
  <c r="Y36" i="13"/>
  <c r="Z36" i="13"/>
  <c r="AA36" i="13"/>
  <c r="AB36" i="13"/>
  <c r="AC36" i="13"/>
  <c r="AD36" i="13"/>
  <c r="Y37" i="13"/>
  <c r="Z37" i="13"/>
  <c r="AA37" i="13"/>
  <c r="AB37" i="13"/>
  <c r="AC37" i="13"/>
  <c r="AD37" i="13"/>
  <c r="Y38" i="13"/>
  <c r="Z38" i="13"/>
  <c r="AA38" i="13"/>
  <c r="AB38" i="13"/>
  <c r="AC38" i="13"/>
  <c r="AD38" i="13"/>
  <c r="Y39" i="13"/>
  <c r="Z39" i="13"/>
  <c r="AA39" i="13"/>
  <c r="AB39" i="13"/>
  <c r="AC39" i="13"/>
  <c r="AD39" i="13"/>
  <c r="Y5" i="13"/>
  <c r="Z5" i="13"/>
  <c r="AA5" i="13"/>
  <c r="AB5" i="13"/>
  <c r="AC5" i="13"/>
  <c r="AD5" i="13"/>
  <c r="Z6" i="13"/>
  <c r="AA6" i="13"/>
  <c r="AB6" i="13"/>
  <c r="AC6" i="13"/>
  <c r="AD6" i="13"/>
  <c r="Y7" i="13"/>
  <c r="Z7" i="13"/>
  <c r="AA7" i="13"/>
  <c r="AC7" i="13"/>
  <c r="AD7" i="13"/>
  <c r="Y8" i="13"/>
  <c r="Z8" i="13"/>
  <c r="AA8" i="13"/>
  <c r="AB8" i="13"/>
  <c r="AC8" i="13"/>
  <c r="AD8" i="13"/>
  <c r="Y9" i="13"/>
  <c r="AA9" i="13"/>
  <c r="AB9" i="13"/>
  <c r="AC9" i="13"/>
  <c r="AD9" i="13"/>
  <c r="Y10" i="13"/>
  <c r="Z10" i="13"/>
  <c r="AA10" i="13"/>
  <c r="AB10" i="13"/>
  <c r="AD10" i="13"/>
  <c r="Z11" i="13"/>
  <c r="AA11" i="13"/>
  <c r="AB11" i="13"/>
  <c r="AC11" i="13"/>
  <c r="AD11" i="13"/>
  <c r="Y12" i="13"/>
  <c r="Z12" i="13"/>
  <c r="AA12" i="13"/>
  <c r="AB12" i="13"/>
  <c r="AC12" i="13"/>
  <c r="Y13" i="13"/>
  <c r="Z13" i="13"/>
  <c r="AB13" i="13"/>
  <c r="AC13" i="13"/>
  <c r="AD13" i="13"/>
  <c r="Y14" i="13"/>
  <c r="Z14" i="13"/>
  <c r="AA14" i="13"/>
  <c r="AB14" i="13"/>
  <c r="AC14" i="13"/>
  <c r="AD14" i="13"/>
  <c r="Y15" i="13"/>
  <c r="AA15" i="13"/>
  <c r="AB15" i="13"/>
  <c r="AC15" i="13"/>
  <c r="AD15" i="13"/>
  <c r="Y16" i="13"/>
  <c r="Z16" i="13"/>
  <c r="AA16" i="13"/>
  <c r="AB16" i="13"/>
  <c r="AC16" i="13"/>
  <c r="AD16" i="13"/>
  <c r="Y17" i="13"/>
  <c r="Z17" i="13"/>
  <c r="AA17" i="13"/>
  <c r="AB17" i="13"/>
  <c r="AC17" i="13"/>
  <c r="AD17" i="13"/>
  <c r="Y18" i="13"/>
  <c r="Z18" i="13"/>
  <c r="AA18" i="13"/>
  <c r="AB18" i="13"/>
  <c r="AC18" i="13"/>
  <c r="AD18" i="13"/>
  <c r="Y19" i="13"/>
  <c r="Z19" i="13"/>
  <c r="AA19" i="13"/>
  <c r="AB19" i="13"/>
  <c r="AC19" i="13"/>
  <c r="AD19" i="13"/>
  <c r="Y20" i="13"/>
  <c r="Z20" i="13"/>
  <c r="AA20" i="13"/>
  <c r="AB20" i="13"/>
  <c r="AC20" i="13"/>
  <c r="AD20" i="13"/>
  <c r="Y21" i="13"/>
  <c r="Z21" i="13"/>
  <c r="AA21" i="13"/>
  <c r="AB21" i="13"/>
  <c r="AC21" i="13"/>
  <c r="AD21" i="13"/>
  <c r="Y22" i="13"/>
  <c r="Z22" i="13"/>
  <c r="AA22" i="13"/>
  <c r="AB22" i="13"/>
  <c r="AC22" i="13"/>
  <c r="AD22" i="13"/>
  <c r="Y23" i="13"/>
  <c r="Z23" i="13"/>
  <c r="AA23" i="13"/>
  <c r="AB23" i="13"/>
  <c r="AC23" i="13"/>
  <c r="AD23" i="13"/>
  <c r="AA4" i="13"/>
  <c r="AB4" i="13"/>
  <c r="AC4" i="13"/>
  <c r="AD4" i="13"/>
  <c r="Y4" i="13"/>
  <c r="K4" i="13"/>
  <c r="C5" i="14"/>
  <c r="C6" i="14"/>
  <c r="C7" i="14"/>
  <c r="C8" i="14"/>
  <c r="C9" i="14"/>
  <c r="C10" i="14"/>
  <c r="C11" i="14"/>
  <c r="C12" i="14"/>
  <c r="C13" i="14"/>
  <c r="C14" i="14"/>
  <c r="C15" i="14"/>
  <c r="C16" i="14"/>
  <c r="C17" i="14"/>
  <c r="C18" i="14"/>
  <c r="C19" i="14"/>
  <c r="C20" i="14"/>
  <c r="C21" i="14"/>
  <c r="C22" i="14"/>
  <c r="C23" i="14"/>
  <c r="C24" i="14"/>
  <c r="C25" i="14"/>
  <c r="C26" i="14"/>
  <c r="C27" i="14"/>
  <c r="C28" i="14"/>
  <c r="C29" i="14"/>
  <c r="C30" i="14"/>
  <c r="C31" i="14"/>
  <c r="C32" i="14"/>
  <c r="C33" i="14"/>
  <c r="C34" i="14"/>
  <c r="C35" i="14"/>
  <c r="C36" i="14"/>
  <c r="C37" i="14"/>
  <c r="C38" i="14"/>
  <c r="C39" i="14"/>
  <c r="C40" i="14"/>
  <c r="C41" i="14"/>
  <c r="C42" i="14"/>
  <c r="C43" i="14"/>
  <c r="C44" i="14"/>
  <c r="C45" i="14"/>
  <c r="C46" i="14"/>
  <c r="C47" i="14"/>
  <c r="C48" i="14"/>
  <c r="C49" i="14"/>
  <c r="C50" i="14"/>
  <c r="C51" i="14"/>
  <c r="C52" i="14"/>
  <c r="C53" i="14"/>
  <c r="C54" i="14"/>
  <c r="C55" i="14"/>
  <c r="C56" i="14"/>
  <c r="C57" i="14"/>
  <c r="C58" i="14"/>
  <c r="C59" i="14"/>
  <c r="C60" i="14"/>
  <c r="C61" i="14"/>
  <c r="BL77" i="14"/>
  <c r="CF78" i="14"/>
  <c r="D5" i="14"/>
  <c r="AH5" i="14" s="1"/>
  <c r="D6" i="14"/>
  <c r="AH6" i="14" s="1"/>
  <c r="D7" i="14"/>
  <c r="AH7" i="14" s="1"/>
  <c r="D8" i="14"/>
  <c r="AH8" i="14" s="1"/>
  <c r="D9" i="14"/>
  <c r="AH9" i="14" s="1"/>
  <c r="D10" i="14"/>
  <c r="AH10" i="14" s="1"/>
  <c r="D11" i="14"/>
  <c r="AH11" i="14" s="1"/>
  <c r="D12" i="14"/>
  <c r="AH12" i="14" s="1"/>
  <c r="D13" i="14"/>
  <c r="AH13" i="14" s="1"/>
  <c r="D14" i="14"/>
  <c r="AH14" i="14" s="1"/>
  <c r="D15" i="14"/>
  <c r="AH15" i="14" s="1"/>
  <c r="D16" i="14"/>
  <c r="AH16" i="14" s="1"/>
  <c r="D17" i="14"/>
  <c r="AH17" i="14" s="1"/>
  <c r="D18" i="14"/>
  <c r="AH18" i="14" s="1"/>
  <c r="D19" i="14"/>
  <c r="AH19" i="14" s="1"/>
  <c r="D20" i="14"/>
  <c r="AH20" i="14" s="1"/>
  <c r="D21" i="14"/>
  <c r="AH21" i="14" s="1"/>
  <c r="D22" i="14"/>
  <c r="AH22" i="14" s="1"/>
  <c r="D23" i="14"/>
  <c r="AH23" i="14" s="1"/>
  <c r="D24" i="14"/>
  <c r="AH24" i="14" s="1"/>
  <c r="D25" i="14"/>
  <c r="AH25" i="14" s="1"/>
  <c r="D26" i="14"/>
  <c r="AH26" i="14" s="1"/>
  <c r="D27" i="14"/>
  <c r="AH27" i="14" s="1"/>
  <c r="D28" i="14"/>
  <c r="AH28" i="14" s="1"/>
  <c r="D29" i="14"/>
  <c r="AH29" i="14" s="1"/>
  <c r="D30" i="14"/>
  <c r="AH30" i="14" s="1"/>
  <c r="D31" i="14"/>
  <c r="AH31" i="14" s="1"/>
  <c r="D32" i="14"/>
  <c r="AH32" i="14" s="1"/>
  <c r="D33" i="14"/>
  <c r="AH33" i="14" s="1"/>
  <c r="D34" i="14"/>
  <c r="AH34" i="14" s="1"/>
  <c r="D35" i="14"/>
  <c r="AH35" i="14" s="1"/>
  <c r="D36" i="14"/>
  <c r="AH36" i="14" s="1"/>
  <c r="D37" i="14"/>
  <c r="AH37" i="14" s="1"/>
  <c r="D38" i="14"/>
  <c r="AH38" i="14" s="1"/>
  <c r="D39" i="14"/>
  <c r="AH39" i="14" s="1"/>
  <c r="D40" i="14"/>
  <c r="AH40" i="14" s="1"/>
  <c r="D41" i="14"/>
  <c r="AH41" i="14" s="1"/>
  <c r="D42" i="14"/>
  <c r="AH42" i="14" s="1"/>
  <c r="D43" i="14"/>
  <c r="AH43" i="14" s="1"/>
  <c r="D44" i="14"/>
  <c r="AH44" i="14" s="1"/>
  <c r="D45" i="14"/>
  <c r="AH45" i="14" s="1"/>
  <c r="D46" i="14"/>
  <c r="AH46" i="14" s="1"/>
  <c r="D47" i="14"/>
  <c r="AH47" i="14" s="1"/>
  <c r="D48" i="14"/>
  <c r="AH48" i="14" s="1"/>
  <c r="D49" i="14"/>
  <c r="AH49" i="14" s="1"/>
  <c r="D50" i="14"/>
  <c r="AH50" i="14" s="1"/>
  <c r="D51" i="14"/>
  <c r="AH51" i="14" s="1"/>
  <c r="D52" i="14"/>
  <c r="AH52" i="14" s="1"/>
  <c r="D53" i="14"/>
  <c r="AH53" i="14" s="1"/>
  <c r="D54" i="14"/>
  <c r="AH54" i="14" s="1"/>
  <c r="D55" i="14"/>
  <c r="AH55" i="14" s="1"/>
  <c r="D56" i="14"/>
  <c r="AH56" i="14" s="1"/>
  <c r="D57" i="14"/>
  <c r="AH57" i="14" s="1"/>
  <c r="D58" i="14"/>
  <c r="AH58" i="14" s="1"/>
  <c r="D59" i="14"/>
  <c r="AH59" i="14" s="1"/>
  <c r="D60" i="14"/>
  <c r="AH60" i="14" s="1"/>
  <c r="D61" i="14"/>
  <c r="AH61" i="14" s="1"/>
  <c r="CF64" i="14"/>
  <c r="BB71" i="14"/>
  <c r="B5" i="4"/>
  <c r="B6" i="4" s="1"/>
  <c r="B7" i="4" s="1"/>
  <c r="B8" i="4" s="1"/>
  <c r="B9" i="4" s="1"/>
  <c r="B10" i="4" s="1"/>
  <c r="B11" i="4" s="1"/>
  <c r="B12" i="4" s="1"/>
  <c r="B13" i="4" s="1"/>
  <c r="B14" i="4" s="1"/>
  <c r="B15" i="4" s="1"/>
  <c r="B4" i="4"/>
  <c r="AI72" i="9"/>
  <c r="AH72" i="9"/>
  <c r="Y77" i="9"/>
  <c r="Y76" i="9"/>
  <c r="AI76" i="9"/>
  <c r="AH76" i="9"/>
  <c r="AI75" i="9"/>
  <c r="AH75" i="9"/>
  <c r="V55" i="9"/>
  <c r="Y55" i="9"/>
  <c r="X55" i="9"/>
  <c r="X58" i="9"/>
  <c r="X51" i="9"/>
  <c r="Y51" i="9" s="1"/>
  <c r="AH51" i="9"/>
  <c r="X59" i="9"/>
  <c r="Y59" i="9" s="1"/>
  <c r="AH73" i="9"/>
  <c r="Y73" i="9"/>
  <c r="Y71" i="9"/>
  <c r="AH71" i="9"/>
  <c r="AI66" i="9"/>
  <c r="AI70" i="9"/>
  <c r="AH70" i="9"/>
  <c r="AI69" i="9"/>
  <c r="AH69" i="9"/>
  <c r="Y69" i="9"/>
  <c r="Y64" i="9"/>
  <c r="Y42" i="9"/>
  <c r="X41" i="9"/>
  <c r="Y41" i="9" s="1"/>
  <c r="X29" i="9"/>
  <c r="Y29" i="9" s="1"/>
  <c r="X15" i="9"/>
  <c r="AH68" i="9"/>
  <c r="L68" i="9"/>
  <c r="S68" i="9"/>
  <c r="AF70" i="14" s="1"/>
  <c r="AM24" i="14" l="1"/>
  <c r="AN24" i="14"/>
  <c r="AO24" i="14"/>
  <c r="AJ24" i="14"/>
  <c r="AI24" i="14"/>
  <c r="AL24" i="14"/>
  <c r="AK24" i="14"/>
  <c r="AP24" i="14"/>
  <c r="AO47" i="14"/>
  <c r="AK47" i="14"/>
  <c r="AI47" i="14"/>
  <c r="AJ47" i="14"/>
  <c r="AL47" i="14"/>
  <c r="AN47" i="14"/>
  <c r="AP47" i="14"/>
  <c r="AM47" i="14"/>
  <c r="AO23" i="14"/>
  <c r="AI23" i="14"/>
  <c r="AK23" i="14"/>
  <c r="AN23" i="14"/>
  <c r="AP23" i="14"/>
  <c r="AJ23" i="14"/>
  <c r="AM23" i="14"/>
  <c r="AL23" i="14"/>
  <c r="AL46" i="14"/>
  <c r="AN46" i="14"/>
  <c r="AO46" i="14"/>
  <c r="AI46" i="14"/>
  <c r="AJ46" i="14"/>
  <c r="AM46" i="14"/>
  <c r="AP46" i="14"/>
  <c r="AK46" i="14"/>
  <c r="AP30" i="14"/>
  <c r="AJ30" i="14"/>
  <c r="AL30" i="14"/>
  <c r="AO30" i="14"/>
  <c r="AI30" i="14"/>
  <c r="AK30" i="14"/>
  <c r="AN30" i="14"/>
  <c r="AM30" i="14"/>
  <c r="AJ14" i="14"/>
  <c r="AL14" i="14"/>
  <c r="AI14" i="14"/>
  <c r="AK14" i="14"/>
  <c r="AM14" i="14"/>
  <c r="AN14" i="14"/>
  <c r="AP14" i="14"/>
  <c r="AO14" i="14"/>
  <c r="AM45" i="14"/>
  <c r="AN45" i="14"/>
  <c r="AO45" i="14"/>
  <c r="AP45" i="14"/>
  <c r="AK45" i="14"/>
  <c r="AL45" i="14"/>
  <c r="AJ45" i="14"/>
  <c r="AI45" i="14"/>
  <c r="AM29" i="14"/>
  <c r="AL29" i="14"/>
  <c r="AN29" i="14"/>
  <c r="AO29" i="14"/>
  <c r="AP29" i="14"/>
  <c r="AK29" i="14"/>
  <c r="AJ29" i="14"/>
  <c r="AI29" i="14"/>
  <c r="AI21" i="14"/>
  <c r="AK21" i="14"/>
  <c r="AM21" i="14"/>
  <c r="AJ21" i="14"/>
  <c r="AL21" i="14"/>
  <c r="AN21" i="14"/>
  <c r="AO21" i="14"/>
  <c r="AP21" i="14"/>
  <c r="AL60" i="14"/>
  <c r="AP60" i="14"/>
  <c r="AJ60" i="14"/>
  <c r="AM60" i="14"/>
  <c r="AN60" i="14"/>
  <c r="AO60" i="14"/>
  <c r="AI60" i="14"/>
  <c r="AK60" i="14"/>
  <c r="AN52" i="14"/>
  <c r="AI52" i="14"/>
  <c r="AM52" i="14"/>
  <c r="AK52" i="14"/>
  <c r="AJ52" i="14"/>
  <c r="AO52" i="14"/>
  <c r="AP52" i="14"/>
  <c r="AL52" i="14"/>
  <c r="AN44" i="14"/>
  <c r="AM44" i="14"/>
  <c r="AP44" i="14"/>
  <c r="AJ44" i="14"/>
  <c r="AI44" i="14"/>
  <c r="AL44" i="14"/>
  <c r="AK44" i="14"/>
  <c r="AO44" i="14"/>
  <c r="AO36" i="14"/>
  <c r="AK36" i="14"/>
  <c r="AL36" i="14"/>
  <c r="AI36" i="14"/>
  <c r="AJ36" i="14"/>
  <c r="AP36" i="14"/>
  <c r="AN36" i="14"/>
  <c r="AM36" i="14"/>
  <c r="AJ28" i="14"/>
  <c r="AK28" i="14"/>
  <c r="AO28" i="14"/>
  <c r="AP28" i="14"/>
  <c r="AL28" i="14"/>
  <c r="AM28" i="14"/>
  <c r="AN28" i="14"/>
  <c r="AI28" i="14"/>
  <c r="AL20" i="14"/>
  <c r="AI20" i="14"/>
  <c r="AO20" i="14"/>
  <c r="AJ20" i="14"/>
  <c r="AM20" i="14"/>
  <c r="AN20" i="14"/>
  <c r="AP20" i="14"/>
  <c r="AK20" i="14"/>
  <c r="AM12" i="14"/>
  <c r="AP12" i="14"/>
  <c r="AL12" i="14"/>
  <c r="AI12" i="14"/>
  <c r="AJ12" i="14"/>
  <c r="AK12" i="14"/>
  <c r="AN12" i="14"/>
  <c r="AO12" i="14"/>
  <c r="AL16" i="14"/>
  <c r="AN16" i="14"/>
  <c r="AK16" i="14"/>
  <c r="AJ16" i="14"/>
  <c r="AM16" i="14"/>
  <c r="AO16" i="14"/>
  <c r="AP16" i="14"/>
  <c r="AI16" i="14"/>
  <c r="AN55" i="14"/>
  <c r="AJ55" i="14"/>
  <c r="AO55" i="14"/>
  <c r="AP55" i="14"/>
  <c r="AK55" i="14"/>
  <c r="AI55" i="14"/>
  <c r="AL55" i="14"/>
  <c r="AM55" i="14"/>
  <c r="AO31" i="14"/>
  <c r="AI31" i="14"/>
  <c r="AK31" i="14"/>
  <c r="AJ31" i="14"/>
  <c r="AL31" i="14"/>
  <c r="AM31" i="14"/>
  <c r="AN31" i="14"/>
  <c r="AP31" i="14"/>
  <c r="AO15" i="14"/>
  <c r="AI15" i="14"/>
  <c r="AK15" i="14"/>
  <c r="AJ15" i="14"/>
  <c r="AL15" i="14"/>
  <c r="AM15" i="14"/>
  <c r="AN15" i="14"/>
  <c r="AP15" i="14"/>
  <c r="AJ54" i="14"/>
  <c r="AK54" i="14"/>
  <c r="AM54" i="14"/>
  <c r="AO54" i="14"/>
  <c r="AN54" i="14"/>
  <c r="AI54" i="14"/>
  <c r="AP54" i="14"/>
  <c r="AL54" i="14"/>
  <c r="AP38" i="14"/>
  <c r="AJ38" i="14"/>
  <c r="AL38" i="14"/>
  <c r="AI38" i="14"/>
  <c r="AK38" i="14"/>
  <c r="AM38" i="14"/>
  <c r="AN38" i="14"/>
  <c r="AO38" i="14"/>
  <c r="AP22" i="14"/>
  <c r="AJ22" i="14"/>
  <c r="AL22" i="14"/>
  <c r="AK22" i="14"/>
  <c r="AM22" i="14"/>
  <c r="AN22" i="14"/>
  <c r="AO22" i="14"/>
  <c r="AI22" i="14"/>
  <c r="AJ6" i="14"/>
  <c r="AL6" i="14"/>
  <c r="AN6" i="14"/>
  <c r="AO6" i="14"/>
  <c r="AI6" i="14"/>
  <c r="AM6" i="14"/>
  <c r="AK6" i="14"/>
  <c r="AP6" i="14"/>
  <c r="AI61" i="14"/>
  <c r="AM61" i="14"/>
  <c r="AK61" i="14"/>
  <c r="AL61" i="14"/>
  <c r="AN61" i="14"/>
  <c r="AP61" i="14"/>
  <c r="AJ61" i="14"/>
  <c r="AO61" i="14"/>
  <c r="AM53" i="14"/>
  <c r="AO53" i="14"/>
  <c r="AJ53" i="14"/>
  <c r="AK53" i="14"/>
  <c r="AN53" i="14"/>
  <c r="AL53" i="14"/>
  <c r="AI53" i="14"/>
  <c r="AP53" i="14"/>
  <c r="AM37" i="14"/>
  <c r="AP37" i="14"/>
  <c r="AJ37" i="14"/>
  <c r="AL37" i="14"/>
  <c r="AO37" i="14"/>
  <c r="AI37" i="14"/>
  <c r="AN37" i="14"/>
  <c r="AK37" i="14"/>
  <c r="AK13" i="14"/>
  <c r="AM13" i="14"/>
  <c r="AO13" i="14"/>
  <c r="AP13" i="14"/>
  <c r="AJ13" i="14"/>
  <c r="AN13" i="14"/>
  <c r="AL13" i="14"/>
  <c r="AO59" i="14"/>
  <c r="AJ59" i="14"/>
  <c r="AL59" i="14"/>
  <c r="AK59" i="14"/>
  <c r="AP59" i="14"/>
  <c r="AN59" i="14"/>
  <c r="AI59" i="14"/>
  <c r="AM59" i="14"/>
  <c r="AN51" i="14"/>
  <c r="AJ51" i="14"/>
  <c r="AI51" i="14"/>
  <c r="AK51" i="14"/>
  <c r="AO51" i="14"/>
  <c r="AL51" i="14"/>
  <c r="AM51" i="14"/>
  <c r="AP51" i="14"/>
  <c r="AL43" i="14"/>
  <c r="AN43" i="14"/>
  <c r="AK43" i="14"/>
  <c r="AP43" i="14"/>
  <c r="AO43" i="14"/>
  <c r="AM43" i="14"/>
  <c r="AI43" i="14"/>
  <c r="AJ43" i="14"/>
  <c r="AK35" i="14"/>
  <c r="AJ35" i="14"/>
  <c r="AN35" i="14"/>
  <c r="AP35" i="14"/>
  <c r="AM35" i="14"/>
  <c r="AO35" i="14"/>
  <c r="AI35" i="14"/>
  <c r="AL35" i="14"/>
  <c r="AJ27" i="14"/>
  <c r="AP27" i="14"/>
  <c r="AK27" i="14"/>
  <c r="AN27" i="14"/>
  <c r="AM27" i="14"/>
  <c r="AO27" i="14"/>
  <c r="AI27" i="14"/>
  <c r="AL27" i="14"/>
  <c r="AN19" i="14"/>
  <c r="AJ19" i="14"/>
  <c r="AI19" i="14"/>
  <c r="AK19" i="14"/>
  <c r="AP19" i="14"/>
  <c r="AM19" i="14"/>
  <c r="AO19" i="14"/>
  <c r="AL19" i="14"/>
  <c r="AJ11" i="14"/>
  <c r="AN11" i="14"/>
  <c r="AK11" i="14"/>
  <c r="AP11" i="14"/>
  <c r="AM11" i="14"/>
  <c r="AI11" i="14"/>
  <c r="AL11" i="14"/>
  <c r="AO11" i="14"/>
  <c r="AL10" i="14"/>
  <c r="AJ10" i="14"/>
  <c r="AO10" i="14"/>
  <c r="AM10" i="14"/>
  <c r="AK10" i="14"/>
  <c r="AN10" i="14"/>
  <c r="AP10" i="14"/>
  <c r="AM58" i="14"/>
  <c r="AN58" i="14"/>
  <c r="AO58" i="14"/>
  <c r="AL58" i="14"/>
  <c r="AP58" i="14"/>
  <c r="AI58" i="14"/>
  <c r="AK58" i="14"/>
  <c r="AJ58" i="14"/>
  <c r="AN50" i="14"/>
  <c r="AI50" i="14"/>
  <c r="AL50" i="14"/>
  <c r="AJ50" i="14"/>
  <c r="AP50" i="14"/>
  <c r="AK50" i="14"/>
  <c r="AM50" i="14"/>
  <c r="AO50" i="14"/>
  <c r="AK42" i="14"/>
  <c r="AN42" i="14"/>
  <c r="AO42" i="14"/>
  <c r="AL42" i="14"/>
  <c r="AM42" i="14"/>
  <c r="AP42" i="14"/>
  <c r="AI42" i="14"/>
  <c r="AJ42" i="14"/>
  <c r="AJ34" i="14"/>
  <c r="AM34" i="14"/>
  <c r="AL34" i="14"/>
  <c r="AO34" i="14"/>
  <c r="AN34" i="14"/>
  <c r="AK34" i="14"/>
  <c r="AP34" i="14"/>
  <c r="AI34" i="14"/>
  <c r="AI26" i="14"/>
  <c r="AM26" i="14"/>
  <c r="AJ26" i="14"/>
  <c r="AL26" i="14"/>
  <c r="AN26" i="14"/>
  <c r="AP26" i="14"/>
  <c r="AO26" i="14"/>
  <c r="AK26" i="14"/>
  <c r="AJ18" i="14"/>
  <c r="AM18" i="14"/>
  <c r="AL18" i="14"/>
  <c r="AO18" i="14"/>
  <c r="AN18" i="14"/>
  <c r="AI18" i="14"/>
  <c r="AP18" i="14"/>
  <c r="AK18" i="14"/>
  <c r="AJ57" i="14"/>
  <c r="AN57" i="14"/>
  <c r="AM57" i="14"/>
  <c r="AL57" i="14"/>
  <c r="AI57" i="14"/>
  <c r="AK57" i="14"/>
  <c r="AO57" i="14"/>
  <c r="AP57" i="14"/>
  <c r="AO49" i="14"/>
  <c r="AP49" i="14"/>
  <c r="AM49" i="14"/>
  <c r="AN49" i="14"/>
  <c r="AI49" i="14"/>
  <c r="AJ49" i="14"/>
  <c r="AK49" i="14"/>
  <c r="AL49" i="14"/>
  <c r="AO41" i="14"/>
  <c r="AM41" i="14"/>
  <c r="AN41" i="14"/>
  <c r="AP41" i="14"/>
  <c r="AL41" i="14"/>
  <c r="AI41" i="14"/>
  <c r="AJ41" i="14"/>
  <c r="AK41" i="14"/>
  <c r="AL33" i="14"/>
  <c r="AK33" i="14"/>
  <c r="AM33" i="14"/>
  <c r="AI33" i="14"/>
  <c r="AN33" i="14"/>
  <c r="AP33" i="14"/>
  <c r="AJ33" i="14"/>
  <c r="AO33" i="14"/>
  <c r="AN25" i="14"/>
  <c r="AM25" i="14"/>
  <c r="AP25" i="14"/>
  <c r="AO25" i="14"/>
  <c r="AI25" i="14"/>
  <c r="AK25" i="14"/>
  <c r="AL25" i="14"/>
  <c r="AJ25" i="14"/>
  <c r="AP17" i="14"/>
  <c r="AN17" i="14"/>
  <c r="AM17" i="14"/>
  <c r="AO17" i="14"/>
  <c r="AJ17" i="14"/>
  <c r="AI17" i="14"/>
  <c r="AK17" i="14"/>
  <c r="AL17" i="14"/>
  <c r="AK9" i="14"/>
  <c r="AM9" i="14"/>
  <c r="AJ9" i="14"/>
  <c r="AN9" i="14"/>
  <c r="AO9" i="14"/>
  <c r="AP9" i="14"/>
  <c r="AL9" i="14"/>
  <c r="AN40" i="14"/>
  <c r="AM40" i="14"/>
  <c r="AL40" i="14"/>
  <c r="AI40" i="14"/>
  <c r="AK40" i="14"/>
  <c r="AJ40" i="14"/>
  <c r="AO40" i="14"/>
  <c r="AP40" i="14"/>
  <c r="AM8" i="14"/>
  <c r="AO8" i="14"/>
  <c r="AN8" i="14"/>
  <c r="AP8" i="14"/>
  <c r="AK8" i="14"/>
  <c r="AJ8" i="14"/>
  <c r="AI8" i="14"/>
  <c r="AL8" i="14"/>
  <c r="AO7" i="14"/>
  <c r="AK7" i="14"/>
  <c r="AJ7" i="14"/>
  <c r="AL7" i="14"/>
  <c r="AM7" i="14"/>
  <c r="AP7" i="14"/>
  <c r="AI7" i="14"/>
  <c r="AN7" i="14"/>
  <c r="AP48" i="14"/>
  <c r="AN48" i="14"/>
  <c r="AO48" i="14"/>
  <c r="AI48" i="14"/>
  <c r="AL48" i="14"/>
  <c r="AJ48" i="14"/>
  <c r="AK48" i="14"/>
  <c r="AM48" i="14"/>
  <c r="AK56" i="14"/>
  <c r="AL56" i="14"/>
  <c r="AN56" i="14"/>
  <c r="AI56" i="14"/>
  <c r="AM56" i="14"/>
  <c r="AJ56" i="14"/>
  <c r="AO56" i="14"/>
  <c r="AP56" i="14"/>
  <c r="AO32" i="14"/>
  <c r="AI32" i="14"/>
  <c r="AN32" i="14"/>
  <c r="AK32" i="14"/>
  <c r="AP32" i="14"/>
  <c r="AJ32" i="14"/>
  <c r="AL32" i="14"/>
  <c r="AM32" i="14"/>
  <c r="AM39" i="14"/>
  <c r="AP39" i="14"/>
  <c r="AJ39" i="14"/>
  <c r="AO39" i="14"/>
  <c r="AN39" i="14"/>
  <c r="AI39" i="14"/>
  <c r="AK39" i="14"/>
  <c r="AL39" i="14"/>
  <c r="AL5" i="14"/>
  <c r="AO5" i="14"/>
  <c r="AK5" i="14"/>
  <c r="AP5" i="14"/>
  <c r="AI5" i="14"/>
  <c r="AJ5" i="14"/>
  <c r="AM5" i="14"/>
  <c r="AN5" i="14"/>
  <c r="CA23" i="13"/>
  <c r="BZ23" i="13"/>
  <c r="CN23" i="13"/>
  <c r="CM23" i="13"/>
  <c r="BM23" i="13"/>
  <c r="BN23" i="13"/>
  <c r="CN15" i="13"/>
  <c r="BZ15" i="13"/>
  <c r="CM15" i="13"/>
  <c r="CA15" i="13"/>
  <c r="BN15" i="13"/>
  <c r="BM15" i="13"/>
  <c r="CQ7" i="13"/>
  <c r="CR7" i="13"/>
  <c r="CE7" i="13"/>
  <c r="CD7" i="13"/>
  <c r="BR7" i="13"/>
  <c r="BQ7" i="13"/>
  <c r="CM34" i="13"/>
  <c r="CN34" i="13"/>
  <c r="BZ34" i="13"/>
  <c r="CA34" i="13"/>
  <c r="BM34" i="13"/>
  <c r="BN34" i="13"/>
  <c r="CJ25" i="13"/>
  <c r="CI25" i="13"/>
  <c r="BW25" i="13"/>
  <c r="BV25" i="13"/>
  <c r="BI25" i="13"/>
  <c r="BJ25" i="13"/>
  <c r="CP20" i="13"/>
  <c r="CC20" i="13"/>
  <c r="CB20" i="13"/>
  <c r="CO20" i="13"/>
  <c r="BP20" i="13"/>
  <c r="BO20" i="13"/>
  <c r="CR13" i="13"/>
  <c r="CD13" i="13"/>
  <c r="CQ13" i="13"/>
  <c r="CE13" i="13"/>
  <c r="BR13" i="13"/>
  <c r="BQ13" i="13"/>
  <c r="CP39" i="13"/>
  <c r="CC39" i="13"/>
  <c r="CO39" i="13"/>
  <c r="CB39" i="13"/>
  <c r="BO39" i="13"/>
  <c r="BP39" i="13"/>
  <c r="CG33" i="13"/>
  <c r="BU33" i="13"/>
  <c r="BT33" i="13"/>
  <c r="CH33" i="13"/>
  <c r="BG33" i="13"/>
  <c r="BH33" i="13"/>
  <c r="BX26" i="13"/>
  <c r="BY26" i="13"/>
  <c r="CK26" i="13"/>
  <c r="CL26" i="13"/>
  <c r="BL26" i="13"/>
  <c r="BK26" i="13"/>
  <c r="CE4" i="13"/>
  <c r="CD4" i="13"/>
  <c r="CR4" i="13"/>
  <c r="CQ4" i="13"/>
  <c r="BR4" i="13"/>
  <c r="BQ4" i="13"/>
  <c r="CJ23" i="13"/>
  <c r="BW23" i="13"/>
  <c r="CI23" i="13"/>
  <c r="BV23" i="13"/>
  <c r="BJ23" i="13"/>
  <c r="BI23" i="13"/>
  <c r="CQ21" i="13"/>
  <c r="CE21" i="13"/>
  <c r="CR21" i="13"/>
  <c r="BQ21" i="13"/>
  <c r="BR21" i="13"/>
  <c r="CD21" i="13"/>
  <c r="CA20" i="13"/>
  <c r="CM20" i="13"/>
  <c r="CN20" i="13"/>
  <c r="BZ20" i="13"/>
  <c r="BN20" i="13"/>
  <c r="BM20" i="13"/>
  <c r="CJ19" i="13"/>
  <c r="CI19" i="13"/>
  <c r="BW19" i="13"/>
  <c r="BV19" i="13"/>
  <c r="BI19" i="13"/>
  <c r="BJ19" i="13"/>
  <c r="CR17" i="13"/>
  <c r="CD17" i="13"/>
  <c r="CQ17" i="13"/>
  <c r="CE17" i="13"/>
  <c r="BR17" i="13"/>
  <c r="BQ17" i="13"/>
  <c r="CA16" i="13"/>
  <c r="BZ16" i="13"/>
  <c r="CM16" i="13"/>
  <c r="CN16" i="13"/>
  <c r="BN16" i="13"/>
  <c r="BM16" i="13"/>
  <c r="CH15" i="13"/>
  <c r="BT15" i="13"/>
  <c r="BU15" i="13"/>
  <c r="CG15" i="13"/>
  <c r="BG15" i="13"/>
  <c r="BH15" i="13"/>
  <c r="CB13" i="13"/>
  <c r="CC13" i="13"/>
  <c r="CO13" i="13"/>
  <c r="BO13" i="13"/>
  <c r="CP13" i="13"/>
  <c r="BP13" i="13"/>
  <c r="BT12" i="13"/>
  <c r="CH12" i="13"/>
  <c r="CG12" i="13"/>
  <c r="BU12" i="13"/>
  <c r="BG12" i="13"/>
  <c r="BH12" i="13"/>
  <c r="BX10" i="13"/>
  <c r="BY10" i="13"/>
  <c r="CK10" i="13"/>
  <c r="CL10" i="13"/>
  <c r="BL10" i="13"/>
  <c r="BK10" i="13"/>
  <c r="CQ8" i="13"/>
  <c r="CR8" i="13"/>
  <c r="CD8" i="13"/>
  <c r="CE8" i="13"/>
  <c r="BQ8" i="13"/>
  <c r="BR8" i="13"/>
  <c r="CK7" i="13"/>
  <c r="BX7" i="13"/>
  <c r="BY7" i="13"/>
  <c r="CL7" i="13"/>
  <c r="BL7" i="13"/>
  <c r="BK7" i="13"/>
  <c r="CQ5" i="13"/>
  <c r="CR5" i="13"/>
  <c r="BQ5" i="13"/>
  <c r="CE5" i="13"/>
  <c r="CD5" i="13"/>
  <c r="BR5" i="13"/>
  <c r="CA39" i="13"/>
  <c r="BZ39" i="13"/>
  <c r="CM39" i="13"/>
  <c r="CN39" i="13"/>
  <c r="BM39" i="13"/>
  <c r="BN39" i="13"/>
  <c r="CI38" i="13"/>
  <c r="CJ38" i="13"/>
  <c r="BW38" i="13"/>
  <c r="BV38" i="13"/>
  <c r="BI38" i="13"/>
  <c r="BJ38" i="13"/>
  <c r="CD36" i="13"/>
  <c r="CE36" i="13"/>
  <c r="CR36" i="13"/>
  <c r="CQ36" i="13"/>
  <c r="BQ36" i="13"/>
  <c r="BR36" i="13"/>
  <c r="CA35" i="13"/>
  <c r="CM35" i="13"/>
  <c r="BZ35" i="13"/>
  <c r="CN35" i="13"/>
  <c r="BN35" i="13"/>
  <c r="BM35" i="13"/>
  <c r="CJ34" i="13"/>
  <c r="CI34" i="13"/>
  <c r="BV34" i="13"/>
  <c r="BW34" i="13"/>
  <c r="BI34" i="13"/>
  <c r="BJ34" i="13"/>
  <c r="CR32" i="13"/>
  <c r="CE32" i="13"/>
  <c r="CQ32" i="13"/>
  <c r="CD32" i="13"/>
  <c r="BR32" i="13"/>
  <c r="BQ32" i="13"/>
  <c r="BZ31" i="13"/>
  <c r="CM31" i="13"/>
  <c r="CA31" i="13"/>
  <c r="CN31" i="13"/>
  <c r="BM31" i="13"/>
  <c r="BN31" i="13"/>
  <c r="CI30" i="13"/>
  <c r="CJ30" i="13"/>
  <c r="BW30" i="13"/>
  <c r="BV30" i="13"/>
  <c r="BJ30" i="13"/>
  <c r="BI30" i="13"/>
  <c r="CD28" i="13"/>
  <c r="CQ28" i="13"/>
  <c r="CE28" i="13"/>
  <c r="CR28" i="13"/>
  <c r="BR28" i="13"/>
  <c r="BQ28" i="13"/>
  <c r="BZ27" i="13"/>
  <c r="CM27" i="13"/>
  <c r="CN27" i="13"/>
  <c r="CA27" i="13"/>
  <c r="BN27" i="13"/>
  <c r="BM27" i="13"/>
  <c r="BV26" i="13"/>
  <c r="BW26" i="13"/>
  <c r="CJ26" i="13"/>
  <c r="CI26" i="13"/>
  <c r="BJ26" i="13"/>
  <c r="BI26" i="13"/>
  <c r="CR24" i="13"/>
  <c r="CQ24" i="13"/>
  <c r="BQ24" i="13"/>
  <c r="BR24" i="13"/>
  <c r="AH4" i="13"/>
  <c r="AG4" i="13"/>
  <c r="CR16" i="13"/>
  <c r="CD16" i="13"/>
  <c r="CQ16" i="13"/>
  <c r="CE16" i="13"/>
  <c r="BQ16" i="13"/>
  <c r="BR16" i="13"/>
  <c r="BX9" i="13"/>
  <c r="CL9" i="13"/>
  <c r="BY9" i="13"/>
  <c r="CK9" i="13"/>
  <c r="BK9" i="13"/>
  <c r="BL9" i="13"/>
  <c r="CI37" i="13"/>
  <c r="BW37" i="13"/>
  <c r="BV37" i="13"/>
  <c r="CJ37" i="13"/>
  <c r="BI37" i="13"/>
  <c r="BJ37" i="13"/>
  <c r="CQ27" i="13"/>
  <c r="CR27" i="13"/>
  <c r="CE27" i="13"/>
  <c r="CD27" i="13"/>
  <c r="BQ27" i="13"/>
  <c r="BR27" i="13"/>
  <c r="BU22" i="13"/>
  <c r="BT22" i="13"/>
  <c r="CG22" i="13"/>
  <c r="CH22" i="13"/>
  <c r="BH22" i="13"/>
  <c r="BG22" i="13"/>
  <c r="BX15" i="13"/>
  <c r="CK15" i="13"/>
  <c r="CL15" i="13"/>
  <c r="BY15" i="13"/>
  <c r="BK15" i="13"/>
  <c r="BL15" i="13"/>
  <c r="CJ6" i="13"/>
  <c r="BW6" i="13"/>
  <c r="CI6" i="13"/>
  <c r="BV6" i="13"/>
  <c r="BJ6" i="13"/>
  <c r="BI6" i="13"/>
  <c r="CO35" i="13"/>
  <c r="CB35" i="13"/>
  <c r="CC35" i="13"/>
  <c r="CP35" i="13"/>
  <c r="BO35" i="13"/>
  <c r="BP35" i="13"/>
  <c r="CH25" i="13"/>
  <c r="BT25" i="13"/>
  <c r="BU25" i="13"/>
  <c r="CG25" i="13"/>
  <c r="BG25" i="13"/>
  <c r="BH25" i="13"/>
  <c r="CO4" i="13"/>
  <c r="CB4" i="13"/>
  <c r="CP4" i="13"/>
  <c r="CC4" i="13"/>
  <c r="BO4" i="13"/>
  <c r="BP4" i="13"/>
  <c r="BU23" i="13"/>
  <c r="BT23" i="13"/>
  <c r="CG23" i="13"/>
  <c r="CH23" i="13"/>
  <c r="BH23" i="13"/>
  <c r="BG23" i="13"/>
  <c r="CO21" i="13"/>
  <c r="CP21" i="13"/>
  <c r="CB21" i="13"/>
  <c r="CC21" i="13"/>
  <c r="BP21" i="13"/>
  <c r="BO21" i="13"/>
  <c r="CK20" i="13"/>
  <c r="BY20" i="13"/>
  <c r="BX20" i="13"/>
  <c r="CL20" i="13"/>
  <c r="BK20" i="13"/>
  <c r="BL20" i="13"/>
  <c r="CG19" i="13"/>
  <c r="BT19" i="13"/>
  <c r="BU19" i="13"/>
  <c r="CH19" i="13"/>
  <c r="BG19" i="13"/>
  <c r="BH19" i="13"/>
  <c r="CC17" i="13"/>
  <c r="CO17" i="13"/>
  <c r="CB17" i="13"/>
  <c r="CP17" i="13"/>
  <c r="BO17" i="13"/>
  <c r="BP17" i="13"/>
  <c r="BY16" i="13"/>
  <c r="BX16" i="13"/>
  <c r="CL16" i="13"/>
  <c r="CK16" i="13"/>
  <c r="BK16" i="13"/>
  <c r="BL16" i="13"/>
  <c r="CR14" i="13"/>
  <c r="CE14" i="13"/>
  <c r="CD14" i="13"/>
  <c r="CQ14" i="13"/>
  <c r="BR14" i="13"/>
  <c r="BQ14" i="13"/>
  <c r="CA13" i="13"/>
  <c r="CN13" i="13"/>
  <c r="BZ13" i="13"/>
  <c r="CM13" i="13"/>
  <c r="BN13" i="13"/>
  <c r="BM13" i="13"/>
  <c r="CD11" i="13"/>
  <c r="CE11" i="13"/>
  <c r="CQ11" i="13"/>
  <c r="CR11" i="13"/>
  <c r="BQ11" i="13"/>
  <c r="BR11" i="13"/>
  <c r="CJ10" i="13"/>
  <c r="BV10" i="13"/>
  <c r="BW10" i="13"/>
  <c r="CI10" i="13"/>
  <c r="BJ10" i="13"/>
  <c r="BI10" i="13"/>
  <c r="CP8" i="13"/>
  <c r="CO8" i="13"/>
  <c r="BO8" i="13"/>
  <c r="BP8" i="13"/>
  <c r="BV7" i="13"/>
  <c r="CJ7" i="13"/>
  <c r="CI7" i="13"/>
  <c r="BW7" i="13"/>
  <c r="BJ7" i="13"/>
  <c r="BI7" i="13"/>
  <c r="CP5" i="13"/>
  <c r="CO5" i="13"/>
  <c r="CB5" i="13"/>
  <c r="CC5" i="13"/>
  <c r="BP5" i="13"/>
  <c r="BO5" i="13"/>
  <c r="CL39" i="13"/>
  <c r="CK39" i="13"/>
  <c r="BX39" i="13"/>
  <c r="BY39" i="13"/>
  <c r="BK39" i="13"/>
  <c r="BL39" i="13"/>
  <c r="BT38" i="13"/>
  <c r="BU38" i="13"/>
  <c r="CH38" i="13"/>
  <c r="CG38" i="13"/>
  <c r="BG38" i="13"/>
  <c r="BH38" i="13"/>
  <c r="CC36" i="13"/>
  <c r="CB36" i="13"/>
  <c r="CP36" i="13"/>
  <c r="CO36" i="13"/>
  <c r="BO36" i="13"/>
  <c r="BP36" i="13"/>
  <c r="BY35" i="13"/>
  <c r="CK35" i="13"/>
  <c r="CL35" i="13"/>
  <c r="BX35" i="13"/>
  <c r="BL35" i="13"/>
  <c r="BK35" i="13"/>
  <c r="CH34" i="13"/>
  <c r="CG34" i="13"/>
  <c r="BH34" i="13"/>
  <c r="BG34" i="13"/>
  <c r="BT34" i="13"/>
  <c r="BU34" i="13"/>
  <c r="CO32" i="13"/>
  <c r="CB32" i="13"/>
  <c r="CP32" i="13"/>
  <c r="CC32" i="13"/>
  <c r="BP32" i="13"/>
  <c r="BO32" i="13"/>
  <c r="BX31" i="13"/>
  <c r="CK31" i="13"/>
  <c r="BY31" i="13"/>
  <c r="CL31" i="13"/>
  <c r="BK31" i="13"/>
  <c r="BL31" i="13"/>
  <c r="BU30" i="13"/>
  <c r="CG30" i="13"/>
  <c r="BT30" i="13"/>
  <c r="CH30" i="13"/>
  <c r="BG30" i="13"/>
  <c r="BH30" i="13"/>
  <c r="CC28" i="13"/>
  <c r="CB28" i="13"/>
  <c r="CP28" i="13"/>
  <c r="CO28" i="13"/>
  <c r="BO28" i="13"/>
  <c r="BP28" i="13"/>
  <c r="BX27" i="13"/>
  <c r="BY27" i="13"/>
  <c r="CK27" i="13"/>
  <c r="CL27" i="13"/>
  <c r="BK27" i="13"/>
  <c r="BL27" i="13"/>
  <c r="CG26" i="13"/>
  <c r="CH26" i="13"/>
  <c r="BT26" i="13"/>
  <c r="BU26" i="13"/>
  <c r="BG26" i="13"/>
  <c r="BH26" i="13"/>
  <c r="CB24" i="13"/>
  <c r="CO24" i="13"/>
  <c r="CP24" i="13"/>
  <c r="CC24" i="13"/>
  <c r="BO24" i="13"/>
  <c r="BP24" i="13"/>
  <c r="CJ22" i="13"/>
  <c r="BW22" i="13"/>
  <c r="BV22" i="13"/>
  <c r="CI22" i="13"/>
  <c r="BJ22" i="13"/>
  <c r="BI22" i="13"/>
  <c r="CR31" i="13"/>
  <c r="CD31" i="13"/>
  <c r="CE31" i="13"/>
  <c r="CQ31" i="13"/>
  <c r="BQ31" i="13"/>
  <c r="BR31" i="13"/>
  <c r="CG4" i="13"/>
  <c r="CH4" i="13"/>
  <c r="BT4" i="13"/>
  <c r="BU4" i="13"/>
  <c r="BH4" i="13"/>
  <c r="BG4" i="13"/>
  <c r="BW12" i="13"/>
  <c r="CJ12" i="13"/>
  <c r="BV12" i="13"/>
  <c r="CI12" i="13"/>
  <c r="BI12" i="13"/>
  <c r="BJ12" i="13"/>
  <c r="CC31" i="13"/>
  <c r="CO31" i="13"/>
  <c r="CP31" i="13"/>
  <c r="CB31" i="13"/>
  <c r="BO31" i="13"/>
  <c r="BP31" i="13"/>
  <c r="BZ4" i="13"/>
  <c r="CN4" i="13"/>
  <c r="CA4" i="13"/>
  <c r="CM4" i="13"/>
  <c r="BM4" i="13"/>
  <c r="BN4" i="13"/>
  <c r="CR22" i="13"/>
  <c r="CD22" i="13"/>
  <c r="CE22" i="13"/>
  <c r="CQ22" i="13"/>
  <c r="BR22" i="13"/>
  <c r="BQ22" i="13"/>
  <c r="BZ21" i="13"/>
  <c r="CN21" i="13"/>
  <c r="CM21" i="13"/>
  <c r="CA21" i="13"/>
  <c r="BN21" i="13"/>
  <c r="BM21" i="13"/>
  <c r="CI20" i="13"/>
  <c r="CJ20" i="13"/>
  <c r="BW20" i="13"/>
  <c r="BV20" i="13"/>
  <c r="BJ20" i="13"/>
  <c r="BI20" i="13"/>
  <c r="CD18" i="13"/>
  <c r="CE18" i="13"/>
  <c r="CR18" i="13"/>
  <c r="CQ18" i="13"/>
  <c r="BR18" i="13"/>
  <c r="BQ18" i="13"/>
  <c r="BZ17" i="13"/>
  <c r="CM17" i="13"/>
  <c r="CN17" i="13"/>
  <c r="CA17" i="13"/>
  <c r="BM17" i="13"/>
  <c r="BN17" i="13"/>
  <c r="CJ16" i="13"/>
  <c r="CI16" i="13"/>
  <c r="BV16" i="13"/>
  <c r="BW16" i="13"/>
  <c r="BI16" i="13"/>
  <c r="BJ16" i="13"/>
  <c r="CC14" i="13"/>
  <c r="CB14" i="13"/>
  <c r="BO14" i="13"/>
  <c r="CP14" i="13"/>
  <c r="CO14" i="13"/>
  <c r="BP14" i="13"/>
  <c r="CI13" i="13"/>
  <c r="CJ13" i="13"/>
  <c r="BW13" i="13"/>
  <c r="BV13" i="13"/>
  <c r="BJ13" i="13"/>
  <c r="BI13" i="13"/>
  <c r="CC11" i="13"/>
  <c r="CB11" i="13"/>
  <c r="CO11" i="13"/>
  <c r="CP11" i="13"/>
  <c r="BO11" i="13"/>
  <c r="BP11" i="13"/>
  <c r="CG10" i="13"/>
  <c r="CH10" i="13"/>
  <c r="BT10" i="13"/>
  <c r="BU10" i="13"/>
  <c r="BG10" i="13"/>
  <c r="BH10" i="13"/>
  <c r="BZ8" i="13"/>
  <c r="CN8" i="13"/>
  <c r="CA8" i="13"/>
  <c r="CM8" i="13"/>
  <c r="BM8" i="13"/>
  <c r="BN8" i="13"/>
  <c r="BU7" i="13"/>
  <c r="BT7" i="13"/>
  <c r="CH7" i="13"/>
  <c r="CG7" i="13"/>
  <c r="BG7" i="13"/>
  <c r="BH7" i="13"/>
  <c r="CM5" i="13"/>
  <c r="BZ5" i="13"/>
  <c r="CN5" i="13"/>
  <c r="CA5" i="13"/>
  <c r="BN5" i="13"/>
  <c r="BM5" i="13"/>
  <c r="BV39" i="13"/>
  <c r="BW39" i="13"/>
  <c r="CJ39" i="13"/>
  <c r="CI39" i="13"/>
  <c r="BI39" i="13"/>
  <c r="BJ39" i="13"/>
  <c r="CE37" i="13"/>
  <c r="CD37" i="13"/>
  <c r="CR37" i="13"/>
  <c r="CQ37" i="13"/>
  <c r="BR37" i="13"/>
  <c r="BQ37" i="13"/>
  <c r="CN36" i="13"/>
  <c r="CA36" i="13"/>
  <c r="BZ36" i="13"/>
  <c r="CM36" i="13"/>
  <c r="BM36" i="13"/>
  <c r="BN36" i="13"/>
  <c r="CJ35" i="13"/>
  <c r="CI35" i="13"/>
  <c r="BV35" i="13"/>
  <c r="BW35" i="13"/>
  <c r="BI35" i="13"/>
  <c r="BJ35" i="13"/>
  <c r="CR33" i="13"/>
  <c r="CQ33" i="13"/>
  <c r="CD33" i="13"/>
  <c r="CE33" i="13"/>
  <c r="BQ33" i="13"/>
  <c r="BR33" i="13"/>
  <c r="BZ32" i="13"/>
  <c r="CA32" i="13"/>
  <c r="CN32" i="13"/>
  <c r="CM32" i="13"/>
  <c r="BN32" i="13"/>
  <c r="BM32" i="13"/>
  <c r="CI31" i="13"/>
  <c r="CJ31" i="13"/>
  <c r="BV31" i="13"/>
  <c r="BW31" i="13"/>
  <c r="BI31" i="13"/>
  <c r="BJ31" i="13"/>
  <c r="CN28" i="13"/>
  <c r="CM28" i="13"/>
  <c r="BZ28" i="13"/>
  <c r="CA28" i="13"/>
  <c r="BM28" i="13"/>
  <c r="BN28" i="13"/>
  <c r="BV27" i="13"/>
  <c r="CI27" i="13"/>
  <c r="BW27" i="13"/>
  <c r="CJ27" i="13"/>
  <c r="BI27" i="13"/>
  <c r="BJ27" i="13"/>
  <c r="CE25" i="13"/>
  <c r="CD25" i="13"/>
  <c r="CR25" i="13"/>
  <c r="CQ25" i="13"/>
  <c r="BQ25" i="13"/>
  <c r="BR25" i="13"/>
  <c r="BZ24" i="13"/>
  <c r="CA24" i="13"/>
  <c r="CM24" i="13"/>
  <c r="CN24" i="13"/>
  <c r="BM24" i="13"/>
  <c r="BN24" i="13"/>
  <c r="BV18" i="13"/>
  <c r="CI18" i="13"/>
  <c r="CJ18" i="13"/>
  <c r="BW18" i="13"/>
  <c r="BI18" i="13"/>
  <c r="BJ18" i="13"/>
  <c r="CE10" i="13"/>
  <c r="CQ10" i="13"/>
  <c r="CR10" i="13"/>
  <c r="CD10" i="13"/>
  <c r="BR10" i="13"/>
  <c r="BQ10" i="13"/>
  <c r="CN38" i="13"/>
  <c r="CM38" i="13"/>
  <c r="BZ38" i="13"/>
  <c r="CA38" i="13"/>
  <c r="BM38" i="13"/>
  <c r="BN38" i="13"/>
  <c r="CK23" i="13"/>
  <c r="CL23" i="13"/>
  <c r="BX23" i="13"/>
  <c r="BY23" i="13"/>
  <c r="BK23" i="13"/>
  <c r="BL23" i="13"/>
  <c r="CO16" i="13"/>
  <c r="CB16" i="13"/>
  <c r="CC16" i="13"/>
  <c r="CP16" i="13"/>
  <c r="BP16" i="13"/>
  <c r="BO16" i="13"/>
  <c r="CP7" i="13"/>
  <c r="CC7" i="13"/>
  <c r="CB7" i="13"/>
  <c r="CO7" i="13"/>
  <c r="BO7" i="13"/>
  <c r="BP7" i="13"/>
  <c r="BT37" i="13"/>
  <c r="BU37" i="13"/>
  <c r="CG37" i="13"/>
  <c r="CH37" i="13"/>
  <c r="BH37" i="13"/>
  <c r="BG37" i="13"/>
  <c r="CO27" i="13"/>
  <c r="CP27" i="13"/>
  <c r="CB27" i="13"/>
  <c r="CC27" i="13"/>
  <c r="BP27" i="13"/>
  <c r="BO27" i="13"/>
  <c r="CL4" i="13"/>
  <c r="BY4" i="13"/>
  <c r="BX4" i="13"/>
  <c r="CK4" i="13"/>
  <c r="BK4" i="13"/>
  <c r="BL4" i="13"/>
  <c r="CP22" i="13"/>
  <c r="CO22" i="13"/>
  <c r="CC22" i="13"/>
  <c r="BO22" i="13"/>
  <c r="CB22" i="13"/>
  <c r="BP22" i="13"/>
  <c r="CL21" i="13"/>
  <c r="CK21" i="13"/>
  <c r="BX21" i="13"/>
  <c r="BL21" i="13"/>
  <c r="BY21" i="13"/>
  <c r="BK21" i="13"/>
  <c r="CG20" i="13"/>
  <c r="CH20" i="13"/>
  <c r="BT20" i="13"/>
  <c r="BU20" i="13"/>
  <c r="BG20" i="13"/>
  <c r="BH20" i="13"/>
  <c r="CO18" i="13"/>
  <c r="CP18" i="13"/>
  <c r="CC18" i="13"/>
  <c r="CB18" i="13"/>
  <c r="BP18" i="13"/>
  <c r="BO18" i="13"/>
  <c r="CK17" i="13"/>
  <c r="CL17" i="13"/>
  <c r="BY17" i="13"/>
  <c r="BX17" i="13"/>
  <c r="BL17" i="13"/>
  <c r="BK17" i="13"/>
  <c r="BT16" i="13"/>
  <c r="BU16" i="13"/>
  <c r="CG16" i="13"/>
  <c r="CH16" i="13"/>
  <c r="BG16" i="13"/>
  <c r="BH16" i="13"/>
  <c r="CA14" i="13"/>
  <c r="CM14" i="13"/>
  <c r="CN14" i="13"/>
  <c r="BZ14" i="13"/>
  <c r="BM14" i="13"/>
  <c r="BN14" i="13"/>
  <c r="CG13" i="13"/>
  <c r="BT13" i="13"/>
  <c r="BU13" i="13"/>
  <c r="CH13" i="13"/>
  <c r="BG13" i="13"/>
  <c r="BH13" i="13"/>
  <c r="BZ11" i="13"/>
  <c r="CA11" i="13"/>
  <c r="CN11" i="13"/>
  <c r="CM11" i="13"/>
  <c r="BN11" i="13"/>
  <c r="BM11" i="13"/>
  <c r="CD9" i="13"/>
  <c r="CE9" i="13"/>
  <c r="CR9" i="13"/>
  <c r="CQ9" i="13"/>
  <c r="BQ9" i="13"/>
  <c r="BR9" i="13"/>
  <c r="BY8" i="13"/>
  <c r="CK8" i="13"/>
  <c r="BX8" i="13"/>
  <c r="CL8" i="13"/>
  <c r="BK8" i="13"/>
  <c r="BL8" i="13"/>
  <c r="CR6" i="13"/>
  <c r="CD6" i="13"/>
  <c r="CQ6" i="13"/>
  <c r="CE6" i="13"/>
  <c r="BQ6" i="13"/>
  <c r="BR6" i="13"/>
  <c r="CK5" i="13"/>
  <c r="CL5" i="13"/>
  <c r="BX5" i="13"/>
  <c r="BY5" i="13"/>
  <c r="BL5" i="13"/>
  <c r="BK5" i="13"/>
  <c r="BT39" i="13"/>
  <c r="CH39" i="13"/>
  <c r="CG39" i="13"/>
  <c r="BU39" i="13"/>
  <c r="BG39" i="13"/>
  <c r="BH39" i="13"/>
  <c r="CC37" i="13"/>
  <c r="CP37" i="13"/>
  <c r="CB37" i="13"/>
  <c r="CO37" i="13"/>
  <c r="BP37" i="13"/>
  <c r="BO37" i="13"/>
  <c r="CK36" i="13"/>
  <c r="BX36" i="13"/>
  <c r="CL36" i="13"/>
  <c r="BY36" i="13"/>
  <c r="BL36" i="13"/>
  <c r="BK36" i="13"/>
  <c r="BU35" i="13"/>
  <c r="CH35" i="13"/>
  <c r="BT35" i="13"/>
  <c r="CG35" i="13"/>
  <c r="BH35" i="13"/>
  <c r="BG35" i="13"/>
  <c r="CB33" i="13"/>
  <c r="CO33" i="13"/>
  <c r="CP33" i="13"/>
  <c r="CC33" i="13"/>
  <c r="BO33" i="13"/>
  <c r="BP33" i="13"/>
  <c r="BY32" i="13"/>
  <c r="BX32" i="13"/>
  <c r="CK32" i="13"/>
  <c r="CL32" i="13"/>
  <c r="BK32" i="13"/>
  <c r="BL32" i="13"/>
  <c r="CH31" i="13"/>
  <c r="BU31" i="13"/>
  <c r="CG31" i="13"/>
  <c r="BT31" i="13"/>
  <c r="BG31" i="13"/>
  <c r="BH31" i="13"/>
  <c r="BX28" i="13"/>
  <c r="CK28" i="13"/>
  <c r="CL28" i="13"/>
  <c r="BY28" i="13"/>
  <c r="BK28" i="13"/>
  <c r="BL28" i="13"/>
  <c r="BT27" i="13"/>
  <c r="BU27" i="13"/>
  <c r="CG27" i="13"/>
  <c r="CH27" i="13"/>
  <c r="BH27" i="13"/>
  <c r="BG27" i="13"/>
  <c r="CC25" i="13"/>
  <c r="CB25" i="13"/>
  <c r="CP25" i="13"/>
  <c r="CO25" i="13"/>
  <c r="BP25" i="13"/>
  <c r="BO25" i="13"/>
  <c r="CK24" i="13"/>
  <c r="CL24" i="13"/>
  <c r="BY24" i="13"/>
  <c r="BX24" i="13"/>
  <c r="BK24" i="13"/>
  <c r="BL24" i="13"/>
  <c r="CR20" i="13"/>
  <c r="CD20" i="13"/>
  <c r="CE20" i="13"/>
  <c r="CQ20" i="13"/>
  <c r="BQ20" i="13"/>
  <c r="BR20" i="13"/>
  <c r="BT14" i="13"/>
  <c r="CH14" i="13"/>
  <c r="CG14" i="13"/>
  <c r="BU14" i="13"/>
  <c r="BG14" i="13"/>
  <c r="BH14" i="13"/>
  <c r="BY6" i="13"/>
  <c r="BX6" i="13"/>
  <c r="CK6" i="13"/>
  <c r="CL6" i="13"/>
  <c r="BL6" i="13"/>
  <c r="BK6" i="13"/>
  <c r="CE35" i="13"/>
  <c r="CD35" i="13"/>
  <c r="CR35" i="13"/>
  <c r="CQ35" i="13"/>
  <c r="BR35" i="13"/>
  <c r="BQ35" i="13"/>
  <c r="CA26" i="13"/>
  <c r="BZ26" i="13"/>
  <c r="CM26" i="13"/>
  <c r="CN26" i="13"/>
  <c r="BN26" i="13"/>
  <c r="BM26" i="13"/>
  <c r="BU18" i="13"/>
  <c r="BT18" i="13"/>
  <c r="CG18" i="13"/>
  <c r="CH18" i="13"/>
  <c r="BG18" i="13"/>
  <c r="BH18" i="13"/>
  <c r="CA10" i="13"/>
  <c r="BZ10" i="13"/>
  <c r="CM10" i="13"/>
  <c r="CN10" i="13"/>
  <c r="BM10" i="13"/>
  <c r="BN10" i="13"/>
  <c r="BX38" i="13"/>
  <c r="CK38" i="13"/>
  <c r="BY38" i="13"/>
  <c r="CL38" i="13"/>
  <c r="BK38" i="13"/>
  <c r="BL38" i="13"/>
  <c r="CL34" i="13"/>
  <c r="CK34" i="13"/>
  <c r="BL34" i="13"/>
  <c r="BK34" i="13"/>
  <c r="BX34" i="13"/>
  <c r="BY34" i="13"/>
  <c r="CQ23" i="13"/>
  <c r="CD23" i="13"/>
  <c r="CR23" i="13"/>
  <c r="CE23" i="13"/>
  <c r="BR23" i="13"/>
  <c r="BQ23" i="13"/>
  <c r="CM22" i="13"/>
  <c r="CA22" i="13"/>
  <c r="CN22" i="13"/>
  <c r="BZ22" i="13"/>
  <c r="BM22" i="13"/>
  <c r="BN22" i="13"/>
  <c r="BV21" i="13"/>
  <c r="BW21" i="13"/>
  <c r="CJ21" i="13"/>
  <c r="CI21" i="13"/>
  <c r="BJ21" i="13"/>
  <c r="BI21" i="13"/>
  <c r="CQ19" i="13"/>
  <c r="CE19" i="13"/>
  <c r="CD19" i="13"/>
  <c r="CR19" i="13"/>
  <c r="BQ19" i="13"/>
  <c r="BR19" i="13"/>
  <c r="CM18" i="13"/>
  <c r="CN18" i="13"/>
  <c r="BZ18" i="13"/>
  <c r="CA18" i="13"/>
  <c r="BM18" i="13"/>
  <c r="BN18" i="13"/>
  <c r="BV17" i="13"/>
  <c r="CI17" i="13"/>
  <c r="BW17" i="13"/>
  <c r="CJ17" i="13"/>
  <c r="BI17" i="13"/>
  <c r="BJ17" i="13"/>
  <c r="CR15" i="13"/>
  <c r="CD15" i="13"/>
  <c r="CQ15" i="13"/>
  <c r="CE15" i="13"/>
  <c r="BQ15" i="13"/>
  <c r="BR15" i="13"/>
  <c r="BY14" i="13"/>
  <c r="CK14" i="13"/>
  <c r="CL14" i="13"/>
  <c r="BX14" i="13"/>
  <c r="BK14" i="13"/>
  <c r="BL14" i="13"/>
  <c r="CC12" i="13"/>
  <c r="CO12" i="13"/>
  <c r="CP12" i="13"/>
  <c r="CB12" i="13"/>
  <c r="BP12" i="13"/>
  <c r="BO12" i="13"/>
  <c r="CL11" i="13"/>
  <c r="BX11" i="13"/>
  <c r="BY11" i="13"/>
  <c r="CK11" i="13"/>
  <c r="BL11" i="13"/>
  <c r="BK11" i="13"/>
  <c r="CO9" i="13"/>
  <c r="CB9" i="13"/>
  <c r="CC9" i="13"/>
  <c r="CP9" i="13"/>
  <c r="BP9" i="13"/>
  <c r="BO9" i="13"/>
  <c r="CJ8" i="13"/>
  <c r="BW8" i="13"/>
  <c r="BV8" i="13"/>
  <c r="CI8" i="13"/>
  <c r="BJ8" i="13"/>
  <c r="BI8" i="13"/>
  <c r="CC6" i="13"/>
  <c r="CP6" i="13"/>
  <c r="CO6" i="13"/>
  <c r="CB6" i="13"/>
  <c r="BP6" i="13"/>
  <c r="BO6" i="13"/>
  <c r="BJ5" i="13"/>
  <c r="CJ5" i="13"/>
  <c r="BV5" i="13"/>
  <c r="BW5" i="13"/>
  <c r="CI5" i="13"/>
  <c r="BI5" i="13"/>
  <c r="CQ38" i="13"/>
  <c r="CR38" i="13"/>
  <c r="CE38" i="13"/>
  <c r="CD38" i="13"/>
  <c r="BR38" i="13"/>
  <c r="BQ38" i="13"/>
  <c r="CM37" i="13"/>
  <c r="BZ37" i="13"/>
  <c r="CN37" i="13"/>
  <c r="CA37" i="13"/>
  <c r="BN37" i="13"/>
  <c r="BM37" i="13"/>
  <c r="BV36" i="13"/>
  <c r="CI36" i="13"/>
  <c r="BW36" i="13"/>
  <c r="CJ36" i="13"/>
  <c r="BI36" i="13"/>
  <c r="BJ36" i="13"/>
  <c r="CQ34" i="13"/>
  <c r="CR34" i="13"/>
  <c r="BR34" i="13"/>
  <c r="CE34" i="13"/>
  <c r="BQ34" i="13"/>
  <c r="CD34" i="13"/>
  <c r="BZ33" i="13"/>
  <c r="CN33" i="13"/>
  <c r="CA33" i="13"/>
  <c r="CM33" i="13"/>
  <c r="BN33" i="13"/>
  <c r="BM33" i="13"/>
  <c r="CI32" i="13"/>
  <c r="BW32" i="13"/>
  <c r="BV32" i="13"/>
  <c r="CJ32" i="13"/>
  <c r="BJ32" i="13"/>
  <c r="BI32" i="13"/>
  <c r="CE30" i="13"/>
  <c r="CD30" i="13"/>
  <c r="CQ30" i="13"/>
  <c r="CR30" i="13"/>
  <c r="BR30" i="13"/>
  <c r="BQ30" i="13"/>
  <c r="BW28" i="13"/>
  <c r="BV28" i="13"/>
  <c r="CJ28" i="13"/>
  <c r="CI28" i="13"/>
  <c r="BJ28" i="13"/>
  <c r="BI28" i="13"/>
  <c r="CE26" i="13"/>
  <c r="CD26" i="13"/>
  <c r="CQ26" i="13"/>
  <c r="CR26" i="13"/>
  <c r="BR26" i="13"/>
  <c r="BQ26" i="13"/>
  <c r="CA25" i="13"/>
  <c r="BZ25" i="13"/>
  <c r="CM25" i="13"/>
  <c r="CN25" i="13"/>
  <c r="BN25" i="13"/>
  <c r="BM25" i="13"/>
  <c r="CJ24" i="13"/>
  <c r="BV24" i="13"/>
  <c r="BW24" i="13"/>
  <c r="CI24" i="13"/>
  <c r="BI24" i="13"/>
  <c r="BJ24" i="13"/>
  <c r="BZ19" i="13"/>
  <c r="CA19" i="13"/>
  <c r="CN19" i="13"/>
  <c r="CM19" i="13"/>
  <c r="BM19" i="13"/>
  <c r="BN19" i="13"/>
  <c r="CL12" i="13"/>
  <c r="BX12" i="13"/>
  <c r="CK12" i="13"/>
  <c r="BY12" i="13"/>
  <c r="BL12" i="13"/>
  <c r="BK12" i="13"/>
  <c r="CR39" i="13"/>
  <c r="CQ39" i="13"/>
  <c r="CD39" i="13"/>
  <c r="CE39" i="13"/>
  <c r="BQ39" i="13"/>
  <c r="BR39" i="13"/>
  <c r="BV33" i="13"/>
  <c r="CI33" i="13"/>
  <c r="CJ33" i="13"/>
  <c r="BW33" i="13"/>
  <c r="BI33" i="13"/>
  <c r="BJ33" i="13"/>
  <c r="BZ30" i="13"/>
  <c r="CM30" i="13"/>
  <c r="CA30" i="13"/>
  <c r="CN30" i="13"/>
  <c r="BN30" i="13"/>
  <c r="BM30" i="13"/>
  <c r="BY19" i="13"/>
  <c r="CK19" i="13"/>
  <c r="BX19" i="13"/>
  <c r="CL19" i="13"/>
  <c r="BK19" i="13"/>
  <c r="BL19" i="13"/>
  <c r="CG9" i="13"/>
  <c r="BT9" i="13"/>
  <c r="CH9" i="13"/>
  <c r="BU9" i="13"/>
  <c r="BH9" i="13"/>
  <c r="BG9" i="13"/>
  <c r="CL30" i="13"/>
  <c r="CK30" i="13"/>
  <c r="BY30" i="13"/>
  <c r="BX30" i="13"/>
  <c r="BL30" i="13"/>
  <c r="BK30" i="13"/>
  <c r="CP23" i="13"/>
  <c r="CC23" i="13"/>
  <c r="CO23" i="13"/>
  <c r="CB23" i="13"/>
  <c r="BO23" i="13"/>
  <c r="BP23" i="13"/>
  <c r="BY22" i="13"/>
  <c r="BX22" i="13"/>
  <c r="CK22" i="13"/>
  <c r="CL22" i="13"/>
  <c r="BK22" i="13"/>
  <c r="BL22" i="13"/>
  <c r="BH21" i="13"/>
  <c r="BU21" i="13"/>
  <c r="CH21" i="13"/>
  <c r="CG21" i="13"/>
  <c r="BT21" i="13"/>
  <c r="BG21" i="13"/>
  <c r="CP19" i="13"/>
  <c r="CO19" i="13"/>
  <c r="CC19" i="13"/>
  <c r="CB19" i="13"/>
  <c r="BP19" i="13"/>
  <c r="BO19" i="13"/>
  <c r="CK18" i="13"/>
  <c r="CL18" i="13"/>
  <c r="BY18" i="13"/>
  <c r="BX18" i="13"/>
  <c r="BL18" i="13"/>
  <c r="BK18" i="13"/>
  <c r="BT17" i="13"/>
  <c r="CG17" i="13"/>
  <c r="CH17" i="13"/>
  <c r="BU17" i="13"/>
  <c r="BG17" i="13"/>
  <c r="BH17" i="13"/>
  <c r="CB15" i="13"/>
  <c r="CC15" i="13"/>
  <c r="CP15" i="13"/>
  <c r="CO15" i="13"/>
  <c r="BP15" i="13"/>
  <c r="BO15" i="13"/>
  <c r="CJ14" i="13"/>
  <c r="BV14" i="13"/>
  <c r="BW14" i="13"/>
  <c r="CI14" i="13"/>
  <c r="BI14" i="13"/>
  <c r="BJ14" i="13"/>
  <c r="CN12" i="13"/>
  <c r="CM12" i="13"/>
  <c r="BZ12" i="13"/>
  <c r="CA12" i="13"/>
  <c r="BM12" i="13"/>
  <c r="BN12" i="13"/>
  <c r="CI11" i="13"/>
  <c r="BW11" i="13"/>
  <c r="CJ11" i="13"/>
  <c r="BV11" i="13"/>
  <c r="BI11" i="13"/>
  <c r="BJ11" i="13"/>
  <c r="BZ9" i="13"/>
  <c r="CN9" i="13"/>
  <c r="CA9" i="13"/>
  <c r="CM9" i="13"/>
  <c r="BM9" i="13"/>
  <c r="BN9" i="13"/>
  <c r="BU8" i="13"/>
  <c r="BT8" i="13"/>
  <c r="CH8" i="13"/>
  <c r="CG8" i="13"/>
  <c r="BH8" i="13"/>
  <c r="BG8" i="13"/>
  <c r="CM6" i="13"/>
  <c r="CA6" i="13"/>
  <c r="CN6" i="13"/>
  <c r="BZ6" i="13"/>
  <c r="BN6" i="13"/>
  <c r="BM6" i="13"/>
  <c r="CH5" i="13"/>
  <c r="CG5" i="13"/>
  <c r="BT5" i="13"/>
  <c r="BU5" i="13"/>
  <c r="BG5" i="13"/>
  <c r="BH5" i="13"/>
  <c r="CO38" i="13"/>
  <c r="CC38" i="13"/>
  <c r="CB38" i="13"/>
  <c r="CP38" i="13"/>
  <c r="BP38" i="13"/>
  <c r="BO38" i="13"/>
  <c r="BY37" i="13"/>
  <c r="CL37" i="13"/>
  <c r="BX37" i="13"/>
  <c r="CK37" i="13"/>
  <c r="BL37" i="13"/>
  <c r="BK37" i="13"/>
  <c r="BT36" i="13"/>
  <c r="CG36" i="13"/>
  <c r="BU36" i="13"/>
  <c r="CH36" i="13"/>
  <c r="BG36" i="13"/>
  <c r="BH36" i="13"/>
  <c r="CO34" i="13"/>
  <c r="CP34" i="13"/>
  <c r="BP34" i="13"/>
  <c r="CB34" i="13"/>
  <c r="BO34" i="13"/>
  <c r="CC34" i="13"/>
  <c r="BX33" i="13"/>
  <c r="CK33" i="13"/>
  <c r="CL33" i="13"/>
  <c r="BY33" i="13"/>
  <c r="BL33" i="13"/>
  <c r="BK33" i="13"/>
  <c r="BU32" i="13"/>
  <c r="CG32" i="13"/>
  <c r="CH32" i="13"/>
  <c r="BT32" i="13"/>
  <c r="BH32" i="13"/>
  <c r="BG32" i="13"/>
  <c r="CP30" i="13"/>
  <c r="CC30" i="13"/>
  <c r="CO30" i="13"/>
  <c r="CB30" i="13"/>
  <c r="BO30" i="13"/>
  <c r="BP30" i="13"/>
  <c r="BT28" i="13"/>
  <c r="CH28" i="13"/>
  <c r="BU28" i="13"/>
  <c r="CG28" i="13"/>
  <c r="BH28" i="13"/>
  <c r="BG28" i="13"/>
  <c r="CC26" i="13"/>
  <c r="CB26" i="13"/>
  <c r="CO26" i="13"/>
  <c r="CP26" i="13"/>
  <c r="BO26" i="13"/>
  <c r="BP26" i="13"/>
  <c r="CK25" i="13"/>
  <c r="BY25" i="13"/>
  <c r="BX25" i="13"/>
  <c r="CL25" i="13"/>
  <c r="BK25" i="13"/>
  <c r="BL25" i="13"/>
  <c r="CG24" i="13"/>
  <c r="CH24" i="13"/>
  <c r="BT24" i="13"/>
  <c r="BU24" i="13"/>
  <c r="BH24" i="13"/>
  <c r="BG24" i="13"/>
  <c r="BM69" i="14"/>
  <c r="CB71" i="14"/>
  <c r="BY64" i="14"/>
  <c r="BT66" i="14"/>
  <c r="BO70" i="14"/>
  <c r="BS72" i="14"/>
  <c r="BR77" i="14"/>
  <c r="BZ67" i="14"/>
  <c r="BM68" i="14"/>
  <c r="CA76" i="14"/>
  <c r="CM73" i="14"/>
  <c r="BW65" i="14"/>
  <c r="BX74" i="14"/>
  <c r="BQ72" i="14"/>
  <c r="CC78" i="14"/>
  <c r="BS78" i="14"/>
  <c r="BN67" i="14"/>
  <c r="BP72" i="14"/>
  <c r="BN70" i="14"/>
  <c r="CB69" i="14"/>
  <c r="BN75" i="14"/>
  <c r="BT74" i="14"/>
  <c r="BY72" i="14"/>
  <c r="BM78" i="14"/>
  <c r="BS73" i="14"/>
  <c r="BT78" i="14"/>
  <c r="BM67" i="14"/>
  <c r="BM66" i="14"/>
  <c r="BT75" i="14"/>
  <c r="BM70" i="14"/>
  <c r="BR73" i="14"/>
  <c r="CM65" i="14"/>
  <c r="CH77" i="14"/>
  <c r="CK77" i="14"/>
  <c r="CN77" i="14"/>
  <c r="CG77" i="14"/>
  <c r="BX77" i="14"/>
  <c r="CI77" i="14"/>
  <c r="BY77" i="14"/>
  <c r="CL77" i="14"/>
  <c r="CA77" i="14"/>
  <c r="CJ77" i="14"/>
  <c r="CC77" i="14"/>
  <c r="BZ77" i="14"/>
  <c r="CM77" i="14"/>
  <c r="CB77" i="14"/>
  <c r="BT77" i="14"/>
  <c r="CD77" i="14"/>
  <c r="BM76" i="14"/>
  <c r="BR78" i="14"/>
  <c r="BP77" i="14"/>
  <c r="BN76" i="14"/>
  <c r="BS74" i="14"/>
  <c r="BQ73" i="14"/>
  <c r="BS71" i="14"/>
  <c r="BS69" i="14"/>
  <c r="BS66" i="14"/>
  <c r="BW78" i="14"/>
  <c r="CA66" i="14"/>
  <c r="CH71" i="14"/>
  <c r="CM71" i="14"/>
  <c r="CG71" i="14"/>
  <c r="BZ71" i="14"/>
  <c r="BW71" i="14"/>
  <c r="CI71" i="14"/>
  <c r="CA71" i="14"/>
  <c r="CK71" i="14"/>
  <c r="CL71" i="14"/>
  <c r="CJ71" i="14"/>
  <c r="BY71" i="14"/>
  <c r="CN71" i="14"/>
  <c r="CC71" i="14"/>
  <c r="BT71" i="14"/>
  <c r="BN71" i="14"/>
  <c r="BM77" i="14"/>
  <c r="BQ77" i="14"/>
  <c r="BO76" i="14"/>
  <c r="CH68" i="14"/>
  <c r="CJ68" i="14"/>
  <c r="CM68" i="14"/>
  <c r="CG68" i="14"/>
  <c r="BX68" i="14"/>
  <c r="CK68" i="14"/>
  <c r="CL68" i="14"/>
  <c r="BZ68" i="14"/>
  <c r="CI68" i="14"/>
  <c r="CB68" i="14"/>
  <c r="BQ68" i="14"/>
  <c r="CD68" i="14"/>
  <c r="BS68" i="14"/>
  <c r="CN68" i="14"/>
  <c r="BT68" i="14"/>
  <c r="BY68" i="14"/>
  <c r="CA68" i="14"/>
  <c r="CH76" i="14"/>
  <c r="CJ76" i="14"/>
  <c r="CM76" i="14"/>
  <c r="BX76" i="14"/>
  <c r="CG76" i="14"/>
  <c r="CL76" i="14"/>
  <c r="CN76" i="14"/>
  <c r="BZ76" i="14"/>
  <c r="CB76" i="14"/>
  <c r="CK76" i="14"/>
  <c r="BS76" i="14"/>
  <c r="BW76" i="14"/>
  <c r="BM75" i="14"/>
  <c r="BQ78" i="14"/>
  <c r="BO77" i="14"/>
  <c r="BR74" i="14"/>
  <c r="BO73" i="14"/>
  <c r="BR71" i="14"/>
  <c r="BQ69" i="14"/>
  <c r="BR66" i="14"/>
  <c r="BW77" i="14"/>
  <c r="BY76" i="14"/>
  <c r="BX71" i="14"/>
  <c r="BZ66" i="14"/>
  <c r="BP76" i="14"/>
  <c r="CD76" i="14"/>
  <c r="CC76" i="14"/>
  <c r="CD71" i="14"/>
  <c r="BX67" i="14"/>
  <c r="CG64" i="14"/>
  <c r="BM74" i="14"/>
  <c r="BP78" i="14"/>
  <c r="BN77" i="14"/>
  <c r="BS75" i="14"/>
  <c r="BP74" i="14"/>
  <c r="BN73" i="14"/>
  <c r="BQ71" i="14"/>
  <c r="BR68" i="14"/>
  <c r="BR65" i="14"/>
  <c r="BW68" i="14"/>
  <c r="CA74" i="14"/>
  <c r="CD64" i="14"/>
  <c r="CI76" i="14"/>
  <c r="CH69" i="14"/>
  <c r="CK69" i="14"/>
  <c r="CN69" i="14"/>
  <c r="CI69" i="14"/>
  <c r="CJ69" i="14"/>
  <c r="BX69" i="14"/>
  <c r="CL69" i="14"/>
  <c r="BY69" i="14"/>
  <c r="CC69" i="14"/>
  <c r="BR69" i="14"/>
  <c r="CG69" i="14"/>
  <c r="BT69" i="14"/>
  <c r="CM69" i="14"/>
  <c r="CD69" i="14"/>
  <c r="BW69" i="14"/>
  <c r="BN69" i="14"/>
  <c r="BO69" i="14"/>
  <c r="BP69" i="14"/>
  <c r="CH67" i="14"/>
  <c r="CI67" i="14"/>
  <c r="CL67" i="14"/>
  <c r="CM67" i="14"/>
  <c r="CN67" i="14"/>
  <c r="CD67" i="14"/>
  <c r="CG67" i="14"/>
  <c r="CJ67" i="14"/>
  <c r="CK67" i="14"/>
  <c r="BY67" i="14"/>
  <c r="BP67" i="14"/>
  <c r="CA67" i="14"/>
  <c r="BR67" i="14"/>
  <c r="CB67" i="14"/>
  <c r="BO67" i="14"/>
  <c r="CC67" i="14"/>
  <c r="BQ67" i="14"/>
  <c r="BS67" i="14"/>
  <c r="BT67" i="14"/>
  <c r="CH66" i="14"/>
  <c r="CI66" i="14"/>
  <c r="CK66" i="14"/>
  <c r="CG66" i="14"/>
  <c r="CJ66" i="14"/>
  <c r="CC66" i="14"/>
  <c r="CL66" i="14"/>
  <c r="CD66" i="14"/>
  <c r="CN66" i="14"/>
  <c r="CB66" i="14"/>
  <c r="BO66" i="14"/>
  <c r="BX66" i="14"/>
  <c r="BW66" i="14"/>
  <c r="BQ66" i="14"/>
  <c r="CM66" i="14"/>
  <c r="BN66" i="14"/>
  <c r="BY66" i="14"/>
  <c r="BP66" i="14"/>
  <c r="CH75" i="14"/>
  <c r="CI75" i="14"/>
  <c r="CL75" i="14"/>
  <c r="CK75" i="14"/>
  <c r="CD75" i="14"/>
  <c r="CM75" i="14"/>
  <c r="CC75" i="14"/>
  <c r="CJ75" i="14"/>
  <c r="BY75" i="14"/>
  <c r="BW75" i="14"/>
  <c r="CN75" i="14"/>
  <c r="BX75" i="14"/>
  <c r="BZ75" i="14"/>
  <c r="BR75" i="14"/>
  <c r="CA75" i="14"/>
  <c r="CB75" i="14"/>
  <c r="BM73" i="14"/>
  <c r="BM65" i="14"/>
  <c r="BO78" i="14"/>
  <c r="BT76" i="14"/>
  <c r="BQ75" i="14"/>
  <c r="BO74" i="14"/>
  <c r="BT72" i="14"/>
  <c r="BP71" i="14"/>
  <c r="BP68" i="14"/>
  <c r="BQ65" i="14"/>
  <c r="BW67" i="14"/>
  <c r="BY74" i="14"/>
  <c r="CA69" i="14"/>
  <c r="CC64" i="14"/>
  <c r="CG75" i="14"/>
  <c r="BM72" i="14"/>
  <c r="BM64" i="14"/>
  <c r="BN78" i="14"/>
  <c r="BR76" i="14"/>
  <c r="BP75" i="14"/>
  <c r="BN74" i="14"/>
  <c r="BO71" i="14"/>
  <c r="BO68" i="14"/>
  <c r="BO65" i="14"/>
  <c r="BZ69" i="14"/>
  <c r="CH64" i="14"/>
  <c r="CI64" i="14"/>
  <c r="CL64" i="14"/>
  <c r="CJ64" i="14"/>
  <c r="CK64" i="14"/>
  <c r="CA64" i="14"/>
  <c r="CM64" i="14"/>
  <c r="CB64" i="14"/>
  <c r="BX64" i="14"/>
  <c r="BW64" i="14"/>
  <c r="CN64" i="14"/>
  <c r="BZ64" i="14"/>
  <c r="BO64" i="14"/>
  <c r="BP64" i="14"/>
  <c r="BQ64" i="14"/>
  <c r="BR64" i="14"/>
  <c r="BS64" i="14"/>
  <c r="BN64" i="14"/>
  <c r="CH70" i="14"/>
  <c r="CL70" i="14"/>
  <c r="CM70" i="14"/>
  <c r="CN70" i="14"/>
  <c r="BY70" i="14"/>
  <c r="BZ70" i="14"/>
  <c r="CG70" i="14"/>
  <c r="CI70" i="14"/>
  <c r="BW70" i="14"/>
  <c r="BX70" i="14"/>
  <c r="BS70" i="14"/>
  <c r="CB70" i="14"/>
  <c r="CJ70" i="14"/>
  <c r="CA70" i="14"/>
  <c r="BQ70" i="14"/>
  <c r="CK70" i="14"/>
  <c r="CC70" i="14"/>
  <c r="BR70" i="14"/>
  <c r="CD70" i="14"/>
  <c r="BT70" i="14"/>
  <c r="CH73" i="14"/>
  <c r="CJ73" i="14"/>
  <c r="CN73" i="14"/>
  <c r="CB73" i="14"/>
  <c r="CC73" i="14"/>
  <c r="CG73" i="14"/>
  <c r="BY73" i="14"/>
  <c r="BW73" i="14"/>
  <c r="CI73" i="14"/>
  <c r="CA73" i="14"/>
  <c r="CK73" i="14"/>
  <c r="BP73" i="14"/>
  <c r="BX73" i="14"/>
  <c r="BZ73" i="14"/>
  <c r="CH65" i="14"/>
  <c r="CI65" i="14"/>
  <c r="CN65" i="14"/>
  <c r="CG65" i="14"/>
  <c r="CB65" i="14"/>
  <c r="CC65" i="14"/>
  <c r="CJ65" i="14"/>
  <c r="CK65" i="14"/>
  <c r="BY65" i="14"/>
  <c r="CA65" i="14"/>
  <c r="BN65" i="14"/>
  <c r="BP65" i="14"/>
  <c r="CL65" i="14"/>
  <c r="BX65" i="14"/>
  <c r="BS65" i="14"/>
  <c r="BZ65" i="14"/>
  <c r="BT65" i="14"/>
  <c r="CD65" i="14"/>
  <c r="CH72" i="14"/>
  <c r="CN72" i="14"/>
  <c r="CI72" i="14"/>
  <c r="CJ72" i="14"/>
  <c r="CK72" i="14"/>
  <c r="CA72" i="14"/>
  <c r="CL72" i="14"/>
  <c r="CB72" i="14"/>
  <c r="CD72" i="14"/>
  <c r="CG72" i="14"/>
  <c r="BX72" i="14"/>
  <c r="BO72" i="14"/>
  <c r="BZ72" i="14"/>
  <c r="CC72" i="14"/>
  <c r="BW72" i="14"/>
  <c r="BN72" i="14"/>
  <c r="CM72" i="14"/>
  <c r="CH74" i="14"/>
  <c r="CG74" i="14"/>
  <c r="CK74" i="14"/>
  <c r="CC74" i="14"/>
  <c r="CI74" i="14"/>
  <c r="CD74" i="14"/>
  <c r="CL74" i="14"/>
  <c r="CJ74" i="14"/>
  <c r="BZ74" i="14"/>
  <c r="CM74" i="14"/>
  <c r="CN74" i="14"/>
  <c r="CB74" i="14"/>
  <c r="BQ74" i="14"/>
  <c r="BW74" i="14"/>
  <c r="CH78" i="14"/>
  <c r="CL78" i="14"/>
  <c r="CK78" i="14"/>
  <c r="BY78" i="14"/>
  <c r="CM78" i="14"/>
  <c r="BZ78" i="14"/>
  <c r="CD78" i="14"/>
  <c r="CG78" i="14"/>
  <c r="BX78" i="14"/>
  <c r="CI78" i="14"/>
  <c r="CJ78" i="14"/>
  <c r="CN78" i="14"/>
  <c r="CA78" i="14"/>
  <c r="BM71" i="14"/>
  <c r="BS77" i="14"/>
  <c r="BQ76" i="14"/>
  <c r="BO75" i="14"/>
  <c r="BT73" i="14"/>
  <c r="BR72" i="14"/>
  <c r="BP70" i="14"/>
  <c r="BN68" i="14"/>
  <c r="BT64" i="14"/>
  <c r="CB78" i="14"/>
  <c r="CD73" i="14"/>
  <c r="CC68" i="14"/>
  <c r="CL73" i="14"/>
  <c r="BC74" i="14"/>
  <c r="BD74" i="14"/>
  <c r="BE74" i="14"/>
  <c r="BG74" i="14"/>
  <c r="BH74" i="14"/>
  <c r="BF74" i="14"/>
  <c r="BI74" i="14"/>
  <c r="BJ74" i="14"/>
  <c r="BC66" i="14"/>
  <c r="BD66" i="14"/>
  <c r="BE66" i="14"/>
  <c r="BG66" i="14"/>
  <c r="BH66" i="14"/>
  <c r="BF66" i="14"/>
  <c r="BI66" i="14"/>
  <c r="BJ66" i="14"/>
  <c r="BC73" i="14"/>
  <c r="BD73" i="14"/>
  <c r="BE73" i="14"/>
  <c r="BG73" i="14"/>
  <c r="BH73" i="14"/>
  <c r="BI73" i="14"/>
  <c r="BF73" i="14"/>
  <c r="BJ73" i="14"/>
  <c r="BC65" i="14"/>
  <c r="BD65" i="14"/>
  <c r="BE65" i="14"/>
  <c r="BG65" i="14"/>
  <c r="BH65" i="14"/>
  <c r="BI65" i="14"/>
  <c r="BF65" i="14"/>
  <c r="BJ65" i="14"/>
  <c r="BC67" i="14"/>
  <c r="BD67" i="14"/>
  <c r="BE67" i="14"/>
  <c r="BG67" i="14"/>
  <c r="BH67" i="14"/>
  <c r="BF67" i="14"/>
  <c r="BI67" i="14"/>
  <c r="BJ67" i="14"/>
  <c r="BC72" i="14"/>
  <c r="BD72" i="14"/>
  <c r="BE72" i="14"/>
  <c r="BG72" i="14"/>
  <c r="BH72" i="14"/>
  <c r="BI72" i="14"/>
  <c r="BJ72" i="14"/>
  <c r="BF72" i="14"/>
  <c r="BC64" i="14"/>
  <c r="BD64" i="14"/>
  <c r="BE64" i="14"/>
  <c r="BG64" i="14"/>
  <c r="BH64" i="14"/>
  <c r="BI64" i="14"/>
  <c r="BJ64" i="14"/>
  <c r="BF64" i="14"/>
  <c r="BC71" i="14"/>
  <c r="BD71" i="14"/>
  <c r="BE71" i="14"/>
  <c r="BG71" i="14"/>
  <c r="BH71" i="14"/>
  <c r="BJ71" i="14"/>
  <c r="BI71" i="14"/>
  <c r="BF71" i="14"/>
  <c r="BC77" i="14"/>
  <c r="BD77" i="14"/>
  <c r="BE77" i="14"/>
  <c r="BG77" i="14"/>
  <c r="BH77" i="14"/>
  <c r="BJ77" i="14"/>
  <c r="BF77" i="14"/>
  <c r="BI77" i="14"/>
  <c r="BC69" i="14"/>
  <c r="BD69" i="14"/>
  <c r="BE69" i="14"/>
  <c r="BG69" i="14"/>
  <c r="BH69" i="14"/>
  <c r="BJ69" i="14"/>
  <c r="BF69" i="14"/>
  <c r="BI69" i="14"/>
  <c r="BC75" i="14"/>
  <c r="BD75" i="14"/>
  <c r="BE75" i="14"/>
  <c r="BG75" i="14"/>
  <c r="BH75" i="14"/>
  <c r="BF75" i="14"/>
  <c r="BI75" i="14"/>
  <c r="BC78" i="14"/>
  <c r="BD78" i="14"/>
  <c r="BE78" i="14"/>
  <c r="BG78" i="14"/>
  <c r="BH78" i="14"/>
  <c r="BF78" i="14"/>
  <c r="BJ78" i="14"/>
  <c r="BI78" i="14"/>
  <c r="BC70" i="14"/>
  <c r="BD70" i="14"/>
  <c r="BE70" i="14"/>
  <c r="BG70" i="14"/>
  <c r="BH70" i="14"/>
  <c r="BF70" i="14"/>
  <c r="BJ70" i="14"/>
  <c r="BI70" i="14"/>
  <c r="BC76" i="14"/>
  <c r="BD76" i="14"/>
  <c r="BE76" i="14"/>
  <c r="BG76" i="14"/>
  <c r="BH76" i="14"/>
  <c r="BF76" i="14"/>
  <c r="BI76" i="14"/>
  <c r="BJ76" i="14"/>
  <c r="BC68" i="14"/>
  <c r="BD68" i="14"/>
  <c r="BE68" i="14"/>
  <c r="BG68" i="14"/>
  <c r="BH68" i="14"/>
  <c r="BF68" i="14"/>
  <c r="BI68" i="14"/>
  <c r="BJ68" i="14"/>
  <c r="BJ75" i="14"/>
  <c r="Y58" i="9"/>
  <c r="CF77" i="14"/>
  <c r="BB67" i="14"/>
  <c r="BL78" i="14"/>
  <c r="BB78" i="14"/>
  <c r="BL72" i="14"/>
  <c r="BB73" i="14"/>
  <c r="CF67" i="14"/>
  <c r="CF75" i="14"/>
  <c r="BL75" i="14"/>
  <c r="BB77" i="14"/>
  <c r="BL69" i="14"/>
  <c r="BB75" i="14"/>
  <c r="CF74" i="14"/>
  <c r="CF66" i="14"/>
  <c r="BV76" i="14"/>
  <c r="BL76" i="14"/>
  <c r="BB76" i="14"/>
  <c r="CF76" i="14"/>
  <c r="BL74" i="14"/>
  <c r="BB74" i="14"/>
  <c r="CF71" i="14"/>
  <c r="CF68" i="14"/>
  <c r="BB72" i="14"/>
  <c r="BB69" i="14"/>
  <c r="CF65" i="14"/>
  <c r="CF73" i="14"/>
  <c r="BL68" i="14"/>
  <c r="BL65" i="14"/>
  <c r="CF70" i="14"/>
  <c r="BV73" i="14"/>
  <c r="CF69" i="14"/>
  <c r="BB68" i="14"/>
  <c r="BB65" i="14"/>
  <c r="BL73" i="14"/>
  <c r="BV74" i="14"/>
  <c r="BV72" i="14"/>
  <c r="BV68" i="14"/>
  <c r="BL66" i="14"/>
  <c r="CF72" i="14"/>
  <c r="BL70" i="14"/>
  <c r="BL71" i="14"/>
  <c r="BB70" i="14"/>
  <c r="BL67" i="14"/>
  <c r="BB66" i="14"/>
  <c r="BL64" i="14"/>
  <c r="BB64" i="14"/>
  <c r="M25" i="9"/>
  <c r="S24" i="9"/>
  <c r="S22" i="9"/>
  <c r="Y24" i="14" s="1"/>
  <c r="S23" i="9"/>
  <c r="AH34" i="9"/>
  <c r="X34" i="9"/>
  <c r="S34" i="9"/>
  <c r="M43" i="9"/>
  <c r="S45" i="9"/>
  <c r="A3" i="9"/>
  <c r="S36" i="9"/>
  <c r="M36" i="9"/>
  <c r="M37" i="9"/>
  <c r="S37" i="9"/>
  <c r="S46" i="9"/>
  <c r="M66" i="9"/>
  <c r="S68" i="14" s="1"/>
  <c r="S66" i="9"/>
  <c r="AC68" i="14" s="1"/>
  <c r="S30" i="9"/>
  <c r="S29" i="9"/>
  <c r="S54" i="9"/>
  <c r="L5" i="9"/>
  <c r="M5" i="9" s="1"/>
  <c r="M28" i="9"/>
  <c r="M54" i="9"/>
  <c r="D4" i="14"/>
  <c r="N5" i="14"/>
  <c r="N6" i="14"/>
  <c r="BL7" i="14"/>
  <c r="N8" i="14"/>
  <c r="N9" i="14"/>
  <c r="N10" i="14"/>
  <c r="N11" i="14"/>
  <c r="N12" i="14"/>
  <c r="N13" i="14"/>
  <c r="N14" i="14"/>
  <c r="BL15" i="14"/>
  <c r="N16" i="14"/>
  <c r="N17" i="14"/>
  <c r="N18" i="14"/>
  <c r="N19" i="14"/>
  <c r="N20" i="14"/>
  <c r="N21" i="14"/>
  <c r="N22" i="14"/>
  <c r="BL23" i="14"/>
  <c r="N24" i="14"/>
  <c r="N25" i="14"/>
  <c r="N26" i="14"/>
  <c r="N27" i="14"/>
  <c r="CF28" i="14"/>
  <c r="N29" i="14"/>
  <c r="N30" i="14"/>
  <c r="BL31" i="14"/>
  <c r="N32" i="14"/>
  <c r="N33" i="14"/>
  <c r="N34" i="14"/>
  <c r="N35" i="14"/>
  <c r="N36" i="14"/>
  <c r="N37" i="14"/>
  <c r="N38" i="14"/>
  <c r="BL39" i="14"/>
  <c r="N40" i="14"/>
  <c r="N41" i="14"/>
  <c r="CF42" i="14"/>
  <c r="N43" i="14"/>
  <c r="N44" i="14"/>
  <c r="N45" i="14"/>
  <c r="BL46" i="14"/>
  <c r="BL47" i="14"/>
  <c r="N48" i="14"/>
  <c r="N49" i="14"/>
  <c r="N50" i="14"/>
  <c r="N51" i="14"/>
  <c r="BB52" i="14"/>
  <c r="N53" i="14"/>
  <c r="N54" i="14"/>
  <c r="BL55" i="14"/>
  <c r="N56" i="14"/>
  <c r="N57" i="14"/>
  <c r="CF58" i="14"/>
  <c r="N59" i="14"/>
  <c r="N60" i="14"/>
  <c r="N61" i="14"/>
  <c r="BL63" i="14"/>
  <c r="P4" i="6"/>
  <c r="Y6" i="13" s="1"/>
  <c r="P5" i="6"/>
  <c r="AB7" i="13" s="1"/>
  <c r="P7" i="6"/>
  <c r="Z9" i="13" s="1"/>
  <c r="P8" i="6"/>
  <c r="AC10" i="13" s="1"/>
  <c r="P9" i="6"/>
  <c r="Y11" i="13" s="1"/>
  <c r="P10" i="6"/>
  <c r="AD12" i="13" s="1"/>
  <c r="P11" i="6"/>
  <c r="AA13" i="13" s="1"/>
  <c r="P13" i="6"/>
  <c r="Z15" i="13" s="1"/>
  <c r="P2" i="6"/>
  <c r="Z4" i="13" s="1"/>
  <c r="O4" i="6"/>
  <c r="K6" i="13" s="1"/>
  <c r="O5" i="6"/>
  <c r="N7" i="13" s="1"/>
  <c r="O6" i="6"/>
  <c r="O8" i="13" s="1"/>
  <c r="O7" i="6"/>
  <c r="L9" i="13" s="1"/>
  <c r="O8" i="6"/>
  <c r="O10" i="13" s="1"/>
  <c r="O9" i="6"/>
  <c r="K11" i="13" s="1"/>
  <c r="O10" i="6"/>
  <c r="P12" i="13" s="1"/>
  <c r="O11" i="6"/>
  <c r="M13" i="13" s="1"/>
  <c r="O13" i="6"/>
  <c r="L15" i="13" s="1"/>
  <c r="O22" i="6"/>
  <c r="P24" i="13" s="1"/>
  <c r="O2" i="6"/>
  <c r="L4" i="13" s="1"/>
  <c r="A3" i="6"/>
  <c r="W15" i="9"/>
  <c r="CF3" i="14"/>
  <c r="U4" i="9"/>
  <c r="U7" i="9"/>
  <c r="AI9" i="14" s="1"/>
  <c r="U8" i="9"/>
  <c r="AI10" i="14" s="1"/>
  <c r="U11" i="9"/>
  <c r="AI13" i="14" s="1"/>
  <c r="M3" i="9"/>
  <c r="M4" i="9"/>
  <c r="V8" i="9"/>
  <c r="W8" i="9"/>
  <c r="V9" i="9"/>
  <c r="X9" i="9" s="1"/>
  <c r="V11" i="9"/>
  <c r="W11" i="9"/>
  <c r="X14" i="9"/>
  <c r="X16" i="9"/>
  <c r="X17" i="9"/>
  <c r="X18" i="9"/>
  <c r="X19" i="9"/>
  <c r="W20" i="9"/>
  <c r="X20" i="9" s="1"/>
  <c r="X21" i="9"/>
  <c r="X22" i="9"/>
  <c r="V24" i="9"/>
  <c r="X24" i="9" s="1"/>
  <c r="X25" i="9"/>
  <c r="X26" i="9"/>
  <c r="X28" i="9"/>
  <c r="X30" i="9"/>
  <c r="X35" i="9"/>
  <c r="X43" i="9"/>
  <c r="X44" i="9"/>
  <c r="X57" i="9"/>
  <c r="V3" i="9"/>
  <c r="X3" i="9" s="1"/>
  <c r="W3" i="9"/>
  <c r="V4" i="9"/>
  <c r="X4" i="9" s="1"/>
  <c r="W4" i="9"/>
  <c r="V5" i="9"/>
  <c r="W5" i="9"/>
  <c r="Y5" i="9" s="1"/>
  <c r="V7" i="9"/>
  <c r="W7" i="9"/>
  <c r="BJ5" i="14"/>
  <c r="AB7" i="14"/>
  <c r="BF8" i="14"/>
  <c r="Q9" i="14"/>
  <c r="BI10" i="14"/>
  <c r="AA11" i="14"/>
  <c r="BE12" i="14"/>
  <c r="BD14" i="14"/>
  <c r="AE18" i="14"/>
  <c r="T19" i="14"/>
  <c r="AF20" i="14"/>
  <c r="BD22" i="14"/>
  <c r="BD23" i="14"/>
  <c r="U24" i="14"/>
  <c r="BJ27" i="14"/>
  <c r="P28" i="14"/>
  <c r="BG29" i="14"/>
  <c r="BH30" i="14"/>
  <c r="BF31" i="14"/>
  <c r="BF34" i="14"/>
  <c r="O36" i="14"/>
  <c r="Q37" i="14"/>
  <c r="BH38" i="14"/>
  <c r="AB39" i="14"/>
  <c r="BI40" i="14"/>
  <c r="BE41" i="14"/>
  <c r="BC42" i="14"/>
  <c r="BD44" i="14"/>
  <c r="BG45" i="14"/>
  <c r="U46" i="14"/>
  <c r="BG48" i="14"/>
  <c r="BI50" i="14"/>
  <c r="BI53" i="14"/>
  <c r="BC54" i="14"/>
  <c r="V57" i="14"/>
  <c r="BC58" i="14"/>
  <c r="BI59" i="14"/>
  <c r="BC60" i="14"/>
  <c r="BJ62" i="14"/>
  <c r="W42" i="9"/>
  <c r="Q42" i="9"/>
  <c r="P42" i="9"/>
  <c r="U2" i="9"/>
  <c r="C4" i="14"/>
  <c r="I10" i="9"/>
  <c r="I40" i="9"/>
  <c r="I54" i="9"/>
  <c r="V2" i="9"/>
  <c r="X2" i="9" s="1"/>
  <c r="B4" i="14"/>
  <c r="A4" i="14"/>
  <c r="L54" i="9"/>
  <c r="AH66" i="9"/>
  <c r="AH62" i="9"/>
  <c r="AH63" i="9"/>
  <c r="AI61" i="9"/>
  <c r="AH61" i="9"/>
  <c r="AI53" i="9"/>
  <c r="AH53" i="9"/>
  <c r="AI57" i="9"/>
  <c r="AH57" i="9"/>
  <c r="AH56" i="9"/>
  <c r="AI50" i="9"/>
  <c r="AH50" i="9"/>
  <c r="V50" i="9"/>
  <c r="AI48" i="9"/>
  <c r="AH48" i="9"/>
  <c r="AH46" i="9"/>
  <c r="AI45" i="9"/>
  <c r="AI43" i="9"/>
  <c r="AH43" i="9"/>
  <c r="AI41" i="9"/>
  <c r="AH41" i="9"/>
  <c r="AE40" i="9"/>
  <c r="AI37" i="9"/>
  <c r="AH37" i="9"/>
  <c r="AI36" i="9"/>
  <c r="AI33" i="9"/>
  <c r="AF32" i="9"/>
  <c r="AD32" i="9"/>
  <c r="Z32" i="9"/>
  <c r="AB32" i="9" s="1"/>
  <c r="V32" i="9"/>
  <c r="AF31" i="9"/>
  <c r="AD31" i="9"/>
  <c r="Z31" i="9"/>
  <c r="AB31" i="9" s="1"/>
  <c r="Y31" i="9"/>
  <c r="W31" i="9"/>
  <c r="V31" i="9"/>
  <c r="AH30" i="9"/>
  <c r="AB30" i="9"/>
  <c r="AI29" i="9"/>
  <c r="AH28" i="9"/>
  <c r="Z28" i="9"/>
  <c r="AB28" i="9" s="1"/>
  <c r="Y28" i="9"/>
  <c r="V28" i="9"/>
  <c r="AI27" i="9"/>
  <c r="AF26" i="9"/>
  <c r="AD26" i="9"/>
  <c r="Z26" i="9"/>
  <c r="AB26" i="9" s="1"/>
  <c r="AF25" i="9"/>
  <c r="AM24" i="9"/>
  <c r="T24" i="9"/>
  <c r="AB22" i="9"/>
  <c r="Y22" i="9"/>
  <c r="T22" i="9"/>
  <c r="L21" i="9"/>
  <c r="AH19" i="9"/>
  <c r="AH18" i="9"/>
  <c r="AH17" i="9"/>
  <c r="AH16" i="9"/>
  <c r="AH15" i="9"/>
  <c r="AH14" i="9"/>
  <c r="AH13" i="9"/>
  <c r="AD12" i="9"/>
  <c r="AH12" i="9" s="1"/>
  <c r="Y12" i="9"/>
  <c r="T12" i="9"/>
  <c r="W10" i="9"/>
  <c r="AM10" i="9" s="1"/>
  <c r="AF10" i="9"/>
  <c r="AD10" i="9"/>
  <c r="AE9" i="9"/>
  <c r="AD9" i="9"/>
  <c r="Y9" i="9"/>
  <c r="T9" i="9"/>
  <c r="P9" i="9"/>
  <c r="AF7" i="9"/>
  <c r="AF5" i="9"/>
  <c r="AD5" i="9"/>
  <c r="AM4" i="9"/>
  <c r="AH4" i="9"/>
  <c r="Q4" i="9"/>
  <c r="P4" i="9"/>
  <c r="AH3" i="9"/>
  <c r="T3" i="9"/>
  <c r="T4" i="9" s="1"/>
  <c r="Q3" i="9"/>
  <c r="P3" i="9"/>
  <c r="AF2" i="9"/>
  <c r="AD2" i="9"/>
  <c r="Y2" i="9"/>
  <c r="Q11" i="6"/>
  <c r="Q8" i="6"/>
  <c r="Q7" i="6"/>
  <c r="Q2" i="6"/>
  <c r="AQ24" i="13" l="1"/>
  <c r="AR24" i="13"/>
  <c r="CD24" i="13"/>
  <c r="CE24" i="13"/>
  <c r="AJ4" i="14"/>
  <c r="N83" i="11" s="1" a="1"/>
  <c r="N83" i="11" s="1"/>
  <c r="AL4" i="14"/>
  <c r="AN4" i="14"/>
  <c r="N87" i="11" s="1" a="1"/>
  <c r="N87" i="11" s="1"/>
  <c r="AI4" i="14"/>
  <c r="AK4" i="14"/>
  <c r="AM4" i="14"/>
  <c r="AO4" i="14"/>
  <c r="N88" i="11" s="1" a="1"/>
  <c r="N88" i="11" s="1"/>
  <c r="AP4" i="14"/>
  <c r="N89" i="11" s="1" a="1"/>
  <c r="N89" i="11" s="1"/>
  <c r="N4" i="14"/>
  <c r="X4" i="14" s="1"/>
  <c r="AH4" i="14"/>
  <c r="AL13" i="13"/>
  <c r="AK13" i="13"/>
  <c r="Z62" i="8"/>
  <c r="BY13" i="13"/>
  <c r="CL13" i="13"/>
  <c r="BX13" i="13"/>
  <c r="CK13" i="13"/>
  <c r="BL13" i="13"/>
  <c r="BK13" i="13"/>
  <c r="AP10" i="13"/>
  <c r="AO10" i="13"/>
  <c r="CD12" i="13"/>
  <c r="CQ12" i="13"/>
  <c r="CR12" i="13"/>
  <c r="CE12" i="13"/>
  <c r="BQ12" i="13"/>
  <c r="BR12" i="13"/>
  <c r="AJ9" i="13"/>
  <c r="AI9" i="13"/>
  <c r="CG11" i="13"/>
  <c r="CH11" i="13"/>
  <c r="BT11" i="13"/>
  <c r="BU11" i="13"/>
  <c r="BH11" i="13"/>
  <c r="BG11" i="13"/>
  <c r="AI4" i="13"/>
  <c r="AJ4" i="13"/>
  <c r="AP8" i="13"/>
  <c r="AO8" i="13"/>
  <c r="CC10" i="13"/>
  <c r="CB10" i="13"/>
  <c r="CO10" i="13"/>
  <c r="CP10" i="13"/>
  <c r="BO10" i="13"/>
  <c r="BP10" i="13"/>
  <c r="BT6" i="13"/>
  <c r="CH6" i="13"/>
  <c r="CG6" i="13"/>
  <c r="BU6" i="13"/>
  <c r="BG6" i="13"/>
  <c r="BH6" i="13"/>
  <c r="AN7" i="13"/>
  <c r="AM7" i="13"/>
  <c r="CJ9" i="13"/>
  <c r="CI9" i="13"/>
  <c r="BV9" i="13"/>
  <c r="BW9" i="13"/>
  <c r="BJ9" i="13"/>
  <c r="BI9" i="13"/>
  <c r="CC8" i="13"/>
  <c r="CJ4" i="13"/>
  <c r="BV4" i="13"/>
  <c r="CI4" i="13"/>
  <c r="BW4" i="13"/>
  <c r="BI4" i="13"/>
  <c r="BJ4" i="13"/>
  <c r="AH11" i="13"/>
  <c r="AG11" i="13"/>
  <c r="AI15" i="13"/>
  <c r="AJ15" i="13"/>
  <c r="AG6" i="13"/>
  <c r="AH6" i="13"/>
  <c r="CM7" i="13"/>
  <c r="CN7" i="13"/>
  <c r="BZ7" i="13"/>
  <c r="CA7" i="13"/>
  <c r="BN7" i="13"/>
  <c r="BM7" i="13"/>
  <c r="CB8" i="13"/>
  <c r="AQ12" i="13"/>
  <c r="AR12" i="13"/>
  <c r="CI15" i="13"/>
  <c r="BW15" i="13"/>
  <c r="CJ15" i="13"/>
  <c r="BV15" i="13"/>
  <c r="BJ15" i="13"/>
  <c r="BI15" i="13"/>
  <c r="BV50" i="14"/>
  <c r="BV34" i="14"/>
  <c r="BV26" i="14"/>
  <c r="BV18" i="14"/>
  <c r="BV10" i="14"/>
  <c r="BV77" i="14"/>
  <c r="BV16" i="14"/>
  <c r="BV8" i="14"/>
  <c r="BV75" i="14"/>
  <c r="X54" i="14"/>
  <c r="X38" i="14"/>
  <c r="X30" i="14"/>
  <c r="X22" i="14"/>
  <c r="X14" i="14"/>
  <c r="X6" i="14"/>
  <c r="BV70" i="14"/>
  <c r="BV67" i="14"/>
  <c r="X60" i="14"/>
  <c r="X44" i="14"/>
  <c r="X36" i="14"/>
  <c r="X20" i="14"/>
  <c r="X12" i="14"/>
  <c r="Z63" i="8"/>
  <c r="AA36" i="14"/>
  <c r="BE44" i="14"/>
  <c r="BG52" i="14"/>
  <c r="AB44" i="14"/>
  <c r="T20" i="14"/>
  <c r="BH12" i="14"/>
  <c r="BJ31" i="14"/>
  <c r="AB47" i="14"/>
  <c r="BI28" i="14"/>
  <c r="Z12" i="14"/>
  <c r="BD12" i="14"/>
  <c r="Q52" i="14"/>
  <c r="P60" i="14"/>
  <c r="BF63" i="14"/>
  <c r="BD45" i="14"/>
  <c r="BC7" i="14"/>
  <c r="BC12" i="14"/>
  <c r="BH28" i="14"/>
  <c r="P44" i="14"/>
  <c r="AF52" i="14"/>
  <c r="O60" i="14"/>
  <c r="BE63" i="14"/>
  <c r="BG53" i="14"/>
  <c r="T8" i="14"/>
  <c r="P9" i="14"/>
  <c r="BE20" i="14"/>
  <c r="AD12" i="14"/>
  <c r="Z20" i="14"/>
  <c r="AB28" i="14"/>
  <c r="BD28" i="14"/>
  <c r="BI44" i="14"/>
  <c r="AC52" i="14"/>
  <c r="BJ60" i="14"/>
  <c r="BJ23" i="14"/>
  <c r="BD63" i="14"/>
  <c r="BD61" i="14"/>
  <c r="O8" i="14"/>
  <c r="Y9" i="14"/>
  <c r="O28" i="14"/>
  <c r="BC28" i="14"/>
  <c r="Y52" i="14"/>
  <c r="R39" i="14"/>
  <c r="O5" i="14"/>
  <c r="O15" i="14"/>
  <c r="BH24" i="14"/>
  <c r="AA33" i="14"/>
  <c r="AD44" i="14"/>
  <c r="AE12" i="14"/>
  <c r="AB20" i="14"/>
  <c r="Z28" i="14"/>
  <c r="V36" i="14"/>
  <c r="BE36" i="14"/>
  <c r="Z52" i="14"/>
  <c r="Q39" i="14"/>
  <c r="BI36" i="14"/>
  <c r="S44" i="14"/>
  <c r="BI20" i="14"/>
  <c r="AE28" i="14"/>
  <c r="AF36" i="14"/>
  <c r="BD36" i="14"/>
  <c r="BJ52" i="14"/>
  <c r="BD40" i="14"/>
  <c r="AF57" i="14"/>
  <c r="BH37" i="14"/>
  <c r="U7" i="14"/>
  <c r="V61" i="14"/>
  <c r="BH20" i="14"/>
  <c r="AC36" i="14"/>
  <c r="Q44" i="14"/>
  <c r="BF44" i="14"/>
  <c r="BH52" i="14"/>
  <c r="BJ39" i="14"/>
  <c r="AD31" i="14"/>
  <c r="S48" i="14"/>
  <c r="BI57" i="14"/>
  <c r="BC45" i="14"/>
  <c r="BH22" i="14"/>
  <c r="BH14" i="14"/>
  <c r="Y54" i="14"/>
  <c r="V23" i="14"/>
  <c r="V13" i="14"/>
  <c r="O12" i="14"/>
  <c r="S20" i="14"/>
  <c r="BG28" i="14"/>
  <c r="AB36" i="14"/>
  <c r="BC36" i="14"/>
  <c r="AA44" i="14"/>
  <c r="BH44" i="14"/>
  <c r="P52" i="14"/>
  <c r="BE52" i="14"/>
  <c r="AD60" i="14"/>
  <c r="S14" i="14"/>
  <c r="BF14" i="14"/>
  <c r="Z46" i="14"/>
  <c r="O39" i="14"/>
  <c r="BC63" i="14"/>
  <c r="AC5" i="14"/>
  <c r="BG21" i="14"/>
  <c r="R37" i="14"/>
  <c r="AF45" i="14"/>
  <c r="Z53" i="14"/>
  <c r="AC61" i="14"/>
  <c r="S54" i="14"/>
  <c r="T47" i="14"/>
  <c r="AF15" i="14"/>
  <c r="BF55" i="14"/>
  <c r="AB32" i="14"/>
  <c r="BJ48" i="14"/>
  <c r="BD9" i="14"/>
  <c r="R41" i="14"/>
  <c r="BC29" i="14"/>
  <c r="Q15" i="14"/>
  <c r="AB12" i="14"/>
  <c r="O20" i="14"/>
  <c r="BC20" i="14"/>
  <c r="BJ28" i="14"/>
  <c r="BF28" i="14"/>
  <c r="AD36" i="14"/>
  <c r="R44" i="14"/>
  <c r="Z44" i="14"/>
  <c r="BG44" i="14"/>
  <c r="AB52" i="14"/>
  <c r="BD52" i="14"/>
  <c r="AC60" i="14"/>
  <c r="AC38" i="14"/>
  <c r="BJ38" i="14"/>
  <c r="AE46" i="14"/>
  <c r="AC39" i="14"/>
  <c r="AB5" i="14"/>
  <c r="BI13" i="14"/>
  <c r="BC21" i="14"/>
  <c r="O37" i="14"/>
  <c r="Y45" i="14"/>
  <c r="AD61" i="14"/>
  <c r="Q54" i="14"/>
  <c r="BE31" i="14"/>
  <c r="R60" i="14"/>
  <c r="BH62" i="14"/>
  <c r="P47" i="14"/>
  <c r="AA15" i="14"/>
  <c r="P32" i="14"/>
  <c r="AF17" i="14"/>
  <c r="AF46" i="14"/>
  <c r="V5" i="14"/>
  <c r="R38" i="14"/>
  <c r="V17" i="14"/>
  <c r="AD52" i="14"/>
  <c r="BC52" i="14"/>
  <c r="Z60" i="14"/>
  <c r="BG60" i="14"/>
  <c r="O14" i="14"/>
  <c r="S38" i="14"/>
  <c r="BF38" i="14"/>
  <c r="AC23" i="14"/>
  <c r="AA39" i="14"/>
  <c r="BD39" i="14"/>
  <c r="BG5" i="14"/>
  <c r="BG13" i="14"/>
  <c r="O29" i="14"/>
  <c r="P37" i="14"/>
  <c r="P45" i="14"/>
  <c r="AA53" i="14"/>
  <c r="BI61" i="14"/>
  <c r="O6" i="14"/>
  <c r="BG62" i="14"/>
  <c r="BI47" i="14"/>
  <c r="AB15" i="14"/>
  <c r="AA16" i="14"/>
  <c r="BG32" i="14"/>
  <c r="P56" i="14"/>
  <c r="BE17" i="14"/>
  <c r="P26" i="14"/>
  <c r="BH21" i="14"/>
  <c r="P61" i="14"/>
  <c r="T60" i="14"/>
  <c r="AE60" i="14"/>
  <c r="BF60" i="14"/>
  <c r="AD14" i="14"/>
  <c r="O38" i="14"/>
  <c r="BE38" i="14"/>
  <c r="BJ46" i="14"/>
  <c r="Z23" i="14"/>
  <c r="BE23" i="14"/>
  <c r="BC39" i="14"/>
  <c r="BJ63" i="14"/>
  <c r="U16" i="14"/>
  <c r="BF5" i="14"/>
  <c r="AE21" i="14"/>
  <c r="AB29" i="14"/>
  <c r="BJ45" i="14"/>
  <c r="AF6" i="14"/>
  <c r="T15" i="14"/>
  <c r="T7" i="14"/>
  <c r="T55" i="14"/>
  <c r="BC32" i="14"/>
  <c r="AF56" i="14"/>
  <c r="T49" i="14"/>
  <c r="BC46" i="14"/>
  <c r="Z54" i="14"/>
  <c r="U52" i="14"/>
  <c r="P24" i="14"/>
  <c r="Y12" i="14"/>
  <c r="BG12" i="14"/>
  <c r="AE20" i="14"/>
  <c r="BF20" i="14"/>
  <c r="AD28" i="14"/>
  <c r="Q36" i="14"/>
  <c r="Z36" i="14"/>
  <c r="BH36" i="14"/>
  <c r="BJ44" i="14"/>
  <c r="BC44" i="14"/>
  <c r="AA52" i="14"/>
  <c r="BI52" i="14"/>
  <c r="BE60" i="14"/>
  <c r="Y38" i="14"/>
  <c r="BC38" i="14"/>
  <c r="AF23" i="14"/>
  <c r="Z39" i="14"/>
  <c r="AF5" i="14"/>
  <c r="AF13" i="14"/>
  <c r="AD21" i="14"/>
  <c r="BJ29" i="14"/>
  <c r="Z37" i="14"/>
  <c r="BI6" i="14"/>
  <c r="Y31" i="14"/>
  <c r="V28" i="14"/>
  <c r="S55" i="14"/>
  <c r="V39" i="14"/>
  <c r="BE16" i="14"/>
  <c r="P40" i="14"/>
  <c r="BH56" i="14"/>
  <c r="BF26" i="14"/>
  <c r="R54" i="14"/>
  <c r="Q7" i="14"/>
  <c r="BI14" i="14"/>
  <c r="BD37" i="14"/>
  <c r="AF60" i="14"/>
  <c r="Q25" i="14"/>
  <c r="BF12" i="14"/>
  <c r="AC20" i="14"/>
  <c r="AC28" i="14"/>
  <c r="AE36" i="14"/>
  <c r="BG36" i="14"/>
  <c r="U44" i="14"/>
  <c r="T52" i="14"/>
  <c r="S60" i="14"/>
  <c r="BD60" i="14"/>
  <c r="AC14" i="14"/>
  <c r="AA38" i="14"/>
  <c r="AC46" i="14"/>
  <c r="BH46" i="14"/>
  <c r="AE23" i="14"/>
  <c r="AE39" i="14"/>
  <c r="BI63" i="14"/>
  <c r="T32" i="14"/>
  <c r="AE5" i="14"/>
  <c r="Y13" i="14"/>
  <c r="Z21" i="14"/>
  <c r="BI29" i="14"/>
  <c r="BE61" i="14"/>
  <c r="BH6" i="14"/>
  <c r="Q31" i="14"/>
  <c r="AA7" i="14"/>
  <c r="P55" i="14"/>
  <c r="AD24" i="14"/>
  <c r="BD56" i="14"/>
  <c r="J10" i="14"/>
  <c r="K10" i="14"/>
  <c r="G10" i="14"/>
  <c r="H10" i="14"/>
  <c r="L10" i="14"/>
  <c r="CG10" i="14"/>
  <c r="CD10" i="14"/>
  <c r="F10" i="14"/>
  <c r="CJ10" i="14"/>
  <c r="CI10" i="14"/>
  <c r="CB10" i="14"/>
  <c r="BS10" i="14"/>
  <c r="CK10" i="14"/>
  <c r="CC10" i="14"/>
  <c r="CM10" i="14"/>
  <c r="I10" i="14"/>
  <c r="BQ10" i="14"/>
  <c r="CH10" i="14"/>
  <c r="BX10" i="14"/>
  <c r="BT10" i="14"/>
  <c r="CN10" i="14"/>
  <c r="BZ10" i="14"/>
  <c r="BW10" i="14"/>
  <c r="CL10" i="14"/>
  <c r="BY10" i="14"/>
  <c r="BN10" i="14"/>
  <c r="CA10" i="14"/>
  <c r="BO10" i="14"/>
  <c r="BP10" i="14"/>
  <c r="BR10" i="14"/>
  <c r="BM10" i="14"/>
  <c r="BC10" i="14"/>
  <c r="S10" i="14"/>
  <c r="BD10" i="14"/>
  <c r="AA10" i="14"/>
  <c r="BF10" i="14"/>
  <c r="AC10" i="14"/>
  <c r="AF10" i="14"/>
  <c r="T10" i="14"/>
  <c r="BG10" i="14"/>
  <c r="Q10" i="14"/>
  <c r="BH10" i="14"/>
  <c r="Y10" i="14"/>
  <c r="V10" i="14"/>
  <c r="U10" i="14"/>
  <c r="BF11" i="14"/>
  <c r="BH59" i="14"/>
  <c r="BD27" i="14"/>
  <c r="L4" i="14"/>
  <c r="E4" i="14"/>
  <c r="G4" i="14"/>
  <c r="J4" i="14"/>
  <c r="K4" i="14"/>
  <c r="CH4" i="14"/>
  <c r="BX4" i="14"/>
  <c r="F4" i="14"/>
  <c r="H4" i="14"/>
  <c r="BY4" i="14"/>
  <c r="BW4" i="14"/>
  <c r="CI4" i="14"/>
  <c r="BZ4" i="14"/>
  <c r="CK4" i="14"/>
  <c r="CB4" i="14"/>
  <c r="I4" i="14"/>
  <c r="CJ4" i="14"/>
  <c r="BN4" i="14"/>
  <c r="CM4" i="14"/>
  <c r="BP4" i="14"/>
  <c r="CG4" i="14"/>
  <c r="BR4" i="14"/>
  <c r="CD4" i="14"/>
  <c r="BS4" i="14"/>
  <c r="BT4" i="14"/>
  <c r="CL4" i="14"/>
  <c r="BM4" i="14"/>
  <c r="CN4" i="14"/>
  <c r="CA4" i="14"/>
  <c r="CC4" i="14"/>
  <c r="BO4" i="14"/>
  <c r="BQ4" i="14"/>
  <c r="I57" i="14"/>
  <c r="J57" i="14"/>
  <c r="E57" i="14"/>
  <c r="H57" i="14"/>
  <c r="CH57" i="14"/>
  <c r="K57" i="14"/>
  <c r="CI57" i="14"/>
  <c r="CK57" i="14"/>
  <c r="F57" i="14"/>
  <c r="L57" i="14"/>
  <c r="CM57" i="14"/>
  <c r="CG57" i="14"/>
  <c r="CB57" i="14"/>
  <c r="CJ57" i="14"/>
  <c r="CC57" i="14"/>
  <c r="CN57" i="14"/>
  <c r="CL57" i="14"/>
  <c r="CA57" i="14"/>
  <c r="G57" i="14"/>
  <c r="BN57" i="14"/>
  <c r="BW57" i="14"/>
  <c r="BP57" i="14"/>
  <c r="CD57" i="14"/>
  <c r="BO57" i="14"/>
  <c r="R57" i="14"/>
  <c r="U57" i="14"/>
  <c r="BZ57" i="14"/>
  <c r="BM57" i="14"/>
  <c r="BY57" i="14"/>
  <c r="BS57" i="14"/>
  <c r="BT57" i="14"/>
  <c r="BQ57" i="14"/>
  <c r="BX57" i="14"/>
  <c r="BR57" i="14"/>
  <c r="BD57" i="14"/>
  <c r="AD57" i="14"/>
  <c r="BE57" i="14"/>
  <c r="Z57" i="14"/>
  <c r="S57" i="14"/>
  <c r="BG57" i="14"/>
  <c r="O57" i="14"/>
  <c r="BH57" i="14"/>
  <c r="Y57" i="14"/>
  <c r="AE57" i="14"/>
  <c r="P57" i="14"/>
  <c r="I49" i="14"/>
  <c r="J49" i="14"/>
  <c r="E49" i="14"/>
  <c r="L49" i="14"/>
  <c r="CH49" i="14"/>
  <c r="CI49" i="14"/>
  <c r="CK49" i="14"/>
  <c r="K49" i="14"/>
  <c r="CJ49" i="14"/>
  <c r="CM49" i="14"/>
  <c r="CC49" i="14"/>
  <c r="F49" i="14"/>
  <c r="CN49" i="14"/>
  <c r="CD49" i="14"/>
  <c r="G49" i="14"/>
  <c r="BX49" i="14"/>
  <c r="BZ49" i="14"/>
  <c r="BN49" i="14"/>
  <c r="H49" i="14"/>
  <c r="CB49" i="14"/>
  <c r="BP49" i="14"/>
  <c r="CG49" i="14"/>
  <c r="CA49" i="14"/>
  <c r="BO49" i="14"/>
  <c r="BQ49" i="14"/>
  <c r="BR49" i="14"/>
  <c r="BS49" i="14"/>
  <c r="BT49" i="14"/>
  <c r="BM49" i="14"/>
  <c r="BY49" i="14"/>
  <c r="R49" i="14"/>
  <c r="CL49" i="14"/>
  <c r="BW49" i="14"/>
  <c r="U49" i="14"/>
  <c r="BH49" i="14"/>
  <c r="Y49" i="14"/>
  <c r="O49" i="14"/>
  <c r="BC49" i="14"/>
  <c r="Z49" i="14"/>
  <c r="P49" i="14"/>
  <c r="BD49" i="14"/>
  <c r="AA49" i="14"/>
  <c r="BJ49" i="14"/>
  <c r="BE49" i="14"/>
  <c r="AB49" i="14"/>
  <c r="Q49" i="14"/>
  <c r="I41" i="14"/>
  <c r="CI41" i="14"/>
  <c r="J41" i="14"/>
  <c r="E41" i="14"/>
  <c r="CG41" i="14"/>
  <c r="CH41" i="14"/>
  <c r="G41" i="14"/>
  <c r="CK41" i="14"/>
  <c r="CJ41" i="14"/>
  <c r="CM41" i="14"/>
  <c r="CC41" i="14"/>
  <c r="H41" i="14"/>
  <c r="K41" i="14"/>
  <c r="F41" i="14"/>
  <c r="L41" i="14"/>
  <c r="CN41" i="14"/>
  <c r="CD41" i="14"/>
  <c r="BN41" i="14"/>
  <c r="BY41" i="14"/>
  <c r="BP41" i="14"/>
  <c r="BZ41" i="14"/>
  <c r="BW41" i="14"/>
  <c r="BQ41" i="14"/>
  <c r="CA41" i="14"/>
  <c r="BR41" i="14"/>
  <c r="CL41" i="14"/>
  <c r="CB41" i="14"/>
  <c r="BS41" i="14"/>
  <c r="BT41" i="14"/>
  <c r="BX41" i="14"/>
  <c r="BM41" i="14"/>
  <c r="BO41" i="14"/>
  <c r="O41" i="14"/>
  <c r="BC41" i="14"/>
  <c r="Z41" i="14"/>
  <c r="S41" i="14"/>
  <c r="BD41" i="14"/>
  <c r="AA41" i="14"/>
  <c r="T41" i="14"/>
  <c r="BF41" i="14"/>
  <c r="P41" i="14"/>
  <c r="V41" i="14"/>
  <c r="BG41" i="14"/>
  <c r="BI41" i="14"/>
  <c r="AC41" i="14"/>
  <c r="AD41" i="14"/>
  <c r="BH41" i="14"/>
  <c r="AF41" i="14"/>
  <c r="I33" i="14"/>
  <c r="CI33" i="14"/>
  <c r="J33" i="14"/>
  <c r="E33" i="14"/>
  <c r="L33" i="14"/>
  <c r="CG33" i="14"/>
  <c r="CH33" i="14"/>
  <c r="CK33" i="14"/>
  <c r="CN33" i="14"/>
  <c r="CC33" i="14"/>
  <c r="G33" i="14"/>
  <c r="H33" i="14"/>
  <c r="CJ33" i="14"/>
  <c r="CL33" i="14"/>
  <c r="CM33" i="14"/>
  <c r="BX33" i="14"/>
  <c r="F33" i="14"/>
  <c r="BZ33" i="14"/>
  <c r="K33" i="14"/>
  <c r="BN33" i="14"/>
  <c r="CA33" i="14"/>
  <c r="BP33" i="14"/>
  <c r="BS33" i="14"/>
  <c r="BT33" i="14"/>
  <c r="BY33" i="14"/>
  <c r="BW33" i="14"/>
  <c r="BM33" i="14"/>
  <c r="Q33" i="14"/>
  <c r="BQ33" i="14"/>
  <c r="BR33" i="14"/>
  <c r="CB33" i="14"/>
  <c r="CD33" i="14"/>
  <c r="BO33" i="14"/>
  <c r="BF33" i="14"/>
  <c r="P33" i="14"/>
  <c r="T33" i="14"/>
  <c r="BG33" i="14"/>
  <c r="BJ33" i="14"/>
  <c r="AC33" i="14"/>
  <c r="V33" i="14"/>
  <c r="AF33" i="14"/>
  <c r="AE33" i="14"/>
  <c r="Y33" i="14"/>
  <c r="BC33" i="14"/>
  <c r="Z33" i="14"/>
  <c r="R33" i="14"/>
  <c r="I25" i="14"/>
  <c r="J25" i="14"/>
  <c r="E25" i="14"/>
  <c r="L25" i="14"/>
  <c r="F25" i="14"/>
  <c r="H25" i="14"/>
  <c r="CG25" i="14"/>
  <c r="CC25" i="14"/>
  <c r="CJ25" i="14"/>
  <c r="G25" i="14"/>
  <c r="BX25" i="14"/>
  <c r="BR25" i="14"/>
  <c r="K25" i="14"/>
  <c r="CH25" i="14"/>
  <c r="BY25" i="14"/>
  <c r="CK25" i="14"/>
  <c r="CA25" i="14"/>
  <c r="BW25" i="14"/>
  <c r="CI25" i="14"/>
  <c r="BO25" i="14"/>
  <c r="CM25" i="14"/>
  <c r="BQ25" i="14"/>
  <c r="BZ25" i="14"/>
  <c r="BN25" i="14"/>
  <c r="CL25" i="14"/>
  <c r="CB25" i="14"/>
  <c r="BP25" i="14"/>
  <c r="CN25" i="14"/>
  <c r="CD25" i="14"/>
  <c r="BS25" i="14"/>
  <c r="BT25" i="14"/>
  <c r="T25" i="14"/>
  <c r="BM25" i="14"/>
  <c r="P25" i="14"/>
  <c r="BF25" i="14"/>
  <c r="AB25" i="14"/>
  <c r="AE25" i="14"/>
  <c r="BG25" i="14"/>
  <c r="AD25" i="14"/>
  <c r="AF25" i="14"/>
  <c r="BH25" i="14"/>
  <c r="Y25" i="14"/>
  <c r="V25" i="14"/>
  <c r="U25" i="14"/>
  <c r="BD25" i="14"/>
  <c r="Z25" i="14"/>
  <c r="AA25" i="14"/>
  <c r="I17" i="14"/>
  <c r="J17" i="14"/>
  <c r="E17" i="14"/>
  <c r="L17" i="14"/>
  <c r="H17" i="14"/>
  <c r="K17" i="14"/>
  <c r="F17" i="14"/>
  <c r="CG17" i="14"/>
  <c r="CC17" i="14"/>
  <c r="CJ17" i="14"/>
  <c r="BY17" i="14"/>
  <c r="BR17" i="14"/>
  <c r="CH17" i="14"/>
  <c r="BZ17" i="14"/>
  <c r="CK17" i="14"/>
  <c r="CB17" i="14"/>
  <c r="CD17" i="14"/>
  <c r="BP17" i="14"/>
  <c r="CI17" i="14"/>
  <c r="BS17" i="14"/>
  <c r="CN17" i="14"/>
  <c r="G17" i="14"/>
  <c r="BW17" i="14"/>
  <c r="BN17" i="14"/>
  <c r="BO17" i="14"/>
  <c r="BX17" i="14"/>
  <c r="BQ17" i="14"/>
  <c r="P17" i="14"/>
  <c r="CM17" i="14"/>
  <c r="CA17" i="14"/>
  <c r="BT17" i="14"/>
  <c r="BM17" i="14"/>
  <c r="T17" i="14"/>
  <c r="U17" i="14"/>
  <c r="CL17" i="14"/>
  <c r="AD17" i="14"/>
  <c r="Q17" i="14"/>
  <c r="BF17" i="14"/>
  <c r="AB17" i="14"/>
  <c r="AE17" i="14"/>
  <c r="R17" i="14"/>
  <c r="BC17" i="14"/>
  <c r="BI17" i="14"/>
  <c r="O17" i="14"/>
  <c r="BH17" i="14"/>
  <c r="BJ17" i="14"/>
  <c r="S17" i="14"/>
  <c r="BD17" i="14"/>
  <c r="Z17" i="14"/>
  <c r="I9" i="14"/>
  <c r="J9" i="14"/>
  <c r="L9" i="14"/>
  <c r="F9" i="14"/>
  <c r="G9" i="14"/>
  <c r="CG9" i="14"/>
  <c r="CC9" i="14"/>
  <c r="K9" i="14"/>
  <c r="CJ9" i="14"/>
  <c r="BZ9" i="14"/>
  <c r="BR9" i="14"/>
  <c r="CH9" i="14"/>
  <c r="CA9" i="14"/>
  <c r="H9" i="14"/>
  <c r="CK9" i="14"/>
  <c r="CD9" i="14"/>
  <c r="CM9" i="14"/>
  <c r="BY9" i="14"/>
  <c r="BO9" i="14"/>
  <c r="CN9" i="14"/>
  <c r="BQ9" i="14"/>
  <c r="BT9" i="14"/>
  <c r="CI9" i="14"/>
  <c r="CL9" i="14"/>
  <c r="BN9" i="14"/>
  <c r="BX9" i="14"/>
  <c r="BP9" i="14"/>
  <c r="CB9" i="14"/>
  <c r="BS9" i="14"/>
  <c r="U9" i="14"/>
  <c r="R9" i="14"/>
  <c r="BW9" i="14"/>
  <c r="BM9" i="14"/>
  <c r="AE9" i="14"/>
  <c r="BF9" i="14"/>
  <c r="AC9" i="14"/>
  <c r="AD9" i="14"/>
  <c r="BG9" i="14"/>
  <c r="BI9" i="14"/>
  <c r="O9" i="14"/>
  <c r="AF9" i="14"/>
  <c r="Z9" i="14"/>
  <c r="S9" i="14"/>
  <c r="BC9" i="14"/>
  <c r="Q26" i="14"/>
  <c r="AB43" i="14"/>
  <c r="Z43" i="14"/>
  <c r="Q41" i="14"/>
  <c r="T16" i="14"/>
  <c r="R26" i="14"/>
  <c r="Y14" i="14"/>
  <c r="BG14" i="14"/>
  <c r="Q38" i="14"/>
  <c r="Z38" i="14"/>
  <c r="BD38" i="14"/>
  <c r="AD46" i="14"/>
  <c r="BI46" i="14"/>
  <c r="AF19" i="14"/>
  <c r="BH19" i="14"/>
  <c r="S35" i="14"/>
  <c r="V21" i="14"/>
  <c r="BC5" i="14"/>
  <c r="AA13" i="14"/>
  <c r="BH13" i="14"/>
  <c r="Y21" i="14"/>
  <c r="AF29" i="14"/>
  <c r="AF37" i="14"/>
  <c r="AA37" i="14"/>
  <c r="BF37" i="14"/>
  <c r="BI45" i="14"/>
  <c r="AC53" i="14"/>
  <c r="AE53" i="14"/>
  <c r="BH53" i="14"/>
  <c r="Z61" i="14"/>
  <c r="BC61" i="14"/>
  <c r="BC6" i="14"/>
  <c r="AA54" i="14"/>
  <c r="BG54" i="14"/>
  <c r="P31" i="14"/>
  <c r="Y11" i="14"/>
  <c r="BE11" i="14"/>
  <c r="Q14" i="14"/>
  <c r="Z22" i="14"/>
  <c r="U15" i="14"/>
  <c r="Y47" i="14"/>
  <c r="AB59" i="14"/>
  <c r="BD59" i="14"/>
  <c r="R18" i="14"/>
  <c r="AB55" i="14"/>
  <c r="BJ55" i="14"/>
  <c r="AA27" i="14"/>
  <c r="BC27" i="14"/>
  <c r="U33" i="14"/>
  <c r="T14" i="14"/>
  <c r="AE16" i="14"/>
  <c r="O24" i="14"/>
  <c r="BE24" i="14"/>
  <c r="AA32" i="14"/>
  <c r="V40" i="14"/>
  <c r="Q48" i="14"/>
  <c r="AD56" i="14"/>
  <c r="O26" i="14"/>
  <c r="O34" i="14"/>
  <c r="BI34" i="14"/>
  <c r="AA12" i="14"/>
  <c r="U14" i="14"/>
  <c r="AA9" i="14"/>
  <c r="Y17" i="14"/>
  <c r="O25" i="14"/>
  <c r="BE25" i="14"/>
  <c r="BI33" i="14"/>
  <c r="AB41" i="14"/>
  <c r="S49" i="14"/>
  <c r="BG49" i="14"/>
  <c r="S18" i="14"/>
  <c r="BE18" i="14"/>
  <c r="BJ42" i="14"/>
  <c r="U35" i="14"/>
  <c r="BE35" i="14"/>
  <c r="Z10" i="14"/>
  <c r="T50" i="14"/>
  <c r="AF51" i="14"/>
  <c r="BC51" i="14"/>
  <c r="P16" i="14"/>
  <c r="J50" i="14"/>
  <c r="K50" i="14"/>
  <c r="CH50" i="14"/>
  <c r="F50" i="14"/>
  <c r="CI50" i="14"/>
  <c r="H50" i="14"/>
  <c r="CK50" i="14"/>
  <c r="E50" i="14"/>
  <c r="CN50" i="14"/>
  <c r="I50" i="14"/>
  <c r="CD50" i="14"/>
  <c r="CG50" i="14"/>
  <c r="CJ50" i="14"/>
  <c r="L50" i="14"/>
  <c r="CL50" i="14"/>
  <c r="CM50" i="14"/>
  <c r="BX50" i="14"/>
  <c r="CB50" i="14"/>
  <c r="BO50" i="14"/>
  <c r="BQ50" i="14"/>
  <c r="G50" i="14"/>
  <c r="BR50" i="14"/>
  <c r="BY50" i="14"/>
  <c r="BS50" i="14"/>
  <c r="BZ50" i="14"/>
  <c r="BT50" i="14"/>
  <c r="CA50" i="14"/>
  <c r="BN50" i="14"/>
  <c r="BP50" i="14"/>
  <c r="BM50" i="14"/>
  <c r="CC50" i="14"/>
  <c r="BW50" i="14"/>
  <c r="BG50" i="14"/>
  <c r="O50" i="14"/>
  <c r="BH50" i="14"/>
  <c r="BJ50" i="14"/>
  <c r="Z50" i="14"/>
  <c r="AA50" i="14"/>
  <c r="V50" i="14"/>
  <c r="BC50" i="14"/>
  <c r="AD50" i="14"/>
  <c r="Q50" i="14"/>
  <c r="BD50" i="14"/>
  <c r="AF50" i="14"/>
  <c r="AC50" i="14"/>
  <c r="R50" i="14"/>
  <c r="AA59" i="14"/>
  <c r="AA19" i="14"/>
  <c r="R25" i="14"/>
  <c r="BJ30" i="14"/>
  <c r="BF54" i="14"/>
  <c r="AE22" i="14"/>
  <c r="BC59" i="14"/>
  <c r="AA26" i="14"/>
  <c r="T18" i="14"/>
  <c r="AF8" i="14"/>
  <c r="BG8" i="14"/>
  <c r="BJ16" i="14"/>
  <c r="BJ24" i="14"/>
  <c r="BD24" i="14"/>
  <c r="AE32" i="14"/>
  <c r="S40" i="14"/>
  <c r="BJ40" i="14"/>
  <c r="O48" i="14"/>
  <c r="BJ56" i="14"/>
  <c r="Y26" i="14"/>
  <c r="AD34" i="14"/>
  <c r="P20" i="14"/>
  <c r="BJ9" i="14"/>
  <c r="AA17" i="14"/>
  <c r="AC25" i="14"/>
  <c r="BC25" i="14"/>
  <c r="AE41" i="14"/>
  <c r="AD49" i="14"/>
  <c r="BF49" i="14"/>
  <c r="BJ57" i="14"/>
  <c r="O18" i="14"/>
  <c r="BC18" i="14"/>
  <c r="S50" i="14"/>
  <c r="BF50" i="14"/>
  <c r="K51" i="14"/>
  <c r="L51" i="14"/>
  <c r="H51" i="14"/>
  <c r="CH51" i="14"/>
  <c r="I51" i="14"/>
  <c r="CI51" i="14"/>
  <c r="E51" i="14"/>
  <c r="CK51" i="14"/>
  <c r="CJ51" i="14"/>
  <c r="F51" i="14"/>
  <c r="G51" i="14"/>
  <c r="CN51" i="14"/>
  <c r="J51" i="14"/>
  <c r="BY51" i="14"/>
  <c r="BZ51" i="14"/>
  <c r="CL51" i="14"/>
  <c r="CM51" i="14"/>
  <c r="BX51" i="14"/>
  <c r="BP51" i="14"/>
  <c r="CB51" i="14"/>
  <c r="BR51" i="14"/>
  <c r="BN51" i="14"/>
  <c r="CC51" i="14"/>
  <c r="BW51" i="14"/>
  <c r="BS51" i="14"/>
  <c r="CD51" i="14"/>
  <c r="BT51" i="14"/>
  <c r="BO51" i="14"/>
  <c r="BM51" i="14"/>
  <c r="CG51" i="14"/>
  <c r="CA51" i="14"/>
  <c r="BQ51" i="14"/>
  <c r="BE51" i="14"/>
  <c r="AA51" i="14"/>
  <c r="T51" i="14"/>
  <c r="BF51" i="14"/>
  <c r="AB51" i="14"/>
  <c r="V51" i="14"/>
  <c r="BH51" i="14"/>
  <c r="BI51" i="14"/>
  <c r="O51" i="14"/>
  <c r="U51" i="14"/>
  <c r="AD51" i="14"/>
  <c r="R51" i="14"/>
  <c r="P51" i="14"/>
  <c r="BJ51" i="14"/>
  <c r="Z51" i="14"/>
  <c r="Q51" i="14"/>
  <c r="Y35" i="14"/>
  <c r="K35" i="14"/>
  <c r="CI35" i="14"/>
  <c r="L35" i="14"/>
  <c r="F35" i="14"/>
  <c r="J35" i="14"/>
  <c r="CJ35" i="14"/>
  <c r="E35" i="14"/>
  <c r="CK35" i="14"/>
  <c r="CM35" i="14"/>
  <c r="CN35" i="14"/>
  <c r="H35" i="14"/>
  <c r="CG35" i="14"/>
  <c r="I35" i="14"/>
  <c r="CA35" i="14"/>
  <c r="CB35" i="14"/>
  <c r="CD35" i="14"/>
  <c r="CH35" i="14"/>
  <c r="CL35" i="14"/>
  <c r="BX35" i="14"/>
  <c r="BP35" i="14"/>
  <c r="G35" i="14"/>
  <c r="BZ35" i="14"/>
  <c r="BR35" i="14"/>
  <c r="BY35" i="14"/>
  <c r="BO35" i="14"/>
  <c r="CC35" i="14"/>
  <c r="BQ35" i="14"/>
  <c r="BS35" i="14"/>
  <c r="BT35" i="14"/>
  <c r="BW35" i="14"/>
  <c r="BN35" i="14"/>
  <c r="BM35" i="14"/>
  <c r="BC35" i="14"/>
  <c r="BJ35" i="14"/>
  <c r="AA35" i="14"/>
  <c r="V35" i="14"/>
  <c r="BD35" i="14"/>
  <c r="P35" i="14"/>
  <c r="O35" i="14"/>
  <c r="BF35" i="14"/>
  <c r="BI35" i="14"/>
  <c r="Q35" i="14"/>
  <c r="BG35" i="14"/>
  <c r="AD35" i="14"/>
  <c r="BH35" i="14"/>
  <c r="T35" i="14"/>
  <c r="AF35" i="14"/>
  <c r="K11" i="14"/>
  <c r="L11" i="14"/>
  <c r="F11" i="14"/>
  <c r="H11" i="14"/>
  <c r="E11" i="14"/>
  <c r="J11" i="14"/>
  <c r="CG11" i="14"/>
  <c r="CJ11" i="14"/>
  <c r="CL11" i="14"/>
  <c r="CD11" i="14"/>
  <c r="BT11" i="14"/>
  <c r="CM11" i="14"/>
  <c r="BY11" i="14"/>
  <c r="I11" i="14"/>
  <c r="CN11" i="14"/>
  <c r="CA11" i="14"/>
  <c r="BS11" i="14"/>
  <c r="CC11" i="14"/>
  <c r="BO11" i="14"/>
  <c r="CH11" i="14"/>
  <c r="CB11" i="14"/>
  <c r="BW11" i="14"/>
  <c r="BN11" i="14"/>
  <c r="G11" i="14"/>
  <c r="BP11" i="14"/>
  <c r="BQ11" i="14"/>
  <c r="CI11" i="14"/>
  <c r="BR11" i="14"/>
  <c r="CK11" i="14"/>
  <c r="BX11" i="14"/>
  <c r="BZ11" i="14"/>
  <c r="BM11" i="14"/>
  <c r="BG11" i="14"/>
  <c r="AC11" i="14"/>
  <c r="BJ11" i="14"/>
  <c r="AE11" i="14"/>
  <c r="BC11" i="14"/>
  <c r="AF11" i="14"/>
  <c r="S11" i="14"/>
  <c r="BD11" i="14"/>
  <c r="U11" i="14"/>
  <c r="AF43" i="14"/>
  <c r="AA43" i="14"/>
  <c r="BD43" i="14"/>
  <c r="BI19" i="14"/>
  <c r="U27" i="14"/>
  <c r="P59" i="14"/>
  <c r="BG51" i="14"/>
  <c r="J34" i="14"/>
  <c r="CI34" i="14"/>
  <c r="K34" i="14"/>
  <c r="E34" i="14"/>
  <c r="F34" i="14"/>
  <c r="CH34" i="14"/>
  <c r="G34" i="14"/>
  <c r="CJ34" i="14"/>
  <c r="I34" i="14"/>
  <c r="CL34" i="14"/>
  <c r="L34" i="14"/>
  <c r="CK34" i="14"/>
  <c r="CD34" i="14"/>
  <c r="CN34" i="14"/>
  <c r="BY34" i="14"/>
  <c r="BZ34" i="14"/>
  <c r="CM34" i="14"/>
  <c r="CB34" i="14"/>
  <c r="CG34" i="14"/>
  <c r="CA34" i="14"/>
  <c r="BW34" i="14"/>
  <c r="BO34" i="14"/>
  <c r="BQ34" i="14"/>
  <c r="BN34" i="14"/>
  <c r="BP34" i="14"/>
  <c r="H34" i="14"/>
  <c r="BR34" i="14"/>
  <c r="BS34" i="14"/>
  <c r="BT34" i="14"/>
  <c r="BM34" i="14"/>
  <c r="BX34" i="14"/>
  <c r="CC34" i="14"/>
  <c r="BG34" i="14"/>
  <c r="P34" i="14"/>
  <c r="Q34" i="14"/>
  <c r="BH34" i="14"/>
  <c r="Y34" i="14"/>
  <c r="R34" i="14"/>
  <c r="T34" i="14"/>
  <c r="BC34" i="14"/>
  <c r="BJ34" i="14"/>
  <c r="Z34" i="14"/>
  <c r="AB34" i="14"/>
  <c r="BD34" i="14"/>
  <c r="U34" i="14"/>
  <c r="BJ43" i="14"/>
  <c r="P18" i="14"/>
  <c r="Z11" i="14"/>
  <c r="AB35" i="14"/>
  <c r="BE10" i="14"/>
  <c r="S51" i="14"/>
  <c r="T11" i="14"/>
  <c r="H48" i="14"/>
  <c r="I48" i="14"/>
  <c r="G48" i="14"/>
  <c r="CH48" i="14"/>
  <c r="E48" i="14"/>
  <c r="J48" i="14"/>
  <c r="CI48" i="14"/>
  <c r="L48" i="14"/>
  <c r="CK48" i="14"/>
  <c r="CG48" i="14"/>
  <c r="CB48" i="14"/>
  <c r="K48" i="14"/>
  <c r="CL48" i="14"/>
  <c r="CM48" i="14"/>
  <c r="CA48" i="14"/>
  <c r="CC48" i="14"/>
  <c r="F48" i="14"/>
  <c r="CJ48" i="14"/>
  <c r="CN48" i="14"/>
  <c r="BX48" i="14"/>
  <c r="BW48" i="14"/>
  <c r="BO48" i="14"/>
  <c r="BT48" i="14"/>
  <c r="BN48" i="14"/>
  <c r="BY48" i="14"/>
  <c r="BZ48" i="14"/>
  <c r="BM48" i="14"/>
  <c r="BS48" i="14"/>
  <c r="CD48" i="14"/>
  <c r="R48" i="14"/>
  <c r="BR48" i="14"/>
  <c r="BP48" i="14"/>
  <c r="BQ48" i="14"/>
  <c r="BH48" i="14"/>
  <c r="AE48" i="14"/>
  <c r="P48" i="14"/>
  <c r="BC48" i="14"/>
  <c r="Y48" i="14"/>
  <c r="V48" i="14"/>
  <c r="BD48" i="14"/>
  <c r="BI48" i="14"/>
  <c r="AB48" i="14"/>
  <c r="T48" i="14"/>
  <c r="U48" i="14"/>
  <c r="BE48" i="14"/>
  <c r="H24" i="14"/>
  <c r="I24" i="14"/>
  <c r="K24" i="14"/>
  <c r="L24" i="14"/>
  <c r="CG24" i="14"/>
  <c r="CB24" i="14"/>
  <c r="G24" i="14"/>
  <c r="J24" i="14"/>
  <c r="CJ24" i="14"/>
  <c r="F24" i="14"/>
  <c r="E24" i="14"/>
  <c r="CN24" i="14"/>
  <c r="BQ24" i="14"/>
  <c r="CH24" i="14"/>
  <c r="BY24" i="14"/>
  <c r="CL24" i="14"/>
  <c r="BX24" i="14"/>
  <c r="CA24" i="14"/>
  <c r="CD24" i="14"/>
  <c r="BO24" i="14"/>
  <c r="CM24" i="14"/>
  <c r="BN24" i="14"/>
  <c r="BP24" i="14"/>
  <c r="BR24" i="14"/>
  <c r="BM24" i="14"/>
  <c r="BZ24" i="14"/>
  <c r="BS24" i="14"/>
  <c r="CC24" i="14"/>
  <c r="BT24" i="14"/>
  <c r="CI24" i="14"/>
  <c r="CK24" i="14"/>
  <c r="BW24" i="14"/>
  <c r="AA24" i="14"/>
  <c r="S24" i="14"/>
  <c r="V24" i="14"/>
  <c r="AB24" i="14"/>
  <c r="Z24" i="14"/>
  <c r="BF24" i="14"/>
  <c r="AC24" i="14"/>
  <c r="AE24" i="14"/>
  <c r="Q24" i="14"/>
  <c r="BG24" i="14"/>
  <c r="T24" i="14"/>
  <c r="BC24" i="14"/>
  <c r="AF24" i="14"/>
  <c r="AE43" i="14"/>
  <c r="S19" i="14"/>
  <c r="BG19" i="14"/>
  <c r="U41" i="14"/>
  <c r="AE6" i="14"/>
  <c r="AC30" i="14"/>
  <c r="BE22" i="14"/>
  <c r="CH63" i="14"/>
  <c r="CI63" i="14"/>
  <c r="CJ63" i="14"/>
  <c r="CM63" i="14"/>
  <c r="BZ63" i="14"/>
  <c r="BW63" i="14"/>
  <c r="CA63" i="14"/>
  <c r="CK63" i="14"/>
  <c r="CL63" i="14"/>
  <c r="CC63" i="14"/>
  <c r="CG63" i="14"/>
  <c r="CN63" i="14"/>
  <c r="BT63" i="14"/>
  <c r="BN63" i="14"/>
  <c r="BX63" i="14"/>
  <c r="BY63" i="14"/>
  <c r="BO63" i="14"/>
  <c r="CB63" i="14"/>
  <c r="BP63" i="14"/>
  <c r="CD63" i="14"/>
  <c r="BM63" i="14"/>
  <c r="BS63" i="14"/>
  <c r="BQ63" i="14"/>
  <c r="BR63" i="14"/>
  <c r="G55" i="14"/>
  <c r="E55" i="14"/>
  <c r="H55" i="14"/>
  <c r="L55" i="14"/>
  <c r="CH55" i="14"/>
  <c r="CI55" i="14"/>
  <c r="CK55" i="14"/>
  <c r="I55" i="14"/>
  <c r="CA55" i="14"/>
  <c r="K55" i="14"/>
  <c r="CG55" i="14"/>
  <c r="J55" i="14"/>
  <c r="BX55" i="14"/>
  <c r="BW55" i="14"/>
  <c r="CJ55" i="14"/>
  <c r="BY55" i="14"/>
  <c r="CM55" i="14"/>
  <c r="CN55" i="14"/>
  <c r="F55" i="14"/>
  <c r="CD55" i="14"/>
  <c r="BT55" i="14"/>
  <c r="BN55" i="14"/>
  <c r="CL55" i="14"/>
  <c r="BZ55" i="14"/>
  <c r="BO55" i="14"/>
  <c r="CB55" i="14"/>
  <c r="BP55" i="14"/>
  <c r="CC55" i="14"/>
  <c r="BQ55" i="14"/>
  <c r="BR55" i="14"/>
  <c r="BS55" i="14"/>
  <c r="BM55" i="14"/>
  <c r="BD55" i="14"/>
  <c r="Y55" i="14"/>
  <c r="AF55" i="14"/>
  <c r="BG55" i="14"/>
  <c r="BH55" i="14"/>
  <c r="AE55" i="14"/>
  <c r="Z55" i="14"/>
  <c r="Q55" i="14"/>
  <c r="AA55" i="14"/>
  <c r="G47" i="14"/>
  <c r="E47" i="14"/>
  <c r="H47" i="14"/>
  <c r="CH47" i="14"/>
  <c r="CI47" i="14"/>
  <c r="I47" i="14"/>
  <c r="CK47" i="14"/>
  <c r="J47" i="14"/>
  <c r="CM47" i="14"/>
  <c r="L47" i="14"/>
  <c r="CA47" i="14"/>
  <c r="CG47" i="14"/>
  <c r="CJ47" i="14"/>
  <c r="BY47" i="14"/>
  <c r="BW47" i="14"/>
  <c r="F47" i="14"/>
  <c r="CL47" i="14"/>
  <c r="BZ47" i="14"/>
  <c r="BX47" i="14"/>
  <c r="CC47" i="14"/>
  <c r="BT47" i="14"/>
  <c r="CN47" i="14"/>
  <c r="BN47" i="14"/>
  <c r="K47" i="14"/>
  <c r="BQ47" i="14"/>
  <c r="BR47" i="14"/>
  <c r="CB47" i="14"/>
  <c r="BS47" i="14"/>
  <c r="CD47" i="14"/>
  <c r="BM47" i="14"/>
  <c r="BO47" i="14"/>
  <c r="BP47" i="14"/>
  <c r="BH47" i="14"/>
  <c r="O47" i="14"/>
  <c r="BC47" i="14"/>
  <c r="BJ47" i="14"/>
  <c r="Z47" i="14"/>
  <c r="Q47" i="14"/>
  <c r="V47" i="14"/>
  <c r="BD47" i="14"/>
  <c r="AC47" i="14"/>
  <c r="BE47" i="14"/>
  <c r="AA47" i="14"/>
  <c r="S47" i="14"/>
  <c r="G39" i="14"/>
  <c r="CI39" i="14"/>
  <c r="E39" i="14"/>
  <c r="H39" i="14"/>
  <c r="F39" i="14"/>
  <c r="CN39" i="14"/>
  <c r="I39" i="14"/>
  <c r="K39" i="14"/>
  <c r="CH39" i="14"/>
  <c r="CK39" i="14"/>
  <c r="CM39" i="14"/>
  <c r="CA39" i="14"/>
  <c r="BZ39" i="14"/>
  <c r="BW39" i="14"/>
  <c r="CB39" i="14"/>
  <c r="J39" i="14"/>
  <c r="CG39" i="14"/>
  <c r="BT39" i="14"/>
  <c r="CJ39" i="14"/>
  <c r="BY39" i="14"/>
  <c r="BN39" i="14"/>
  <c r="CL39" i="14"/>
  <c r="BS39" i="14"/>
  <c r="BX39" i="14"/>
  <c r="CC39" i="14"/>
  <c r="BM39" i="14"/>
  <c r="L39" i="14"/>
  <c r="BR39" i="14"/>
  <c r="BQ39" i="14"/>
  <c r="CD39" i="14"/>
  <c r="BO39" i="14"/>
  <c r="BP39" i="14"/>
  <c r="S39" i="14"/>
  <c r="G31" i="14"/>
  <c r="E31" i="14"/>
  <c r="H31" i="14"/>
  <c r="J31" i="14"/>
  <c r="K31" i="14"/>
  <c r="CG31" i="14"/>
  <c r="CA31" i="14"/>
  <c r="F31" i="14"/>
  <c r="CN31" i="14"/>
  <c r="CB31" i="14"/>
  <c r="BW31" i="14"/>
  <c r="BP31" i="14"/>
  <c r="I31" i="14"/>
  <c r="CC31" i="14"/>
  <c r="CI31" i="14"/>
  <c r="L31" i="14"/>
  <c r="BS31" i="14"/>
  <c r="CJ31" i="14"/>
  <c r="BY31" i="14"/>
  <c r="CH31" i="14"/>
  <c r="CD31" i="14"/>
  <c r="CK31" i="14"/>
  <c r="CL31" i="14"/>
  <c r="CM31" i="14"/>
  <c r="BN31" i="14"/>
  <c r="BO31" i="14"/>
  <c r="BM31" i="14"/>
  <c r="BQ31" i="14"/>
  <c r="BX31" i="14"/>
  <c r="BR31" i="14"/>
  <c r="BZ31" i="14"/>
  <c r="BT31" i="14"/>
  <c r="BD31" i="14"/>
  <c r="R31" i="14"/>
  <c r="S31" i="14"/>
  <c r="BG31" i="14"/>
  <c r="AF31" i="14"/>
  <c r="U31" i="14"/>
  <c r="BH31" i="14"/>
  <c r="AE31" i="14"/>
  <c r="Z31" i="14"/>
  <c r="O31" i="14"/>
  <c r="G23" i="14"/>
  <c r="E23" i="14"/>
  <c r="H23" i="14"/>
  <c r="J23" i="14"/>
  <c r="F23" i="14"/>
  <c r="K23" i="14"/>
  <c r="L23" i="14"/>
  <c r="CG23" i="14"/>
  <c r="CA23" i="14"/>
  <c r="CJ23" i="14"/>
  <c r="CL23" i="14"/>
  <c r="CC23" i="14"/>
  <c r="BW23" i="14"/>
  <c r="BP23" i="14"/>
  <c r="CM23" i="14"/>
  <c r="CD23" i="14"/>
  <c r="CH23" i="14"/>
  <c r="BT23" i="14"/>
  <c r="CK23" i="14"/>
  <c r="BX23" i="14"/>
  <c r="BQ23" i="14"/>
  <c r="BR23" i="14"/>
  <c r="BS23" i="14"/>
  <c r="I23" i="14"/>
  <c r="BY23" i="14"/>
  <c r="BZ23" i="14"/>
  <c r="BM23" i="14"/>
  <c r="CB23" i="14"/>
  <c r="BO23" i="14"/>
  <c r="BN23" i="14"/>
  <c r="CI23" i="14"/>
  <c r="CN23" i="14"/>
  <c r="P23" i="14"/>
  <c r="U23" i="14"/>
  <c r="Q23" i="14"/>
  <c r="T23" i="14"/>
  <c r="S23" i="14"/>
  <c r="G15" i="14"/>
  <c r="E15" i="14"/>
  <c r="H15" i="14"/>
  <c r="J15" i="14"/>
  <c r="K15" i="14"/>
  <c r="L15" i="14"/>
  <c r="CG15" i="14"/>
  <c r="CA15" i="14"/>
  <c r="I15" i="14"/>
  <c r="CJ15" i="14"/>
  <c r="CL15" i="14"/>
  <c r="CD15" i="14"/>
  <c r="BW15" i="14"/>
  <c r="BP15" i="14"/>
  <c r="CM15" i="14"/>
  <c r="F15" i="14"/>
  <c r="BX15" i="14"/>
  <c r="CB15" i="14"/>
  <c r="CH15" i="14"/>
  <c r="BN15" i="14"/>
  <c r="BY15" i="14"/>
  <c r="CI15" i="14"/>
  <c r="BZ15" i="14"/>
  <c r="CK15" i="14"/>
  <c r="CC15" i="14"/>
  <c r="BO15" i="14"/>
  <c r="CN15" i="14"/>
  <c r="BQ15" i="14"/>
  <c r="BM15" i="14"/>
  <c r="BT15" i="14"/>
  <c r="BR15" i="14"/>
  <c r="BS15" i="14"/>
  <c r="BJ15" i="14"/>
  <c r="AD15" i="14"/>
  <c r="V15" i="14"/>
  <c r="BD15" i="14"/>
  <c r="S15" i="14"/>
  <c r="BE15" i="14"/>
  <c r="AC15" i="14"/>
  <c r="Y15" i="14"/>
  <c r="BF15" i="14"/>
  <c r="BI15" i="14"/>
  <c r="E7" i="14"/>
  <c r="H7" i="14"/>
  <c r="J7" i="14"/>
  <c r="CH7" i="14"/>
  <c r="F7" i="14"/>
  <c r="CA7" i="14"/>
  <c r="I7" i="14"/>
  <c r="CJ7" i="14"/>
  <c r="K7" i="14"/>
  <c r="CL7" i="14"/>
  <c r="BW7" i="14"/>
  <c r="BP7" i="14"/>
  <c r="L7" i="14"/>
  <c r="CM7" i="14"/>
  <c r="BY7" i="14"/>
  <c r="CK7" i="14"/>
  <c r="BZ7" i="14"/>
  <c r="BT7" i="14"/>
  <c r="CN7" i="14"/>
  <c r="CC7" i="14"/>
  <c r="BO7" i="14"/>
  <c r="BN7" i="14"/>
  <c r="BQ7" i="14"/>
  <c r="BR7" i="14"/>
  <c r="BM7" i="14"/>
  <c r="CD7" i="14"/>
  <c r="CI7" i="14"/>
  <c r="CB7" i="14"/>
  <c r="BS7" i="14"/>
  <c r="CG7" i="14"/>
  <c r="BX7" i="14"/>
  <c r="BD7" i="14"/>
  <c r="BI7" i="14"/>
  <c r="AF7" i="14"/>
  <c r="S7" i="14"/>
  <c r="R7" i="14"/>
  <c r="BG7" i="14"/>
  <c r="Y7" i="14"/>
  <c r="BH7" i="14"/>
  <c r="AC7" i="14"/>
  <c r="Z7" i="14"/>
  <c r="O7" i="14"/>
  <c r="BD6" i="14"/>
  <c r="V31" i="14"/>
  <c r="Q43" i="14"/>
  <c r="AD43" i="14"/>
  <c r="BH43" i="14"/>
  <c r="R47" i="14"/>
  <c r="V7" i="14"/>
  <c r="Q19" i="14"/>
  <c r="T28" i="14"/>
  <c r="AF12" i="14"/>
  <c r="AC12" i="14"/>
  <c r="Y20" i="14"/>
  <c r="BD20" i="14"/>
  <c r="AA28" i="14"/>
  <c r="BE28" i="14"/>
  <c r="U36" i="14"/>
  <c r="BJ36" i="14"/>
  <c r="AF44" i="14"/>
  <c r="AC44" i="14"/>
  <c r="O52" i="14"/>
  <c r="AE52" i="14"/>
  <c r="AB60" i="14"/>
  <c r="AA60" i="14"/>
  <c r="BI60" i="14"/>
  <c r="AF14" i="14"/>
  <c r="BE14" i="14"/>
  <c r="AF38" i="14"/>
  <c r="AE38" i="14"/>
  <c r="T46" i="14"/>
  <c r="AB46" i="14"/>
  <c r="BG46" i="14"/>
  <c r="R23" i="14"/>
  <c r="AA23" i="14"/>
  <c r="BH23" i="14"/>
  <c r="AF39" i="14"/>
  <c r="BH39" i="14"/>
  <c r="O19" i="14"/>
  <c r="BF19" i="14"/>
  <c r="AB31" i="14"/>
  <c r="U47" i="14"/>
  <c r="Q6" i="14"/>
  <c r="S26" i="14"/>
  <c r="AD5" i="14"/>
  <c r="O13" i="14"/>
  <c r="Z13" i="14"/>
  <c r="BE13" i="14"/>
  <c r="BJ21" i="14"/>
  <c r="BF21" i="14"/>
  <c r="AA29" i="14"/>
  <c r="BH29" i="14"/>
  <c r="AC37" i="14"/>
  <c r="BC37" i="14"/>
  <c r="Q53" i="14"/>
  <c r="BE53" i="14"/>
  <c r="AB61" i="14"/>
  <c r="Y6" i="14"/>
  <c r="AF30" i="14"/>
  <c r="BI30" i="14"/>
  <c r="AC54" i="14"/>
  <c r="BD54" i="14"/>
  <c r="AA31" i="14"/>
  <c r="BC31" i="14"/>
  <c r="BI11" i="14"/>
  <c r="AD7" i="14"/>
  <c r="O33" i="14"/>
  <c r="Q18" i="14"/>
  <c r="Y22" i="14"/>
  <c r="AE7" i="14"/>
  <c r="AF47" i="14"/>
  <c r="BG47" i="14"/>
  <c r="Z59" i="14"/>
  <c r="AB50" i="14"/>
  <c r="AE15" i="14"/>
  <c r="O55" i="14"/>
  <c r="BE55" i="14"/>
  <c r="AC34" i="14"/>
  <c r="V42" i="14"/>
  <c r="V19" i="14"/>
  <c r="AD8" i="14"/>
  <c r="BI16" i="14"/>
  <c r="AD40" i="14"/>
  <c r="AC48" i="14"/>
  <c r="BF48" i="14"/>
  <c r="AE56" i="14"/>
  <c r="AB26" i="14"/>
  <c r="S34" i="14"/>
  <c r="BE34" i="14"/>
  <c r="BH58" i="14"/>
  <c r="R21" i="14"/>
  <c r="AC17" i="14"/>
  <c r="S33" i="14"/>
  <c r="BH33" i="14"/>
  <c r="BJ41" i="14"/>
  <c r="AF49" i="14"/>
  <c r="T57" i="14"/>
  <c r="U42" i="14"/>
  <c r="BF42" i="14"/>
  <c r="AC35" i="14"/>
  <c r="AE10" i="14"/>
  <c r="P50" i="14"/>
  <c r="BE50" i="14"/>
  <c r="J18" i="14"/>
  <c r="K18" i="14"/>
  <c r="G18" i="14"/>
  <c r="F18" i="14"/>
  <c r="CG18" i="14"/>
  <c r="CD18" i="14"/>
  <c r="E18" i="14"/>
  <c r="I18" i="14"/>
  <c r="L18" i="14"/>
  <c r="CJ18" i="14"/>
  <c r="H18" i="14"/>
  <c r="CI18" i="14"/>
  <c r="CA18" i="14"/>
  <c r="BS18" i="14"/>
  <c r="CK18" i="14"/>
  <c r="CB18" i="14"/>
  <c r="CM18" i="14"/>
  <c r="CH18" i="14"/>
  <c r="CN18" i="14"/>
  <c r="BY18" i="14"/>
  <c r="BW18" i="14"/>
  <c r="BR18" i="14"/>
  <c r="CC18" i="14"/>
  <c r="BZ18" i="14"/>
  <c r="BO18" i="14"/>
  <c r="CL18" i="14"/>
  <c r="BP18" i="14"/>
  <c r="BQ18" i="14"/>
  <c r="BT18" i="14"/>
  <c r="BX18" i="14"/>
  <c r="BN18" i="14"/>
  <c r="BM18" i="14"/>
  <c r="BF18" i="14"/>
  <c r="AB18" i="14"/>
  <c r="Z18" i="14"/>
  <c r="U18" i="14"/>
  <c r="BG18" i="14"/>
  <c r="AF18" i="14"/>
  <c r="BH18" i="14"/>
  <c r="BD18" i="14"/>
  <c r="Y18" i="14"/>
  <c r="BI18" i="14"/>
  <c r="AD18" i="14"/>
  <c r="U43" i="14"/>
  <c r="BJ19" i="14"/>
  <c r="R10" i="14"/>
  <c r="Y27" i="14"/>
  <c r="V11" i="14"/>
  <c r="H40" i="14"/>
  <c r="CI40" i="14"/>
  <c r="I40" i="14"/>
  <c r="K40" i="14"/>
  <c r="L40" i="14"/>
  <c r="CG40" i="14"/>
  <c r="CJ40" i="14"/>
  <c r="F40" i="14"/>
  <c r="J40" i="14"/>
  <c r="CB40" i="14"/>
  <c r="E40" i="14"/>
  <c r="CK40" i="14"/>
  <c r="CL40" i="14"/>
  <c r="CH40" i="14"/>
  <c r="CM40" i="14"/>
  <c r="CC40" i="14"/>
  <c r="CN40" i="14"/>
  <c r="CD40" i="14"/>
  <c r="BY40" i="14"/>
  <c r="CA40" i="14"/>
  <c r="BO40" i="14"/>
  <c r="G40" i="14"/>
  <c r="BN40" i="14"/>
  <c r="BP40" i="14"/>
  <c r="BQ40" i="14"/>
  <c r="BR40" i="14"/>
  <c r="BS40" i="14"/>
  <c r="BM40" i="14"/>
  <c r="T40" i="14"/>
  <c r="BT40" i="14"/>
  <c r="BW40" i="14"/>
  <c r="BZ40" i="14"/>
  <c r="BX40" i="14"/>
  <c r="BF40" i="14"/>
  <c r="U40" i="14"/>
  <c r="AE40" i="14"/>
  <c r="Q40" i="14"/>
  <c r="O40" i="14"/>
  <c r="Z40" i="14"/>
  <c r="Y40" i="14"/>
  <c r="BC40" i="14"/>
  <c r="AA40" i="14"/>
  <c r="R40" i="14"/>
  <c r="H8" i="14"/>
  <c r="I8" i="14"/>
  <c r="K8" i="14"/>
  <c r="E8" i="14"/>
  <c r="G8" i="14"/>
  <c r="J8" i="14"/>
  <c r="F8" i="14"/>
  <c r="CG8" i="14"/>
  <c r="CB8" i="14"/>
  <c r="CJ8" i="14"/>
  <c r="CN8" i="14"/>
  <c r="BX8" i="14"/>
  <c r="BQ8" i="14"/>
  <c r="BY8" i="14"/>
  <c r="BW8" i="14"/>
  <c r="CH8" i="14"/>
  <c r="CA8" i="14"/>
  <c r="CI8" i="14"/>
  <c r="BO8" i="14"/>
  <c r="CL8" i="14"/>
  <c r="BZ8" i="14"/>
  <c r="BR8" i="14"/>
  <c r="CM8" i="14"/>
  <c r="L8" i="14"/>
  <c r="CC8" i="14"/>
  <c r="BT8" i="14"/>
  <c r="CD8" i="14"/>
  <c r="CK8" i="14"/>
  <c r="BM8" i="14"/>
  <c r="BP8" i="14"/>
  <c r="U8" i="14"/>
  <c r="BS8" i="14"/>
  <c r="BN8" i="14"/>
  <c r="BH8" i="14"/>
  <c r="BJ8" i="14"/>
  <c r="BC8" i="14"/>
  <c r="AE8" i="14"/>
  <c r="P8" i="14"/>
  <c r="Q8" i="14"/>
  <c r="BD8" i="14"/>
  <c r="AB8" i="14"/>
  <c r="Y8" i="14"/>
  <c r="S8" i="14"/>
  <c r="V8" i="14"/>
  <c r="BE8" i="14"/>
  <c r="BI8" i="14"/>
  <c r="AA8" i="14"/>
  <c r="Z8" i="14"/>
  <c r="R8" i="14"/>
  <c r="E22" i="14"/>
  <c r="F22" i="14"/>
  <c r="G22" i="14"/>
  <c r="I22" i="14"/>
  <c r="L22" i="14"/>
  <c r="K22" i="14"/>
  <c r="CG22" i="14"/>
  <c r="BZ22" i="14"/>
  <c r="CJ22" i="14"/>
  <c r="CI22" i="14"/>
  <c r="CA22" i="14"/>
  <c r="BO22" i="14"/>
  <c r="CK22" i="14"/>
  <c r="CB22" i="14"/>
  <c r="CM22" i="14"/>
  <c r="CD22" i="14"/>
  <c r="H22" i="14"/>
  <c r="CL22" i="14"/>
  <c r="BY22" i="14"/>
  <c r="BR22" i="14"/>
  <c r="BT22" i="14"/>
  <c r="J22" i="14"/>
  <c r="BX22" i="14"/>
  <c r="CH22" i="14"/>
  <c r="CC22" i="14"/>
  <c r="BN22" i="14"/>
  <c r="CN22" i="14"/>
  <c r="BP22" i="14"/>
  <c r="Q22" i="14"/>
  <c r="T22" i="14"/>
  <c r="U22" i="14"/>
  <c r="BW22" i="14"/>
  <c r="BQ22" i="14"/>
  <c r="BM22" i="14"/>
  <c r="BS22" i="14"/>
  <c r="BI22" i="14"/>
  <c r="AD22" i="14"/>
  <c r="R22" i="14"/>
  <c r="BF22" i="14"/>
  <c r="AB22" i="14"/>
  <c r="AA22" i="14"/>
  <c r="BG22" i="14"/>
  <c r="O22" i="14"/>
  <c r="P22" i="14"/>
  <c r="S22" i="14"/>
  <c r="BC22" i="14"/>
  <c r="AC22" i="14"/>
  <c r="AF22" i="14"/>
  <c r="V34" i="14"/>
  <c r="AC43" i="14"/>
  <c r="BI43" i="14"/>
  <c r="BG43" i="14"/>
  <c r="AA18" i="14"/>
  <c r="V49" i="14"/>
  <c r="V9" i="14"/>
  <c r="U29" i="14"/>
  <c r="AB14" i="14"/>
  <c r="AD38" i="14"/>
  <c r="BI38" i="14"/>
  <c r="S46" i="14"/>
  <c r="P46" i="14"/>
  <c r="BF46" i="14"/>
  <c r="Y23" i="14"/>
  <c r="BI23" i="14"/>
  <c r="BC23" i="14"/>
  <c r="BG39" i="14"/>
  <c r="AE19" i="14"/>
  <c r="AD48" i="14"/>
  <c r="U55" i="14"/>
  <c r="P10" i="14"/>
  <c r="T27" i="14"/>
  <c r="Y5" i="14"/>
  <c r="AE13" i="14"/>
  <c r="BC13" i="14"/>
  <c r="BI21" i="14"/>
  <c r="V37" i="14"/>
  <c r="S45" i="14"/>
  <c r="AA45" i="14"/>
  <c r="P53" i="14"/>
  <c r="BJ53" i="14"/>
  <c r="BC53" i="14"/>
  <c r="AA61" i="14"/>
  <c r="AD30" i="14"/>
  <c r="AB54" i="14"/>
  <c r="BI31" i="14"/>
  <c r="P7" i="14"/>
  <c r="BJ7" i="14"/>
  <c r="AD47" i="14"/>
  <c r="BF47" i="14"/>
  <c r="Y59" i="14"/>
  <c r="BH15" i="14"/>
  <c r="AD55" i="14"/>
  <c r="BC55" i="14"/>
  <c r="AC51" i="14"/>
  <c r="V53" i="14"/>
  <c r="V26" i="14"/>
  <c r="S32" i="14"/>
  <c r="AC40" i="14"/>
  <c r="BH40" i="14"/>
  <c r="AA48" i="14"/>
  <c r="T56" i="14"/>
  <c r="AF34" i="14"/>
  <c r="Z58" i="14"/>
  <c r="BG58" i="14"/>
  <c r="P27" i="14"/>
  <c r="AB9" i="14"/>
  <c r="BI25" i="14"/>
  <c r="AD33" i="14"/>
  <c r="BE33" i="14"/>
  <c r="AC49" i="14"/>
  <c r="Q57" i="14"/>
  <c r="BF57" i="14"/>
  <c r="AC18" i="14"/>
  <c r="T42" i="14"/>
  <c r="Z35" i="14"/>
  <c r="AD10" i="14"/>
  <c r="AE51" i="14"/>
  <c r="K19" i="14"/>
  <c r="L19" i="14"/>
  <c r="F19" i="14"/>
  <c r="H19" i="14"/>
  <c r="I19" i="14"/>
  <c r="CG19" i="14"/>
  <c r="E19" i="14"/>
  <c r="CJ19" i="14"/>
  <c r="G19" i="14"/>
  <c r="CL19" i="14"/>
  <c r="CC19" i="14"/>
  <c r="BT19" i="14"/>
  <c r="J19" i="14"/>
  <c r="CM19" i="14"/>
  <c r="CD19" i="14"/>
  <c r="BX19" i="14"/>
  <c r="CB19" i="14"/>
  <c r="CI19" i="14"/>
  <c r="BN19" i="14"/>
  <c r="BS19" i="14"/>
  <c r="BY19" i="14"/>
  <c r="CH19" i="14"/>
  <c r="BZ19" i="14"/>
  <c r="CK19" i="14"/>
  <c r="CA19" i="14"/>
  <c r="CN19" i="14"/>
  <c r="BR19" i="14"/>
  <c r="BQ19" i="14"/>
  <c r="BW19" i="14"/>
  <c r="BO19" i="14"/>
  <c r="BM19" i="14"/>
  <c r="BP19" i="14"/>
  <c r="R19" i="14"/>
  <c r="BC19" i="14"/>
  <c r="U19" i="14"/>
  <c r="BD19" i="14"/>
  <c r="U59" i="14"/>
  <c r="R35" i="14"/>
  <c r="AC27" i="14"/>
  <c r="J42" i="14"/>
  <c r="K42" i="14"/>
  <c r="G42" i="14"/>
  <c r="CH42" i="14"/>
  <c r="H42" i="14"/>
  <c r="CI42" i="14"/>
  <c r="L42" i="14"/>
  <c r="CK42" i="14"/>
  <c r="I42" i="14"/>
  <c r="CN42" i="14"/>
  <c r="CD42" i="14"/>
  <c r="CG42" i="14"/>
  <c r="E42" i="14"/>
  <c r="CJ42" i="14"/>
  <c r="BX42" i="14"/>
  <c r="F42" i="14"/>
  <c r="BY42" i="14"/>
  <c r="CL42" i="14"/>
  <c r="CA42" i="14"/>
  <c r="BO42" i="14"/>
  <c r="CC42" i="14"/>
  <c r="BQ42" i="14"/>
  <c r="BT42" i="14"/>
  <c r="BW42" i="14"/>
  <c r="CM42" i="14"/>
  <c r="BZ42" i="14"/>
  <c r="CB42" i="14"/>
  <c r="BM42" i="14"/>
  <c r="BR42" i="14"/>
  <c r="BS42" i="14"/>
  <c r="BN42" i="14"/>
  <c r="BP42" i="14"/>
  <c r="BD42" i="14"/>
  <c r="AA42" i="14"/>
  <c r="AC42" i="14"/>
  <c r="AB42" i="14"/>
  <c r="BE42" i="14"/>
  <c r="AF42" i="14"/>
  <c r="O42" i="14"/>
  <c r="BG42" i="14"/>
  <c r="Y42" i="14"/>
  <c r="BH42" i="14"/>
  <c r="AD42" i="14"/>
  <c r="R42" i="14"/>
  <c r="Q42" i="14"/>
  <c r="BI42" i="14"/>
  <c r="AE42" i="14"/>
  <c r="S42" i="14"/>
  <c r="AF59" i="14"/>
  <c r="BC43" i="14"/>
  <c r="Y19" i="14"/>
  <c r="BD26" i="14"/>
  <c r="H16" i="14"/>
  <c r="I16" i="14"/>
  <c r="K16" i="14"/>
  <c r="G16" i="14"/>
  <c r="CG16" i="14"/>
  <c r="CB16" i="14"/>
  <c r="F16" i="14"/>
  <c r="CJ16" i="14"/>
  <c r="E16" i="14"/>
  <c r="CN16" i="14"/>
  <c r="BQ16" i="14"/>
  <c r="BX16" i="14"/>
  <c r="BW16" i="14"/>
  <c r="CH16" i="14"/>
  <c r="BZ16" i="14"/>
  <c r="J16" i="14"/>
  <c r="CI16" i="14"/>
  <c r="L16" i="14"/>
  <c r="CL16" i="14"/>
  <c r="BY16" i="14"/>
  <c r="BN16" i="14"/>
  <c r="CC16" i="14"/>
  <c r="BP16" i="14"/>
  <c r="BR16" i="14"/>
  <c r="BS16" i="14"/>
  <c r="BT16" i="14"/>
  <c r="CA16" i="14"/>
  <c r="CD16" i="14"/>
  <c r="R16" i="14"/>
  <c r="BM16" i="14"/>
  <c r="Z16" i="14"/>
  <c r="BO16" i="14"/>
  <c r="CK16" i="14"/>
  <c r="Q16" i="14"/>
  <c r="CM16" i="14"/>
  <c r="BG16" i="14"/>
  <c r="AD16" i="14"/>
  <c r="V16" i="14"/>
  <c r="AB16" i="14"/>
  <c r="Y16" i="14"/>
  <c r="BC16" i="14"/>
  <c r="AF16" i="14"/>
  <c r="BD16" i="14"/>
  <c r="AC16" i="14"/>
  <c r="T43" i="14"/>
  <c r="S27" i="14"/>
  <c r="E54" i="14"/>
  <c r="F54" i="14"/>
  <c r="G54" i="14"/>
  <c r="I54" i="14"/>
  <c r="CH54" i="14"/>
  <c r="J54" i="14"/>
  <c r="CI54" i="14"/>
  <c r="L54" i="14"/>
  <c r="CK54" i="14"/>
  <c r="K54" i="14"/>
  <c r="CL54" i="14"/>
  <c r="BZ54" i="14"/>
  <c r="CM54" i="14"/>
  <c r="CN54" i="14"/>
  <c r="BY54" i="14"/>
  <c r="CB54" i="14"/>
  <c r="BW54" i="14"/>
  <c r="BS54" i="14"/>
  <c r="CJ54" i="14"/>
  <c r="CD54" i="14"/>
  <c r="CG54" i="14"/>
  <c r="H54" i="14"/>
  <c r="BN54" i="14"/>
  <c r="BO54" i="14"/>
  <c r="BM54" i="14"/>
  <c r="BX54" i="14"/>
  <c r="BT54" i="14"/>
  <c r="CA54" i="14"/>
  <c r="CC54" i="14"/>
  <c r="BP54" i="14"/>
  <c r="BR54" i="14"/>
  <c r="BQ54" i="14"/>
  <c r="U54" i="14"/>
  <c r="BE54" i="14"/>
  <c r="AF54" i="14"/>
  <c r="T54" i="14"/>
  <c r="BH54" i="14"/>
  <c r="O54" i="14"/>
  <c r="BI54" i="14"/>
  <c r="AE54" i="14"/>
  <c r="AD54" i="14"/>
  <c r="BJ54" i="14"/>
  <c r="P54" i="14"/>
  <c r="E46" i="14"/>
  <c r="F46" i="14"/>
  <c r="G46" i="14"/>
  <c r="K46" i="14"/>
  <c r="CH46" i="14"/>
  <c r="L46" i="14"/>
  <c r="CI46" i="14"/>
  <c r="CK46" i="14"/>
  <c r="CG46" i="14"/>
  <c r="CL46" i="14"/>
  <c r="BZ46" i="14"/>
  <c r="H46" i="14"/>
  <c r="CN46" i="14"/>
  <c r="I46" i="14"/>
  <c r="CM46" i="14"/>
  <c r="J46" i="14"/>
  <c r="BX46" i="14"/>
  <c r="BS46" i="14"/>
  <c r="CA46" i="14"/>
  <c r="CC46" i="14"/>
  <c r="BN46" i="14"/>
  <c r="CD46" i="14"/>
  <c r="BO46" i="14"/>
  <c r="BP46" i="14"/>
  <c r="BW46" i="14"/>
  <c r="BQ46" i="14"/>
  <c r="CJ46" i="14"/>
  <c r="BR46" i="14"/>
  <c r="CB46" i="14"/>
  <c r="BT46" i="14"/>
  <c r="BY46" i="14"/>
  <c r="BM46" i="14"/>
  <c r="R46" i="14"/>
  <c r="E30" i="14"/>
  <c r="F30" i="14"/>
  <c r="G30" i="14"/>
  <c r="I30" i="14"/>
  <c r="H30" i="14"/>
  <c r="J30" i="14"/>
  <c r="L30" i="14"/>
  <c r="CG30" i="14"/>
  <c r="BZ30" i="14"/>
  <c r="K30" i="14"/>
  <c r="CM30" i="14"/>
  <c r="BY30" i="14"/>
  <c r="BO30" i="14"/>
  <c r="CN30" i="14"/>
  <c r="CA30" i="14"/>
  <c r="CH30" i="14"/>
  <c r="CC30" i="14"/>
  <c r="CJ30" i="14"/>
  <c r="BX30" i="14"/>
  <c r="CL30" i="14"/>
  <c r="CD30" i="14"/>
  <c r="BQ30" i="14"/>
  <c r="BS30" i="14"/>
  <c r="BP30" i="14"/>
  <c r="BR30" i="14"/>
  <c r="BW30" i="14"/>
  <c r="BT30" i="14"/>
  <c r="CK30" i="14"/>
  <c r="U30" i="14"/>
  <c r="CB30" i="14"/>
  <c r="T30" i="14"/>
  <c r="BN30" i="14"/>
  <c r="CI30" i="14"/>
  <c r="BM30" i="14"/>
  <c r="Q30" i="14"/>
  <c r="AE30" i="14"/>
  <c r="O30" i="14"/>
  <c r="P30" i="14"/>
  <c r="BE30" i="14"/>
  <c r="AA30" i="14"/>
  <c r="BF30" i="14"/>
  <c r="Y30" i="14"/>
  <c r="BG30" i="14"/>
  <c r="AB30" i="14"/>
  <c r="E14" i="14"/>
  <c r="F14" i="14"/>
  <c r="G14" i="14"/>
  <c r="I14" i="14"/>
  <c r="J14" i="14"/>
  <c r="H14" i="14"/>
  <c r="L14" i="14"/>
  <c r="CG14" i="14"/>
  <c r="BZ14" i="14"/>
  <c r="CJ14" i="14"/>
  <c r="CI14" i="14"/>
  <c r="CB14" i="14"/>
  <c r="BO14" i="14"/>
  <c r="CK14" i="14"/>
  <c r="CC14" i="14"/>
  <c r="CM14" i="14"/>
  <c r="BW14" i="14"/>
  <c r="K14" i="14"/>
  <c r="CH14" i="14"/>
  <c r="CL14" i="14"/>
  <c r="BX14" i="14"/>
  <c r="BS14" i="14"/>
  <c r="CA14" i="14"/>
  <c r="CN14" i="14"/>
  <c r="BR14" i="14"/>
  <c r="BT14" i="14"/>
  <c r="BN14" i="14"/>
  <c r="BP14" i="14"/>
  <c r="BQ14" i="14"/>
  <c r="BY14" i="14"/>
  <c r="CD14" i="14"/>
  <c r="BM14" i="14"/>
  <c r="R14" i="14"/>
  <c r="P14" i="14"/>
  <c r="V14" i="14"/>
  <c r="AA14" i="14"/>
  <c r="E6" i="14"/>
  <c r="F6" i="14"/>
  <c r="G6" i="14"/>
  <c r="I6" i="14"/>
  <c r="J6" i="14"/>
  <c r="CH6" i="14"/>
  <c r="K6" i="14"/>
  <c r="CN6" i="14"/>
  <c r="BZ6" i="14"/>
  <c r="L6" i="14"/>
  <c r="CI6" i="14"/>
  <c r="H6" i="14"/>
  <c r="CG6" i="14"/>
  <c r="CC6" i="14"/>
  <c r="BO6" i="14"/>
  <c r="CJ6" i="14"/>
  <c r="CD6" i="14"/>
  <c r="CL6" i="14"/>
  <c r="BR6" i="14"/>
  <c r="BW6" i="14"/>
  <c r="BT6" i="14"/>
  <c r="CK6" i="14"/>
  <c r="BY6" i="14"/>
  <c r="CM6" i="14"/>
  <c r="BS6" i="14"/>
  <c r="BX6" i="14"/>
  <c r="CA6" i="14"/>
  <c r="BM6" i="14"/>
  <c r="BN6" i="14"/>
  <c r="BP6" i="14"/>
  <c r="BQ6" i="14"/>
  <c r="CB6" i="14"/>
  <c r="U6" i="14"/>
  <c r="BJ6" i="14"/>
  <c r="AD6" i="14"/>
  <c r="P6" i="14"/>
  <c r="BE6" i="14"/>
  <c r="AB6" i="14"/>
  <c r="Z6" i="14"/>
  <c r="T6" i="14"/>
  <c r="BF6" i="14"/>
  <c r="AC6" i="14"/>
  <c r="R6" i="14"/>
  <c r="V6" i="14"/>
  <c r="BG6" i="14"/>
  <c r="AA6" i="14"/>
  <c r="F61" i="14"/>
  <c r="G61" i="14"/>
  <c r="CH61" i="14"/>
  <c r="CI61" i="14"/>
  <c r="H61" i="14"/>
  <c r="L61" i="14"/>
  <c r="CN61" i="14"/>
  <c r="E61" i="14"/>
  <c r="I61" i="14"/>
  <c r="CG61" i="14"/>
  <c r="J61" i="14"/>
  <c r="BX61" i="14"/>
  <c r="K61" i="14"/>
  <c r="CJ61" i="14"/>
  <c r="BY61" i="14"/>
  <c r="CL61" i="14"/>
  <c r="CM61" i="14"/>
  <c r="BW61" i="14"/>
  <c r="BR61" i="14"/>
  <c r="CA61" i="14"/>
  <c r="BT61" i="14"/>
  <c r="BO61" i="14"/>
  <c r="BP61" i="14"/>
  <c r="BQ61" i="14"/>
  <c r="CK61" i="14"/>
  <c r="BZ61" i="14"/>
  <c r="BS61" i="14"/>
  <c r="BN61" i="14"/>
  <c r="R61" i="14"/>
  <c r="CD61" i="14"/>
  <c r="BM61" i="14"/>
  <c r="CB61" i="14"/>
  <c r="U61" i="14"/>
  <c r="CC61" i="14"/>
  <c r="Q61" i="14"/>
  <c r="BH61" i="14"/>
  <c r="BF61" i="14"/>
  <c r="AF61" i="14"/>
  <c r="O61" i="14"/>
  <c r="F45" i="14"/>
  <c r="E45" i="14"/>
  <c r="H45" i="14"/>
  <c r="CH45" i="14"/>
  <c r="I45" i="14"/>
  <c r="CI45" i="14"/>
  <c r="K45" i="14"/>
  <c r="CK45" i="14"/>
  <c r="J45" i="14"/>
  <c r="BY45" i="14"/>
  <c r="CJ45" i="14"/>
  <c r="CL45" i="14"/>
  <c r="L45" i="14"/>
  <c r="CD45" i="14"/>
  <c r="CG45" i="14"/>
  <c r="CM45" i="14"/>
  <c r="CA45" i="14"/>
  <c r="G45" i="14"/>
  <c r="CN45" i="14"/>
  <c r="CC45" i="14"/>
  <c r="BW45" i="14"/>
  <c r="BR45" i="14"/>
  <c r="BT45" i="14"/>
  <c r="BX45" i="14"/>
  <c r="BN45" i="14"/>
  <c r="T45" i="14"/>
  <c r="BM45" i="14"/>
  <c r="BQ45" i="14"/>
  <c r="AD45" i="14"/>
  <c r="BZ45" i="14"/>
  <c r="BO45" i="14"/>
  <c r="BS45" i="14"/>
  <c r="CB45" i="14"/>
  <c r="BP45" i="14"/>
  <c r="AC45" i="14"/>
  <c r="Q45" i="14"/>
  <c r="BH45" i="14"/>
  <c r="AB45" i="14"/>
  <c r="U45" i="14"/>
  <c r="Z45" i="14"/>
  <c r="V45" i="14"/>
  <c r="F29" i="14"/>
  <c r="H29" i="14"/>
  <c r="G29" i="14"/>
  <c r="J29" i="14"/>
  <c r="CG29" i="14"/>
  <c r="BY29" i="14"/>
  <c r="L29" i="14"/>
  <c r="K29" i="14"/>
  <c r="CL29" i="14"/>
  <c r="BN29" i="14"/>
  <c r="CM29" i="14"/>
  <c r="BX29" i="14"/>
  <c r="CA29" i="14"/>
  <c r="E29" i="14"/>
  <c r="I29" i="14"/>
  <c r="CH29" i="14"/>
  <c r="BO29" i="14"/>
  <c r="CJ29" i="14"/>
  <c r="BZ29" i="14"/>
  <c r="BW29" i="14"/>
  <c r="BQ29" i="14"/>
  <c r="CB29" i="14"/>
  <c r="CI29" i="14"/>
  <c r="CC29" i="14"/>
  <c r="BP29" i="14"/>
  <c r="CD29" i="14"/>
  <c r="AC29" i="14"/>
  <c r="BM29" i="14"/>
  <c r="P29" i="14"/>
  <c r="S29" i="14"/>
  <c r="BT29" i="14"/>
  <c r="CK29" i="14"/>
  <c r="BR29" i="14"/>
  <c r="T29" i="14"/>
  <c r="CN29" i="14"/>
  <c r="BS29" i="14"/>
  <c r="R29" i="14"/>
  <c r="Q29" i="14"/>
  <c r="Z29" i="14"/>
  <c r="BD29" i="14"/>
  <c r="Y29" i="14"/>
  <c r="F5" i="14"/>
  <c r="H5" i="14"/>
  <c r="CH5" i="14"/>
  <c r="I5" i="14"/>
  <c r="E5" i="14"/>
  <c r="J5" i="14"/>
  <c r="L5" i="14"/>
  <c r="CM5" i="14"/>
  <c r="BY5" i="14"/>
  <c r="CG5" i="14"/>
  <c r="CA5" i="14"/>
  <c r="BN5" i="14"/>
  <c r="CB5" i="14"/>
  <c r="CI5" i="14"/>
  <c r="CD5" i="14"/>
  <c r="CJ5" i="14"/>
  <c r="BX5" i="14"/>
  <c r="BP5" i="14"/>
  <c r="CK5" i="14"/>
  <c r="CL5" i="14"/>
  <c r="CC5" i="14"/>
  <c r="BR5" i="14"/>
  <c r="G5" i="14"/>
  <c r="BT5" i="14"/>
  <c r="K5" i="14"/>
  <c r="BZ5" i="14"/>
  <c r="BM5" i="14"/>
  <c r="BO5" i="14"/>
  <c r="BQ5" i="14"/>
  <c r="BS5" i="14"/>
  <c r="BW5" i="14"/>
  <c r="R5" i="14"/>
  <c r="CN5" i="14"/>
  <c r="U5" i="14"/>
  <c r="Q5" i="14"/>
  <c r="P5" i="14"/>
  <c r="BE5" i="14"/>
  <c r="S5" i="14"/>
  <c r="V46" i="14"/>
  <c r="P11" i="14"/>
  <c r="Y43" i="14"/>
  <c r="AD29" i="14"/>
  <c r="U21" i="14"/>
  <c r="AE14" i="14"/>
  <c r="BC14" i="14"/>
  <c r="AB38" i="14"/>
  <c r="Q46" i="14"/>
  <c r="Y46" i="14"/>
  <c r="BE46" i="14"/>
  <c r="O23" i="14"/>
  <c r="BG23" i="14"/>
  <c r="U39" i="14"/>
  <c r="P39" i="14"/>
  <c r="BF39" i="14"/>
  <c r="BH63" i="14"/>
  <c r="AD19" i="14"/>
  <c r="BE19" i="14"/>
  <c r="Y61" i="14"/>
  <c r="R11" i="14"/>
  <c r="V29" i="14"/>
  <c r="AA5" i="14"/>
  <c r="BI5" i="14"/>
  <c r="O21" i="14"/>
  <c r="AC21" i="14"/>
  <c r="AE29" i="14"/>
  <c r="BF29" i="14"/>
  <c r="AB37" i="14"/>
  <c r="R45" i="14"/>
  <c r="AE45" i="14"/>
  <c r="BF45" i="14"/>
  <c r="O53" i="14"/>
  <c r="T61" i="14"/>
  <c r="BJ61" i="14"/>
  <c r="S6" i="14"/>
  <c r="BD30" i="14"/>
  <c r="T31" i="14"/>
  <c r="AB11" i="14"/>
  <c r="AF40" i="14"/>
  <c r="U50" i="14"/>
  <c r="R24" i="14"/>
  <c r="BJ22" i="14"/>
  <c r="BF7" i="14"/>
  <c r="T59" i="14"/>
  <c r="U58" i="14"/>
  <c r="Z15" i="14"/>
  <c r="BG15" i="14"/>
  <c r="AC55" i="14"/>
  <c r="AF27" i="14"/>
  <c r="AC57" i="14"/>
  <c r="U56" i="14"/>
  <c r="S16" i="14"/>
  <c r="BH16" i="14"/>
  <c r="BI24" i="14"/>
  <c r="R32" i="14"/>
  <c r="AB40" i="14"/>
  <c r="BG40" i="14"/>
  <c r="Z48" i="14"/>
  <c r="S56" i="14"/>
  <c r="AA34" i="14"/>
  <c r="O58" i="14"/>
  <c r="S30" i="14"/>
  <c r="BH9" i="14"/>
  <c r="BJ25" i="14"/>
  <c r="BD33" i="14"/>
  <c r="AE49" i="14"/>
  <c r="AB57" i="14"/>
  <c r="BC57" i="14"/>
  <c r="P42" i="14"/>
  <c r="AE35" i="14"/>
  <c r="AB10" i="14"/>
  <c r="Y50" i="14"/>
  <c r="I59" i="14"/>
  <c r="L59" i="14"/>
  <c r="E59" i="14"/>
  <c r="F59" i="14"/>
  <c r="CH59" i="14"/>
  <c r="G59" i="14"/>
  <c r="CI59" i="14"/>
  <c r="J59" i="14"/>
  <c r="K59" i="14"/>
  <c r="CJ59" i="14"/>
  <c r="CM59" i="14"/>
  <c r="CG59" i="14"/>
  <c r="CD59" i="14"/>
  <c r="CK59" i="14"/>
  <c r="CN59" i="14"/>
  <c r="BY59" i="14"/>
  <c r="H59" i="14"/>
  <c r="CA59" i="14"/>
  <c r="BP59" i="14"/>
  <c r="CC59" i="14"/>
  <c r="BR59" i="14"/>
  <c r="BS59" i="14"/>
  <c r="BT59" i="14"/>
  <c r="CL59" i="14"/>
  <c r="BW59" i="14"/>
  <c r="BX59" i="14"/>
  <c r="BZ59" i="14"/>
  <c r="BN59" i="14"/>
  <c r="CB59" i="14"/>
  <c r="BO59" i="14"/>
  <c r="BQ59" i="14"/>
  <c r="BM59" i="14"/>
  <c r="AD59" i="14"/>
  <c r="R59" i="14"/>
  <c r="Q59" i="14"/>
  <c r="BE59" i="14"/>
  <c r="BF59" i="14"/>
  <c r="AC59" i="14"/>
  <c r="BG59" i="14"/>
  <c r="AE59" i="14"/>
  <c r="O59" i="14"/>
  <c r="K43" i="14"/>
  <c r="L43" i="14"/>
  <c r="J43" i="14"/>
  <c r="CH43" i="14"/>
  <c r="CI43" i="14"/>
  <c r="CK43" i="14"/>
  <c r="G43" i="14"/>
  <c r="CJ43" i="14"/>
  <c r="I43" i="14"/>
  <c r="CM43" i="14"/>
  <c r="CN43" i="14"/>
  <c r="CL43" i="14"/>
  <c r="BZ43" i="14"/>
  <c r="CA43" i="14"/>
  <c r="H43" i="14"/>
  <c r="E43" i="14"/>
  <c r="F43" i="14"/>
  <c r="CG43" i="14"/>
  <c r="CC43" i="14"/>
  <c r="BW43" i="14"/>
  <c r="BP43" i="14"/>
  <c r="BR43" i="14"/>
  <c r="CD43" i="14"/>
  <c r="BN43" i="14"/>
  <c r="BO43" i="14"/>
  <c r="BQ43" i="14"/>
  <c r="BS43" i="14"/>
  <c r="BX43" i="14"/>
  <c r="BT43" i="14"/>
  <c r="BY43" i="14"/>
  <c r="CB43" i="14"/>
  <c r="BM43" i="14"/>
  <c r="K27" i="14"/>
  <c r="L27" i="14"/>
  <c r="F27" i="14"/>
  <c r="H27" i="14"/>
  <c r="CG27" i="14"/>
  <c r="I27" i="14"/>
  <c r="J27" i="14"/>
  <c r="CJ27" i="14"/>
  <c r="CB27" i="14"/>
  <c r="BT27" i="14"/>
  <c r="E27" i="14"/>
  <c r="CK27" i="14"/>
  <c r="CC27" i="14"/>
  <c r="G27" i="14"/>
  <c r="CM27" i="14"/>
  <c r="CH27" i="14"/>
  <c r="BW27" i="14"/>
  <c r="BS27" i="14"/>
  <c r="CL27" i="14"/>
  <c r="BY27" i="14"/>
  <c r="BN27" i="14"/>
  <c r="BO27" i="14"/>
  <c r="BP27" i="14"/>
  <c r="BQ27" i="14"/>
  <c r="BR27" i="14"/>
  <c r="CD27" i="14"/>
  <c r="CI27" i="14"/>
  <c r="CN27" i="14"/>
  <c r="CA27" i="14"/>
  <c r="BX27" i="14"/>
  <c r="BM27" i="14"/>
  <c r="BZ27" i="14"/>
  <c r="BE27" i="14"/>
  <c r="BI27" i="14"/>
  <c r="Q27" i="14"/>
  <c r="BH27" i="14"/>
  <c r="AD27" i="14"/>
  <c r="AE27" i="14"/>
  <c r="O27" i="14"/>
  <c r="V27" i="14"/>
  <c r="Z27" i="14"/>
  <c r="AB27" i="14"/>
  <c r="P19" i="14"/>
  <c r="AB19" i="14"/>
  <c r="AD11" i="14"/>
  <c r="BH11" i="14"/>
  <c r="BJ59" i="14"/>
  <c r="BF27" i="14"/>
  <c r="Y51" i="14"/>
  <c r="J58" i="14"/>
  <c r="K58" i="14"/>
  <c r="CH58" i="14"/>
  <c r="CI58" i="14"/>
  <c r="F58" i="14"/>
  <c r="CK58" i="14"/>
  <c r="E58" i="14"/>
  <c r="H58" i="14"/>
  <c r="I58" i="14"/>
  <c r="CJ58" i="14"/>
  <c r="CN58" i="14"/>
  <c r="CC58" i="14"/>
  <c r="CD58" i="14"/>
  <c r="G58" i="14"/>
  <c r="L58" i="14"/>
  <c r="CG58" i="14"/>
  <c r="CL58" i="14"/>
  <c r="CM58" i="14"/>
  <c r="BX58" i="14"/>
  <c r="BO58" i="14"/>
  <c r="BZ58" i="14"/>
  <c r="BQ58" i="14"/>
  <c r="BN58" i="14"/>
  <c r="BY58" i="14"/>
  <c r="BW58" i="14"/>
  <c r="BP58" i="14"/>
  <c r="CA58" i="14"/>
  <c r="BR58" i="14"/>
  <c r="CB58" i="14"/>
  <c r="BS58" i="14"/>
  <c r="BT58" i="14"/>
  <c r="BM58" i="14"/>
  <c r="AC58" i="14"/>
  <c r="BI58" i="14"/>
  <c r="AE58" i="14"/>
  <c r="P58" i="14"/>
  <c r="V58" i="14"/>
  <c r="R58" i="14"/>
  <c r="BJ58" i="14"/>
  <c r="S58" i="14"/>
  <c r="BD58" i="14"/>
  <c r="Y58" i="14"/>
  <c r="T58" i="14"/>
  <c r="Q58" i="14"/>
  <c r="AD58" i="14"/>
  <c r="BE58" i="14"/>
  <c r="AA58" i="14"/>
  <c r="BF58" i="14"/>
  <c r="AB58" i="14"/>
  <c r="J26" i="14"/>
  <c r="K26" i="14"/>
  <c r="I26" i="14"/>
  <c r="L26" i="14"/>
  <c r="E26" i="14"/>
  <c r="F26" i="14"/>
  <c r="H26" i="14"/>
  <c r="CG26" i="14"/>
  <c r="CD26" i="14"/>
  <c r="CI26" i="14"/>
  <c r="BZ26" i="14"/>
  <c r="BS26" i="14"/>
  <c r="CJ26" i="14"/>
  <c r="CA26" i="14"/>
  <c r="CL26" i="14"/>
  <c r="CC26" i="14"/>
  <c r="CM26" i="14"/>
  <c r="BX26" i="14"/>
  <c r="CB26" i="14"/>
  <c r="BQ26" i="14"/>
  <c r="BT26" i="14"/>
  <c r="BW26" i="14"/>
  <c r="CH26" i="14"/>
  <c r="BY26" i="14"/>
  <c r="G26" i="14"/>
  <c r="CK26" i="14"/>
  <c r="CN26" i="14"/>
  <c r="BP26" i="14"/>
  <c r="BM26" i="14"/>
  <c r="BR26" i="14"/>
  <c r="BN26" i="14"/>
  <c r="BO26" i="14"/>
  <c r="BC26" i="14"/>
  <c r="T26" i="14"/>
  <c r="BH26" i="14"/>
  <c r="AE26" i="14"/>
  <c r="AC26" i="14"/>
  <c r="BI26" i="14"/>
  <c r="Z26" i="14"/>
  <c r="BE26" i="14"/>
  <c r="BJ26" i="14"/>
  <c r="AF26" i="14"/>
  <c r="U26" i="14"/>
  <c r="AD26" i="14"/>
  <c r="V59" i="14"/>
  <c r="V18" i="14"/>
  <c r="O10" i="14"/>
  <c r="BD51" i="14"/>
  <c r="O56" i="14"/>
  <c r="H56" i="14"/>
  <c r="I56" i="14"/>
  <c r="CH56" i="14"/>
  <c r="F56" i="14"/>
  <c r="CI56" i="14"/>
  <c r="J56" i="14"/>
  <c r="CK56" i="14"/>
  <c r="CG56" i="14"/>
  <c r="CB56" i="14"/>
  <c r="G56" i="14"/>
  <c r="CM56" i="14"/>
  <c r="E56" i="14"/>
  <c r="CN56" i="14"/>
  <c r="K56" i="14"/>
  <c r="BZ56" i="14"/>
  <c r="L56" i="14"/>
  <c r="CA56" i="14"/>
  <c r="BY56" i="14"/>
  <c r="CD56" i="14"/>
  <c r="BO56" i="14"/>
  <c r="CJ56" i="14"/>
  <c r="BW56" i="14"/>
  <c r="BR56" i="14"/>
  <c r="CL56" i="14"/>
  <c r="BS56" i="14"/>
  <c r="BT56" i="14"/>
  <c r="BX56" i="14"/>
  <c r="AB56" i="14"/>
  <c r="BN56" i="14"/>
  <c r="BM56" i="14"/>
  <c r="R56" i="14"/>
  <c r="BP56" i="14"/>
  <c r="BQ56" i="14"/>
  <c r="CC56" i="14"/>
  <c r="BC56" i="14"/>
  <c r="BE56" i="14"/>
  <c r="BI56" i="14"/>
  <c r="Y56" i="14"/>
  <c r="V56" i="14"/>
  <c r="BF56" i="14"/>
  <c r="Z56" i="14"/>
  <c r="BG56" i="14"/>
  <c r="AC56" i="14"/>
  <c r="AA56" i="14"/>
  <c r="Y32" i="14"/>
  <c r="H32" i="14"/>
  <c r="CI32" i="14"/>
  <c r="I32" i="14"/>
  <c r="K32" i="14"/>
  <c r="F32" i="14"/>
  <c r="G32" i="14"/>
  <c r="CG32" i="14"/>
  <c r="L32" i="14"/>
  <c r="CJ32" i="14"/>
  <c r="CH32" i="14"/>
  <c r="E32" i="14"/>
  <c r="J32" i="14"/>
  <c r="CL32" i="14"/>
  <c r="CB32" i="14"/>
  <c r="CN32" i="14"/>
  <c r="CM32" i="14"/>
  <c r="CD32" i="14"/>
  <c r="BQ32" i="14"/>
  <c r="BX32" i="14"/>
  <c r="BZ32" i="14"/>
  <c r="CC32" i="14"/>
  <c r="BN32" i="14"/>
  <c r="CK32" i="14"/>
  <c r="BO32" i="14"/>
  <c r="BY32" i="14"/>
  <c r="BP32" i="14"/>
  <c r="CA32" i="14"/>
  <c r="BR32" i="14"/>
  <c r="BW32" i="14"/>
  <c r="BS32" i="14"/>
  <c r="BM32" i="14"/>
  <c r="AF32" i="14"/>
  <c r="BT32" i="14"/>
  <c r="Z32" i="14"/>
  <c r="Q32" i="14"/>
  <c r="AD32" i="14"/>
  <c r="BD32" i="14"/>
  <c r="BJ32" i="14"/>
  <c r="U32" i="14"/>
  <c r="BE32" i="14"/>
  <c r="V32" i="14"/>
  <c r="BF32" i="14"/>
  <c r="BI32" i="14"/>
  <c r="R27" i="14"/>
  <c r="CH62" i="14"/>
  <c r="CI62" i="14"/>
  <c r="CK62" i="14"/>
  <c r="CL62" i="14"/>
  <c r="CM62" i="14"/>
  <c r="BY62" i="14"/>
  <c r="CN62" i="14"/>
  <c r="BZ62" i="14"/>
  <c r="CJ62" i="14"/>
  <c r="BX62" i="14"/>
  <c r="CB62" i="14"/>
  <c r="BS62" i="14"/>
  <c r="CD62" i="14"/>
  <c r="CC62" i="14"/>
  <c r="BR62" i="14"/>
  <c r="BT62" i="14"/>
  <c r="CG62" i="14"/>
  <c r="BW62" i="14"/>
  <c r="BN62" i="14"/>
  <c r="BO62" i="14"/>
  <c r="BP62" i="14"/>
  <c r="BQ62" i="14"/>
  <c r="CA62" i="14"/>
  <c r="BM62" i="14"/>
  <c r="BF62" i="14"/>
  <c r="BC62" i="14"/>
  <c r="BI62" i="14"/>
  <c r="BD62" i="14"/>
  <c r="BE62" i="14"/>
  <c r="E38" i="14"/>
  <c r="F38" i="14"/>
  <c r="CI38" i="14"/>
  <c r="G38" i="14"/>
  <c r="CM38" i="14"/>
  <c r="CN38" i="14"/>
  <c r="H38" i="14"/>
  <c r="CG38" i="14"/>
  <c r="I38" i="14"/>
  <c r="CH38" i="14"/>
  <c r="BZ38" i="14"/>
  <c r="K38" i="14"/>
  <c r="CK38" i="14"/>
  <c r="L38" i="14"/>
  <c r="CL38" i="14"/>
  <c r="BX38" i="14"/>
  <c r="BY38" i="14"/>
  <c r="J38" i="14"/>
  <c r="CJ38" i="14"/>
  <c r="CB38" i="14"/>
  <c r="CD38" i="14"/>
  <c r="BS38" i="14"/>
  <c r="BW38" i="14"/>
  <c r="CA38" i="14"/>
  <c r="BP38" i="14"/>
  <c r="CC38" i="14"/>
  <c r="BQ38" i="14"/>
  <c r="BR38" i="14"/>
  <c r="BT38" i="14"/>
  <c r="BM38" i="14"/>
  <c r="BN38" i="14"/>
  <c r="BO38" i="14"/>
  <c r="U38" i="14"/>
  <c r="V38" i="14"/>
  <c r="F53" i="14"/>
  <c r="CH53" i="14"/>
  <c r="G53" i="14"/>
  <c r="CI53" i="14"/>
  <c r="I53" i="14"/>
  <c r="CK53" i="14"/>
  <c r="E53" i="14"/>
  <c r="BY53" i="14"/>
  <c r="J53" i="14"/>
  <c r="K53" i="14"/>
  <c r="CL53" i="14"/>
  <c r="CC53" i="14"/>
  <c r="CG53" i="14"/>
  <c r="CD53" i="14"/>
  <c r="H53" i="14"/>
  <c r="CM53" i="14"/>
  <c r="L53" i="14"/>
  <c r="CN53" i="14"/>
  <c r="CJ53" i="14"/>
  <c r="BR53" i="14"/>
  <c r="BZ53" i="14"/>
  <c r="BT53" i="14"/>
  <c r="BQ53" i="14"/>
  <c r="BS53" i="14"/>
  <c r="BX53" i="14"/>
  <c r="CA53" i="14"/>
  <c r="CB53" i="14"/>
  <c r="BN53" i="14"/>
  <c r="BM53" i="14"/>
  <c r="BO53" i="14"/>
  <c r="BP53" i="14"/>
  <c r="BW53" i="14"/>
  <c r="Y53" i="14"/>
  <c r="U53" i="14"/>
  <c r="R53" i="14"/>
  <c r="BD53" i="14"/>
  <c r="AB53" i="14"/>
  <c r="S53" i="14"/>
  <c r="BF53" i="14"/>
  <c r="AD53" i="14"/>
  <c r="T53" i="14"/>
  <c r="CI37" i="14"/>
  <c r="F37" i="14"/>
  <c r="H37" i="14"/>
  <c r="J37" i="14"/>
  <c r="CL37" i="14"/>
  <c r="K37" i="14"/>
  <c r="CM37" i="14"/>
  <c r="E37" i="14"/>
  <c r="I37" i="14"/>
  <c r="CK37" i="14"/>
  <c r="BY37" i="14"/>
  <c r="CG37" i="14"/>
  <c r="CH37" i="14"/>
  <c r="G37" i="14"/>
  <c r="CJ37" i="14"/>
  <c r="BZ37" i="14"/>
  <c r="BX37" i="14"/>
  <c r="BR37" i="14"/>
  <c r="CB37" i="14"/>
  <c r="BT37" i="14"/>
  <c r="L37" i="14"/>
  <c r="CN37" i="14"/>
  <c r="BN37" i="14"/>
  <c r="BO37" i="14"/>
  <c r="BP37" i="14"/>
  <c r="BQ37" i="14"/>
  <c r="CA37" i="14"/>
  <c r="BS37" i="14"/>
  <c r="CC37" i="14"/>
  <c r="BW37" i="14"/>
  <c r="CD37" i="14"/>
  <c r="BM37" i="14"/>
  <c r="AD37" i="14"/>
  <c r="T37" i="14"/>
  <c r="U37" i="14"/>
  <c r="BE37" i="14"/>
  <c r="BI37" i="14"/>
  <c r="S37" i="14"/>
  <c r="BG37" i="14"/>
  <c r="AE37" i="14"/>
  <c r="BJ37" i="14"/>
  <c r="F21" i="14"/>
  <c r="H21" i="14"/>
  <c r="G21" i="14"/>
  <c r="E21" i="14"/>
  <c r="I21" i="14"/>
  <c r="K21" i="14"/>
  <c r="CG21" i="14"/>
  <c r="BY21" i="14"/>
  <c r="J21" i="14"/>
  <c r="L21" i="14"/>
  <c r="CJ21" i="14"/>
  <c r="BX21" i="14"/>
  <c r="BN21" i="14"/>
  <c r="CH21" i="14"/>
  <c r="BZ21" i="14"/>
  <c r="CK21" i="14"/>
  <c r="CB21" i="14"/>
  <c r="CD21" i="14"/>
  <c r="BP21" i="14"/>
  <c r="CL21" i="14"/>
  <c r="BR21" i="14"/>
  <c r="CM21" i="14"/>
  <c r="CC21" i="14"/>
  <c r="BS21" i="14"/>
  <c r="CN21" i="14"/>
  <c r="BT21" i="14"/>
  <c r="T21" i="14"/>
  <c r="CA21" i="14"/>
  <c r="BM21" i="14"/>
  <c r="BO21" i="14"/>
  <c r="CI21" i="14"/>
  <c r="BQ21" i="14"/>
  <c r="P21" i="14"/>
  <c r="S21" i="14"/>
  <c r="BW21" i="14"/>
  <c r="Q21" i="14"/>
  <c r="BD21" i="14"/>
  <c r="AA21" i="14"/>
  <c r="BE21" i="14"/>
  <c r="F13" i="14"/>
  <c r="H13" i="14"/>
  <c r="K13" i="14"/>
  <c r="L13" i="14"/>
  <c r="CG13" i="14"/>
  <c r="BY13" i="14"/>
  <c r="G13" i="14"/>
  <c r="CJ13" i="14"/>
  <c r="I13" i="14"/>
  <c r="BZ13" i="14"/>
  <c r="BN13" i="14"/>
  <c r="J13" i="14"/>
  <c r="CH13" i="14"/>
  <c r="CA13" i="14"/>
  <c r="CK13" i="14"/>
  <c r="CC13" i="14"/>
  <c r="CN13" i="14"/>
  <c r="CB13" i="14"/>
  <c r="BQ13" i="14"/>
  <c r="BS13" i="14"/>
  <c r="CI13" i="14"/>
  <c r="BO13" i="14"/>
  <c r="BM13" i="14"/>
  <c r="BW13" i="14"/>
  <c r="BP13" i="14"/>
  <c r="BR13" i="14"/>
  <c r="BT13" i="14"/>
  <c r="CL13" i="14"/>
  <c r="CM13" i="14"/>
  <c r="P13" i="14"/>
  <c r="BX13" i="14"/>
  <c r="T13" i="14"/>
  <c r="CD13" i="14"/>
  <c r="U13" i="14"/>
  <c r="R13" i="14"/>
  <c r="BD13" i="14"/>
  <c r="BJ13" i="14"/>
  <c r="S13" i="14"/>
  <c r="Q13" i="14"/>
  <c r="BF13" i="14"/>
  <c r="AC13" i="14"/>
  <c r="BD5" i="14"/>
  <c r="O43" i="14"/>
  <c r="BF43" i="14"/>
  <c r="Q11" i="14"/>
  <c r="V30" i="14"/>
  <c r="F60" i="14"/>
  <c r="J60" i="14"/>
  <c r="CH60" i="14"/>
  <c r="E60" i="14"/>
  <c r="K60" i="14"/>
  <c r="CI60" i="14"/>
  <c r="H60" i="14"/>
  <c r="CL60" i="14"/>
  <c r="L60" i="14"/>
  <c r="I60" i="14"/>
  <c r="CM60" i="14"/>
  <c r="CN60" i="14"/>
  <c r="BX60" i="14"/>
  <c r="CG60" i="14"/>
  <c r="CB60" i="14"/>
  <c r="CD60" i="14"/>
  <c r="BQ60" i="14"/>
  <c r="CJ60" i="14"/>
  <c r="BS60" i="14"/>
  <c r="CK60" i="14"/>
  <c r="BZ60" i="14"/>
  <c r="CA60" i="14"/>
  <c r="CC60" i="14"/>
  <c r="BN60" i="14"/>
  <c r="G60" i="14"/>
  <c r="BW60" i="14"/>
  <c r="BO60" i="14"/>
  <c r="U60" i="14"/>
  <c r="BY60" i="14"/>
  <c r="BT60" i="14"/>
  <c r="BP60" i="14"/>
  <c r="BR60" i="14"/>
  <c r="BM60" i="14"/>
  <c r="Q60" i="14"/>
  <c r="L52" i="14"/>
  <c r="K52" i="14"/>
  <c r="CH52" i="14"/>
  <c r="CI52" i="14"/>
  <c r="F52" i="14"/>
  <c r="CK52" i="14"/>
  <c r="H52" i="14"/>
  <c r="J52" i="14"/>
  <c r="CN52" i="14"/>
  <c r="BX52" i="14"/>
  <c r="CL52" i="14"/>
  <c r="CM52" i="14"/>
  <c r="CA52" i="14"/>
  <c r="G52" i="14"/>
  <c r="CB52" i="14"/>
  <c r="CG52" i="14"/>
  <c r="BZ52" i="14"/>
  <c r="BW52" i="14"/>
  <c r="CJ52" i="14"/>
  <c r="E52" i="14"/>
  <c r="CD52" i="14"/>
  <c r="BQ52" i="14"/>
  <c r="BS52" i="14"/>
  <c r="BY52" i="14"/>
  <c r="BN52" i="14"/>
  <c r="I52" i="14"/>
  <c r="CC52" i="14"/>
  <c r="BO52" i="14"/>
  <c r="BP52" i="14"/>
  <c r="BR52" i="14"/>
  <c r="BT52" i="14"/>
  <c r="BM52" i="14"/>
  <c r="R52" i="14"/>
  <c r="V52" i="14"/>
  <c r="L44" i="14"/>
  <c r="CH44" i="14"/>
  <c r="F44" i="14"/>
  <c r="CI44" i="14"/>
  <c r="H44" i="14"/>
  <c r="CK44" i="14"/>
  <c r="K44" i="14"/>
  <c r="CL44" i="14"/>
  <c r="CN44" i="14"/>
  <c r="BX44" i="14"/>
  <c r="G44" i="14"/>
  <c r="CG44" i="14"/>
  <c r="CB44" i="14"/>
  <c r="CJ44" i="14"/>
  <c r="CC44" i="14"/>
  <c r="I44" i="14"/>
  <c r="E44" i="14"/>
  <c r="J44" i="14"/>
  <c r="CM44" i="14"/>
  <c r="BY44" i="14"/>
  <c r="BQ44" i="14"/>
  <c r="CA44" i="14"/>
  <c r="BS44" i="14"/>
  <c r="BP44" i="14"/>
  <c r="BZ44" i="14"/>
  <c r="BR44" i="14"/>
  <c r="CD44" i="14"/>
  <c r="BW44" i="14"/>
  <c r="BT44" i="14"/>
  <c r="O44" i="14"/>
  <c r="BN44" i="14"/>
  <c r="BO44" i="14"/>
  <c r="BM44" i="14"/>
  <c r="T44" i="14"/>
  <c r="Y44" i="14"/>
  <c r="L36" i="14"/>
  <c r="CI36" i="14"/>
  <c r="G36" i="14"/>
  <c r="CK36" i="14"/>
  <c r="F36" i="14"/>
  <c r="CL36" i="14"/>
  <c r="I36" i="14"/>
  <c r="CN36" i="14"/>
  <c r="CH36" i="14"/>
  <c r="BX36" i="14"/>
  <c r="H36" i="14"/>
  <c r="CM36" i="14"/>
  <c r="J36" i="14"/>
  <c r="CJ36" i="14"/>
  <c r="K36" i="14"/>
  <c r="CC36" i="14"/>
  <c r="CD36" i="14"/>
  <c r="E36" i="14"/>
  <c r="CA36" i="14"/>
  <c r="CG36" i="14"/>
  <c r="BW36" i="14"/>
  <c r="BQ36" i="14"/>
  <c r="BS36" i="14"/>
  <c r="BT36" i="14"/>
  <c r="BY36" i="14"/>
  <c r="BZ36" i="14"/>
  <c r="CB36" i="14"/>
  <c r="BR36" i="14"/>
  <c r="Y36" i="14"/>
  <c r="S36" i="14"/>
  <c r="BP36" i="14"/>
  <c r="BN36" i="14"/>
  <c r="BO36" i="14"/>
  <c r="BM36" i="14"/>
  <c r="T36" i="14"/>
  <c r="L28" i="14"/>
  <c r="G28" i="14"/>
  <c r="I28" i="14"/>
  <c r="J28" i="14"/>
  <c r="E28" i="14"/>
  <c r="K28" i="14"/>
  <c r="CG28" i="14"/>
  <c r="BX28" i="14"/>
  <c r="CK28" i="14"/>
  <c r="CD28" i="14"/>
  <c r="CL28" i="14"/>
  <c r="CN28" i="14"/>
  <c r="BY28" i="14"/>
  <c r="F28" i="14"/>
  <c r="H28" i="14"/>
  <c r="CJ28" i="14"/>
  <c r="BZ28" i="14"/>
  <c r="CB28" i="14"/>
  <c r="BO28" i="14"/>
  <c r="CH28" i="14"/>
  <c r="CA28" i="14"/>
  <c r="BR28" i="14"/>
  <c r="CI28" i="14"/>
  <c r="CC28" i="14"/>
  <c r="BW28" i="14"/>
  <c r="BS28" i="14"/>
  <c r="CM28" i="14"/>
  <c r="BT28" i="14"/>
  <c r="Y28" i="14"/>
  <c r="R28" i="14"/>
  <c r="BN28" i="14"/>
  <c r="S28" i="14"/>
  <c r="BP28" i="14"/>
  <c r="BQ28" i="14"/>
  <c r="BM28" i="14"/>
  <c r="U28" i="14"/>
  <c r="Q28" i="14"/>
  <c r="L20" i="14"/>
  <c r="G20" i="14"/>
  <c r="E20" i="14"/>
  <c r="F20" i="14"/>
  <c r="H20" i="14"/>
  <c r="J20" i="14"/>
  <c r="CG20" i="14"/>
  <c r="BX20" i="14"/>
  <c r="CJ20" i="14"/>
  <c r="CN20" i="14"/>
  <c r="K20" i="14"/>
  <c r="CH20" i="14"/>
  <c r="BZ20" i="14"/>
  <c r="CK20" i="14"/>
  <c r="CM20" i="14"/>
  <c r="CA20" i="14"/>
  <c r="BN20" i="14"/>
  <c r="I20" i="14"/>
  <c r="CC20" i="14"/>
  <c r="BW20" i="14"/>
  <c r="BP20" i="14"/>
  <c r="BO20" i="14"/>
  <c r="BQ20" i="14"/>
  <c r="BR20" i="14"/>
  <c r="BS20" i="14"/>
  <c r="CI20" i="14"/>
  <c r="BT20" i="14"/>
  <c r="CL20" i="14"/>
  <c r="CD20" i="14"/>
  <c r="BY20" i="14"/>
  <c r="Q20" i="14"/>
  <c r="CB20" i="14"/>
  <c r="BM20" i="14"/>
  <c r="R20" i="14"/>
  <c r="V20" i="14"/>
  <c r="U20" i="14"/>
  <c r="L12" i="14"/>
  <c r="G12" i="14"/>
  <c r="F12" i="14"/>
  <c r="H12" i="14"/>
  <c r="E12" i="14"/>
  <c r="J12" i="14"/>
  <c r="CG12" i="14"/>
  <c r="BX12" i="14"/>
  <c r="K12" i="14"/>
  <c r="CJ12" i="14"/>
  <c r="I12" i="14"/>
  <c r="CN12" i="14"/>
  <c r="BY12" i="14"/>
  <c r="CH12" i="14"/>
  <c r="CA12" i="14"/>
  <c r="CI12" i="14"/>
  <c r="CK12" i="14"/>
  <c r="BO12" i="14"/>
  <c r="CM12" i="14"/>
  <c r="CB12" i="14"/>
  <c r="BQ12" i="14"/>
  <c r="BT12" i="14"/>
  <c r="BZ12" i="14"/>
  <c r="BW12" i="14"/>
  <c r="CC12" i="14"/>
  <c r="CD12" i="14"/>
  <c r="CL12" i="14"/>
  <c r="BI12" i="14"/>
  <c r="Q12" i="14"/>
  <c r="BM12" i="14"/>
  <c r="BS12" i="14"/>
  <c r="R12" i="14"/>
  <c r="BR12" i="14"/>
  <c r="BN12" i="14"/>
  <c r="BP12" i="14"/>
  <c r="U12" i="14"/>
  <c r="V12" i="14"/>
  <c r="P12" i="14"/>
  <c r="V54" i="14"/>
  <c r="P15" i="14"/>
  <c r="V43" i="14"/>
  <c r="P43" i="14"/>
  <c r="BE43" i="14"/>
  <c r="Y39" i="14"/>
  <c r="O32" i="14"/>
  <c r="R55" i="14"/>
  <c r="T12" i="14"/>
  <c r="V22" i="14"/>
  <c r="S12" i="14"/>
  <c r="BJ12" i="14"/>
  <c r="AA20" i="14"/>
  <c r="BJ20" i="14"/>
  <c r="BG20" i="14"/>
  <c r="AF28" i="14"/>
  <c r="R36" i="14"/>
  <c r="P36" i="14"/>
  <c r="BF36" i="14"/>
  <c r="V44" i="14"/>
  <c r="AE44" i="14"/>
  <c r="S52" i="14"/>
  <c r="BF52" i="14"/>
  <c r="Y60" i="14"/>
  <c r="BH60" i="14"/>
  <c r="Z14" i="14"/>
  <c r="BJ14" i="14"/>
  <c r="T38" i="14"/>
  <c r="P38" i="14"/>
  <c r="BG38" i="14"/>
  <c r="O46" i="14"/>
  <c r="AA46" i="14"/>
  <c r="BD46" i="14"/>
  <c r="AD23" i="14"/>
  <c r="AB23" i="14"/>
  <c r="BF23" i="14"/>
  <c r="T39" i="14"/>
  <c r="AD39" i="14"/>
  <c r="BI39" i="14"/>
  <c r="BE39" i="14"/>
  <c r="BG63" i="14"/>
  <c r="Z19" i="14"/>
  <c r="AC19" i="14"/>
  <c r="R15" i="14"/>
  <c r="T5" i="14"/>
  <c r="Z5" i="14"/>
  <c r="BH5" i="14"/>
  <c r="AD13" i="14"/>
  <c r="AB13" i="14"/>
  <c r="AF21" i="14"/>
  <c r="AB21" i="14"/>
  <c r="BE29" i="14"/>
  <c r="Y37" i="14"/>
  <c r="O45" i="14"/>
  <c r="BE45" i="14"/>
  <c r="AF53" i="14"/>
  <c r="S61" i="14"/>
  <c r="AE61" i="14"/>
  <c r="BG61" i="14"/>
  <c r="Z30" i="14"/>
  <c r="BC30" i="14"/>
  <c r="AC31" i="14"/>
  <c r="O11" i="14"/>
  <c r="AF48" i="14"/>
  <c r="V55" i="14"/>
  <c r="S25" i="14"/>
  <c r="BE7" i="14"/>
  <c r="AE47" i="14"/>
  <c r="S59" i="14"/>
  <c r="BC15" i="14"/>
  <c r="BI55" i="14"/>
  <c r="BG27" i="14"/>
  <c r="V60" i="14"/>
  <c r="R30" i="14"/>
  <c r="AC8" i="14"/>
  <c r="O16" i="14"/>
  <c r="BF16" i="14"/>
  <c r="AC32" i="14"/>
  <c r="BH32" i="14"/>
  <c r="BE40" i="14"/>
  <c r="Q56" i="14"/>
  <c r="S43" i="14"/>
  <c r="BG26" i="14"/>
  <c r="AE34" i="14"/>
  <c r="AF58" i="14"/>
  <c r="R43" i="14"/>
  <c r="T9" i="14"/>
  <c r="BE9" i="14"/>
  <c r="BG17" i="14"/>
  <c r="AB33" i="14"/>
  <c r="Y41" i="14"/>
  <c r="BI49" i="14"/>
  <c r="AA57" i="14"/>
  <c r="BJ18" i="14"/>
  <c r="Z42" i="14"/>
  <c r="BJ10" i="14"/>
  <c r="AE50" i="14"/>
  <c r="AD20" i="14"/>
  <c r="Z64" i="8"/>
  <c r="Z39" i="8"/>
  <c r="Z42" i="8"/>
  <c r="Z41" i="8"/>
  <c r="Z61" i="8"/>
  <c r="Z43" i="8"/>
  <c r="BD4" i="14"/>
  <c r="BE4" i="14"/>
  <c r="BF4" i="14"/>
  <c r="BH4" i="14"/>
  <c r="BI4" i="14"/>
  <c r="BG4" i="14"/>
  <c r="AA4" i="14"/>
  <c r="P4" i="14"/>
  <c r="Z4" i="14"/>
  <c r="AB4" i="14"/>
  <c r="BJ4" i="14"/>
  <c r="AD4" i="14"/>
  <c r="BC4" i="14"/>
  <c r="AE4" i="14"/>
  <c r="O4" i="14"/>
  <c r="Q4" i="14"/>
  <c r="R4" i="14"/>
  <c r="AC4" i="14"/>
  <c r="S4" i="14"/>
  <c r="AF4" i="14"/>
  <c r="T4" i="14"/>
  <c r="V4" i="14"/>
  <c r="Y4" i="14"/>
  <c r="U4" i="14"/>
  <c r="A4" i="9"/>
  <c r="A5" i="14"/>
  <c r="P5" i="9"/>
  <c r="Y4" i="9"/>
  <c r="BV66" i="14"/>
  <c r="BV78" i="14"/>
  <c r="BV65" i="14"/>
  <c r="BV69" i="14"/>
  <c r="BV71" i="14"/>
  <c r="BL25" i="14"/>
  <c r="A4" i="6"/>
  <c r="A5" i="6" s="1"/>
  <c r="A6" i="6" s="1"/>
  <c r="A7" i="6" s="1"/>
  <c r="A8" i="6" s="1"/>
  <c r="A9" i="6" s="1"/>
  <c r="A10" i="6" s="1"/>
  <c r="A11" i="6" s="1"/>
  <c r="A12" i="6" s="1"/>
  <c r="A13" i="6" s="1"/>
  <c r="A14" i="6" s="1"/>
  <c r="A15" i="6" s="1"/>
  <c r="A16" i="6" s="1"/>
  <c r="A17" i="6" s="1"/>
  <c r="A18" i="6" s="1"/>
  <c r="A19" i="6" s="1"/>
  <c r="A20" i="6" s="1"/>
  <c r="A21" i="6" s="1"/>
  <c r="A22" i="6" s="1"/>
  <c r="A23" i="6" s="1"/>
  <c r="A24" i="6" s="1"/>
  <c r="A25" i="6" s="1"/>
  <c r="A26" i="6" s="1"/>
  <c r="A27" i="6" s="1"/>
  <c r="A28" i="6" s="1"/>
  <c r="A29" i="6" s="1"/>
  <c r="A30" i="6" s="1"/>
  <c r="A31" i="6" s="1"/>
  <c r="A32" i="6" s="1"/>
  <c r="A33" i="6" s="1"/>
  <c r="A34" i="6" s="1"/>
  <c r="A35" i="6" s="1"/>
  <c r="A36" i="6" s="1"/>
  <c r="A37" i="6" s="1"/>
  <c r="BL57" i="14"/>
  <c r="BB61" i="14"/>
  <c r="BL61" i="14"/>
  <c r="Y17" i="9"/>
  <c r="BB25" i="14"/>
  <c r="Y30" i="9"/>
  <c r="CF35" i="14"/>
  <c r="CF32" i="14"/>
  <c r="BB62" i="14"/>
  <c r="CF22" i="14"/>
  <c r="BB51" i="14"/>
  <c r="BL28" i="14"/>
  <c r="N28" i="14"/>
  <c r="X8" i="9"/>
  <c r="E10" i="14" s="1"/>
  <c r="BB8" i="14"/>
  <c r="CF8" i="14"/>
  <c r="Y19" i="9"/>
  <c r="BL8" i="14"/>
  <c r="BB57" i="14"/>
  <c r="CF57" i="14"/>
  <c r="BB53" i="14"/>
  <c r="CF29" i="14"/>
  <c r="Y25" i="9"/>
  <c r="Y14" i="9"/>
  <c r="BB34" i="14"/>
  <c r="BL14" i="14"/>
  <c r="X11" i="9"/>
  <c r="E13" i="14" s="1"/>
  <c r="BB14" i="14"/>
  <c r="CF61" i="14"/>
  <c r="BB27" i="14"/>
  <c r="CF50" i="14"/>
  <c r="AH26" i="9"/>
  <c r="BB50" i="14"/>
  <c r="BL50" i="14"/>
  <c r="BL62" i="14"/>
  <c r="AH32" i="9"/>
  <c r="BV64" i="14"/>
  <c r="AH31" i="9"/>
  <c r="CF25" i="14"/>
  <c r="CF48" i="14"/>
  <c r="AH5" i="9"/>
  <c r="AH10" i="9"/>
  <c r="AH2" i="9"/>
  <c r="BB20" i="14"/>
  <c r="BL35" i="14"/>
  <c r="CF20" i="14"/>
  <c r="X7" i="9"/>
  <c r="E9" i="14" s="1"/>
  <c r="Y16" i="9"/>
  <c r="BL12" i="14"/>
  <c r="BB28" i="14"/>
  <c r="BL59" i="14"/>
  <c r="X5" i="9"/>
  <c r="G7" i="14" s="1"/>
  <c r="BB44" i="14"/>
  <c r="BL51" i="14"/>
  <c r="BL44" i="14"/>
  <c r="CF59" i="14"/>
  <c r="BB13" i="14"/>
  <c r="CF36" i="14"/>
  <c r="CF13" i="14"/>
  <c r="BL36" i="14"/>
  <c r="CF60" i="14"/>
  <c r="BB60" i="14"/>
  <c r="BL60" i="14"/>
  <c r="BL13" i="14"/>
  <c r="CF21" i="14"/>
  <c r="BB29" i="14"/>
  <c r="BL34" i="14"/>
  <c r="CF51" i="14"/>
  <c r="CF34" i="14"/>
  <c r="BB48" i="14"/>
  <c r="BL48" i="14"/>
  <c r="BL29" i="14"/>
  <c r="CF14" i="14"/>
  <c r="BB41" i="14"/>
  <c r="BL43" i="14"/>
  <c r="BL27" i="14"/>
  <c r="CF62" i="14"/>
  <c r="CF45" i="14"/>
  <c r="CF12" i="14"/>
  <c r="BB40" i="14"/>
  <c r="BB22" i="14"/>
  <c r="BL41" i="14"/>
  <c r="CF44" i="14"/>
  <c r="CF27" i="14"/>
  <c r="BB36" i="14"/>
  <c r="BB21" i="14"/>
  <c r="BL40" i="14"/>
  <c r="BL22" i="14"/>
  <c r="CF41" i="14"/>
  <c r="N52" i="14"/>
  <c r="BB35" i="14"/>
  <c r="BL21" i="14"/>
  <c r="N58" i="14"/>
  <c r="Y15" i="9"/>
  <c r="Y24" i="9"/>
  <c r="BB59" i="14"/>
  <c r="BB12" i="14"/>
  <c r="BL58" i="14"/>
  <c r="BL45" i="14"/>
  <c r="BL11" i="14"/>
  <c r="CF30" i="14"/>
  <c r="CF19" i="14"/>
  <c r="BB58" i="14"/>
  <c r="BB45" i="14"/>
  <c r="BB32" i="14"/>
  <c r="BB11" i="14"/>
  <c r="BL32" i="14"/>
  <c r="BL19" i="14"/>
  <c r="CF54" i="14"/>
  <c r="CF18" i="14"/>
  <c r="CF6" i="14"/>
  <c r="BB30" i="14"/>
  <c r="BB19" i="14"/>
  <c r="BL54" i="14"/>
  <c r="BL30" i="14"/>
  <c r="BL18" i="14"/>
  <c r="BL6" i="14"/>
  <c r="CF53" i="14"/>
  <c r="CF40" i="14"/>
  <c r="CF17" i="14"/>
  <c r="CF11" i="14"/>
  <c r="BB54" i="14"/>
  <c r="BB18" i="14"/>
  <c r="BB6" i="14"/>
  <c r="BL53" i="14"/>
  <c r="BL17" i="14"/>
  <c r="CF52" i="14"/>
  <c r="CF38" i="14"/>
  <c r="CF16" i="14"/>
  <c r="Y18" i="9"/>
  <c r="BB17" i="14"/>
  <c r="BL52" i="14"/>
  <c r="BL16" i="14"/>
  <c r="BB38" i="14"/>
  <c r="BB16" i="14"/>
  <c r="BL38" i="14"/>
  <c r="N46" i="14"/>
  <c r="BB56" i="14"/>
  <c r="BB46" i="14"/>
  <c r="BB37" i="14"/>
  <c r="BB10" i="14"/>
  <c r="BL42" i="14"/>
  <c r="BL33" i="14"/>
  <c r="BL24" i="14"/>
  <c r="BL5" i="14"/>
  <c r="CF56" i="14"/>
  <c r="CF46" i="14"/>
  <c r="CF37" i="14"/>
  <c r="CF10" i="14"/>
  <c r="N42" i="14"/>
  <c r="BB4" i="14"/>
  <c r="BB9" i="14"/>
  <c r="CF4" i="14"/>
  <c r="CF9" i="14"/>
  <c r="BB26" i="14"/>
  <c r="BL49" i="14"/>
  <c r="CF26" i="14"/>
  <c r="BB43" i="14"/>
  <c r="BL20" i="14"/>
  <c r="CF43" i="14"/>
  <c r="BB42" i="14"/>
  <c r="BB33" i="14"/>
  <c r="BB24" i="14"/>
  <c r="BB5" i="14"/>
  <c r="BL56" i="14"/>
  <c r="BL37" i="14"/>
  <c r="BL10" i="14"/>
  <c r="CF33" i="14"/>
  <c r="CF24" i="14"/>
  <c r="CF5" i="14"/>
  <c r="BL4" i="14"/>
  <c r="BL9" i="14"/>
  <c r="BB49" i="14"/>
  <c r="BL26" i="14"/>
  <c r="CF49" i="14"/>
  <c r="BV49" i="14"/>
  <c r="X49" i="14"/>
  <c r="BV43" i="14"/>
  <c r="X43" i="14"/>
  <c r="BV37" i="14"/>
  <c r="X37" i="14"/>
  <c r="BV9" i="14"/>
  <c r="X9" i="14"/>
  <c r="BV48" i="14"/>
  <c r="X48" i="14"/>
  <c r="BV25" i="14"/>
  <c r="X25" i="14"/>
  <c r="BV19" i="14"/>
  <c r="X19" i="14"/>
  <c r="BV41" i="14"/>
  <c r="X41" i="14"/>
  <c r="BV35" i="14"/>
  <c r="X35" i="14"/>
  <c r="BV29" i="14"/>
  <c r="X29" i="14"/>
  <c r="BV61" i="14"/>
  <c r="X61" i="14"/>
  <c r="BV13" i="14"/>
  <c r="X13" i="14"/>
  <c r="BV40" i="14"/>
  <c r="X40" i="14"/>
  <c r="BV17" i="14"/>
  <c r="X17" i="14"/>
  <c r="BV32" i="14"/>
  <c r="X32" i="14"/>
  <c r="BV53" i="14"/>
  <c r="X53" i="14"/>
  <c r="BV57" i="14"/>
  <c r="X57" i="14"/>
  <c r="BV51" i="14"/>
  <c r="X51" i="14"/>
  <c r="BV45" i="14"/>
  <c r="X45" i="14"/>
  <c r="BV11" i="14"/>
  <c r="X11" i="14"/>
  <c r="BV59" i="14"/>
  <c r="X59" i="14"/>
  <c r="BV24" i="14"/>
  <c r="X24" i="14"/>
  <c r="BV56" i="14"/>
  <c r="X56" i="14"/>
  <c r="BV33" i="14"/>
  <c r="X33" i="14"/>
  <c r="BV27" i="14"/>
  <c r="X27" i="14"/>
  <c r="BV21" i="14"/>
  <c r="X21" i="14"/>
  <c r="BV5" i="14"/>
  <c r="X5" i="14"/>
  <c r="X16" i="14"/>
  <c r="X8" i="14"/>
  <c r="BV4" i="14"/>
  <c r="BV12" i="14"/>
  <c r="BV20" i="14"/>
  <c r="BV36" i="14"/>
  <c r="BV44" i="14"/>
  <c r="BV60" i="14"/>
  <c r="BB63" i="14"/>
  <c r="BB55" i="14"/>
  <c r="BB47" i="14"/>
  <c r="BB39" i="14"/>
  <c r="BB31" i="14"/>
  <c r="BB23" i="14"/>
  <c r="BB15" i="14"/>
  <c r="BB7" i="14"/>
  <c r="CF63" i="14"/>
  <c r="CF55" i="14"/>
  <c r="CF47" i="14"/>
  <c r="CF39" i="14"/>
  <c r="CF31" i="14"/>
  <c r="CF23" i="14"/>
  <c r="CF15" i="14"/>
  <c r="CF7" i="14"/>
  <c r="X50" i="14"/>
  <c r="X34" i="14"/>
  <c r="X26" i="14"/>
  <c r="X18" i="14"/>
  <c r="X10" i="14"/>
  <c r="BV6" i="14"/>
  <c r="BV14" i="14"/>
  <c r="BV22" i="14"/>
  <c r="BV30" i="14"/>
  <c r="BV38" i="14"/>
  <c r="BV54" i="14"/>
  <c r="BV62" i="14"/>
  <c r="N55" i="14"/>
  <c r="N47" i="14"/>
  <c r="N39" i="14"/>
  <c r="N31" i="14"/>
  <c r="N23" i="14"/>
  <c r="N15" i="14"/>
  <c r="N7" i="14"/>
  <c r="N119" i="11" l="1" a="1"/>
  <c r="N119" i="11" s="1"/>
  <c r="N115" i="11" a="1"/>
  <c r="N115" i="11" s="1"/>
  <c r="N55" i="11" a="1"/>
  <c r="N55" i="11" s="1"/>
  <c r="N33" i="11" a="1"/>
  <c r="N33" i="11" s="1"/>
  <c r="U32" i="11" a="1"/>
  <c r="U32" i="11" s="1"/>
  <c r="N32" i="11" a="1"/>
  <c r="N32" i="11" s="1"/>
  <c r="N61" i="11" a="1"/>
  <c r="N61" i="11" s="1"/>
  <c r="U59" i="11" a="1"/>
  <c r="U59" i="11" s="1"/>
  <c r="N59" i="11" a="1"/>
  <c r="N59" i="11" s="1"/>
  <c r="N117" i="11" a="1"/>
  <c r="N117" i="11" s="1"/>
  <c r="N15" i="11" a="1"/>
  <c r="N15" i="11" s="1"/>
  <c r="U82" i="11" a="1"/>
  <c r="U82" i="11" s="1"/>
  <c r="N82" i="11" a="1"/>
  <c r="N82" i="11" s="1"/>
  <c r="N134" i="11" a="1"/>
  <c r="N134" i="11" s="1"/>
  <c r="U12" i="11" a="1"/>
  <c r="U12" i="11" s="1"/>
  <c r="AB12" i="11" s="1"/>
  <c r="N12" i="11" a="1"/>
  <c r="N12" i="11" s="1"/>
  <c r="N58" i="11" a="1"/>
  <c r="N58" i="11" s="1"/>
  <c r="N57" i="11" a="1"/>
  <c r="N57" i="11" s="1"/>
  <c r="U57" i="11" a="1"/>
  <c r="U57" i="11" s="1"/>
  <c r="AB57" i="11" s="1"/>
  <c r="N114" i="11" a="1"/>
  <c r="N114" i="11" s="1"/>
  <c r="U114" i="11" a="1"/>
  <c r="U114" i="11" s="1"/>
  <c r="U135" i="11" a="1"/>
  <c r="U135" i="11" s="1"/>
  <c r="N135" i="11" a="1"/>
  <c r="N135" i="11" s="1"/>
  <c r="U10" i="11" a="1"/>
  <c r="U10" i="11" s="1"/>
  <c r="N10" i="11" a="1"/>
  <c r="N10" i="11" s="1"/>
  <c r="N85" i="11" a="1"/>
  <c r="N85" i="11" s="1"/>
  <c r="U85" i="11" a="1"/>
  <c r="U85" i="11" s="1"/>
  <c r="U13" i="11" a="1"/>
  <c r="U13" i="11" s="1"/>
  <c r="N13" i="11" a="1"/>
  <c r="N13" i="11" s="1"/>
  <c r="N17" i="11" a="1"/>
  <c r="N17" i="11" s="1"/>
  <c r="N34" i="11" a="1"/>
  <c r="N34" i="11" s="1"/>
  <c r="U34" i="11" a="1"/>
  <c r="U34" i="11" s="1"/>
  <c r="U14" i="11" a="1"/>
  <c r="U14" i="11" s="1"/>
  <c r="N14" i="11" a="1"/>
  <c r="N14" i="11" s="1"/>
  <c r="N11" i="11" a="1"/>
  <c r="N11" i="11" s="1"/>
  <c r="U11" i="11" a="1"/>
  <c r="U11" i="11" s="1"/>
  <c r="U36" i="11" a="1"/>
  <c r="U36" i="11" s="1"/>
  <c r="N36" i="11" a="1"/>
  <c r="N36" i="11" s="1"/>
  <c r="N113" i="11" a="1"/>
  <c r="N113" i="11" s="1"/>
  <c r="U113" i="11" a="1"/>
  <c r="U113" i="11" s="1"/>
  <c r="N56" i="11" a="1"/>
  <c r="N56" i="11" s="1"/>
  <c r="U56" i="11" a="1"/>
  <c r="U56" i="11" s="1"/>
  <c r="AB56" i="11" s="1"/>
  <c r="N39" i="11" a="1"/>
  <c r="N39" i="11" s="1"/>
  <c r="N60" i="11" a="1"/>
  <c r="N60" i="11" s="1"/>
  <c r="N116" i="11" a="1"/>
  <c r="N116" i="11" s="1"/>
  <c r="N86" i="11" a="1"/>
  <c r="N86" i="11" s="1"/>
  <c r="U86" i="11" a="1"/>
  <c r="U86" i="11" s="1"/>
  <c r="AB86" i="11" s="1"/>
  <c r="N35" i="11" a="1"/>
  <c r="N35" i="11" s="1"/>
  <c r="U35" i="11" a="1"/>
  <c r="U35" i="11" s="1"/>
  <c r="AB35" i="11" s="1"/>
  <c r="N38" i="11" a="1"/>
  <c r="N38" i="11" s="1"/>
  <c r="N54" i="11" a="1"/>
  <c r="N54" i="11" s="1"/>
  <c r="N37" i="11" a="1"/>
  <c r="N37" i="11" s="1"/>
  <c r="N112" i="11" a="1"/>
  <c r="N112" i="11" s="1"/>
  <c r="N118" i="11" a="1"/>
  <c r="N118" i="11" s="1"/>
  <c r="N16" i="11" a="1"/>
  <c r="N16" i="11" s="1"/>
  <c r="N84" i="11" a="1"/>
  <c r="N84" i="11" s="1"/>
  <c r="U84" i="11" a="1"/>
  <c r="U84" i="11" s="1"/>
  <c r="X46" i="14"/>
  <c r="BV58" i="14"/>
  <c r="X28" i="14"/>
  <c r="X52" i="14"/>
  <c r="BV42" i="14"/>
  <c r="AB114" i="11"/>
  <c r="AB14" i="11"/>
  <c r="N138" i="11" a="1"/>
  <c r="N138" i="11" s="1"/>
  <c r="N140" i="11" a="1"/>
  <c r="N140" i="11" s="1"/>
  <c r="AB11" i="11"/>
  <c r="N183" i="11" a="1"/>
  <c r="N183" i="11" s="1"/>
  <c r="AB113" i="11"/>
  <c r="N136" i="11" a="1"/>
  <c r="N136" i="11" s="1"/>
  <c r="N163" i="11" a="1"/>
  <c r="N163" i="11" s="1"/>
  <c r="N161" i="11" a="1"/>
  <c r="N161" i="11" s="1"/>
  <c r="N157" i="11" a="1"/>
  <c r="N157" i="11" s="1"/>
  <c r="AB36" i="11"/>
  <c r="N162" i="11" a="1"/>
  <c r="N162" i="11" s="1"/>
  <c r="N139" i="11" a="1"/>
  <c r="N139" i="11" s="1"/>
  <c r="N184" i="11" a="1"/>
  <c r="N184" i="11" s="1"/>
  <c r="N181" i="11" a="1"/>
  <c r="N181" i="11" s="1"/>
  <c r="N141" i="11" a="1"/>
  <c r="N141" i="11" s="1"/>
  <c r="AB13" i="11"/>
  <c r="AB34" i="11"/>
  <c r="AB32" i="11"/>
  <c r="AB82" i="11"/>
  <c r="N160" i="11" a="1"/>
  <c r="N160" i="11" s="1"/>
  <c r="N180" i="11" a="1"/>
  <c r="N180" i="11" s="1"/>
  <c r="N159" i="11" a="1"/>
  <c r="N159" i="11" s="1"/>
  <c r="N187" i="11" a="1"/>
  <c r="N187" i="11" s="1"/>
  <c r="N137" i="11" a="1"/>
  <c r="N137" i="11" s="1"/>
  <c r="N182" i="11" a="1"/>
  <c r="N182" i="11" s="1"/>
  <c r="N186" i="11" a="1"/>
  <c r="N186" i="11" s="1"/>
  <c r="N156" i="11" a="1"/>
  <c r="N156" i="11" s="1"/>
  <c r="AB59" i="11"/>
  <c r="N185" i="11" a="1"/>
  <c r="N185" i="11" s="1"/>
  <c r="AB135" i="11"/>
  <c r="N158" i="11" a="1"/>
  <c r="N158" i="11" s="1"/>
  <c r="AB10" i="11"/>
  <c r="A5" i="9"/>
  <c r="A6" i="14"/>
  <c r="BV28" i="14"/>
  <c r="Y8" i="9"/>
  <c r="Y11" i="9"/>
  <c r="X58" i="14"/>
  <c r="BV52" i="14"/>
  <c r="Y7" i="9"/>
  <c r="Y3" i="9"/>
  <c r="BV46" i="14"/>
  <c r="X42" i="14"/>
  <c r="BV15" i="14"/>
  <c r="X15" i="14"/>
  <c r="BV31" i="14"/>
  <c r="X31" i="14"/>
  <c r="BV23" i="14"/>
  <c r="X23" i="14"/>
  <c r="BV39" i="14"/>
  <c r="X39" i="14"/>
  <c r="BV47" i="14"/>
  <c r="X47" i="14"/>
  <c r="BV63" i="14"/>
  <c r="BV7" i="14"/>
  <c r="X7" i="14"/>
  <c r="BV55" i="14"/>
  <c r="X55" i="14"/>
  <c r="A6" i="9" l="1"/>
  <c r="A7" i="14"/>
  <c r="A7" i="9" l="1"/>
  <c r="A8" i="14"/>
  <c r="A8" i="9" l="1"/>
  <c r="A9" i="14"/>
  <c r="A9" i="9" l="1"/>
  <c r="A10" i="14"/>
  <c r="A10" i="9" l="1"/>
  <c r="A11" i="14"/>
  <c r="A11" i="9" l="1"/>
  <c r="A12" i="14"/>
  <c r="A12" i="9" l="1"/>
  <c r="A13" i="14"/>
  <c r="A13" i="9" l="1"/>
  <c r="A14" i="14"/>
  <c r="A14" i="9" l="1"/>
  <c r="A15" i="14"/>
  <c r="A15" i="9" l="1"/>
  <c r="A16" i="14"/>
  <c r="A16" i="9" l="1"/>
  <c r="A17" i="14"/>
  <c r="A17" i="9" l="1"/>
  <c r="A18" i="14"/>
  <c r="A18" i="9" l="1"/>
  <c r="A19" i="14"/>
  <c r="A19" i="9" l="1"/>
  <c r="A20" i="14"/>
  <c r="A20" i="9" l="1"/>
  <c r="A21" i="14"/>
  <c r="A21" i="9" l="1"/>
  <c r="A22" i="14"/>
  <c r="A22" i="9" l="1"/>
  <c r="A23" i="14"/>
  <c r="A23" i="9" l="1"/>
  <c r="A24" i="14"/>
  <c r="A24" i="9" l="1"/>
  <c r="A25" i="14"/>
  <c r="A25" i="9" l="1"/>
  <c r="A26" i="14"/>
  <c r="A26" i="9" l="1"/>
  <c r="A27" i="14"/>
  <c r="A27" i="9" l="1"/>
  <c r="A28" i="14"/>
  <c r="A28" i="9" l="1"/>
  <c r="A29" i="14"/>
  <c r="A29" i="9" l="1"/>
  <c r="A30" i="14"/>
  <c r="A30" i="9" l="1"/>
  <c r="A31" i="14"/>
  <c r="A31" i="9" l="1"/>
  <c r="A32" i="14"/>
  <c r="A32" i="9" l="1"/>
  <c r="A33" i="14"/>
  <c r="A33" i="9" l="1"/>
  <c r="A34" i="14"/>
  <c r="A34" i="9" l="1"/>
  <c r="A35" i="14"/>
  <c r="A35" i="9" l="1"/>
  <c r="A36" i="14"/>
  <c r="A36" i="9" l="1"/>
  <c r="A37" i="14"/>
  <c r="A37" i="9" l="1"/>
  <c r="A38" i="14"/>
  <c r="A38" i="9" l="1"/>
  <c r="A39" i="14"/>
  <c r="A39" i="9" l="1"/>
  <c r="A40" i="14"/>
  <c r="A40" i="9" l="1"/>
  <c r="A41" i="14"/>
  <c r="A41" i="9" l="1"/>
  <c r="A42" i="14"/>
  <c r="A42" i="9" l="1"/>
  <c r="A43" i="14"/>
  <c r="A43" i="9" l="1"/>
  <c r="A44" i="14"/>
  <c r="A44" i="9" l="1"/>
  <c r="A45" i="14"/>
  <c r="A45" i="9" l="1"/>
  <c r="A46" i="14"/>
  <c r="A46" i="9" l="1"/>
  <c r="A47" i="14"/>
  <c r="A47" i="9" l="1"/>
  <c r="A48" i="14"/>
  <c r="A48" i="9" l="1"/>
  <c r="A49" i="14"/>
  <c r="A49" i="9" l="1"/>
  <c r="A50" i="14"/>
  <c r="A50" i="9" l="1"/>
  <c r="A51" i="14"/>
  <c r="A51" i="9" l="1"/>
  <c r="A52" i="14"/>
  <c r="A52" i="9" l="1"/>
  <c r="A53" i="14"/>
  <c r="A53" i="9" l="1"/>
  <c r="A54" i="14"/>
  <c r="A54" i="9" l="1"/>
  <c r="A55" i="14"/>
  <c r="A55" i="9" l="1"/>
  <c r="A56" i="14"/>
  <c r="A56" i="9" l="1"/>
  <c r="A57" i="14"/>
  <c r="A57" i="9" l="1"/>
  <c r="A58" i="14"/>
  <c r="A58" i="9" l="1"/>
  <c r="A59" i="14"/>
  <c r="A59" i="9" l="1"/>
  <c r="A60" i="9" s="1"/>
  <c r="A60" i="14"/>
  <c r="A61" i="9" l="1"/>
  <c r="A62" i="14"/>
  <c r="A61" i="14"/>
  <c r="A62" i="9" l="1"/>
  <c r="A63" i="14"/>
  <c r="A63" i="9" l="1"/>
  <c r="A64" i="14"/>
  <c r="A64" i="9" l="1"/>
  <c r="A65" i="9" s="1"/>
  <c r="A66" i="9" s="1"/>
  <c r="A67" i="9" s="1"/>
  <c r="A68" i="9" s="1"/>
  <c r="A69" i="9" s="1"/>
  <c r="A70" i="9" s="1"/>
  <c r="A71" i="9" s="1"/>
  <c r="A72" i="9" s="1"/>
  <c r="A73" i="9" s="1"/>
  <c r="A74" i="9" s="1"/>
  <c r="A75" i="9" s="1"/>
  <c r="A65" i="14"/>
  <c r="A66" i="14" l="1"/>
  <c r="A67" i="14" l="1"/>
  <c r="A68" i="14" l="1"/>
  <c r="A69" i="14" l="1"/>
  <c r="A70" i="14" l="1"/>
  <c r="A71" i="14" l="1"/>
  <c r="A72" i="14" l="1"/>
  <c r="A73" i="14" l="1"/>
  <c r="A74" i="14" l="1"/>
  <c r="A75" i="14" l="1"/>
  <c r="A76" i="14" l="1"/>
  <c r="A76" i="9" l="1"/>
  <c r="A77" i="14"/>
  <c r="A77" i="9" l="1"/>
  <c r="A78" i="9" s="1"/>
  <c r="A78" i="14"/>
  <c r="A79" i="9" l="1"/>
  <c r="A80" i="14"/>
  <c r="A79" i="14"/>
  <c r="A80" i="9" l="1"/>
  <c r="A81" i="14"/>
  <c r="A81" i="9" l="1"/>
  <c r="A82" i="14"/>
  <c r="A82" i="9" l="1"/>
  <c r="A83" i="14"/>
  <c r="A83" i="9" l="1"/>
  <c r="A84" i="14"/>
  <c r="A84" i="9" l="1"/>
  <c r="A85" i="14"/>
  <c r="A85" i="9" l="1"/>
  <c r="A87" i="14" s="1"/>
  <c r="A86" i="14"/>
  <c r="A86" i="9" l="1"/>
  <c r="A87" i="9" l="1"/>
  <c r="A89" i="14" s="1"/>
  <c r="A88"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D1" authorId="0" shapeId="0" xr:uid="{00000000-0006-0000-0000-000001000000}">
      <text>
        <r>
          <rPr>
            <b/>
            <sz val="9"/>
            <color indexed="81"/>
            <rFont val="Tahoma"/>
            <family val="2"/>
          </rPr>
          <t>See column AW on the right for definition of publication acronyms</t>
        </r>
      </text>
    </comment>
    <comment ref="R1" authorId="0" shapeId="0" xr:uid="{00000000-0006-0000-0000-000002000000}">
      <text>
        <r>
          <rPr>
            <sz val="9"/>
            <color indexed="81"/>
            <rFont val="Tahoma"/>
            <family val="2"/>
          </rPr>
          <t>see DEFINITION tab for corresponding enhancement</t>
        </r>
      </text>
    </comment>
    <comment ref="Y30" authorId="0" shapeId="0" xr:uid="{00000000-0006-0000-0000-000004000000}">
      <text>
        <r>
          <rPr>
            <b/>
            <sz val="9"/>
            <color indexed="81"/>
            <rFont val="Tahoma"/>
            <family val="2"/>
          </rPr>
          <t>Author:
5x for 5-1 bit encoding
majority voter, BCH and NVM not included</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<sst xmlns="http://schemas.openxmlformats.org/spreadsheetml/2006/main" count="2736" uniqueCount="643">
  <si>
    <t>TVLSI</t>
  </si>
  <si>
    <t>arXiv</t>
  </si>
  <si>
    <t>AES</t>
  </si>
  <si>
    <t>PRINCE</t>
  </si>
  <si>
    <t>Identifier</t>
  </si>
  <si>
    <t>Conference / Journal</t>
  </si>
  <si>
    <t>Algorithm</t>
  </si>
  <si>
    <t>Technology (nm)</t>
  </si>
  <si>
    <t>Voltage (V)</t>
  </si>
  <si>
    <t>Group</t>
  </si>
  <si>
    <t>Intel CRL</t>
  </si>
  <si>
    <t>Unified (SMS4, Camellia)</t>
  </si>
  <si>
    <t>VLSI Symposium</t>
  </si>
  <si>
    <t>A-SSCC</t>
  </si>
  <si>
    <t>SIMON</t>
  </si>
  <si>
    <t>NUS</t>
  </si>
  <si>
    <t>U. Mich</t>
  </si>
  <si>
    <t>Additional capabilities</t>
  </si>
  <si>
    <t>Data size (bits)</t>
  </si>
  <si>
    <t>Key size (bits)</t>
  </si>
  <si>
    <t>Reference</t>
  </si>
  <si>
    <t>Encrypt (E) / Decrypt (D)</t>
  </si>
  <si>
    <t>S. Mathew et al., "340 mV–1.1 V, 289 Gbps/W, 2090-Gate NanoAES Hardware Accelerator With Area-Optimized Encrypt/Decrypt GF(2 4 ) 2 Polynomials in 22 nm Tri-Gate CMOS," in IEEE Journal of Solid-State Circuits, vol. 50, no. 4, pp. 1048-1058, April 2015.</t>
  </si>
  <si>
    <t>JSSC</t>
  </si>
  <si>
    <t>E / D</t>
  </si>
  <si>
    <t>W. Zhao, Y. Ha and M. Alioto, "Novel Self-Body-Biasing and Statistical Design for Near-Threshold Circuits With Ultra Energy-Efficient AES as Case Study," in IEEE Transactions on Very Large Scale Integration (VLSI) Systems, vol. 23, no. 8, pp. 1390-1401, Aug. 2015.</t>
  </si>
  <si>
    <t>E</t>
  </si>
  <si>
    <t>Yiqun Zhang, Kaiyuan Yang, M. Saligane, D. Blaauw and D. Sylvester, "A compact 446 Gbps/W AES accelerator for mobile SoC and IoT in 40nm," 2016 IEEE Symposium on VLSI Circuits (VLSI-Circuits), Honolulu, HI, 2016, pp. 1-2.</t>
  </si>
  <si>
    <t>N. Miura et al., "A 2.5ns-latency 0.39pJ/b 289μm2/Gb/s ultra-light-weight PRINCE cryptographic processor," 2017 Symposium on VLSI Circuits, Kyoto, 2017, pp. C266-C267.</t>
  </si>
  <si>
    <t>0.4-1.1</t>
  </si>
  <si>
    <t>S. Taneja and M. Alioto, Ultra-low power crypto-engine based on Simon 32/64 for energy- and area-constrained integrated systems. 2018. [Online]. Available: https://arxiv.org/abs/1811.08507</t>
  </si>
  <si>
    <t>Min Energy (pJ/bit)</t>
  </si>
  <si>
    <t>0.9 @ 0.3 V</t>
  </si>
  <si>
    <t>0.3 @ 0.45 V</t>
  </si>
  <si>
    <t>Max Throughput (Mbps)</t>
  </si>
  <si>
    <t>0.3-0.7</t>
  </si>
  <si>
    <t>0.6-1.1</t>
  </si>
  <si>
    <t>0.45-1.1</t>
  </si>
  <si>
    <t>2.24 @ 0.47 V</t>
  </si>
  <si>
    <t>0.1 @ 0.65 V</t>
  </si>
  <si>
    <t>Decrypt</t>
  </si>
  <si>
    <t>0.35-0.95</t>
  </si>
  <si>
    <t>5.38 @ 0.43 V</t>
  </si>
  <si>
    <t>-</t>
  </si>
  <si>
    <t>H. Kaul et al., "Ultra-Lightweight 548–1080 Gate 166Gbps/W–12.6Tbps/W SIMON 32/64 Cipher Accelerators for IoT in 14nm Tri-gate CMOS," 2018 IEEE Asian Solid-State Circuits Conference (A-SSCC), Tainan, 2018, pp. 1-4.</t>
  </si>
  <si>
    <t>0.22-0.9</t>
  </si>
  <si>
    <t>0.08 @ 0.24 V</t>
  </si>
  <si>
    <t>S. Satpathy et al., "220MV-900MV 794/584/754 GBPS/W Reconfigurable GF(24)2 AES/SMS4/Camellia Symmetric-Key Cipher Accelerator in 14NM Tri-Gate CMOS," 2018 IEEE Symposium on VLSI Circuits, Honolulu, HI, 2018, pp. 175-176.</t>
  </si>
  <si>
    <t>1.25 @ 0.22 V</t>
  </si>
  <si>
    <t>0.4-0.9</t>
  </si>
  <si>
    <t>1.08 @ 0.41 V</t>
  </si>
  <si>
    <t>W. Shan, A. Fan, J. Xu, J. Yang and M. Seok, "A 923 Gbps/W, 113-Cycle, 2-Sbox Energy-efficient AES Accelerator in 28nm CMOS," 2019 Symposium on VLSI Circuits, Kyoto, Japan, 2019, pp. C236-C237.</t>
  </si>
  <si>
    <t>Southeast University, Columbia</t>
  </si>
  <si>
    <t>Kobe University</t>
  </si>
  <si>
    <t>Year</t>
  </si>
  <si>
    <t>year</t>
  </si>
  <si>
    <t>NIST pass</t>
  </si>
  <si>
    <t>resilient against temp.</t>
  </si>
  <si>
    <t>metastability</t>
  </si>
  <si>
    <t>YES</t>
  </si>
  <si>
    <t>Markov Chain</t>
  </si>
  <si>
    <t>NO</t>
  </si>
  <si>
    <t>von Neumann</t>
  </si>
  <si>
    <t>N/A</t>
  </si>
  <si>
    <t>STT MRAM write time</t>
  </si>
  <si>
    <t>NR</t>
  </si>
  <si>
    <t>jitter</t>
  </si>
  <si>
    <t>XOR</t>
  </si>
  <si>
    <t>metastability + jitter</t>
  </si>
  <si>
    <t>XOR + BIW</t>
  </si>
  <si>
    <t>LFSR</t>
  </si>
  <si>
    <t>noise amplification</t>
  </si>
  <si>
    <t>RTN noise</t>
  </si>
  <si>
    <t>soft breakdown</t>
  </si>
  <si>
    <t>noise amplification + chaotic map</t>
  </si>
  <si>
    <t>time-dependent dielectric breakdown</t>
  </si>
  <si>
    <t>chaotic map (based on pipelined ADC)</t>
  </si>
  <si>
    <t>chaotic map (based on coupled ring oscillators)</t>
  </si>
  <si>
    <t>chaotic map (based on diode-coupled ring oscillators)</t>
  </si>
  <si>
    <t>11/15</t>
  </si>
  <si>
    <t>image sensor</t>
  </si>
  <si>
    <t>Ref ID</t>
  </si>
  <si>
    <t xml:space="preserve">Published in </t>
  </si>
  <si>
    <t>Company</t>
  </si>
  <si>
    <t>PUF Name</t>
  </si>
  <si>
    <t>Type</t>
  </si>
  <si>
    <t xml:space="preserve">Number of evaluations </t>
  </si>
  <si>
    <t>Nominal Voltage</t>
  </si>
  <si>
    <t>Throughput (Mb/s)</t>
  </si>
  <si>
    <t>Energy per bit (pJ/bit)</t>
  </si>
  <si>
    <t>Bias sigma</t>
  </si>
  <si>
    <t>Inter-PUF sigma</t>
  </si>
  <si>
    <t>Intra-PUF sigma</t>
  </si>
  <si>
    <t>NIST Test</t>
  </si>
  <si>
    <t>Weak/Strong PUF?</t>
  </si>
  <si>
    <t># of possible CRPs</t>
  </si>
  <si>
    <t>Vulnerable to optical Probing attacks?</t>
  </si>
  <si>
    <t>Publication Acronyms</t>
  </si>
  <si>
    <r>
      <t xml:space="preserve">K. Lofstrom, W. R. Daasch, and D. Taylor, “IC Identification Circuit using Device Mismatch,” </t>
    </r>
    <r>
      <rPr>
        <i/>
        <sz val="11"/>
        <rFont val="Calibri"/>
        <family val="2"/>
        <scheme val="minor"/>
      </rPr>
      <t>ISSCC Dig. Tech. Papers</t>
    </r>
    <r>
      <rPr>
        <sz val="11"/>
        <rFont val="Calibri"/>
        <family val="2"/>
        <scheme val="minor"/>
      </rPr>
      <t>, 2000, pp. 372–373.</t>
    </r>
  </si>
  <si>
    <t>ISSCC</t>
  </si>
  <si>
    <t>PSU</t>
  </si>
  <si>
    <t>ICID</t>
  </si>
  <si>
    <t>1.1-5</t>
  </si>
  <si>
    <t>-25-125</t>
  </si>
  <si>
    <t>Weak</t>
  </si>
  <si>
    <t>ASSCC</t>
  </si>
  <si>
    <t>Asian Solid State Circuits Conference</t>
  </si>
  <si>
    <r>
      <t xml:space="preserve">J. W. Lee, B. Gassend, G. E. Suh, M. van Dijk, and S. Devadas, “A Technique to Build a Secret Key in Integrated Circuits for Identification and Authentication Applications,” </t>
    </r>
    <r>
      <rPr>
        <i/>
        <sz val="11"/>
        <rFont val="Calibri"/>
        <family val="2"/>
        <scheme val="minor"/>
      </rPr>
      <t>IEEE Symp. VLSI Circuits</t>
    </r>
    <r>
      <rPr>
        <sz val="11"/>
        <rFont val="Calibri"/>
        <family val="2"/>
        <scheme val="minor"/>
      </rPr>
      <t>, 2004, pp. 176–179.</t>
    </r>
  </si>
  <si>
    <t>VLSI</t>
  </si>
  <si>
    <t>MIT</t>
  </si>
  <si>
    <t>1.8+/-2%</t>
  </si>
  <si>
    <t>27-67</t>
  </si>
  <si>
    <t>Strong</t>
  </si>
  <si>
    <t>CICC</t>
  </si>
  <si>
    <t>Custom Integrated Circuits Conference</t>
  </si>
  <si>
    <t>D. Lim, J. W. Lee, B. Gassend, G. E. Suh, M. Van Dijk, and S. Devadas, “Extracting Secret Keys from Integrated Circuits,” IEEE Trans. Very Large Scale Integr. Syst., vol. 13, no. 10, pp. 1200–1205, 2005.</t>
  </si>
  <si>
    <t>27-70</t>
  </si>
  <si>
    <t>DATE</t>
  </si>
  <si>
    <t>Design, Automation &amp; Test in Europe Conference &amp; Exhibition</t>
  </si>
  <si>
    <r>
      <t xml:space="preserve">Y. Su, J. Holleman, and B. Otis, “A 1.6pJ/bit 96% Stable Chip-ID Generating Circuit using Process Variations,” </t>
    </r>
    <r>
      <rPr>
        <i/>
        <sz val="11"/>
        <rFont val="Calibri"/>
        <family val="2"/>
        <scheme val="minor"/>
      </rPr>
      <t>ISSCC Dig. Tech. Papers</t>
    </r>
    <r>
      <rPr>
        <sz val="11"/>
        <rFont val="Calibri"/>
        <family val="2"/>
        <scheme val="minor"/>
      </rPr>
      <t>, 2007, pp. 406–408.</t>
    </r>
  </si>
  <si>
    <t>UWash</t>
  </si>
  <si>
    <t>0.9-1.2</t>
  </si>
  <si>
    <t>ESSCIRC</t>
  </si>
  <si>
    <t>European Solid State Circuit Conference</t>
  </si>
  <si>
    <t>Y. Su, J. Holleman, and B. P. Otis, “A Digital 1.6pJ/bit Chip Identification Circuit Using Process Variations,” IEEE J. Solid-State Circuits, vol. 43, no. 1, pp. 69–77, 2008.</t>
  </si>
  <si>
    <t>0-80</t>
  </si>
  <si>
    <t>HOST</t>
  </si>
  <si>
    <t>IEEE International Symposium on Hardware-Oriented Security and Trust</t>
  </si>
  <si>
    <t>D. Puntin, S. Stanzione, and G. Iannaccone, “CMOS Unclonable System for Secure Authentication Based on Device Variability,” in European Solid State Circuit Conference (ESSCIRC), 2008, pp. 130–133.</t>
  </si>
  <si>
    <t>UPisa</t>
  </si>
  <si>
    <t>nanokey</t>
  </si>
  <si>
    <t>NI</t>
  </si>
  <si>
    <t>IET</t>
  </si>
  <si>
    <t>IEEE Electronic Letters</t>
  </si>
  <si>
    <t>S. Stanzione and G. Iannaccone, “Silicon Physical Unclonable Function Resistant to a 10^25-trial brute force Attack in 90 nm CMOS,” IEEE Symp. VLSI Circuits, 2009, pp. 116–117.</t>
  </si>
  <si>
    <t>IRPS</t>
  </si>
  <si>
    <t>IEEE International Reliability Physics Symposium</t>
  </si>
  <si>
    <t>N. Liu, S. Hanson, D. Sylvester, and D. Blaauw, “OxID: On-chip one-time random ID generation using oxide breakdown,” IEEE Symp. VLSI Circuits, pp. 231–232, 2010.</t>
  </si>
  <si>
    <t>UMich</t>
  </si>
  <si>
    <t>OxID</t>
  </si>
  <si>
    <t>1.1+10%</t>
  </si>
  <si>
    <t>0-85</t>
  </si>
  <si>
    <t xml:space="preserve"> IEEE International Solid-State Circuits Conference</t>
  </si>
  <si>
    <t>S. Chellappa, A. Dey, and L. T. Clark, “Improved circuits for microchip identification using SRAM mismatch,” Proc. Cust. Integr. Circuits Conf., pp. 3–6, 2011.</t>
  </si>
  <si>
    <t>ASU</t>
  </si>
  <si>
    <t>SRAM</t>
  </si>
  <si>
    <t>S. Stanzione, D. Puntin, and G. Iannaccone, “CMOS Silicon Physical Unclonable Functions Based on Intrinsic Process Variability,” IEEE J. Solid-State Circuits, vol. 46, no. 6, pp. 1456–1463, 2011.</t>
  </si>
  <si>
    <t>0.54-0.66</t>
  </si>
  <si>
    <t>25-125</t>
  </si>
  <si>
    <t>S3S</t>
  </si>
  <si>
    <t>IEEE SOI-3D-Subthreshold Microelectronics Unified Conference</t>
  </si>
  <si>
    <r>
      <t xml:space="preserve">H. Fujiwara, M. Yabuuchi, H. Nakano, H. Kawai, K. Nii, and K. Arimoto, “A Chip-ID Generating Circuit for Dependable LSI Using Random Address Errors on Embedded SRAM and On-Chip Memory BIST,” in </t>
    </r>
    <r>
      <rPr>
        <i/>
        <sz val="11"/>
        <color theme="1"/>
        <rFont val="Calibri"/>
        <family val="2"/>
        <scheme val="minor"/>
      </rPr>
      <t>Symposium on VLSI Circuits (VLSI)</t>
    </r>
    <r>
      <rPr>
        <sz val="11"/>
        <color theme="1"/>
        <rFont val="Calibri"/>
        <family val="2"/>
        <scheme val="minor"/>
      </rPr>
      <t>, 2011, vol. 5, pp. 76–77.</t>
    </r>
  </si>
  <si>
    <t>Renesas</t>
  </si>
  <si>
    <t>MBIST</t>
  </si>
  <si>
    <t>TCAS 1</t>
  </si>
  <si>
    <t>IEEE Transactions on Circuits and Systems I</t>
  </si>
  <si>
    <t>P. Simons, E. Van Der Sluis, and V. Van Der Leest, “Buskeeper PUFs, a promising alternative to D Flip-Flop PUFs,” in IEEE International Symposium on Hardware-Oriented Security and Trust (HOST), 2012, pp. 7–12.</t>
  </si>
  <si>
    <t>Intrinsic-ID</t>
  </si>
  <si>
    <t>+/-10%</t>
  </si>
  <si>
    <t>-40,25,85</t>
  </si>
  <si>
    <t>IEEE Transactions on Very Large Scale Integrated Systems</t>
  </si>
  <si>
    <t>R. Maes, V. Rozic, I. Verbauwhede, P. Koeberl, E. van der Sluis, and V. can der Leest, “Experimental Evaluation of Physically Unclonable Functions in 65 nm CMOS,” in European Solid State Circuit Conference (ESSCIRC), 2012, pp. 486–489.</t>
  </si>
  <si>
    <t>KUL</t>
  </si>
  <si>
    <t>IEEE Symposium on VLSI Circuits</t>
  </si>
  <si>
    <t>-40,25,86</t>
  </si>
  <si>
    <t>VLSI Tech</t>
  </si>
  <si>
    <t>IEEE Symposium on VLSI Technologies</t>
  </si>
  <si>
    <t>-40,25,87</t>
  </si>
  <si>
    <t>DFF</t>
  </si>
  <si>
    <t>-40,25,88</t>
  </si>
  <si>
    <t>-40,25,89</t>
  </si>
  <si>
    <t>RO</t>
  </si>
  <si>
    <t>-40,25,90</t>
  </si>
  <si>
    <r>
      <t xml:space="preserve">D. Fainstein, S. Rosenblatt, A. Cestero, N. Robson, T. Kirihata, and S. S. Iyer, “Dynamic Intrinsic Chip ID Using 32nm High-K/Metal Gate SOI Embedded DRAM,” in </t>
    </r>
    <r>
      <rPr>
        <i/>
        <sz val="11"/>
        <color theme="1"/>
        <rFont val="Calibri"/>
        <family val="2"/>
        <scheme val="minor"/>
      </rPr>
      <t>Symposium on VLSI Circuits</t>
    </r>
    <r>
      <rPr>
        <sz val="11"/>
        <color theme="1"/>
        <rFont val="Calibri"/>
        <family val="2"/>
        <scheme val="minor"/>
      </rPr>
      <t>, 2012, vol. 128, pp. 146–147.</t>
    </r>
  </si>
  <si>
    <t>IBM</t>
  </si>
  <si>
    <t>RICID</t>
  </si>
  <si>
    <t>S. Rosenblatt, D. Fainstein, A. Cestero, J. Safran, S. Member, N. Robson, T. Kirihata, and S. S. Iyer, “Field Tolerant Dynamic Intrinsic Chip ID Using 32 nm High-K / Metal Gate SOI Embedded DRAM,” IEEE J. Solid State Circuits, vol. 48, no. 4, pp. 940–947, 2013.</t>
  </si>
  <si>
    <t>eDRAM</t>
  </si>
  <si>
    <t>0.9 +/- 10%</t>
  </si>
  <si>
    <t>25,85</t>
  </si>
  <si>
    <t>M. Bhargava and K. Mai, “An efficient reliable PUF-based cryptographic key generator in 65nm CMOS,” in Design, Automation &amp; Test in Europe Conference &amp; Exhibition (DATE), 2014, vol. 1, pp. 1–6.</t>
  </si>
  <si>
    <t>CMU</t>
  </si>
  <si>
    <t>1,1.2,1.4</t>
  </si>
  <si>
    <t>-20,27,85</t>
  </si>
  <si>
    <t>4,6</t>
  </si>
  <si>
    <t>0.41-0.5</t>
  </si>
  <si>
    <t>0.48-0.516</t>
  </si>
  <si>
    <t>S. K. Mathew, S. K. Satpathy, M. A. Anders, H. Kaul, S. K. Hsu, A. Agarwal, G. K. Chen, R. J. Parker, R. K. Krishnamurthy, and V. De, “A 0.19pJ/b PVT-Variation-Tolerant Hybrid Physically Unclonable Function Circuit for 100% Stable Secure Key Generation in 22nm CMOS,” ISSCC Dig. Tech. Papers, pp. 278–280.</t>
  </si>
  <si>
    <t>Intel</t>
  </si>
  <si>
    <t>0.7-0.9</t>
  </si>
  <si>
    <t>25-50</t>
  </si>
  <si>
    <t>2,3,4</t>
  </si>
  <si>
    <t>PASS</t>
  </si>
  <si>
    <t>S. Satpathy, S. Mathew, J. Li, P. Koeberl, M. Anders, H. Kaul, G. Chen, A. Agarwal, S. Hsu, and R. Krishnamurthy, “13fJ/bit Probing-resilient 250K PUF Array with Soft Dark- bit Masking for 1.94 % Bit-error in 22nm Tri-gate CMOS,” in European Solid State Circuit Conference (ESSCIRC), 2014, pp. 239–242.</t>
  </si>
  <si>
    <t>B. D. Choi, T. W. Kim, and D. K. Kim, “Zero bit error rate ID generation circuit using via formation probability in 0.18 µm CMOS process,” IET Journals Mag., vol. 50, no. 12, pp. 876–877, 2014.</t>
  </si>
  <si>
    <t>HU</t>
  </si>
  <si>
    <t>VIA</t>
  </si>
  <si>
    <t>1.6-2</t>
  </si>
  <si>
    <t>25,70</t>
  </si>
  <si>
    <r>
      <t xml:space="preserve">A. Alvarez, W. Zhao, and M. Alioto, “15 fJ/bit Static Physically Unclonable Functions for Secure Chip Identification with &lt; 2 % Native Bit Instability and 140x Inter/Intra PUF Hamming Distance Separation in 65nm,” </t>
    </r>
    <r>
      <rPr>
        <i/>
        <sz val="11"/>
        <rFont val="Calibri"/>
        <family val="2"/>
        <scheme val="minor"/>
      </rPr>
      <t>ISSCC Dig. Tech. Papers</t>
    </r>
    <r>
      <rPr>
        <sz val="11"/>
        <rFont val="Calibri"/>
        <family val="2"/>
        <scheme val="minor"/>
      </rPr>
      <t>, 2015, pp. 256–258.</t>
    </r>
  </si>
  <si>
    <t>0.7-1</t>
  </si>
  <si>
    <t>25,50,85</t>
  </si>
  <si>
    <t>none</t>
  </si>
  <si>
    <t>J. Li and M. Seok, “A 3.07µm^2/Bitcell Physically Unclonable Function with 3.5% and 1% Bit-Instability across 0 to 80°C and 0.6 to 1.2V in a 65nm CMOS,” IEEE Symp. VLSI Circuits, 2015, pp. 250–251.</t>
  </si>
  <si>
    <t>PTAT</t>
  </si>
  <si>
    <t>0.6-1.2</t>
  </si>
  <si>
    <t>M. Wan, Z. He, S. Han, K. Dai, and X. Zou, “An Invasive-Attack-Resistant PUF Based On Switched-Capacitor Circuit,” IEEE Trans. Circuits Syst. I, vol. 62, no. 8, pp. 2024–2034, 2015.</t>
  </si>
  <si>
    <t>HUST</t>
  </si>
  <si>
    <t>SCPUF</t>
  </si>
  <si>
    <t>1.5-2.1</t>
  </si>
  <si>
    <t>-40-125</t>
  </si>
  <si>
    <t>NA</t>
  </si>
  <si>
    <t>K. Yang, Q. Dong, D. Blaauw, and D. Sylvester, “A Physically Unclonable Function with BER &lt; 10^-8 for Robust Chip Authentication Using Oscillator Collapse in 40nm CMOS,” ISSCC Dig. Tech. Papers, 2015, pp. 254–256.</t>
  </si>
  <si>
    <t>Umich</t>
  </si>
  <si>
    <t>0.7-1.2</t>
  </si>
  <si>
    <r>
      <t xml:space="preserve">B. Karpinskyy, Y. Lee, Y. Choi, Y. Kim, M. Noh, and S. Lee, “Physically Unclonable Function for Secure Key Generation with a Key Error Rate of 2E-38 in 45nm Smart-Card Chips,” </t>
    </r>
    <r>
      <rPr>
        <i/>
        <sz val="11"/>
        <rFont val="Calibri"/>
        <family val="2"/>
        <scheme val="minor"/>
      </rPr>
      <t>ISSCC Dig. Tech. Papers</t>
    </r>
    <r>
      <rPr>
        <sz val="11"/>
        <rFont val="Calibri"/>
        <family val="2"/>
        <scheme val="minor"/>
      </rPr>
      <t>, 2016, pp. 158–160.</t>
    </r>
  </si>
  <si>
    <t>Samsung</t>
  </si>
  <si>
    <t>nom</t>
  </si>
  <si>
    <t>-25,25,85</t>
  </si>
  <si>
    <t>2,6</t>
  </si>
  <si>
    <t>A. B. Alvarez, W. Zhao, and M. Alioto, “Static Physically Unclonable Functions for Secure Chip Identification at 0.6-1 V and 15fJ/bit in 65nm,” IEEE J. Solid State Circuits, vol. 51, no. 3, pp. 763–775, 2016.</t>
  </si>
  <si>
    <t>0.6-1</t>
  </si>
  <si>
    <t>25-85</t>
  </si>
  <si>
    <t>0.4-0.5</t>
  </si>
  <si>
    <t>J. Li and M. Seok, “Ultra-compact and robust physically unclonable function based on voltage-compensated proportional-to-absolute-temperature voltage generators,” IEEE J. Solid-State Circuits, vol. 51, no. 9, pp. 2192–2202, 2016.</t>
  </si>
  <si>
    <t>S. Mathew, S. Satpathy, V. Suresh, M. Anders, H. Kaul, A. Agarwal, S. Hsu, G. Chen, R. Krishnamurthy, and V. De, “A 4fJ/bit Delay-Hardened Physically Unclonable Function Circuit with Selective Bit Destabilization in 14nm Tri-gate CMOS,” IEEE Symp. VLSI Circuits, 2016, pp. 248–249.</t>
  </si>
  <si>
    <t>0.55-0.75</t>
  </si>
  <si>
    <t>25-110</t>
  </si>
  <si>
    <t>Y. Yoshimoto, Y. Katoh, S. Ogasahara, Z. Wei, and K. Kouno, “A ReRAM-based Physically Unclonable Function with Bit Error Rate &lt; 0.5% after 10 years at 125˚C for 40nm Embedded Application,” in Symposium on VLSI Technology, 2016, pp. 256–257.</t>
  </si>
  <si>
    <t>Panasonic</t>
  </si>
  <si>
    <t>ReRAM</t>
  </si>
  <si>
    <t>1-1.2</t>
  </si>
  <si>
    <t>K. Yang, Q. Dong, D. Blaauw, and D. Sylvester, “A 553F^2 2-Transistor Amplifier-Based Physically Unclonable Function (PUF) with 1.67% Native Instability,” in IEEE Solid State Circuits Conference (ISSCC), 2017, pp. 160–162.</t>
  </si>
  <si>
    <t>amplifier_LVT</t>
  </si>
  <si>
    <t>0.8-1.8</t>
  </si>
  <si>
    <t>-40-120</t>
  </si>
  <si>
    <t>2,4</t>
  </si>
  <si>
    <t>amplifier_DNW</t>
  </si>
  <si>
    <t xml:space="preserve"> Z. Wang, Y. Chen, A. Patil, C. H. Chang, and A. Basu, “Current Mirror Array: A novel lightweight strong PUF topology with enhanced reliability,” in IEEE International Symposium on Circuits and Systems (ISCAS), 2017, pp. 1–4.</t>
  </si>
  <si>
    <t>ISCAS</t>
  </si>
  <si>
    <t>cma</t>
  </si>
  <si>
    <t>1-1.5</t>
  </si>
  <si>
    <t>-45-90</t>
  </si>
  <si>
    <t>J. Li, T. Yang, and M. Seok, “A Technique to Transform 6T-SRAM Arrays into Robust Analog PUF with Minimal Overhead,” in IEEE International Symposium on Circuits and Systems (ISCAS), 2017, pp. 7–10.</t>
  </si>
  <si>
    <t>a_sram</t>
  </si>
  <si>
    <t>0.5-1.2</t>
  </si>
  <si>
    <t>-15-85</t>
  </si>
  <si>
    <t>T. Bryant, S. Chowdhury, D. Forte, M. Tehranipoor, and N. Maghari, “A Stochastic All-Digital Weak Physically Unclonable Function for Analog / Mixed-Signal Applications,” in IEEE International Symposium on Hardware-Oriented Security and Trust (HOST), 2017, pp. 140–145.</t>
  </si>
  <si>
    <t>U. Florida</t>
  </si>
  <si>
    <t>0.8-1.4</t>
  </si>
  <si>
    <t>X. Xi, H. Zhuang, N. Sun, and M. Orshansky, “Strong Subthreshold Current Array PUF with 2^65 Challenge-Response Pairs Resilient to Machine Learning Attacks in 130nm CMOS,” in Symposium on VLSI Circuits, 2017, pp. 268–269.</t>
  </si>
  <si>
    <t>UT</t>
  </si>
  <si>
    <t>SCA PUF</t>
  </si>
  <si>
    <t>1.08-1.32</t>
  </si>
  <si>
    <t>-20-80</t>
  </si>
  <si>
    <t>S. Taneja, A. B. Alvarez, G. Sadagopan, and M. Alioto, “A Fully-Synthesizable C-Element Based PUF Featuring Temperature Variation Compensation with Native 2.8% BER , 1.02fJ/b at 0.8-1.0V in 40nm,” IEEE Asian Solid-State Circuits Conf., vol. 1, no. 2016, pp. 301–304, 2017.</t>
  </si>
  <si>
    <t>0.8-1</t>
  </si>
  <si>
    <t>eMemory</t>
  </si>
  <si>
    <t>-40-150</t>
  </si>
  <si>
    <t>J. Li, T. Yang, M. Yang, P. R. Kinget, and M. Seok, “An Area-Efficient Microprocessor-Based SoC With an Instruction-Cache Transformable to an Ambient Temperature Sensor and a Physically Unclonable Function,” IEEE J. Solid-State Circuits, vol. 53, no. 3, pp. 728–737, 2018.</t>
  </si>
  <si>
    <t>0.5-1</t>
  </si>
  <si>
    <t>0-100</t>
  </si>
  <si>
    <t>J. Lee, D. Lee, Y. Lee, and Y. Lee, “A 445F^2 Leakage-Based Physically Unclonable Function with Lossless Stabilization Through Remapping for IoT Security,” in IEEE International Solid-State Circuits Conference (ISSCC), 2018, pp. 132–134.</t>
  </si>
  <si>
    <t>SU</t>
  </si>
  <si>
    <t>footless leakage-based</t>
  </si>
  <si>
    <t>1.2-1.8</t>
  </si>
  <si>
    <t>2,8</t>
  </si>
  <si>
    <t>0.9-1.5</t>
  </si>
  <si>
    <t>Y. Hori, T. Katashita, and Y. Ogasahara, “A 65-nm SOTB implementation of a physically unclonable function and its performance improvement by body bias control,” in IEEE SOI-3D-Subthreshold Microelectronics Unified Conference (S3S), 2018, vol. 2018–March, pp. 1–3.</t>
  </si>
  <si>
    <t>AIST</t>
  </si>
  <si>
    <t>0.4-0.8</t>
  </si>
  <si>
    <t>S. Taneja, A. B. Alvarez, and M. Alioto, “Fully Synthesizable PUF Featuring Hysteresis and Temperature Compensation for 3.2% Native BER and 1.02 fJ/b in 40 nm,” IEEE J. Solid-State Circuits, vol. 53, no. 10, pp. 2828–2839, 2018.</t>
  </si>
  <si>
    <t>Princeton</t>
  </si>
  <si>
    <t>photodetector</t>
  </si>
  <si>
    <t>2.7-3.6</t>
  </si>
  <si>
    <t>25-80</t>
  </si>
  <si>
    <t>K. Chuang, E. Bury, R. Degraeve, B. Kaczer, D. Linten and I. Verbauwhede, "A Physically Unclonable Function Using Soft Oxide Breakdown Featuring 0% Native BER and 51.8 fJ/bit in 40-nm CMOS," in IEEE Journal of Solid-State Circuits, vol. 54, no. 10, pp. 2765-2776, Oct. 2019.</t>
  </si>
  <si>
    <t>KU Leuven, IMEC</t>
  </si>
  <si>
    <t>-20-120</t>
  </si>
  <si>
    <t>0.8-1.0</t>
  </si>
  <si>
    <t>Rice University</t>
  </si>
  <si>
    <t>0.7-1.4</t>
  </si>
  <si>
    <t>-55-125</t>
  </si>
  <si>
    <t>Definition of Metrics Used</t>
  </si>
  <si>
    <t>=</t>
  </si>
  <si>
    <t>number of raw unstable bits at nominal condition</t>
  </si>
  <si>
    <t>total number of bits</t>
  </si>
  <si>
    <t>Burn-in</t>
  </si>
  <si>
    <t>maximum number of unstable bits across different V and T</t>
  </si>
  <si>
    <t>Bit masking</t>
  </si>
  <si>
    <t>BCH</t>
  </si>
  <si>
    <t>Bit encoding</t>
  </si>
  <si>
    <t>declared voltage and temperature range for which PUF is operable, and under which the maximum instability is computed</t>
  </si>
  <si>
    <t>Thresholding</t>
  </si>
  <si>
    <t>Remapping</t>
  </si>
  <si>
    <t>Body-bias</t>
  </si>
  <si>
    <t>abs(0.5 - Bias), where 0.5 is the ideal bias</t>
  </si>
  <si>
    <t>average Hamming distance between measured keys from different dice (for inter-PUF) or the same die (for intra-PUF) under repeated challenges, divided by the length of the key</t>
  </si>
  <si>
    <t>inter-PUF FHD</t>
  </si>
  <si>
    <t>intra-PUF FHD</t>
  </si>
  <si>
    <t>inter-PUF FHD average - 3 sigma</t>
  </si>
  <si>
    <t>intra-PUF FHD + 3 sigma</t>
  </si>
  <si>
    <t>upper bound (or negative lower bound) of the autocorrelation function for 95% confidence level</t>
  </si>
  <si>
    <t>0.81-0.99</t>
  </si>
  <si>
    <t>Majority voting (temporal / spatial)</t>
  </si>
  <si>
    <t>NAND</t>
  </si>
  <si>
    <t>Columbia</t>
  </si>
  <si>
    <t>S. Taneja and M. Alioto, "Deep Sub-pJ/Bit Low-Area Energy-Security Scalable SIMON Crypto-Core in 40 nm," 2020 IEEE International Symposium on Circuits and Systems (ISCAS), Sevilla, 2020, pp. 1-5.</t>
  </si>
  <si>
    <t>0.31 @ 0.45 V</t>
  </si>
  <si>
    <t>Energy security scaling (64, 128, 192, 256 bit)</t>
  </si>
  <si>
    <t>64 (128, 192, 256)</t>
  </si>
  <si>
    <t>S. N. Dhanuskodi, S. Allen and D. E. Holcomb, "Efficient Register Renaming Architectures for 8-bit AES Datapath at 0.55 pJ/bit in 16-nm FinFET," in IEEE Transactions on Very Large Scale Integration (VLSI) Systems, vol. 28, no. 8, pp. 1807-1820, Aug. 2020, doi: 10.1109/TVLSI.2020.2999593.</t>
  </si>
  <si>
    <t xml:space="preserve">Umass Amherst </t>
  </si>
  <si>
    <t>0.55 @ 0.8 V</t>
  </si>
  <si>
    <t>0.6-0.8</t>
  </si>
  <si>
    <t>metastability, jitter</t>
  </si>
  <si>
    <t>Z. Liang, H. Wei and T. Liu, "A Wide-Range Variation-Resilient Physically Unclonable Function in 28 nm," in IEEE Journal of Solid-State Circuits, vol. 55, no. 3, pp. 817-825, March 2020.</t>
  </si>
  <si>
    <t>NTU (Taipei)</t>
  </si>
  <si>
    <t xml:space="preserve">RO </t>
  </si>
  <si>
    <t>0.4-1.3</t>
  </si>
  <si>
    <t>0.5-0.7</t>
  </si>
  <si>
    <r>
      <t>Area (F</t>
    </r>
    <r>
      <rPr>
        <b/>
        <vertAlign val="superscript"/>
        <sz val="11"/>
        <color theme="1"/>
        <rFont val="Calibri"/>
        <family val="2"/>
        <scheme val="minor"/>
      </rPr>
      <t>2</t>
    </r>
    <r>
      <rPr>
        <b/>
        <sz val="11"/>
        <color theme="1"/>
        <rFont val="Calibri"/>
        <family val="2"/>
        <scheme val="minor"/>
      </rPr>
      <t xml:space="preserve"> X 10</t>
    </r>
    <r>
      <rPr>
        <b/>
        <vertAlign val="superscript"/>
        <sz val="11"/>
        <color theme="1"/>
        <rFont val="Calibri"/>
        <family val="2"/>
        <scheme val="minor"/>
      </rPr>
      <t>6</t>
    </r>
    <r>
      <rPr>
        <b/>
        <sz val="11"/>
        <color theme="1"/>
        <rFont val="Calibri"/>
        <family val="2"/>
        <scheme val="minor"/>
      </rPr>
      <t>)</t>
    </r>
  </si>
  <si>
    <t>-10-75</t>
  </si>
  <si>
    <t>Von Neumann</t>
  </si>
  <si>
    <t>1.4-1.8</t>
  </si>
  <si>
    <t>0-120</t>
  </si>
  <si>
    <t>4,5</t>
  </si>
  <si>
    <t>1,2</t>
  </si>
  <si>
    <t>J. Park and J. -Y. Sim, "A Physically Unclonable Function Combining a Process Mismatch Ampliﬁer in an Oscillator Collapse Topology," 2021 IEEE International Solid- State Circuits Conference (ISSCC), San Francisco, CA, USA, 2021, pp. 504-506.</t>
  </si>
  <si>
    <t>noise-based</t>
  </si>
  <si>
    <t>chaotic map</t>
  </si>
  <si>
    <t>TRNG trends</t>
  </si>
  <si>
    <t>XOR4 + von Neumann</t>
  </si>
  <si>
    <t>M.-Y. Wu, T.-H. Yang, L.-C. Chen, C.-C. Lin, H.-C. Hu, F.-Y. Su, C.-M. Wang, J. P.-H. Huang, H.-M. Chen, C. C.-H. Lu, E. C.-S. Yang, R. S.-J. Shen, “A PUF Scheme Using Competing Oxide Rupture with Bit Error Rate Approaching Zero,” in IEEE International Solid State Circuits Conference (ISSCC), 2018, pp. 130–132.</t>
  </si>
  <si>
    <t>K. Liu, X. Chen, H. Pu and H. Shinohara, "A 0.5-V Hybrid SRAM Physically Unclonable Function Using Hot Carrier Injection Burn-In for Stability Reinforcement," in IEEE Journal of Solid-State Circuits, vol. 56, no. 7, pp. 2193-2204, July 2021.</t>
  </si>
  <si>
    <t>Tsinghua University</t>
  </si>
  <si>
    <t>Y. Pang, B. Gao, D. Wu, S. Yi, Q. Liu, W.-H. Chen,
T.-W. Chang, W.-E. Lin, X. Sun, S. Yu, H. Qian,
M. F. Chang, H. Wu, "A Reconfigurable RRAM PUF Utilizing Post-Process Randomness Source with &lt;6×10-6 N-BER," 2019 IEEE International Solid- State Circuits Conference - (ISSCC), San Francisco, CA, USA, 2019, pp. 402-403.</t>
  </si>
  <si>
    <t>RRAM</t>
  </si>
  <si>
    <t>2.5-5.5</t>
  </si>
  <si>
    <t>25-150</t>
  </si>
  <si>
    <t>S. Taneja and M. Alioto, "PUF Architecture with Run-Time Adaptation for Resilient and Energy-Efficient Key Generation via Sensor Fusion," in IEEE Journal of Solid-State Circuits, vol. 56, no. 7, pp. 2182-2192, July 2021</t>
  </si>
  <si>
    <t>K. H. Chuang E. Bury, R. Degraeve, B. Kaczer, T. Kallstenius, G. Groeseneken, D. Linten and I. Verbauwhede, “A multi-bit/cell PUF using analog breakdown positions in CMOS,” IEEE Int. Reliab. Phys. Symp. Proc., vol. 2018–March, p. PCR.21-PCR.25, 2018.</t>
  </si>
  <si>
    <t>Y. He, D. Li, Z. Yu and K. Yang, "An Automatic Self-Checking and Healing Physically Unclonable Function (PUF) with &lt;3 × 10-8 Bit Error Rate," 2021 IEEE International Solid- State Circuits Conference (ISSCC), San Francisco, CA, USA, 2021, pp. 506-508.</t>
  </si>
  <si>
    <t>D. Li and K. Yang, "A 562F2 Physically Unclonable Function with a Zero-Overhead Stabilization Scheme," 2019 IEEE International Solid- State Circuits Conference - (ISSCC), San Francisco, CA, USA, 2019, pp. 400-401.</t>
  </si>
  <si>
    <t>S. Taneja, V. K. Rajanna and M. Alioto, "Unified In-Memory Dynamic TRNG and Multi-Bit Static PUF Entropy Generation for Ubiquitous Hardware Security," 2021 IEEE International Solid- State Circuits Conference (ISSCC), San Francisco, CA, USA, 2021, pp. 498-500.</t>
  </si>
  <si>
    <t>others</t>
  </si>
  <si>
    <t>Area Per Bit (F2) (column Y)</t>
  </si>
  <si>
    <t>weak/strong</t>
  </si>
  <si>
    <t>Energy Per Bit (pJ/bit) (column V)</t>
  </si>
  <si>
    <t>WEAK PUFS</t>
  </si>
  <si>
    <t>STRONG PUFS</t>
  </si>
  <si>
    <t>dynamic comparator</t>
  </si>
  <si>
    <t>S. Jeloka, K. Yang, M. Orshansky, D. Sylvester, and David Blaauw, "A sequence dependent challenge-response PUF using 28nm SRAM 6T bit cell," in Symposium on VLSI Circuits, 2017, pp. 270-271</t>
  </si>
  <si>
    <t>0.5-0.9</t>
  </si>
  <si>
    <t>SRAM sequence dependent</t>
  </si>
  <si>
    <t>class</t>
  </si>
  <si>
    <t>%/year</t>
  </si>
  <si>
    <t>K. Liu, Z. Fu, G. Li, H. Pu, Z. Guan, X. Wang,
X. Chen, H. Shinohara, "A Modeling Attack Resilient Strong PUF with Feedback-SPN Structure Having &lt;0.73% Bit Error Rate Through In-Cell Hot-Carrier Injection Burn-In," 2021 IEEE International Solid- State Circuits Conference (ISSCC), San Francisco, CA, USA, 2021, pp. 502-504.</t>
  </si>
  <si>
    <t>machine learning-based ECC tuning</t>
  </si>
  <si>
    <t>S. Taneja, V. Konandur Rajanna and M. Alioto, "Unified In-Memory Dynamic TRNG and Multi-Bit Static PUF Entropy Generation for Ubiquitous Hardware Security," 2021 IEEE International Solid- State Circuits Conference (ISSCC), San Francisco, CA, USA, 2021, pp. 498-500.</t>
  </si>
  <si>
    <t>R. Kumar et al., "A 4900μm2 839 Mbps Side-Channel Attack Resistant AES-128 in 14nm CMOS with Heterogeneous Sboxes, Linear Masked MixColumns and Dual-Rail Key Addition," in IEEE Journal of Solid-State Circuits, vol. 55, no. 4, pp. 945-955, Apr. 2020.</t>
  </si>
  <si>
    <t>0.25-0.9</t>
  </si>
  <si>
    <t>2.56 @ 0.29V</t>
  </si>
  <si>
    <t xml:space="preserve">Side-Channel Attack Resistant </t>
  </si>
  <si>
    <t>R. Kumar et al., "A Time-/Frequency-Domain Side-Channel Attack Resistant AES-128 and RSA-4K Crypto-Processor in 14-nm CMOS," in IEEE Journal of Solid-State Circuits, vol. 56, no. 4, pp. 1141-1151, Apr. 2021.</t>
  </si>
  <si>
    <t>Side-Channel Attack Resistant, RSA-4K Encryption</t>
  </si>
  <si>
    <t>D. Das et al., "EM and Power SCA-Resilient AES-256 Through &gt;350× Current-Domain Signature Attenuation and Local Lower Metal Routing," in IEEE Journal of Solid-State Circuits, vol. 56, no. 1, pp. 136-150, Jan. 2021.</t>
  </si>
  <si>
    <t>Purdue University</t>
  </si>
  <si>
    <r>
      <rPr>
        <b/>
        <sz val="11"/>
        <color rgb="FFFF0000"/>
        <rFont val="Calibri"/>
        <family val="2"/>
        <scheme val="minor"/>
      </rPr>
      <t>1</t>
    </r>
    <r>
      <rPr>
        <b/>
        <sz val="11"/>
        <color theme="3"/>
        <rFont val="Calibri"/>
        <family val="2"/>
        <scheme val="minor"/>
      </rPr>
      <t xml:space="preserve"> </t>
    </r>
    <r>
      <rPr>
        <b/>
        <sz val="11"/>
        <rFont val="Calibri"/>
        <family val="2"/>
        <scheme val="minor"/>
      </rPr>
      <t>Native unstable bits at nominal conditions (%)</t>
    </r>
  </si>
  <si>
    <r>
      <rPr>
        <b/>
        <sz val="11"/>
        <color rgb="FFFF0000"/>
        <rFont val="Calibri"/>
        <family val="2"/>
        <scheme val="minor"/>
      </rPr>
      <t>2</t>
    </r>
    <r>
      <rPr>
        <b/>
        <sz val="11"/>
        <color theme="3"/>
        <rFont val="Calibri"/>
        <family val="2"/>
        <scheme val="minor"/>
      </rPr>
      <t xml:space="preserve"> </t>
    </r>
    <r>
      <rPr>
        <b/>
        <sz val="11"/>
        <rFont val="Calibri"/>
        <family val="2"/>
        <scheme val="minor"/>
      </rPr>
      <t>Worst-case native unstable bits under PVT variations (%)</t>
    </r>
  </si>
  <si>
    <t>bit error rate (BER) at nominal voltage achieved before applying stability enhancement</t>
  </si>
  <si>
    <t>Post-stability enhancement BER (%) (column T)</t>
  </si>
  <si>
    <r>
      <rPr>
        <b/>
        <sz val="11"/>
        <color rgb="FFFF0000"/>
        <rFont val="Calibri"/>
        <family val="2"/>
        <scheme val="minor"/>
      </rPr>
      <t>3</t>
    </r>
    <r>
      <rPr>
        <b/>
        <sz val="11"/>
        <rFont val="Calibri"/>
        <family val="2"/>
        <scheme val="minor"/>
      </rPr>
      <t xml:space="preserve"> Native Bit Error Rate (BER) at nominal conditions (%)</t>
    </r>
  </si>
  <si>
    <r>
      <rPr>
        <b/>
        <sz val="11"/>
        <color rgb="FFFF0000"/>
        <rFont val="Calibri"/>
        <family val="2"/>
        <scheme val="minor"/>
      </rPr>
      <t>3</t>
    </r>
    <r>
      <rPr>
        <b/>
        <sz val="11"/>
        <rFont val="Calibri"/>
        <family val="2"/>
        <scheme val="minor"/>
      </rPr>
      <t xml:space="preserve"> Native Bit Error Rate (BER) at nominal conditions</t>
    </r>
  </si>
  <si>
    <r>
      <rPr>
        <b/>
        <sz val="11"/>
        <color rgb="FFFF0000"/>
        <rFont val="Calibri"/>
        <family val="2"/>
        <scheme val="minor"/>
      </rPr>
      <t>4</t>
    </r>
    <r>
      <rPr>
        <b/>
        <sz val="11"/>
        <rFont val="Calibri"/>
        <family val="2"/>
        <scheme val="minor"/>
      </rPr>
      <t xml:space="preserve"> Voltage range (V)</t>
    </r>
  </si>
  <si>
    <r>
      <rPr>
        <b/>
        <sz val="11"/>
        <color rgb="FFFF0000"/>
        <rFont val="Calibri"/>
        <family val="2"/>
        <scheme val="minor"/>
      </rPr>
      <t>4</t>
    </r>
    <r>
      <rPr>
        <b/>
        <sz val="11"/>
        <rFont val="Calibri"/>
        <family val="2"/>
        <scheme val="minor"/>
      </rPr>
      <t xml:space="preserve"> Temperature range (C) </t>
    </r>
  </si>
  <si>
    <r>
      <rPr>
        <b/>
        <sz val="11"/>
        <color rgb="FFFF0000"/>
        <rFont val="Calibri"/>
        <family val="2"/>
        <scheme val="minor"/>
      </rPr>
      <t>4</t>
    </r>
    <r>
      <rPr>
        <b/>
        <sz val="11"/>
        <rFont val="Calibri"/>
        <family val="2"/>
        <scheme val="minor"/>
      </rPr>
      <t xml:space="preserve"> Temperature range (</t>
    </r>
    <r>
      <rPr>
        <b/>
        <vertAlign val="superscript"/>
        <sz val="11"/>
        <rFont val="Calibri"/>
        <family val="2"/>
        <scheme val="minor"/>
      </rPr>
      <t>o</t>
    </r>
    <r>
      <rPr>
        <b/>
        <sz val="11"/>
        <rFont val="Calibri"/>
        <family val="2"/>
        <scheme val="minor"/>
      </rPr>
      <t xml:space="preserve">C) </t>
    </r>
  </si>
  <si>
    <r>
      <rPr>
        <b/>
        <sz val="11"/>
        <color rgb="FFFF0000"/>
        <rFont val="Calibri"/>
        <family val="2"/>
        <scheme val="minor"/>
      </rPr>
      <t>5</t>
    </r>
    <r>
      <rPr>
        <b/>
        <sz val="11"/>
        <color theme="3"/>
        <rFont val="Calibri"/>
        <family val="2"/>
        <scheme val="minor"/>
      </rPr>
      <t xml:space="preserve"> </t>
    </r>
    <r>
      <rPr>
        <b/>
        <sz val="11"/>
        <rFont val="Calibri"/>
        <family val="2"/>
        <scheme val="minor"/>
      </rPr>
      <t>Bit flip increase per 0.1 V supply voltage (%/0.1V)</t>
    </r>
  </si>
  <si>
    <r>
      <rPr>
        <b/>
        <sz val="11"/>
        <color rgb="FFFF0000"/>
        <rFont val="Calibri"/>
        <family val="2"/>
        <scheme val="minor"/>
      </rPr>
      <t>5</t>
    </r>
    <r>
      <rPr>
        <b/>
        <sz val="11"/>
        <color theme="3"/>
        <rFont val="Calibri"/>
        <family val="2"/>
        <scheme val="minor"/>
      </rPr>
      <t xml:space="preserve"> </t>
    </r>
    <r>
      <rPr>
        <b/>
        <sz val="11"/>
        <rFont val="Calibri"/>
        <family val="2"/>
        <scheme val="minor"/>
      </rPr>
      <t>Bit flip increase per 10 degC temperature (%/10degC)</t>
    </r>
  </si>
  <si>
    <t>sensitivity to voltage/temperature fluctuations, as defined by the average slope of bit error rate trend versus V (or T)</t>
  </si>
  <si>
    <r>
      <rPr>
        <b/>
        <sz val="11"/>
        <color rgb="FFFF0000"/>
        <rFont val="Calibri"/>
        <family val="2"/>
        <scheme val="minor"/>
      </rPr>
      <t xml:space="preserve">6 </t>
    </r>
    <r>
      <rPr>
        <b/>
        <sz val="11"/>
        <rFont val="Calibri"/>
        <family val="2"/>
        <scheme val="minor"/>
      </rPr>
      <t>Type of stability enhancement</t>
    </r>
  </si>
  <si>
    <t>Type of stability enhancement</t>
  </si>
  <si>
    <r>
      <rPr>
        <b/>
        <sz val="11"/>
        <color rgb="FFFF0000"/>
        <rFont val="Calibri"/>
        <family val="2"/>
        <scheme val="minor"/>
      </rPr>
      <t>7</t>
    </r>
    <r>
      <rPr>
        <b/>
        <sz val="11"/>
        <rFont val="Calibri"/>
        <family val="2"/>
        <scheme val="minor"/>
      </rPr>
      <t xml:space="preserve"> Post-enhancement Bit Error Rate under PVT variations</t>
    </r>
  </si>
  <si>
    <r>
      <rPr>
        <b/>
        <sz val="11"/>
        <color rgb="FFFF0000"/>
        <rFont val="Calibri"/>
        <family val="2"/>
        <scheme val="minor"/>
      </rPr>
      <t xml:space="preserve">8 </t>
    </r>
    <r>
      <rPr>
        <b/>
        <sz val="11"/>
        <rFont val="Calibri"/>
        <family val="2"/>
        <scheme val="minor"/>
      </rPr>
      <t>Area per bit (F</t>
    </r>
    <r>
      <rPr>
        <b/>
        <vertAlign val="superscript"/>
        <sz val="11"/>
        <rFont val="Calibri"/>
        <family val="2"/>
        <scheme val="minor"/>
      </rPr>
      <t>2</t>
    </r>
    <r>
      <rPr>
        <b/>
        <sz val="11"/>
        <rFont val="Calibri"/>
        <family val="2"/>
        <scheme val="minor"/>
      </rPr>
      <t xml:space="preserve"> / bit)</t>
    </r>
  </si>
  <si>
    <r>
      <rPr>
        <b/>
        <sz val="11"/>
        <color rgb="FFFF0000"/>
        <rFont val="Calibri"/>
        <family val="2"/>
        <scheme val="minor"/>
      </rPr>
      <t xml:space="preserve">8 </t>
    </r>
    <r>
      <rPr>
        <b/>
        <sz val="11"/>
        <rFont val="Calibri"/>
        <family val="2"/>
        <scheme val="minor"/>
      </rPr>
      <t>Effective area per bit (F</t>
    </r>
    <r>
      <rPr>
        <b/>
        <vertAlign val="superscript"/>
        <sz val="11"/>
        <rFont val="Calibri"/>
        <family val="2"/>
        <scheme val="minor"/>
      </rPr>
      <t>2</t>
    </r>
    <r>
      <rPr>
        <b/>
        <sz val="11"/>
        <rFont val="Calibri"/>
        <family val="2"/>
        <scheme val="minor"/>
      </rPr>
      <t xml:space="preserve"> / bit)</t>
    </r>
  </si>
  <si>
    <r>
      <rPr>
        <b/>
        <sz val="11"/>
        <color rgb="FFFF0000"/>
        <rFont val="Calibri"/>
        <family val="2"/>
        <scheme val="minor"/>
      </rPr>
      <t>9</t>
    </r>
    <r>
      <rPr>
        <b/>
        <sz val="11"/>
        <color theme="3"/>
        <rFont val="Calibri"/>
        <family val="2"/>
        <scheme val="minor"/>
      </rPr>
      <t xml:space="preserve">       </t>
    </r>
    <r>
      <rPr>
        <b/>
        <sz val="11"/>
        <rFont val="Calibri"/>
        <family val="2"/>
        <scheme val="minor"/>
      </rPr>
      <t>Bias</t>
    </r>
  </si>
  <si>
    <r>
      <rPr>
        <b/>
        <sz val="11"/>
        <color rgb="FFFF0000"/>
        <rFont val="Calibri"/>
        <family val="2"/>
        <scheme val="minor"/>
      </rPr>
      <t>9</t>
    </r>
    <r>
      <rPr>
        <b/>
        <sz val="11"/>
        <rFont val="Calibri"/>
        <family val="2"/>
        <scheme val="minor"/>
      </rPr>
      <t xml:space="preserve">        Diff bias</t>
    </r>
  </si>
  <si>
    <r>
      <rPr>
        <b/>
        <sz val="11"/>
        <color rgb="FFFF0000"/>
        <rFont val="Calibri"/>
        <family val="2"/>
        <scheme val="minor"/>
      </rPr>
      <t>10</t>
    </r>
    <r>
      <rPr>
        <b/>
        <sz val="11"/>
        <color theme="3"/>
        <rFont val="Calibri"/>
        <family val="2"/>
        <scheme val="minor"/>
      </rPr>
      <t xml:space="preserve"> </t>
    </r>
    <r>
      <rPr>
        <b/>
        <sz val="11"/>
        <rFont val="Calibri"/>
        <family val="2"/>
        <scheme val="minor"/>
      </rPr>
      <t>Inter-PUF FHD</t>
    </r>
  </si>
  <si>
    <r>
      <rPr>
        <b/>
        <sz val="11"/>
        <color rgb="FFFF0000"/>
        <rFont val="Calibri"/>
        <family val="2"/>
        <scheme val="minor"/>
      </rPr>
      <t>10</t>
    </r>
    <r>
      <rPr>
        <b/>
        <sz val="11"/>
        <color theme="3"/>
        <rFont val="Calibri"/>
        <family val="2"/>
        <scheme val="minor"/>
      </rPr>
      <t xml:space="preserve"> </t>
    </r>
    <r>
      <rPr>
        <b/>
        <sz val="11"/>
        <rFont val="Calibri"/>
        <family val="2"/>
        <scheme val="minor"/>
      </rPr>
      <t>Intra-PUF FHD</t>
    </r>
  </si>
  <si>
    <r>
      <rPr>
        <b/>
        <sz val="11"/>
        <color rgb="FFFF0000"/>
        <rFont val="Calibri"/>
        <family val="2"/>
        <scheme val="minor"/>
      </rPr>
      <t xml:space="preserve">11 </t>
    </r>
    <r>
      <rPr>
        <b/>
        <sz val="11"/>
        <rFont val="Calibri"/>
        <family val="2"/>
        <scheme val="minor"/>
      </rPr>
      <t>Identifiability</t>
    </r>
  </si>
  <si>
    <r>
      <rPr>
        <b/>
        <sz val="11"/>
        <color rgb="FFFF0000"/>
        <rFont val="Calibri"/>
        <family val="2"/>
        <scheme val="minor"/>
      </rPr>
      <t xml:space="preserve">11 </t>
    </r>
    <r>
      <rPr>
        <b/>
        <sz val="11"/>
        <rFont val="Calibri"/>
        <family val="2"/>
        <scheme val="minor"/>
      </rPr>
      <t>3-sigma Identifiability</t>
    </r>
  </si>
  <si>
    <r>
      <rPr>
        <b/>
        <sz val="11"/>
        <color rgb="FFFF0000"/>
        <rFont val="Calibri"/>
        <family val="2"/>
        <scheme val="minor"/>
      </rPr>
      <t>9</t>
    </r>
    <r>
      <rPr>
        <b/>
        <sz val="11"/>
        <color theme="3"/>
        <rFont val="Calibri"/>
        <family val="2"/>
        <scheme val="minor"/>
      </rPr>
      <t xml:space="preserve"> </t>
    </r>
    <r>
      <rPr>
        <b/>
        <sz val="11"/>
        <rFont val="Calibri"/>
        <family val="2"/>
        <scheme val="minor"/>
      </rPr>
      <t>Bias</t>
    </r>
  </si>
  <si>
    <r>
      <rPr>
        <b/>
        <sz val="11"/>
        <color rgb="FFFF0000"/>
        <rFont val="Calibri"/>
        <family val="2"/>
        <scheme val="minor"/>
      </rPr>
      <t>9</t>
    </r>
    <r>
      <rPr>
        <b/>
        <sz val="11"/>
        <color theme="3"/>
        <rFont val="Calibri"/>
        <family val="2"/>
        <scheme val="minor"/>
      </rPr>
      <t xml:space="preserve"> </t>
    </r>
    <r>
      <rPr>
        <b/>
        <sz val="11"/>
        <rFont val="Calibri"/>
        <family val="2"/>
        <scheme val="minor"/>
      </rPr>
      <t>Diff bias</t>
    </r>
  </si>
  <si>
    <r>
      <rPr>
        <b/>
        <sz val="11"/>
        <color rgb="FFFF0000"/>
        <rFont val="Calibri"/>
        <family val="2"/>
        <scheme val="minor"/>
      </rPr>
      <t xml:space="preserve">12 </t>
    </r>
    <r>
      <rPr>
        <b/>
        <sz val="11"/>
        <rFont val="Calibri"/>
        <family val="2"/>
        <scheme val="minor"/>
      </rPr>
      <t>Autocorrelation function</t>
    </r>
  </si>
  <si>
    <t>probability of having a PUF bit equal to 1 in the PUF array</t>
  </si>
  <si>
    <r>
      <rPr>
        <b/>
        <sz val="11"/>
        <color rgb="FFFF0000"/>
        <rFont val="Calibri"/>
        <family val="2"/>
        <scheme val="minor"/>
      </rPr>
      <t>9</t>
    </r>
    <r>
      <rPr>
        <b/>
        <sz val="11"/>
        <rFont val="Calibri"/>
        <family val="2"/>
        <scheme val="minor"/>
      </rPr>
      <t xml:space="preserve">        Entropy</t>
    </r>
  </si>
  <si>
    <r>
      <rPr>
        <b/>
        <sz val="11"/>
        <color rgb="FFFF0000"/>
        <rFont val="Calibri"/>
        <family val="2"/>
        <scheme val="minor"/>
      </rPr>
      <t>9</t>
    </r>
    <r>
      <rPr>
        <b/>
        <sz val="11"/>
        <color theme="3"/>
        <rFont val="Calibri"/>
        <family val="2"/>
        <scheme val="minor"/>
      </rPr>
      <t xml:space="preserve"> </t>
    </r>
    <r>
      <rPr>
        <b/>
        <sz val="11"/>
        <rFont val="Calibri"/>
        <family val="2"/>
        <scheme val="minor"/>
      </rPr>
      <t>Entropy</t>
    </r>
  </si>
  <si>
    <t>Shannon entropy</t>
  </si>
  <si>
    <r>
      <rPr>
        <b/>
        <sz val="11"/>
        <color rgb="FFFF0000"/>
        <rFont val="Calibri"/>
        <family val="2"/>
        <scheme val="minor"/>
      </rPr>
      <t>5</t>
    </r>
    <r>
      <rPr>
        <b/>
        <sz val="11"/>
        <rFont val="Calibri"/>
        <family val="2"/>
        <scheme val="minor"/>
      </rPr>
      <t xml:space="preserve"> Bit flip increase per 0.1V supply voltage (%/0.1V)</t>
    </r>
  </si>
  <si>
    <r>
      <rPr>
        <b/>
        <sz val="11"/>
        <color rgb="FFFF0000"/>
        <rFont val="Calibri"/>
        <family val="2"/>
        <scheme val="minor"/>
      </rPr>
      <t>5</t>
    </r>
    <r>
      <rPr>
        <b/>
        <sz val="11"/>
        <rFont val="Calibri"/>
        <family val="2"/>
        <scheme val="minor"/>
      </rPr>
      <t xml:space="preserve"> Bit flip increase per 10 degC (%/10degC)</t>
    </r>
  </si>
  <si>
    <t>Native BER (%) (column N)</t>
  </si>
  <si>
    <t>Area (F2) (column Y)</t>
  </si>
  <si>
    <t>Post-stability enhancement BER (%) (column T with addition of column N for designs with no info on column T - in grey)</t>
  </si>
  <si>
    <t>Metastability-based TRNGs are on the higher end of the throughput spectrum, although they are not improving over time due to the heavier effect of mismatch, and hence amount of post-processing to suppress it. Jitter- and chaotic map-based TRNGs generally have lower throughput than metastability-based chaotic maps. The benefits brought by different randomness sources in hybrid TRNGs is making them particularly well suted for mid-to-high throughput.</t>
  </si>
  <si>
    <t>Y. Wang et al., "A Homogeneous, Reconfigurable, and Efficient Implementation of PUF in 3-D Selector-Free RRAM," in  IEEE Tran. Electron Devices, vol. 68, no. 5, pp. 2577-2581, May 2021.</t>
  </si>
  <si>
    <t>TED</t>
  </si>
  <si>
    <t>Beijing Institute of Technology</t>
  </si>
  <si>
    <t>-3/3/5 V</t>
  </si>
  <si>
    <t>0-150</t>
  </si>
  <si>
    <t>B. Park, D. Forte, M. M. Tehranipoor, N. Maghari, "A Metal-Via Resistance Based Physically Unclonable Function With Backend
Incremental ADC," IEEE Trans. on Circuits and Systems - part I, vol. 68, no. 11, pp. 4700-4709, Nov. 2021</t>
  </si>
  <si>
    <t>0.9-1.4</t>
  </si>
  <si>
    <t>Tuning in digitization circuitry</t>
  </si>
  <si>
    <r>
      <rPr>
        <b/>
        <sz val="11"/>
        <color rgb="FFFF0000"/>
        <rFont val="Calibri"/>
        <family val="2"/>
        <scheme val="minor"/>
      </rPr>
      <t xml:space="preserve">8 </t>
    </r>
    <r>
      <rPr>
        <b/>
        <sz val="11"/>
        <rFont val="Calibri"/>
        <family val="2"/>
        <scheme val="minor"/>
      </rPr>
      <t>Effective area per bit for weak PUFs (F</t>
    </r>
    <r>
      <rPr>
        <b/>
        <vertAlign val="superscript"/>
        <sz val="11"/>
        <rFont val="Calibri"/>
        <family val="2"/>
        <scheme val="minor"/>
      </rPr>
      <t>2</t>
    </r>
    <r>
      <rPr>
        <b/>
        <sz val="11"/>
        <rFont val="Calibri"/>
        <family val="2"/>
        <scheme val="minor"/>
      </rPr>
      <t xml:space="preserve"> / bit), or total area for strong PUFs (F</t>
    </r>
    <r>
      <rPr>
        <b/>
        <vertAlign val="superscript"/>
        <sz val="11"/>
        <rFont val="Calibri"/>
        <family val="2"/>
        <scheme val="minor"/>
      </rPr>
      <t>2</t>
    </r>
    <r>
      <rPr>
        <b/>
        <sz val="11"/>
        <rFont val="Calibri"/>
        <family val="2"/>
        <scheme val="minor"/>
      </rPr>
      <t>) including stability enhancement</t>
    </r>
  </si>
  <si>
    <t>Access</t>
  </si>
  <si>
    <t>Chungbuk National University</t>
  </si>
  <si>
    <t>1-1.4</t>
  </si>
  <si>
    <t>0-75</t>
  </si>
  <si>
    <r>
      <rPr>
        <b/>
        <sz val="11"/>
        <color rgb="FFFF0000"/>
        <rFont val="Calibri"/>
        <family val="2"/>
        <scheme val="minor"/>
      </rPr>
      <t xml:space="preserve">8 </t>
    </r>
    <r>
      <rPr>
        <b/>
        <sz val="11"/>
        <rFont val="Calibri"/>
        <family val="2"/>
        <scheme val="minor"/>
      </rPr>
      <t>Area per bit for weak PUFs (F</t>
    </r>
    <r>
      <rPr>
        <b/>
        <vertAlign val="superscript"/>
        <sz val="11"/>
        <rFont val="Calibri"/>
        <family val="2"/>
        <scheme val="minor"/>
      </rPr>
      <t>2</t>
    </r>
    <r>
      <rPr>
        <b/>
        <sz val="11"/>
        <rFont val="Calibri"/>
        <family val="2"/>
        <scheme val="minor"/>
      </rPr>
      <t xml:space="preserve"> / bit), or total area for strong PUFs (F</t>
    </r>
    <r>
      <rPr>
        <b/>
        <vertAlign val="superscript"/>
        <sz val="11"/>
        <rFont val="Calibri"/>
        <family val="2"/>
        <scheme val="minor"/>
      </rPr>
      <t>2</t>
    </r>
    <r>
      <rPr>
        <b/>
        <sz val="11"/>
        <rFont val="Calibri"/>
        <family val="2"/>
        <scheme val="minor"/>
      </rPr>
      <t>)</t>
    </r>
  </si>
  <si>
    <r>
      <t>Area per bit for weak PUFs (</t>
    </r>
    <r>
      <rPr>
        <b/>
        <sz val="11"/>
        <rFont val="Symbol"/>
        <family val="1"/>
        <charset val="2"/>
      </rPr>
      <t>m</t>
    </r>
    <r>
      <rPr>
        <b/>
        <sz val="11"/>
        <rFont val="Calibri"/>
        <family val="2"/>
        <scheme val="minor"/>
      </rPr>
      <t>m</t>
    </r>
    <r>
      <rPr>
        <b/>
        <vertAlign val="superscript"/>
        <sz val="11"/>
        <rFont val="Calibri"/>
        <family val="2"/>
        <scheme val="minor"/>
      </rPr>
      <t>2</t>
    </r>
    <r>
      <rPr>
        <b/>
        <sz val="11"/>
        <rFont val="Calibri"/>
        <family val="2"/>
        <scheme val="minor"/>
      </rPr>
      <t>), or total area for strong PUFs (</t>
    </r>
    <r>
      <rPr>
        <b/>
        <sz val="11"/>
        <rFont val="Symbol"/>
        <family val="1"/>
        <charset val="2"/>
      </rPr>
      <t>m</t>
    </r>
    <r>
      <rPr>
        <b/>
        <sz val="11"/>
        <rFont val="Calibri"/>
        <family val="2"/>
        <scheme val="minor"/>
      </rPr>
      <t>m</t>
    </r>
    <r>
      <rPr>
        <b/>
        <vertAlign val="superscript"/>
        <sz val="11"/>
        <rFont val="Calibri"/>
        <family val="2"/>
        <scheme val="minor"/>
      </rPr>
      <t>2</t>
    </r>
    <r>
      <rPr>
        <b/>
        <sz val="11"/>
        <rFont val="Calibri"/>
        <family val="2"/>
        <scheme val="minor"/>
      </rPr>
      <t>)</t>
    </r>
  </si>
  <si>
    <r>
      <t>total PUF area normalized to F</t>
    </r>
    <r>
      <rPr>
        <vertAlign val="superscript"/>
        <sz val="11"/>
        <color theme="1"/>
        <rFont val="Calibri"/>
        <family val="2"/>
        <scheme val="minor"/>
      </rPr>
      <t>2</t>
    </r>
    <r>
      <rPr>
        <sz val="11"/>
        <color theme="1"/>
        <rFont val="Calibri"/>
        <family val="2"/>
        <scheme val="minor"/>
      </rPr>
      <t xml:space="preserve"> divided by number of extracted bits for weak PUFs (including periphery, stability enhancement circuit and multi-bit/bitcell), total PUF area normalized to F</t>
    </r>
    <r>
      <rPr>
        <vertAlign val="superscript"/>
        <sz val="11"/>
        <color theme="1"/>
        <rFont val="Calibri"/>
        <family val="2"/>
        <scheme val="minor"/>
      </rPr>
      <t>2</t>
    </r>
    <r>
      <rPr>
        <sz val="11"/>
        <color theme="1"/>
        <rFont val="Calibri"/>
        <family val="2"/>
        <scheme val="minor"/>
      </rPr>
      <t xml:space="preserve"> for strong PUFs</t>
    </r>
  </si>
  <si>
    <r>
      <t>elementary bit cell area normalized to F</t>
    </r>
    <r>
      <rPr>
        <vertAlign val="superscript"/>
        <sz val="11"/>
        <color theme="1"/>
        <rFont val="Calibri"/>
        <family val="2"/>
        <scheme val="minor"/>
      </rPr>
      <t>2</t>
    </r>
    <r>
      <rPr>
        <sz val="11"/>
        <color theme="1"/>
        <rFont val="Calibri"/>
        <family val="2"/>
        <scheme val="minor"/>
      </rPr>
      <t xml:space="preserve"> for technology-independent comparison (F = minimum feature size, evaluated in the same way for both weak and strong PUFs)</t>
    </r>
  </si>
  <si>
    <t>-20-125</t>
  </si>
  <si>
    <t>20-80</t>
  </si>
  <si>
    <t>Y.-C. Lai, C.-Y. Yao , S.-H. Yang, Y.-W. Wu, T.-T. Liu, "A Robust Area-Efficient Physically Unclonable
Function With High Machine Learning Attack
Resilience in 28-nm CMOS," IEEE Trans. on Circuits and Systems - part I, vol. 69, no. 1, pp. 347-355, Jan. 2022</t>
  </si>
  <si>
    <t>NTU (Taiwan)</t>
  </si>
  <si>
    <t>NTU (Singapore)</t>
  </si>
  <si>
    <t>-40-100</t>
  </si>
  <si>
    <t>Modeling attack counteraction in strong PUFs?</t>
  </si>
  <si>
    <t>Prediction error rate in machine learning attacks in strong PUFs (%)</t>
  </si>
  <si>
    <t>V. Suresh, R. Kumar, M. Anders, H. Kaul,
V. De, S. Mathew, "A 0.26% BER, 1028 Challenge-Response Machine-Learning Resistant Strong-PUF in 14nm CMOS Featuring Stability-Aware Adversarial Challenge Selection," IEEE Symp. VLSI Circuits, 2020.</t>
  </si>
  <si>
    <t>2-stage non-linear PUF array</t>
  </si>
  <si>
    <t>0.65-0.85</t>
  </si>
  <si>
    <t>Bits (physical bits generated)</t>
  </si>
  <si>
    <t>P. P. Crystals, X. Lu, L. Hong, and K. Sengupta, “CMOS Optical PUFs Using Noise-Immune Incorporating Passive Variations,” IEEE J. Solid-State Circuits, vol. 53, no. 9, pp. 2709–2721, Sept. 2018.</t>
  </si>
  <si>
    <t>Y. Cao, C. Q. Liu, C.-H. Chang , "A Low Power Diode-Clamped Inverter-Based Strong Physical Unclonable Function for Robust and Lightweight Authentication," IEEE Trans. on Circuits and Systems - part I, vol. 65, no. 11, pp. 3864-3873, Nov. 2018.</t>
  </si>
  <si>
    <t>diode-clamped</t>
  </si>
  <si>
    <t>-40-90</t>
  </si>
  <si>
    <t>0.9-1.3</t>
  </si>
  <si>
    <t>3-3.8</t>
  </si>
  <si>
    <t>S. Larimian, M. R. Mahmoodi, D. B. Strukov, "Lightweight Integrated Design of PUF and
TRNG Security Primitives Based on eFlash
Memory in 55-nm CMOS," IEEE Trans. on Electron Devices, vo. 67, no. 4, pp. 1586-1592, April 2020.</t>
  </si>
  <si>
    <t>UCSB</t>
  </si>
  <si>
    <t>M. Vatalaro, R. De Rose, M. Lanuzza, F. Crupi, "Static CMOS Physically Unclonable Function Based on 4T Voltage Divider With 0.6%-1.5% Bit Instability at 0.4-1.8 V Operation in 180 nm," IEEE Journal of Solid-State Circuits (in print)</t>
  </si>
  <si>
    <t>University of Calabria</t>
  </si>
  <si>
    <t>4T voltage divider</t>
  </si>
  <si>
    <t xml:space="preserve">Intel </t>
  </si>
  <si>
    <t>S. K. Satpathy, S. K. Mathew, R. Kumar, V. Suresh, M. A. Anders, H. Kaul, A. Agarwal, S. Hsu, R. K. Krishnamurthy, V. De, “An All-Digital Unified Physically Unclonable Function and True Random Number Generator Featuring Self-Calibrating
Hierarchical Von Neumann Extraction in 14-nm Tri-Gate CMOS,” IEEE Journal of Solid-State Circuits, vol. 54, no. 4, pp. 1074–1085, Apr. 2019.</t>
  </si>
  <si>
    <t>0.4-1.8</t>
  </si>
  <si>
    <t>10-80</t>
  </si>
  <si>
    <t>J. Liu, Y. Zhu, C.-H. Chan, R. Paulo Martins, "A 0.46pJ/bit Ultralow-Power Entropy-Preselection-Based Strong PUF with Worst-Case BER&lt;6.7×10-6," in Proc. of ASSCC, Busan (Korea), Nov. 2021</t>
  </si>
  <si>
    <t>L. Lu, T. T.-H. Kim, "A Programmable 6T SRAM-Based PUF with Dynamic Stability Data Masking," in Proc. of ASSCC, Busan (Korea), Nov. 2021</t>
  </si>
  <si>
    <t>SSC-L</t>
  </si>
  <si>
    <t>IEEE Solid-State Circuits Letters</t>
  </si>
  <si>
    <t>IEEE Journal of Solid-State Circuits</t>
  </si>
  <si>
    <t>Peking University</t>
  </si>
  <si>
    <t>3T eDRAM leakage</t>
  </si>
  <si>
    <t>S. Taneja and M. Alioto, "Fully Synthesizable All-Digital Unified Dynamic Entropy Generation, Extraction, and Utilization Within the Same Cryptographic Core," IEEE Solid-State Circuits Letters, vol. 3, pp. 402-405, 2020.</t>
  </si>
  <si>
    <t>S. T. Chandrasekaran, V. E. G. Karnam and A. Sanyal, "0.36-mW, 52-Mbps True Random Number Generator Based on a Stochastic Delta–Sigma Modulator," in IEEE Solid-State Circuits Letters, vol. 3, pp. 190-193, March 2020.</t>
  </si>
  <si>
    <t>Published in</t>
  </si>
  <si>
    <t>M. Bucci, R. Luzzi, “Fully Digital Random Bit Generators for Cryptographic Applications,” IEEE Trans. On CAS – part I, vol. 55, no. 3, pp. 861-875, April 2008.</t>
  </si>
  <si>
    <t>M. Bucci, L. Germani, R. Luzzi, A. Trifiletti, M. Varanonuovo, “A high-speed oscillator-based truly random number source for cryptographic applications on a smartcard IC,” IEEE Trans. on Computers, vol. 52, no. 4, pp. 403-409, Apr. 2003.</t>
  </si>
  <si>
    <t>S. Yasuda, H. Satake, T. Tanamoto, R. Ohba, K. Uchida, S. Fujita,, “Physical Random Number Generator Based on MOS structure after soft breakdown,” IEEE Journal of Solid-State Circuits, vol. 39, no. 8, pp. 1375-1377, Aug. 2004.</t>
  </si>
  <si>
    <t>TC</t>
  </si>
  <si>
    <t>IEEE Transactions on Computers</t>
  </si>
  <si>
    <t>Architecture</t>
  </si>
  <si>
    <t>Min. voltage (V)</t>
  </si>
  <si>
    <t>Max. voltage (V)</t>
  </si>
  <si>
    <t>Min. throughput (Mbps)</t>
  </si>
  <si>
    <t>Max. throughput (Mbps)</t>
  </si>
  <si>
    <r>
      <t>Area (F</t>
    </r>
    <r>
      <rPr>
        <b/>
        <vertAlign val="superscript"/>
        <sz val="11"/>
        <color rgb="FF000000"/>
        <rFont val="Verdana"/>
        <family val="2"/>
      </rPr>
      <t>2</t>
    </r>
    <r>
      <rPr>
        <b/>
        <sz val="11"/>
        <color rgb="FF000000"/>
        <rFont val="Verdana"/>
        <family val="2"/>
      </rPr>
      <t>)</t>
    </r>
  </si>
  <si>
    <t>Min. energy (pJ/bit)</t>
  </si>
  <si>
    <t>Max. energy (pJ/bit)</t>
  </si>
  <si>
    <t>Calibration needed</t>
  </si>
  <si>
    <t>Entropy extractor</t>
  </si>
  <si>
    <r>
      <t xml:space="preserve">Resilient against </t>
    </r>
    <r>
      <rPr>
        <b/>
        <i/>
        <sz val="11"/>
        <color rgb="FF000000"/>
        <rFont val="Verdana"/>
        <family val="2"/>
      </rPr>
      <t>V</t>
    </r>
    <r>
      <rPr>
        <b/>
        <i/>
        <vertAlign val="subscript"/>
        <sz val="11"/>
        <color rgb="FF000000"/>
        <rFont val="Verdana"/>
        <family val="2"/>
      </rPr>
      <t>DD</t>
    </r>
  </si>
  <si>
    <t>R. Brederlow, R. Prakash, C. Paulus, R. Thewes, “A low-power true random number generator using random telegraph noise of single oxide-traps,” in IEEE ISSCC Dig. Tech. Papers, Feb. 2006, pp. 1666–1675.</t>
  </si>
  <si>
    <t>F. Pareschi, G. Setti, R. Rovatti, “A fast chaos-based true random number generator for cryptographic applications,” in Proc. ESSCIRC2006, Montreux (Switzerland), pp. 130–133, Sept. 2006.</t>
  </si>
  <si>
    <t>V. von Kaenel, T. Takayanagi, “Dual true random number generators for cryptographic applications embedded on a 200 million device dual CPU SoC,” in Proc. of CICC, pp. 269–272, 2007.</t>
  </si>
  <si>
    <t>C. Tokunaga, D. Blaauw, T. Mudge, “True random number generator with a metastability-based quality control,” IEEE Journal of Solid-State Circuits, vol. 43, no. 1, pp. 78-85, Jan. 2008.</t>
  </si>
  <si>
    <t>M. Matsumoto, S. Yasuda, R. Ohba, K. Ikegami, T. Tanamoto, S. Fujita, “1200 μm2 physical random-number generators based on SiN MOSFET for secure smart-card application,” ISSCC Dig. Tech. Papers, 2008.</t>
  </si>
  <si>
    <t>N. Liu, N. Pinckney, S. Hanson, D. Sylvester, D. Blaauw, “A True Random Number Generator using Time-Dependent Dielectric Breakdown,” Symposium on VLSI Circuits, 2011.</t>
  </si>
  <si>
    <t>S. K. Mathew, S. Srinivasan, M. A. Anders, "2.4 Gbps, 7 mW All-Digital PVT-Variation Tolerant True Random Number Generator for 45 nm CMOS High-Performance Microprocessors," IEEE Journal of Solid-State Circuits, vol. 47, no. 11, pp. 2807-2821, Nov. 2012.</t>
  </si>
  <si>
    <t>K. Yang, K. Yang, D. Fick, M. B. Henry, Y. Lee, D. Blaauw, D. Sylvester, "A 23Mb/s 23pJ/b fully synthesized true-random number generator in 28nm and 65nm CMOS," ISSCC Dig. Tech. Papers, 2014, pp. 280-281.</t>
  </si>
  <si>
    <t>T. Kuan, Y. Chiang, S. Liu, "A 0.43pJ/bit true random number generator," in Proc. of ASSCC, KaoHsiung (Taiwan), pp. 33-36, 2014.</t>
  </si>
  <si>
    <t>S. N. Dhanuskodi, A. Vijayakumar, S. Kundu, "A Chaotic Ring oscillator based Random Number Generator," in Proc. of HOST, pp. 160-165, 2014.</t>
  </si>
  <si>
    <t>S. K. Mathew, D. Johnston, S. Satpathy, "µRNG: A 300–950 mV, 323 Gbps/W All-Digital Full-Entropy True Random Number Generator in 14 nm FinFET CMOS," IEEE Journal of Solid-State Circuits, vol. 51, no. 7, pp. 1695-1704, July 2016.</t>
  </si>
  <si>
    <t>K. Yang, D. Blaauw, D. Sylvester, "An All-Digital Edge Racing True Random Number Generator Robust Against PVT Variations," IEEE Journal of Solid-State Circuits, vol. 51, no. 4, pp. 1022-1031, April 2016.</t>
  </si>
  <si>
    <t>N. Massari et al., "A 16x16 pixels SPAD-based 128-Mb/s quantum random number generator with -74dB light rejection ratio and -6.7ppm/C bias sensitivity on temperature," ISSCC Dig. Tech. Papers, 2016.</t>
  </si>
  <si>
    <t>E. Kim, M. Lee, J. Kim, "8Mb/s 28Mb/mJ robust true-random-number generator in 65nm CMOS based on differential ring oscillator with feedback resistors," ISSCC Dig. Tech. Papers, 2017.</t>
  </si>
  <si>
    <t>S.-G. Bae, Y. Kim, Y. Park, C. Kim, “3-Gb/s High-Speed True Random Number Generator Using Common-Mode Operating Comparator and Sampling Uncertainty of D Flip-Flop,” IEEE Journal of Solid-state Circuits, vol. 52, no. 2, pp. 605-610, Feb. 2017.</t>
  </si>
  <si>
    <t>R. Zhang, X. Wang, L. Wang, X. Chen, F. Yang, K. Liu, H. Shinohara, "A 0.186-pJ per Bit Latch-Based True Random Number Generator with Mismatch Compensation and Random Noise Enhancement," Symposium on VLSI Circuits, 2021.</t>
  </si>
  <si>
    <t>analog</t>
  </si>
  <si>
    <t>delay</t>
  </si>
  <si>
    <t>memory</t>
  </si>
  <si>
    <t>monostable</t>
  </si>
  <si>
    <t>memory (volatile)</t>
  </si>
  <si>
    <t>memory (non-volatile)</t>
  </si>
  <si>
    <t>hybrid</t>
  </si>
  <si>
    <t>latch symmetric</t>
  </si>
  <si>
    <t>arbiter</t>
  </si>
  <si>
    <t>latch</t>
  </si>
  <si>
    <t>unified PUF+TRNG w/ Von Neumann extraction</t>
  </si>
  <si>
    <t>unified PUF+TRNG in eFlash</t>
  </si>
  <si>
    <t>custom SRAM</t>
  </si>
  <si>
    <t>Waseda University</t>
  </si>
  <si>
    <t>buskeeper</t>
  </si>
  <si>
    <t>current mirror-based</t>
  </si>
  <si>
    <t>arbiter-SOTB</t>
  </si>
  <si>
    <t>soft BD-PUF</t>
  </si>
  <si>
    <t>sub VT inverter</t>
  </si>
  <si>
    <t>sub VT latch</t>
  </si>
  <si>
    <t>unified PUF+TRNG in RRAM array</t>
  </si>
  <si>
    <t>sub VT inverter w/ XOR network</t>
  </si>
  <si>
    <t>S. Larimian, M. R. Mahmoodi, D. B. Strukov, "Lightweight Integrated Design of PUF and TRNG Security Primitives Based on eFlash Memory in 55-nm CMOS," IEEE Trans. on Electron Devices, vo. 67, no. 4, pp. 1586-1592, April 2020.</t>
  </si>
  <si>
    <t>double read out under current noise in Flash cells</t>
  </si>
  <si>
    <r>
      <t>Area (</t>
    </r>
    <r>
      <rPr>
        <b/>
        <sz val="11"/>
        <rFont val="Symbol"/>
        <family val="1"/>
        <charset val="2"/>
      </rPr>
      <t>m</t>
    </r>
    <r>
      <rPr>
        <b/>
        <sz val="11"/>
        <rFont val="Calibri"/>
        <family val="2"/>
        <scheme val="minor"/>
      </rPr>
      <t>m</t>
    </r>
    <r>
      <rPr>
        <b/>
        <vertAlign val="superscript"/>
        <sz val="11"/>
        <rFont val="Calibri"/>
        <family val="2"/>
        <scheme val="minor"/>
      </rPr>
      <t>2</t>
    </r>
    <r>
      <rPr>
        <b/>
        <sz val="11"/>
        <rFont val="Calibri"/>
        <family val="2"/>
        <scheme val="minor"/>
      </rPr>
      <t>)</t>
    </r>
  </si>
  <si>
    <t>K. Yang et al., "A 28nm Integrated True Random Number Generator Harvesting Entropy from MRAM," 2018 IEEE Symposium on VLSI Circuits, Honolulu, HI, 2018, pp. 171-172.</t>
  </si>
  <si>
    <t>M. Kim, U. Ha, K. J. Lee, Y. Lee, H.-J. Yoo, "A 82-nW Chaotic Map True Random Number Generator Based on a Sub-Ranging SAR ADC," IEEE Journal of Solid-State Circuits, vol. 52, no. 7, pp. 1953-1965, July 2017.</t>
  </si>
  <si>
    <t>unified ADC+TRNG</t>
  </si>
  <si>
    <t>Min. power (W)</t>
  </si>
  <si>
    <t>Max. power (W)</t>
  </si>
  <si>
    <t>A. T. Do, X. Liu, "25 fJ/bit, 5Mb/s, 0.3 V true random number generator with capacitively-coupled chaos system," in Proc. of ASSCC, Seoul (Korea), 2017.</t>
  </si>
  <si>
    <t>Q. Ding, H. Jiang, J. Li, C. Liu, J. Yu, P. Chen, Y. Zhao, Y. Ding, T. Gong, Q. Luo, J. Yang, Q. Liu, H. Lv, M. Liu, "Unified 0.75pJ/Bit TRNG and Attack Resilient 2F2/Bit PUF for Robust Hardware Security Solutions with 4-layer Stacking 3D NbOx Threshold Switching Array," in Proc. of IEDM 2021, San Francisco, USA, Dec. 2021, pp. 39.2.1-39.2.4.</t>
  </si>
  <si>
    <t>IEDM</t>
  </si>
  <si>
    <t>IME Beijing</t>
  </si>
  <si>
    <t>unified crossbar+PUF+TRNG in 3D threshold switching crossbar based on leakage mismatch</t>
  </si>
  <si>
    <t>VLSI-DAT</t>
  </si>
  <si>
    <t>X. Wang, R. Zhang, Y. Wang, K. Liu, X. Wang, H. Shinohara, "A 0.116pJ/bit Latch-Based True Random Number Generator with Static Inverter Selection and Noise Enhancement," in Proc. of VLSI-DAT 2022, April 2022.</t>
  </si>
  <si>
    <t>8-bit von Neumann w/ waiting circuit</t>
  </si>
  <si>
    <t>J. Yang, D. Wu, A. Lee, S. A. Razavi, P. Gupta, K. L. Wang, S. Pamarti, "A Calibration-Free In-Memory True Random Number Generator Using Voltage-Controlled MRAM," in Proc. of ESSCIRC 2021, pp. 115-118, Sept. 2021.</t>
  </si>
  <si>
    <t>IEEE VLSI-DAT Symposium</t>
  </si>
  <si>
    <t>binary weighted stochastic number generator</t>
  </si>
  <si>
    <t>in-memory unified VC-MRAM+TRNG without calibration</t>
  </si>
  <si>
    <t>X. Cheng, H. Zhu, X. Xing, Y. Zhang, Y. Zhang, G. Xie, Z. Zhang, "A Feedback Architecture of High Speed True Random Number Generator based on Ring Oscillator," in Proc. of IEEE ASSCC 2021, Nov. 2021.</t>
  </si>
  <si>
    <t>tetrahedral ring oscillator</t>
  </si>
  <si>
    <t>Y. Cao, X. Zhao, W. Zheng, Y. Zheng, C.-H. Chang, "A New Energy-Efficient and High Throughput
Two-Phase Multi-Bit per Cycle Ring
Oscillator-Based True Random
Number Generator," IEEE Trans. on Circuits and Systems - part I, vol. 69, no. 1, pp. 272-283, Jan. 2022.</t>
  </si>
  <si>
    <t>J. Park, B. Kim, J.-Y. Sim, "A PVT-Tolerant Oscillation-Collapse-Based True Random Number Generator with an Odd Number of Inverter Stages," in print on IEEE Trans. on Circuits and Systems - part II, 2022</t>
  </si>
  <si>
    <t>TCAS 2</t>
  </si>
  <si>
    <t>oscillation collapse</t>
  </si>
  <si>
    <t>AsianHOST</t>
  </si>
  <si>
    <t>Asian Hardware Oriented Security and Trust Symposium</t>
  </si>
  <si>
    <t>A. Olgun, M. Patel, A. G. Yağlıkçı, H. Luo, J. S. Kim, F. N. Bostancı, N. Vijaykumar,_x0002_O. Ergin, O. Mutlu, "QUAC-TRNG: High-Throughput True Random Number Generation Using Quadruple Row Activation in Commodity DRAM Chips," in Proc. of ISCA 2021, June 2021.</t>
  </si>
  <si>
    <t>ISCA</t>
  </si>
  <si>
    <t>IEEE International Symposium on Computer Architecture</t>
  </si>
  <si>
    <t>quadruple row activation in commodity DRAM</t>
  </si>
  <si>
    <t>SHA-256</t>
  </si>
  <si>
    <t>Min energy/bit (pJ/bit, column P)</t>
  </si>
  <si>
    <t>Max throughput (bps) (column K)</t>
  </si>
  <si>
    <t>Area (um2) (column N)</t>
  </si>
  <si>
    <t>Weak PUF trends</t>
  </si>
  <si>
    <t>TREND LINES (exponential, % found from slope of ln(curve))</t>
  </si>
  <si>
    <t>TREND OVER THE YEARS (discarding data with poor fitting)</t>
  </si>
  <si>
    <t>(outliers eliminated for PUF trends in bold)</t>
  </si>
  <si>
    <t>TREND LINES (exponential, manually taking out old or significant outliers or data lacking of statistical significance)</t>
  </si>
  <si>
    <t>Strong PUF trends</t>
  </si>
  <si>
    <t>chaotic maps</t>
  </si>
  <si>
    <r>
      <t>The area efficiency of TRNGs is consistently improving beyond allowed by technology scaling for most architectures, as shown by the area normalized to F</t>
    </r>
    <r>
      <rPr>
        <b/>
        <vertAlign val="superscript"/>
        <sz val="12"/>
        <color theme="1"/>
        <rFont val="Calibri"/>
        <family val="2"/>
        <scheme val="minor"/>
      </rPr>
      <t xml:space="preserve">2 </t>
    </r>
    <r>
      <rPr>
        <b/>
        <sz val="12"/>
        <color theme="1"/>
        <rFont val="Calibri"/>
        <family val="2"/>
        <scheme val="minor"/>
      </rPr>
      <t xml:space="preserve">(F=minimum feature size of the process). Chaotic maps, hybrid and other TRNG classes are exhibiting the most pronounced improvements, thanks to the recent adoption of more or mostly-digital approaches. Jitter-based TRNGs still exhibit quite pronounced improvements, thanks to the recent adoption of PVT-resilient schemes and noise enhancements.
The best-in-class area efficiency is achieved by specific demonstrations belonging to the jitter-based and chaotic map TRNGs.
</t>
    </r>
  </si>
  <si>
    <t>The energy of TRNGs keeps decreasing significantly, especially for chaotic maps, jitter-based and expectedly hybrid architectures. These classes are benefitting from energy downscaling well beyond allowed by technology scaling. As an exception, metastability-based TRNGs are experiencing a moderate increase in their consumption, again due to the progressively heavier effect of mismatch, and hence amount of post-processing to suppress it. However, their energy efficiency is still competitive and near to best-in-class.
Best-in-class energy efficiency is achieved by specific demonstrations belonging to the jitter-based, chaotic map and metastability-based TRNGs.</t>
  </si>
  <si>
    <t>sense amplifier-based</t>
  </si>
  <si>
    <t>unified temperature sensor+PUF SRAM with multi-bit/bitcell PUF</t>
  </si>
  <si>
    <t>multi-bit/bitcell BD-PUF</t>
  </si>
  <si>
    <t>Y. Choi, B. Karpinskyy, K.-M. Ahn, Y. Kim,
S. Kwon, J. Park, Y. Lee, M. Noh, "Physically Unclonable Function in 28nm FDSOI Technology Achieving High Reliability for AEC-Q100 Grade 1 and 1SO26262 ASIL-B," 2020 IEEE International Solid- State Circuits Conference - (ISSCC), San Francisco, CA, USA, 2020, pp. 426-428.</t>
  </si>
  <si>
    <t>J. Song, H. Luo, X. Tang, K. Xu, Z. Ji, Y. Wang, R. Wang, R. Huang, "A 3T eDRAM In-Memory Physically Unclonable Function With Spatial Majority Voting Stabilization," IEEE Solid-State Circuits Letters, vol. 5, no. 3, pp. 58-61, March 2022.</t>
  </si>
  <si>
    <r>
      <t>The area per bit improvements of raw weak PUFs (i.e., pre-ECC) are slightly more pronounced in memory-based and analog solutions. Such improvements are taking place faster than allowed by technology scaling only, as shown by the plot of the area normalized to F</t>
    </r>
    <r>
      <rPr>
        <b/>
        <vertAlign val="superscript"/>
        <sz val="12"/>
        <color theme="1"/>
        <rFont val="Calibri"/>
        <family val="2"/>
        <scheme val="minor"/>
      </rPr>
      <t>2</t>
    </r>
    <r>
      <rPr>
        <b/>
        <sz val="12"/>
        <color theme="1"/>
        <rFont val="Calibri"/>
        <family val="2"/>
        <scheme val="minor"/>
      </rPr>
      <t xml:space="preserve"> (F = minimum feature size of the process) over the years. Monostable PUFs essentially scale at the same pace enabled by technology scaling, being mostly-digital circuits. Metastability-based PUFs tend to be on the higher side of the silicon area range. Delay-based PUFs are not taking full advantage of technology scaling and are scaling slower than it would allow, due to cost of peripheral circuits to preserve margin against PVT variations.</t>
    </r>
  </si>
  <si>
    <t>B. Gao, B. Lin, X. Li, J. Tang, H. Qian, H. Wu, "A Unified PUF and TRNG Design Based on 40-nm RRAM With High Entropy and Robustness for IoT Security," IEEE Trans. on Electron Devices, vol. 69, no. 2, Feb. 2022.</t>
  </si>
  <si>
    <t>Again, trend identification is quite harder than weak PUFs. As only clear trend, delay-based strong PUFs are degrading in terms of stability. This degradation is not particularly significant, as strong PUFs are used in authentication schemes that inherently tolerate limited instability and hence do not require sophisticated BER enhancement (e.g., ECC).
Best-in-class native stability (&lt;1%) is provided by metastability- and memory-based PUF instances.</t>
  </si>
  <si>
    <r>
      <t>In strong PUFs, no clear trend is identified in terms of BER after post-processing for stability enhancement.
Best-in-class post-stability enhancement stability (&lt;10</t>
    </r>
    <r>
      <rPr>
        <b/>
        <vertAlign val="superscript"/>
        <sz val="12"/>
        <rFont val="Calibri"/>
        <family val="2"/>
        <scheme val="minor"/>
      </rPr>
      <t>-5</t>
    </r>
    <r>
      <rPr>
        <b/>
        <sz val="12"/>
        <rFont val="Calibri"/>
        <family val="2"/>
        <scheme val="minor"/>
      </rPr>
      <t>%) is provided by metastability-, volatile memory- and delay-based PUF instances.</t>
    </r>
  </si>
  <si>
    <t>No clear trend can be identified within the limited population of silicon demonstrations of strong PUFs. Nevertheless, memory-based, delay-based and monostable strong PUFs exhibit the best energy efficiency down to the sub-100 fJ/bit range.</t>
  </si>
  <si>
    <t>two-phase ring oscillator with multi-bit/cycle randomness</t>
  </si>
  <si>
    <t>unified PUF+TRNG in foundry SRAM based on leakage fluctuation accumulation (multi-bit/bitcell)</t>
  </si>
  <si>
    <t>Y. He, Q. Yu, K. Yang, "A Lossless and Modeling Attack-Resistant Strong PUF with &lt;4E-8 Bit Error Rate," in Proc. of CICC 2022.</t>
  </si>
  <si>
    <r>
      <rPr>
        <b/>
        <sz val="11"/>
        <color rgb="FFFF0000"/>
        <rFont val="Calibri"/>
        <family val="2"/>
        <scheme val="minor"/>
      </rPr>
      <t>7</t>
    </r>
    <r>
      <rPr>
        <b/>
        <sz val="11"/>
        <rFont val="Calibri"/>
        <family val="2"/>
        <scheme val="minor"/>
      </rPr>
      <t xml:space="preserve"> Post-enhancement BER (%) under PVT variations (max/upper bound from available sample, enhancement in column R)</t>
    </r>
  </si>
  <si>
    <t>type of enhancement adopted to mitigate the instability rate (see table on the side)</t>
  </si>
  <si>
    <t xml:space="preserve">The native stability of raw PUFs is not improving over time, as shown by the increasing trend of the BER. The BER increase is moderate in digital PUF architectures such as memory-based and monostable PUFs. Instead, the BER increase is particularly pronounced in metastability-based and analog PUFs, due to the prominence of noise (e.g., thermal noise) and the unfeasible power cost for its reduction.
On the other hand, in the best cases the native BER (i.e., even without stability enhancement) has reached adequately low levels that allow the suppression of ECC. This is enabled by eDRAM memory-based PUFs, oxide rupture as a working principle, and the wide process variations in RRAM memory arrays.
</t>
  </si>
  <si>
    <t>% bit error rate (BER*100) achieved after applying stability enhancement (or its upper bound for PUFs found to have "zero" BER in the finite set of experiments considered - i.e., 1 error across all experiments equal to # of dice * # of PUF bits/die * iterations)</t>
  </si>
  <si>
    <t>Bit redundancy</t>
  </si>
  <si>
    <t>S. Baek, G.-H. Yu, J. Kim, C. T. Ngo,
J. K. Eshraghian, J.-P. Hong, "A Reconfigurable SRAM Based CMOS PUF With Challenge to Response Pairs," IEEE Access, vol. 9, pp. 79947-79960, Sept. 2021</t>
  </si>
  <si>
    <t>2,3</t>
  </si>
  <si>
    <t>Throughput vs normalized area (bps vs F2)</t>
  </si>
  <si>
    <t>Throughput vs area (bps vs um2)</t>
  </si>
  <si>
    <t>Throughput vs energy (bps vs pJ/bit)</t>
  </si>
  <si>
    <t>Energy vs normalized area (pJ/bit vs F2)</t>
  </si>
  <si>
    <r>
      <t>Normalized area (F</t>
    </r>
    <r>
      <rPr>
        <b/>
        <vertAlign val="superscript"/>
        <sz val="11"/>
        <color theme="1"/>
        <rFont val="Calibri"/>
        <family val="2"/>
        <scheme val="minor"/>
      </rPr>
      <t>2</t>
    </r>
    <r>
      <rPr>
        <b/>
        <sz val="11"/>
        <color theme="1"/>
        <rFont val="Calibri"/>
        <family val="2"/>
        <scheme val="minor"/>
      </rPr>
      <t>) (column O)</t>
    </r>
  </si>
  <si>
    <t>Energy vs area (pJ/bit vs um2)</t>
  </si>
  <si>
    <t>CAVEAT: scatter plots with unequal x-axis values across series need to have numerical values to function correctly. To this aim, add a "0" (or another off-scale number) where there is no value to be reported in a cell</t>
  </si>
  <si>
    <r>
      <t xml:space="preserve">The throughput-energy tradeoff is most favorable in jitter-based TRNGs, leading to a full-throughput power consumption in the </t>
    </r>
    <r>
      <rPr>
        <b/>
        <sz val="12"/>
        <color theme="1"/>
        <rFont val="Symbol"/>
        <family val="1"/>
        <charset val="2"/>
      </rPr>
      <t>m</t>
    </r>
    <r>
      <rPr>
        <b/>
        <sz val="12"/>
        <color theme="1"/>
        <rFont val="Calibri"/>
        <family val="2"/>
        <scheme val="minor"/>
      </rPr>
      <t>W to mW range. Some specific instances of chaotic maps and metastability-based TRNGs are also equivalent to the best jitter-based ones in terms of throughput-energy tradeoff and hence power efficiency. The same figure shows that the adoption of multiple entropy sources in hybrid TRNGs inevitably pushes their power on the higher end of its overall range.</t>
    </r>
  </si>
  <si>
    <t>The throughput of TRNGs is consistently increasing in most TRNG architectures, supporting the exchange of larger volumes of data with fresher keys. The multi-Gbps range is reached by best-in-class TRNGs, whereas it is in the 1-100 Mbps range for most of the others.
Metastability-based TRNGs are on the higher end of the throughput spectrum, although they are worsening over time due to the progressively heavier effect of mismatch, and hence the number of raw bits to be post-processed to extract each output bit. Until the recent past, jitter-based TRNGs generally had lower throughput than metastability-based chaotic maps or comparable. In the last few years, the substantial throughput improvements in jitter-based TRNGs has made them more competitive than chaotic map-based ones, and comparable to metastability-based ones. In the last decade, the benefits brought by different randomness sources in hybrid TRNGs is making them particularly well suited for mid-to-high throughput.</t>
  </si>
  <si>
    <t>unified TRNG+ADC (noise+jitter)</t>
  </si>
  <si>
    <t>K. Liu, Y. Min, X. Yang, H. Sun, and H. Shinohara, "A 373-F2 0.21%-Native-BER EE SRAM Physically
Unclonable Function With 2-D Power-Gated Bit
Cells and VSS Bias-Based Dark-Bit Detection," IEEE Journal of Solid-State Circuits, vol. 55, no. 6, pp.  1719-1732, June 2020</t>
  </si>
  <si>
    <t>4,10</t>
  </si>
  <si>
    <r>
      <rPr>
        <b/>
        <sz val="11"/>
        <color rgb="FFFF0000"/>
        <rFont val="Calibri"/>
        <family val="2"/>
        <scheme val="minor"/>
      </rPr>
      <t xml:space="preserve">12 </t>
    </r>
    <r>
      <rPr>
        <b/>
        <sz val="11"/>
        <rFont val="Calibri"/>
        <family val="2"/>
        <scheme val="minor"/>
      </rPr>
      <t>Autocorrelation Function (95% confidence)</t>
    </r>
  </si>
  <si>
    <t xml:space="preserve">The stability after post-processing is significantly improving in most PUF architectures, especially in non-volatile memory-based and analog PUFs. Volatile memory-based weak PUFs are also substantially improving. Monostable PUF stability is becoming divergent with a rapidly improving trend for some of recent demonstrations equipped with machine learning for run-time PVT margin handling and self-healing, and a moderately increasing BER for some others.
The comparison of post-stability enhancement and native BER clearly shows that post-processing substantially improves BER across most PUF classes, as well as its improvements over time (i.e., innovation is also making post-processing more effective). As an exception, metastability-based PUFs are on the higher side of the post-stability enhancement range, and are experiencing a degradation over time due to the substantial increase in the native BER (see plot of native BER).
In addition to classes that are natively stable enough (see plot of native BER), ECC-less operation after stability enhancement is also allowed in e-DRAM PUFs, HCI-enhanced SRAM PUFs, and monostable PUFs through machine learning-based run-time margin adjustment and self-healing, as well as a senseamp-based PUF instance.
</t>
  </si>
  <si>
    <t>custom SRAM w/ dynamic stability data masking</t>
  </si>
  <si>
    <t>The sparse introduction of new strong PUFs makes trend identification harder than weak PUFs. As only clear trends, delay-based strong PUFs are not degrading in terms of area efficiency, and somewhat improving over time. Within the small sample size of volatile memory-based strong PUFs, much faster improvements are being introduced thanks to circuits and architectures that introduce lower area overhead compared to the memory array baseline.</t>
  </si>
  <si>
    <t>Y. Luo, J. Zhang, J. Hao and X. Zhao, "A 2.5 pJ/bit PVT-Tolerant True Random Number Generator Based on Native-NMOS-Regulated Ring Oscillator," IEEE Transactions on Circuits and Systems II: Express Briefs (EARLY ACCESS)</t>
  </si>
  <si>
    <t>TCAS-II</t>
  </si>
  <si>
    <t>ring oscillator</t>
  </si>
  <si>
    <t>Y. He and K. Yang, "A Fully Synthesizable 100Mbps Edge-Chasing True Random Number Generator," Symposium on VLSI Technology &amp; Circuits, 2023</t>
  </si>
  <si>
    <t>two-edge ring oscillator</t>
  </si>
  <si>
    <t>automatic self-calibration</t>
  </si>
  <si>
    <t>V. R. Pamula, X. Sun, S. Kim, F. Rahman, B. Zhang, V. S. Sathe, “An All-Digital True-Random-Number Generator with Integrated De-correlation and Bias Correction at 3.2-to-86 MB/S, 2.58 PJ/Bit in 65-nm CMOS,” IEEE Symp. on VLSI Circuits, 2018.</t>
  </si>
  <si>
    <t>LUT</t>
  </si>
  <si>
    <t>−</t>
  </si>
  <si>
    <t>0.4-0.6</t>
  </si>
  <si>
    <t>8E−7</t>
  </si>
  <si>
    <t>TCAS-I</t>
  </si>
  <si>
    <t>IME &amp; NTU (Singapore)</t>
  </si>
  <si>
    <t>0.5-1.0</t>
  </si>
  <si>
    <t>4k</t>
  </si>
  <si>
    <t>1.5-1.9</t>
  </si>
  <si>
    <t>2, 4, 8</t>
  </si>
  <si>
    <t>UFL</t>
  </si>
  <si>
    <t>gate leakage</t>
  </si>
  <si>
    <t>weak
PUF-assisted strong PUF</t>
  </si>
  <si>
    <t>0.45-0.55</t>
  </si>
  <si>
    <t>Weak/Strong</t>
  </si>
  <si>
    <t>amplifier chain and XOR</t>
  </si>
  <si>
    <t>1.06-1.55</t>
  </si>
  <si>
    <t>algorithm based mismatch hardening</t>
  </si>
  <si>
    <t>0.6-0.7</t>
  </si>
  <si>
    <t>0-70</t>
  </si>
  <si>
    <t>1.77E−9</t>
  </si>
  <si>
    <t>contact resistance</t>
  </si>
  <si>
    <t>1.35-1.65</t>
  </si>
  <si>
    <t>current integration NAND-based</t>
  </si>
  <si>
    <t>K. Liu, G. Li, Z. Fu, X. Wang, and H. Shinohara, “A 2.17-pJ/b 5b-Response Attack-Resistant Strong PUF with Enhanced Statistical Performance,” in Proc. of ESSCIRC 2022, Milan, Italy, 2022, pp. 513–516.</t>
  </si>
  <si>
    <t>J. Lee, M. Kim, M. Jeong, G. Shin and Y. Lee, "A 20F2/Bit Current-Integration-Based Differential NAND-Structured PUF for Stable and V/T Variation-Tolerant Low-Cost IoT Security," IEEE Journal of Solid-State Circuits, vol. 57, no. 10, pp. 2957-2968, Oct. 2022.</t>
  </si>
  <si>
    <t>J. Zhang et al., "A 4T/Cell Amplifier-Chain-Based XOR PUF With Strong Machine Learning Attack Resilience," IEEE Transactions on Circuits and Systems I: Regular Papers, vol. 69, no. 1, pp. 366-377, Jan. 2022.</t>
  </si>
  <si>
    <t>Y. He, D. Li, Z. Yu and K. Yang, "ASCH-PUF: A “Zero” Bit Error Rate CMOS Physically Unclonable Function With Dual-Mode Low-Cost Stabilization," IEEE Journal of Solid-State Circuits, vol. 58, no. 7, pp. 2087-2097, July 2023.</t>
  </si>
  <si>
    <t>D. Jeon, D. Lee, D. K. Kim and B. -D. Choi, "A 325F2 Physical Unclonable Function Based on Contact Failure Probability With Bit Error Rate &lt; 0.43 ppm After Preselection With 0.0177% Discard Ratio," IEEE Journal of Solid-State Circuits, vol. 58, no. 4, pp. 1185-1196, April 2023.</t>
  </si>
  <si>
    <t>L. Lu, T. Yoo, and T. Kim, "A 6T SRAM Based Two-Dimensional Configurable Challenge-Response PUF for Portable Devices," IEEE Trans. on Circuits and Systems - part I, vol. 69, no. 6, pp. 2542-2552, June 2022.</t>
  </si>
  <si>
    <t>B. Park and N. Maghari, "A 183F2 Gate Leakage-Based Physically Unclonable Function With Area Efficient Current Tilting-Based Masking Scheme," in Proc. of ESSCIRC 2022, Milan, Italy, 2022, pp. 517–520.</t>
  </si>
  <si>
    <t>S. -H. Yang and T.-T. Liu, "A Highly Stable Physically Unclonable Function Using Algorithm-Based Mismatch Hardening Technique in 28-nm CMOS," IEEE Transactions on Circuits and Systems I: Regular Papers, vol. 70, no. 1, pp. 280-289, Jan. 2023.</t>
  </si>
  <si>
    <t>J. Liu, Y. Zhao, Y. Zhu, C.-H. Chan and R. P. Martins, "A Weak PUF-Assisted Strong PUF With Inherent Immunity to Modeling Attacks and Ultra-Low BER," IEEE Transactions on Circuits and Systems I: Regular Papers, vol. 69, no. 12, pp. 4898-4907, Dec. 2022.</t>
  </si>
  <si>
    <t>J. Basu, Sachin Taneja, V. Konandur Rajanna, T. Wang, M. Alioto, “ECC-Less Multi-Level SRAM Physically Unclonable Function and 127% PUF-to-Memory Capacity Ratio with No Bitcell Modification in 28nm,” in Proc. of VLSI Symposium 2023, Kyoto (Japan), June 2023, pp. C12-3 1/2</t>
  </si>
  <si>
    <t>mismatch amplification and oscillator collapse</t>
  </si>
  <si>
    <t>Hanyang University</t>
  </si>
  <si>
    <t>University of Macau</t>
  </si>
  <si>
    <t>Pohang University</t>
  </si>
  <si>
    <t>Sungkyunkwan University</t>
  </si>
  <si>
    <t>inverter-based PUF with low-cost stabilization</t>
  </si>
  <si>
    <t>unified PUF+TRNG in foundry SRAM with multi-bit/bitcell (2 bits/bitcell)</t>
  </si>
  <si>
    <t>SRAM with multi-bit/bitcell</t>
  </si>
  <si>
    <t>Energy per bit keeps improving relentlessly and faster than allowed by pure technology scaling for digital PUF classes. The energy of analog PUFs is also significantly decreasing, although it remains on the higher side of the energy range.
The energy/bit in best-in-class PUFs is achieved by monostable PUFs and is in the fJ/bit range and below. Further reductions are largely un-necessary since the overall power to generate static entropy would be dominated by post-processing (and/or ECC) building blocks anyway.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</si>
</sst>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00"/>
    <numFmt numFmtId="165" formatCode="0.0000"/>
    <numFmt numFmtId="166" formatCode="0.000E+00"/>
    <numFmt numFmtId="167" formatCode="0.0E+00"/>
  </numFmts>
  <fonts count="35" x14ac:knownFonts="1">
    <font>
      <sz val="11"/>
      <color theme="1"/>
      <name val="Calibri"/>
      <family val="2"/>
      <scheme val="minor"/>
    </font>
    <font>
      <b/>
      <sz val="14"/>
      <color theme="1"/>
      <name val="Calibri"/>
      <family val="2"/>
      <scheme val="minor"/>
    </font>
    <font>
      <b/>
      <sz val="9"/>
      <color indexed="81"/>
      <name val="Tahoma"/>
      <family val="2"/>
    </font>
    <font>
      <sz val="9"/>
      <color indexed="81"/>
      <name val="Tahoma"/>
      <family val="2"/>
    </font>
    <font>
      <sz val="11"/>
      <color rgb="FFFF0000"/>
      <name val="Calibri"/>
      <family val="2"/>
      <scheme val="minor"/>
    </font>
    <font>
      <b/>
      <sz val="11"/>
      <color theme="3"/>
      <name val="Calibri"/>
      <family val="2"/>
      <scheme val="minor"/>
    </font>
    <font>
      <b/>
      <sz val="11"/>
      <color theme="1"/>
      <name val="Calibri"/>
      <family val="2"/>
      <scheme val="minor"/>
    </font>
    <font>
      <sz val="11"/>
      <name val="Calibri"/>
      <family val="2"/>
      <scheme val="minor"/>
    </font>
    <font>
      <b/>
      <sz val="11"/>
      <name val="Calibri"/>
      <family val="2"/>
      <scheme val="minor"/>
    </font>
    <font>
      <b/>
      <sz val="11"/>
      <color rgb="FFFF0000"/>
      <name val="Calibri"/>
      <family val="2"/>
      <scheme val="minor"/>
    </font>
    <font>
      <b/>
      <vertAlign val="superscript"/>
      <sz val="11"/>
      <name val="Calibri"/>
      <family val="2"/>
      <scheme val="minor"/>
    </font>
    <font>
      <b/>
      <sz val="18"/>
      <color theme="1"/>
      <name val="Calibri"/>
      <family val="2"/>
      <scheme val="minor"/>
    </font>
    <font>
      <i/>
      <sz val="11"/>
      <name val="Calibri"/>
      <family val="2"/>
      <scheme val="minor"/>
    </font>
    <font>
      <i/>
      <sz val="11"/>
      <color theme="1"/>
      <name val="Calibri"/>
      <family val="2"/>
      <scheme val="minor"/>
    </font>
    <font>
      <b/>
      <sz val="12"/>
      <color theme="1"/>
      <name val="Calibri"/>
      <family val="2"/>
      <scheme val="minor"/>
    </font>
    <font>
      <vertAlign val="superscript"/>
      <sz val="11"/>
      <color theme="1"/>
      <name val="Calibri"/>
      <family val="2"/>
      <scheme val="minor"/>
    </font>
    <font>
      <b/>
      <vertAlign val="superscript"/>
      <sz val="11"/>
      <color theme="1"/>
      <name val="Calibri"/>
      <family val="2"/>
      <scheme val="minor"/>
    </font>
    <font>
      <b/>
      <vertAlign val="superscript"/>
      <sz val="12"/>
      <color theme="1"/>
      <name val="Calibri"/>
      <family val="2"/>
      <scheme val="minor"/>
    </font>
    <font>
      <b/>
      <sz val="18"/>
      <color rgb="FF0070C0"/>
      <name val="Calibri"/>
      <family val="2"/>
      <scheme val="minor"/>
    </font>
    <font>
      <sz val="11"/>
      <color rgb="FF00B050"/>
      <name val="Calibri"/>
      <family val="2"/>
      <scheme val="minor"/>
    </font>
    <font>
      <sz val="11"/>
      <color rgb="FF00B0F0"/>
      <name val="Calibri"/>
      <family val="2"/>
      <scheme val="minor"/>
    </font>
    <font>
      <sz val="11"/>
      <color rgb="FFFFC000"/>
      <name val="Calibri"/>
      <family val="2"/>
      <scheme val="minor"/>
    </font>
    <font>
      <sz val="11"/>
      <color rgb="FF003399"/>
      <name val="Calibri"/>
      <family val="2"/>
      <scheme val="minor"/>
    </font>
    <font>
      <sz val="11"/>
      <color rgb="FF7030A0"/>
      <name val="Calibri"/>
      <family val="2"/>
      <scheme val="minor"/>
    </font>
    <font>
      <b/>
      <sz val="12"/>
      <name val="Calibri"/>
      <family val="2"/>
      <scheme val="minor"/>
    </font>
    <font>
      <sz val="11"/>
      <color theme="0" tint="-0.249977111117893"/>
      <name val="Calibri"/>
      <family val="2"/>
      <scheme val="minor"/>
    </font>
    <font>
      <b/>
      <sz val="11"/>
      <name val="Symbol"/>
      <family val="1"/>
      <charset val="2"/>
    </font>
    <font>
      <b/>
      <vertAlign val="superscript"/>
      <sz val="11"/>
      <color rgb="FF000000"/>
      <name val="Verdana"/>
      <family val="2"/>
    </font>
    <font>
      <b/>
      <sz val="11"/>
      <color rgb="FF000000"/>
      <name val="Verdana"/>
      <family val="2"/>
    </font>
    <font>
      <b/>
      <i/>
      <sz val="11"/>
      <color rgb="FF000000"/>
      <name val="Verdana"/>
      <family val="2"/>
    </font>
    <font>
      <b/>
      <i/>
      <vertAlign val="subscript"/>
      <sz val="11"/>
      <color rgb="FF000000"/>
      <name val="Verdana"/>
      <family val="2"/>
    </font>
    <font>
      <sz val="11"/>
      <color rgb="FFC00000"/>
      <name val="Calibri"/>
      <family val="2"/>
      <scheme val="minor"/>
    </font>
    <font>
      <b/>
      <sz val="11"/>
      <color theme="0" tint="-0.249977111117893"/>
      <name val="Calibri"/>
      <family val="2"/>
      <scheme val="minor"/>
    </font>
    <font>
      <b/>
      <vertAlign val="superscript"/>
      <sz val="12"/>
      <name val="Calibri"/>
      <family val="2"/>
      <scheme val="minor"/>
    </font>
    <font>
      <b/>
      <sz val="12"/>
      <color theme="1"/>
      <name val="Symbol"/>
      <family val="1"/>
      <charset val="2"/>
    </font>
  </fonts>
  <fills count="5">
    <fill>
      <patternFill patternType="none"/>
    </fill>
    <fill>
      <patternFill patternType="gray125"/>
    </fill>
    <fill>
      <patternFill patternType="solid">
        <fgColor theme="0" tint="-0.249977111117893"/>
        <bgColor indexed="64"/>
      </patternFill>
    </fill>
    <fill>
      <patternFill patternType="solid">
        <fgColor theme="0" tint="-4.9989318521683403E-2"/>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thin">
        <color indexed="64"/>
      </bottom>
      <diagonal/>
    </border>
    <border>
      <left style="thin">
        <color indexed="64"/>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1">
    <xf numFmtId="0" fontId="0" fillId="0" borderId="0"/>
  </cellStyleXfs>
  <cellXfs count="227">
    <xf numFmtId="0" fontId="0" fillId="0" borderId="0" xfId="0"/>
    <xf numFmtId="0" fontId="0" fillId="0" borderId="1" xfId="0" applyBorder="1" applyAlignment="1">
      <alignment horizontal="center" vertical="center"/>
    </xf>
    <xf numFmtId="0" fontId="0" fillId="0" borderId="1" xfId="0" applyBorder="1" applyAlignment="1">
      <alignment horizontal="center" vertical="center" wrapText="1"/>
    </xf>
    <xf numFmtId="0" fontId="0" fillId="0" borderId="1" xfId="0" quotePrefix="1" applyBorder="1" applyAlignment="1">
      <alignment horizontal="center" vertical="center"/>
    </xf>
    <xf numFmtId="0" fontId="4" fillId="0" borderId="0" xfId="0" applyFont="1"/>
    <xf numFmtId="0" fontId="7" fillId="0" borderId="0" xfId="0" applyFont="1" applyAlignment="1">
      <alignment horizontal="center"/>
    </xf>
    <xf numFmtId="0" fontId="0" fillId="0" borderId="0" xfId="0" applyAlignment="1">
      <alignment horizontal="center"/>
    </xf>
    <xf numFmtId="0" fontId="6" fillId="0" borderId="0" xfId="0" applyFont="1" applyAlignment="1">
      <alignment horizontal="center"/>
    </xf>
    <xf numFmtId="0" fontId="11" fillId="0" borderId="0" xfId="0" applyFont="1" applyAlignment="1">
      <alignment horizontal="left"/>
    </xf>
    <xf numFmtId="0" fontId="7" fillId="3" borderId="1" xfId="0" applyFont="1" applyFill="1" applyBorder="1" applyAlignment="1">
      <alignment wrapText="1"/>
    </xf>
    <xf numFmtId="0" fontId="7" fillId="0" borderId="0" xfId="0" applyFont="1"/>
    <xf numFmtId="0" fontId="0" fillId="0" borderId="1" xfId="0" applyBorder="1" applyAlignment="1">
      <alignment horizontal="center"/>
    </xf>
    <xf numFmtId="165" fontId="0" fillId="0" borderId="1" xfId="0" applyNumberFormat="1" applyBorder="1" applyAlignment="1">
      <alignment horizontal="center"/>
    </xf>
    <xf numFmtId="0" fontId="0" fillId="3" borderId="1" xfId="0" applyFill="1" applyBorder="1" applyAlignment="1">
      <alignment wrapText="1"/>
    </xf>
    <xf numFmtId="0" fontId="7" fillId="0" borderId="12" xfId="0" quotePrefix="1" applyFont="1" applyBorder="1" applyAlignment="1">
      <alignment horizontal="center"/>
    </xf>
    <xf numFmtId="0" fontId="0" fillId="0" borderId="13" xfId="0" applyBorder="1" applyAlignment="1">
      <alignment wrapText="1"/>
    </xf>
    <xf numFmtId="0" fontId="0" fillId="0" borderId="13" xfId="0" applyBorder="1" applyAlignment="1">
      <alignment horizontal="center"/>
    </xf>
    <xf numFmtId="0" fontId="0" fillId="0" borderId="13" xfId="0" applyBorder="1" applyAlignment="1">
      <alignment horizontal="center" wrapText="1"/>
    </xf>
    <xf numFmtId="0" fontId="7" fillId="0" borderId="13" xfId="0" applyFont="1" applyBorder="1" applyAlignment="1">
      <alignment horizontal="center"/>
    </xf>
    <xf numFmtId="0" fontId="0" fillId="0" borderId="0" xfId="0" applyAlignment="1">
      <alignment wrapText="1"/>
    </xf>
    <xf numFmtId="0" fontId="0" fillId="0" borderId="0" xfId="0" applyAlignment="1">
      <alignment horizontal="center" wrapText="1"/>
    </xf>
    <xf numFmtId="164" fontId="0" fillId="0" borderId="0" xfId="0" applyNumberFormat="1" applyAlignment="1">
      <alignment horizontal="center" wrapText="1"/>
    </xf>
    <xf numFmtId="165" fontId="0" fillId="0" borderId="0" xfId="0" applyNumberFormat="1" applyAlignment="1">
      <alignment horizontal="center"/>
    </xf>
    <xf numFmtId="2" fontId="0" fillId="0" borderId="0" xfId="0" applyNumberFormat="1" applyAlignment="1">
      <alignment horizontal="center"/>
    </xf>
    <xf numFmtId="0" fontId="0" fillId="4" borderId="0" xfId="0" applyFill="1"/>
    <xf numFmtId="0" fontId="14" fillId="0" borderId="0" xfId="0" applyFont="1" applyAlignment="1">
      <alignment vertical="top" wrapText="1"/>
    </xf>
    <xf numFmtId="0" fontId="6" fillId="4" borderId="0" xfId="0" applyFont="1" applyFill="1"/>
    <xf numFmtId="0" fontId="1" fillId="4" borderId="2" xfId="0" applyFont="1" applyFill="1" applyBorder="1"/>
    <xf numFmtId="0" fontId="1" fillId="4" borderId="3" xfId="0" applyFont="1" applyFill="1" applyBorder="1"/>
    <xf numFmtId="0" fontId="0" fillId="4" borderId="3" xfId="0" applyFill="1" applyBorder="1"/>
    <xf numFmtId="0" fontId="0" fillId="4" borderId="4" xfId="0" applyFill="1" applyBorder="1"/>
    <xf numFmtId="0" fontId="6" fillId="4" borderId="5" xfId="0" applyFont="1" applyFill="1" applyBorder="1"/>
    <xf numFmtId="0" fontId="0" fillId="4" borderId="6" xfId="0" applyFill="1" applyBorder="1"/>
    <xf numFmtId="0" fontId="0" fillId="4" borderId="5" xfId="0" applyFill="1" applyBorder="1"/>
    <xf numFmtId="0" fontId="0" fillId="4" borderId="14" xfId="0" applyFill="1" applyBorder="1" applyAlignment="1">
      <alignment horizontal="center"/>
    </xf>
    <xf numFmtId="0" fontId="0" fillId="4" borderId="5" xfId="0" applyFill="1" applyBorder="1" applyAlignment="1">
      <alignment horizontal="center"/>
    </xf>
    <xf numFmtId="0" fontId="0" fillId="4" borderId="0" xfId="0" applyFill="1" applyAlignment="1">
      <alignment horizontal="center"/>
    </xf>
    <xf numFmtId="0" fontId="5" fillId="4" borderId="5" xfId="0" applyFont="1" applyFill="1" applyBorder="1" applyAlignment="1">
      <alignment horizontal="center"/>
    </xf>
    <xf numFmtId="0" fontId="5" fillId="4" borderId="0" xfId="0" applyFont="1" applyFill="1" applyAlignment="1">
      <alignment horizontal="center"/>
    </xf>
    <xf numFmtId="0" fontId="8" fillId="4" borderId="0" xfId="0" applyFont="1" applyFill="1" applyAlignment="1">
      <alignment horizontal="center" wrapText="1"/>
    </xf>
    <xf numFmtId="0" fontId="0" fillId="4" borderId="7" xfId="0" applyFill="1" applyBorder="1" applyAlignment="1">
      <alignment horizontal="center"/>
    </xf>
    <xf numFmtId="0" fontId="0" fillId="4" borderId="9" xfId="0" applyFill="1" applyBorder="1"/>
    <xf numFmtId="0" fontId="0" fillId="4" borderId="0" xfId="0" applyFill="1" applyAlignment="1">
      <alignment horizontal="left"/>
    </xf>
    <xf numFmtId="0" fontId="8" fillId="4" borderId="5" xfId="0" applyFont="1" applyFill="1" applyBorder="1" applyAlignment="1">
      <alignment horizontal="center" vertical="center" wrapText="1"/>
    </xf>
    <xf numFmtId="0" fontId="6" fillId="4" borderId="0" xfId="0" quotePrefix="1" applyFont="1" applyFill="1"/>
    <xf numFmtId="0" fontId="0" fillId="4" borderId="6" xfId="0" applyFill="1" applyBorder="1" applyAlignment="1">
      <alignment horizontal="center" wrapText="1"/>
    </xf>
    <xf numFmtId="0" fontId="6" fillId="4" borderId="7" xfId="0" applyFont="1" applyFill="1" applyBorder="1" applyAlignment="1">
      <alignment horizontal="center"/>
    </xf>
    <xf numFmtId="0" fontId="6" fillId="4" borderId="8" xfId="0" applyFont="1" applyFill="1" applyBorder="1" applyAlignment="1">
      <alignment horizontal="center"/>
    </xf>
    <xf numFmtId="0" fontId="0" fillId="4" borderId="8" xfId="0" applyFill="1" applyBorder="1"/>
    <xf numFmtId="0" fontId="8" fillId="2" borderId="1" xfId="0" applyFont="1" applyFill="1" applyBorder="1" applyAlignment="1">
      <alignment horizontal="center" vertical="center"/>
    </xf>
    <xf numFmtId="11" fontId="0" fillId="0" borderId="0" xfId="0" applyNumberFormat="1" applyAlignment="1">
      <alignment horizontal="center"/>
    </xf>
    <xf numFmtId="0" fontId="18" fillId="0" borderId="0" xfId="0" applyFont="1"/>
    <xf numFmtId="0" fontId="0" fillId="3" borderId="11" xfId="0" applyFill="1" applyBorder="1" applyAlignment="1">
      <alignment wrapText="1"/>
    </xf>
    <xf numFmtId="0" fontId="7" fillId="3" borderId="1" xfId="0" applyFont="1" applyFill="1" applyBorder="1" applyAlignment="1">
      <alignment horizontal="justify" vertical="center"/>
    </xf>
    <xf numFmtId="0" fontId="0" fillId="3" borderId="1" xfId="0" applyFill="1" applyBorder="1" applyAlignment="1">
      <alignment horizontal="justify" vertical="center"/>
    </xf>
    <xf numFmtId="0" fontId="0" fillId="3" borderId="1" xfId="0" applyFill="1" applyBorder="1" applyAlignment="1">
      <alignment horizontal="center" vertical="center"/>
    </xf>
    <xf numFmtId="0" fontId="0" fillId="3" borderId="1" xfId="0" applyFill="1" applyBorder="1" applyAlignment="1">
      <alignment horizontal="center" vertical="center" wrapText="1"/>
    </xf>
    <xf numFmtId="166" fontId="0" fillId="0" borderId="1" xfId="0" applyNumberFormat="1" applyBorder="1" applyAlignment="1">
      <alignment horizontal="center"/>
    </xf>
    <xf numFmtId="0" fontId="19" fillId="0" borderId="0" xfId="0" applyFont="1"/>
    <xf numFmtId="0" fontId="20" fillId="0" borderId="0" xfId="0" applyFont="1"/>
    <xf numFmtId="0" fontId="21" fillId="0" borderId="0" xfId="0" applyFont="1"/>
    <xf numFmtId="0" fontId="22" fillId="0" borderId="0" xfId="0" applyFont="1"/>
    <xf numFmtId="0" fontId="23" fillId="0" borderId="0" xfId="0" applyFont="1"/>
    <xf numFmtId="0" fontId="0" fillId="3" borderId="1" xfId="0" applyFill="1" applyBorder="1" applyAlignment="1">
      <alignment horizontal="justify" vertical="center" wrapText="1"/>
    </xf>
    <xf numFmtId="0" fontId="0" fillId="3" borderId="10" xfId="0" applyFill="1" applyBorder="1" applyAlignment="1">
      <alignment horizontal="center" vertical="center"/>
    </xf>
    <xf numFmtId="0" fontId="6" fillId="0" borderId="0" xfId="0" applyFont="1" applyAlignment="1">
      <alignment horizontal="left"/>
    </xf>
    <xf numFmtId="0" fontId="22" fillId="4" borderId="0" xfId="0" applyFont="1" applyFill="1"/>
    <xf numFmtId="0" fontId="20" fillId="4" borderId="0" xfId="0" applyFont="1" applyFill="1"/>
    <xf numFmtId="0" fontId="19" fillId="4" borderId="0" xfId="0" applyFont="1" applyFill="1"/>
    <xf numFmtId="0" fontId="21" fillId="4" borderId="0" xfId="0" applyFont="1" applyFill="1"/>
    <xf numFmtId="0" fontId="4" fillId="4" borderId="0" xfId="0" applyFont="1" applyFill="1"/>
    <xf numFmtId="0" fontId="23" fillId="4" borderId="0" xfId="0" applyFont="1" applyFill="1"/>
    <xf numFmtId="0" fontId="8" fillId="4" borderId="5" xfId="0" applyFont="1" applyFill="1" applyBorder="1" applyAlignment="1">
      <alignment horizontal="center" wrapText="1"/>
    </xf>
    <xf numFmtId="0" fontId="8" fillId="4" borderId="0" xfId="0" applyFont="1" applyFill="1" applyAlignment="1">
      <alignment horizontal="center" vertical="center" wrapText="1"/>
    </xf>
    <xf numFmtId="0" fontId="0" fillId="4" borderId="0" xfId="0" applyFill="1" applyAlignment="1">
      <alignment horizontal="left" wrapText="1"/>
    </xf>
    <xf numFmtId="0" fontId="0" fillId="4" borderId="0" xfId="0" applyFill="1" applyAlignment="1">
      <alignment horizontal="left" vertical="center"/>
    </xf>
    <xf numFmtId="0" fontId="0" fillId="4" borderId="0" xfId="0" applyFill="1" applyAlignment="1">
      <alignment horizontal="center" wrapText="1"/>
    </xf>
    <xf numFmtId="0" fontId="7" fillId="0" borderId="0" xfId="0" applyFont="1" applyAlignment="1">
      <alignment horizontal="left" vertical="center" wrapText="1"/>
    </xf>
    <xf numFmtId="0" fontId="5" fillId="4" borderId="0" xfId="0" applyFont="1" applyFill="1" applyAlignment="1">
      <alignment horizontal="center" vertical="center"/>
    </xf>
    <xf numFmtId="0" fontId="25" fillId="0" borderId="13" xfId="0" applyFont="1" applyBorder="1" applyAlignment="1">
      <alignment horizontal="center"/>
    </xf>
    <xf numFmtId="0" fontId="25" fillId="0" borderId="0" xfId="0" applyFont="1" applyAlignment="1">
      <alignment horizontal="center"/>
    </xf>
    <xf numFmtId="0" fontId="24" fillId="0" borderId="0" xfId="0" applyFont="1" applyAlignment="1">
      <alignment vertical="top" wrapText="1"/>
    </xf>
    <xf numFmtId="0" fontId="7" fillId="3" borderId="11" xfId="0" applyFont="1" applyFill="1" applyBorder="1" applyAlignment="1">
      <alignment horizontal="justify" vertical="center" wrapText="1"/>
    </xf>
    <xf numFmtId="0" fontId="7" fillId="3" borderId="11" xfId="0" applyFont="1" applyFill="1" applyBorder="1" applyAlignment="1">
      <alignment wrapText="1"/>
    </xf>
    <xf numFmtId="0" fontId="8" fillId="2" borderId="22" xfId="0" applyFont="1" applyFill="1" applyBorder="1" applyAlignment="1">
      <alignment horizontal="center" wrapText="1"/>
    </xf>
    <xf numFmtId="0" fontId="6" fillId="0" borderId="4" xfId="0" applyFont="1" applyBorder="1" applyAlignment="1">
      <alignment horizontal="center"/>
    </xf>
    <xf numFmtId="0" fontId="4" fillId="0" borderId="6" xfId="0" applyFont="1" applyBorder="1"/>
    <xf numFmtId="0" fontId="0" fillId="0" borderId="6" xfId="0" applyBorder="1"/>
    <xf numFmtId="0" fontId="7" fillId="0" borderId="6" xfId="0" applyFont="1" applyBorder="1"/>
    <xf numFmtId="0" fontId="0" fillId="0" borderId="9" xfId="0" applyBorder="1"/>
    <xf numFmtId="0" fontId="7" fillId="0" borderId="17" xfId="0" applyFont="1" applyBorder="1" applyAlignment="1">
      <alignment horizontal="center" vertical="center"/>
    </xf>
    <xf numFmtId="0" fontId="0" fillId="0" borderId="1" xfId="0" applyBorder="1" applyAlignment="1">
      <alignment vertical="center"/>
    </xf>
    <xf numFmtId="0" fontId="0" fillId="3" borderId="1" xfId="0" applyFill="1" applyBorder="1" applyAlignment="1">
      <alignment horizontal="left" vertical="center" wrapText="1"/>
    </xf>
    <xf numFmtId="0" fontId="7" fillId="3" borderId="1" xfId="0" applyFont="1" applyFill="1" applyBorder="1" applyAlignment="1">
      <alignment horizontal="left" wrapText="1"/>
    </xf>
    <xf numFmtId="11" fontId="0" fillId="3" borderId="1" xfId="0" applyNumberFormat="1" applyFill="1" applyBorder="1" applyAlignment="1">
      <alignment horizontal="center" vertical="center"/>
    </xf>
    <xf numFmtId="0" fontId="0" fillId="0" borderId="4" xfId="0" applyBorder="1"/>
    <xf numFmtId="0" fontId="0" fillId="0" borderId="7" xfId="0" applyBorder="1"/>
    <xf numFmtId="0" fontId="0" fillId="0" borderId="8" xfId="0" applyBorder="1"/>
    <xf numFmtId="0" fontId="0" fillId="3" borderId="23" xfId="0" applyFill="1" applyBorder="1" applyAlignment="1">
      <alignment horizontal="center" vertical="center"/>
    </xf>
    <xf numFmtId="0" fontId="0" fillId="3" borderId="15" xfId="0" applyFill="1" applyBorder="1" applyAlignment="1">
      <alignment horizontal="left" vertical="center" wrapText="1"/>
    </xf>
    <xf numFmtId="0" fontId="0" fillId="3" borderId="15" xfId="0" applyFill="1" applyBorder="1" applyAlignment="1">
      <alignment horizontal="center" vertical="center"/>
    </xf>
    <xf numFmtId="0" fontId="0" fillId="3" borderId="15" xfId="0" applyFill="1" applyBorder="1" applyAlignment="1">
      <alignment horizontal="center" vertical="center" wrapText="1"/>
    </xf>
    <xf numFmtId="0" fontId="8" fillId="2" borderId="24" xfId="0" applyFont="1" applyFill="1" applyBorder="1" applyAlignment="1">
      <alignment horizontal="center"/>
    </xf>
    <xf numFmtId="0" fontId="8" fillId="2" borderId="22" xfId="0" applyFont="1" applyFill="1" applyBorder="1" applyAlignment="1">
      <alignment horizontal="center" vertical="center"/>
    </xf>
    <xf numFmtId="0" fontId="8" fillId="2" borderId="25" xfId="0" applyFont="1" applyFill="1" applyBorder="1" applyAlignment="1">
      <alignment horizontal="center" vertical="center"/>
    </xf>
    <xf numFmtId="0" fontId="31" fillId="0" borderId="0" xfId="0" applyFont="1"/>
    <xf numFmtId="0" fontId="0" fillId="3" borderId="21" xfId="0" applyFill="1" applyBorder="1" applyAlignment="1">
      <alignment horizontal="center" vertical="center" wrapText="1"/>
    </xf>
    <xf numFmtId="0" fontId="7" fillId="3" borderId="1" xfId="0" applyFont="1" applyFill="1" applyBorder="1" applyAlignment="1">
      <alignment horizontal="center" vertical="center"/>
    </xf>
    <xf numFmtId="0" fontId="7" fillId="3" borderId="18" xfId="0" applyFont="1" applyFill="1" applyBorder="1" applyAlignment="1">
      <alignment horizontal="center" vertical="center"/>
    </xf>
    <xf numFmtId="0" fontId="7" fillId="3" borderId="17" xfId="0" applyFont="1" applyFill="1" applyBorder="1" applyAlignment="1">
      <alignment horizontal="center" vertical="center"/>
    </xf>
    <xf numFmtId="0" fontId="7" fillId="3" borderId="1" xfId="0" applyFont="1" applyFill="1" applyBorder="1" applyAlignment="1">
      <alignment horizontal="center" vertical="center" wrapText="1"/>
    </xf>
    <xf numFmtId="0" fontId="0" fillId="3" borderId="11" xfId="0" applyFill="1" applyBorder="1" applyAlignment="1">
      <alignment horizontal="center" vertical="center" wrapText="1"/>
    </xf>
    <xf numFmtId="164" fontId="7" fillId="3" borderId="1" xfId="0" applyNumberFormat="1" applyFont="1" applyFill="1" applyBorder="1" applyAlignment="1">
      <alignment horizontal="center" vertical="center" wrapText="1"/>
    </xf>
    <xf numFmtId="9" fontId="7" fillId="3" borderId="17" xfId="0" applyNumberFormat="1" applyFont="1" applyFill="1" applyBorder="1" applyAlignment="1">
      <alignment horizontal="center" vertical="center"/>
    </xf>
    <xf numFmtId="0" fontId="7" fillId="3" borderId="17" xfId="0" quotePrefix="1" applyFont="1" applyFill="1" applyBorder="1" applyAlignment="1">
      <alignment horizontal="center" vertical="center"/>
    </xf>
    <xf numFmtId="0" fontId="7" fillId="3" borderId="1" xfId="0" quotePrefix="1" applyFont="1" applyFill="1" applyBorder="1" applyAlignment="1">
      <alignment horizontal="center" vertical="center"/>
    </xf>
    <xf numFmtId="0" fontId="0" fillId="3" borderId="18" xfId="0" applyFill="1" applyBorder="1" applyAlignment="1">
      <alignment horizontal="center" vertical="center"/>
    </xf>
    <xf numFmtId="0" fontId="0" fillId="3" borderId="17" xfId="0" applyFill="1" applyBorder="1" applyAlignment="1">
      <alignment horizontal="center" vertical="center"/>
    </xf>
    <xf numFmtId="0" fontId="0" fillId="3" borderId="1" xfId="0" quotePrefix="1" applyFill="1" applyBorder="1" applyAlignment="1">
      <alignment horizontal="center" vertical="center"/>
    </xf>
    <xf numFmtId="0" fontId="0" fillId="3" borderId="17" xfId="0" quotePrefix="1" applyFill="1" applyBorder="1" applyAlignment="1">
      <alignment horizontal="center" vertical="center"/>
    </xf>
    <xf numFmtId="0" fontId="0" fillId="3" borderId="11" xfId="0" applyFill="1" applyBorder="1" applyAlignment="1">
      <alignment horizontal="center" vertical="center"/>
    </xf>
    <xf numFmtId="0" fontId="0" fillId="3" borderId="19" xfId="0" applyFill="1" applyBorder="1" applyAlignment="1">
      <alignment horizontal="center" vertical="center"/>
    </xf>
    <xf numFmtId="0" fontId="7" fillId="3" borderId="20" xfId="0" applyFont="1" applyFill="1" applyBorder="1" applyAlignment="1">
      <alignment horizontal="center" vertical="center"/>
    </xf>
    <xf numFmtId="0" fontId="7" fillId="3" borderId="11" xfId="0" quotePrefix="1" applyFont="1" applyFill="1" applyBorder="1" applyAlignment="1">
      <alignment horizontal="center" vertical="center"/>
    </xf>
    <xf numFmtId="0" fontId="7" fillId="3" borderId="11" xfId="0" applyFont="1" applyFill="1" applyBorder="1" applyAlignment="1">
      <alignment horizontal="center" vertical="center"/>
    </xf>
    <xf numFmtId="0" fontId="7" fillId="3" borderId="11" xfId="0" applyFont="1" applyFill="1" applyBorder="1" applyAlignment="1">
      <alignment horizontal="center" vertical="center" wrapText="1"/>
    </xf>
    <xf numFmtId="0" fontId="0" fillId="3" borderId="20" xfId="0" applyFill="1" applyBorder="1" applyAlignment="1">
      <alignment horizontal="center" vertical="center"/>
    </xf>
    <xf numFmtId="11" fontId="7" fillId="3" borderId="18" xfId="0" applyNumberFormat="1" applyFont="1" applyFill="1" applyBorder="1" applyAlignment="1">
      <alignment horizontal="center" vertical="center"/>
    </xf>
    <xf numFmtId="3" fontId="0" fillId="3" borderId="1" xfId="0" applyNumberFormat="1" applyFill="1" applyBorder="1" applyAlignment="1">
      <alignment horizontal="center" vertical="center"/>
    </xf>
    <xf numFmtId="11" fontId="7" fillId="3" borderId="1" xfId="0" applyNumberFormat="1" applyFont="1" applyFill="1" applyBorder="1" applyAlignment="1">
      <alignment horizontal="center" vertical="center"/>
    </xf>
    <xf numFmtId="0" fontId="0" fillId="3" borderId="18" xfId="0" quotePrefix="1" applyFill="1" applyBorder="1" applyAlignment="1">
      <alignment horizontal="center" vertical="center"/>
    </xf>
    <xf numFmtId="0" fontId="0" fillId="3" borderId="11" xfId="0" quotePrefix="1" applyFill="1" applyBorder="1" applyAlignment="1">
      <alignment horizontal="center" vertical="center"/>
    </xf>
    <xf numFmtId="0" fontId="0" fillId="3" borderId="19" xfId="0" quotePrefix="1" applyFill="1" applyBorder="1" applyAlignment="1">
      <alignment horizontal="center" vertical="center"/>
    </xf>
    <xf numFmtId="11" fontId="0" fillId="3" borderId="11" xfId="0" applyNumberFormat="1" applyFill="1" applyBorder="1" applyAlignment="1">
      <alignment horizontal="center" vertical="center"/>
    </xf>
    <xf numFmtId="11" fontId="0" fillId="3" borderId="11" xfId="0" quotePrefix="1" applyNumberFormat="1" applyFill="1" applyBorder="1" applyAlignment="1">
      <alignment horizontal="center" vertical="center"/>
    </xf>
    <xf numFmtId="11" fontId="0" fillId="3" borderId="11" xfId="0" applyNumberFormat="1" applyFill="1" applyBorder="1" applyAlignment="1">
      <alignment horizontal="center" vertical="center" wrapText="1"/>
    </xf>
    <xf numFmtId="11" fontId="7" fillId="3" borderId="11" xfId="0" applyNumberFormat="1" applyFont="1" applyFill="1" applyBorder="1" applyAlignment="1">
      <alignment horizontal="center" vertical="center"/>
    </xf>
    <xf numFmtId="0" fontId="7" fillId="3" borderId="15" xfId="0" applyFont="1" applyFill="1" applyBorder="1" applyAlignment="1">
      <alignment wrapText="1"/>
    </xf>
    <xf numFmtId="0" fontId="7" fillId="3" borderId="15" xfId="0" applyFont="1" applyFill="1" applyBorder="1" applyAlignment="1">
      <alignment horizontal="center" vertical="center"/>
    </xf>
    <xf numFmtId="0" fontId="7" fillId="3" borderId="21" xfId="0" applyFont="1" applyFill="1" applyBorder="1" applyAlignment="1">
      <alignment horizontal="center" vertical="center"/>
    </xf>
    <xf numFmtId="0" fontId="7" fillId="3" borderId="15" xfId="0" quotePrefix="1" applyFont="1" applyFill="1" applyBorder="1" applyAlignment="1">
      <alignment horizontal="center" vertical="center"/>
    </xf>
    <xf numFmtId="0" fontId="7" fillId="3" borderId="15" xfId="0" applyFont="1" applyFill="1" applyBorder="1" applyAlignment="1">
      <alignment horizontal="center" vertical="center" wrapText="1"/>
    </xf>
    <xf numFmtId="164" fontId="8" fillId="2" borderId="22" xfId="0" applyNumberFormat="1" applyFont="1" applyFill="1" applyBorder="1" applyAlignment="1">
      <alignment horizontal="center" wrapText="1"/>
    </xf>
    <xf numFmtId="165" fontId="8" fillId="2" borderId="22" xfId="0" applyNumberFormat="1" applyFont="1" applyFill="1" applyBorder="1" applyAlignment="1">
      <alignment horizontal="center" wrapText="1"/>
    </xf>
    <xf numFmtId="2" fontId="8" fillId="2" borderId="22" xfId="0" applyNumberFormat="1" applyFont="1" applyFill="1" applyBorder="1" applyAlignment="1">
      <alignment horizontal="center" wrapText="1"/>
    </xf>
    <xf numFmtId="0" fontId="8" fillId="2" borderId="25" xfId="0" applyFont="1" applyFill="1" applyBorder="1" applyAlignment="1">
      <alignment horizontal="center" wrapText="1"/>
    </xf>
    <xf numFmtId="0" fontId="7" fillId="3" borderId="1" xfId="0" applyFont="1" applyFill="1" applyBorder="1" applyAlignment="1">
      <alignment horizontal="left" vertical="center" wrapText="1"/>
    </xf>
    <xf numFmtId="0" fontId="7" fillId="3" borderId="23" xfId="0" quotePrefix="1" applyFont="1" applyFill="1" applyBorder="1" applyAlignment="1">
      <alignment horizontal="center" vertical="center"/>
    </xf>
    <xf numFmtId="0" fontId="7" fillId="3" borderId="10" xfId="0" quotePrefix="1" applyFont="1" applyFill="1" applyBorder="1" applyAlignment="1">
      <alignment horizontal="center" vertical="center"/>
    </xf>
    <xf numFmtId="2" fontId="0" fillId="3" borderId="1" xfId="0" applyNumberFormat="1" applyFill="1" applyBorder="1" applyAlignment="1">
      <alignment horizontal="center" vertical="center"/>
    </xf>
    <xf numFmtId="11" fontId="0" fillId="3" borderId="15" xfId="0" applyNumberFormat="1" applyFill="1" applyBorder="1" applyAlignment="1">
      <alignment horizontal="center" vertical="center"/>
    </xf>
    <xf numFmtId="167" fontId="7" fillId="3" borderId="1" xfId="0" applyNumberFormat="1" applyFont="1" applyFill="1" applyBorder="1" applyAlignment="1">
      <alignment horizontal="center" vertical="center" wrapText="1"/>
    </xf>
    <xf numFmtId="2" fontId="0" fillId="3" borderId="15" xfId="0" applyNumberFormat="1" applyFill="1" applyBorder="1" applyAlignment="1">
      <alignment horizontal="center" vertical="center"/>
    </xf>
    <xf numFmtId="166" fontId="0" fillId="3" borderId="1" xfId="0" applyNumberFormat="1" applyFill="1" applyBorder="1" applyAlignment="1">
      <alignment horizontal="center" vertical="center"/>
    </xf>
    <xf numFmtId="166" fontId="7" fillId="3" borderId="1" xfId="0" applyNumberFormat="1" applyFont="1" applyFill="1" applyBorder="1" applyAlignment="1">
      <alignment horizontal="center" vertical="center" wrapText="1"/>
    </xf>
    <xf numFmtId="166" fontId="0" fillId="3" borderId="11" xfId="0" applyNumberFormat="1" applyFill="1" applyBorder="1" applyAlignment="1">
      <alignment horizontal="center" vertical="center"/>
    </xf>
    <xf numFmtId="166" fontId="7" fillId="3" borderId="1" xfId="0" applyNumberFormat="1" applyFont="1" applyFill="1" applyBorder="1" applyAlignment="1">
      <alignment horizontal="center" vertical="center"/>
    </xf>
    <xf numFmtId="166" fontId="0" fillId="3" borderId="1" xfId="0" quotePrefix="1" applyNumberFormat="1" applyFill="1" applyBorder="1" applyAlignment="1">
      <alignment horizontal="center" vertical="center"/>
    </xf>
    <xf numFmtId="166" fontId="0" fillId="3" borderId="11" xfId="0" quotePrefix="1" applyNumberFormat="1" applyFill="1" applyBorder="1" applyAlignment="1">
      <alignment horizontal="center" vertical="center"/>
    </xf>
    <xf numFmtId="0" fontId="6" fillId="0" borderId="0" xfId="0" applyFont="1"/>
    <xf numFmtId="0" fontId="4" fillId="0" borderId="0" xfId="0" applyFont="1" applyAlignment="1">
      <alignment horizontal="left"/>
    </xf>
    <xf numFmtId="0" fontId="0" fillId="0" borderId="0" xfId="0" applyAlignment="1">
      <alignment horizontal="left"/>
    </xf>
    <xf numFmtId="0" fontId="6" fillId="0" borderId="1" xfId="0" applyFont="1" applyBorder="1" applyAlignment="1">
      <alignment horizontal="left"/>
    </xf>
    <xf numFmtId="0" fontId="0" fillId="0" borderId="18" xfId="0" applyBorder="1" applyAlignment="1">
      <alignment horizontal="center"/>
    </xf>
    <xf numFmtId="0" fontId="0" fillId="0" borderId="16" xfId="0" applyBorder="1" applyAlignment="1">
      <alignment horizontal="center"/>
    </xf>
    <xf numFmtId="0" fontId="0" fillId="0" borderId="17" xfId="0" applyBorder="1" applyAlignment="1">
      <alignment horizontal="center"/>
    </xf>
    <xf numFmtId="0" fontId="0" fillId="0" borderId="15" xfId="0" applyBorder="1" applyAlignment="1">
      <alignment horizontal="center"/>
    </xf>
    <xf numFmtId="2" fontId="0" fillId="0" borderId="1" xfId="0" applyNumberFormat="1" applyBorder="1" applyAlignment="1">
      <alignment horizontal="center"/>
    </xf>
    <xf numFmtId="166" fontId="0" fillId="0" borderId="0" xfId="0" applyNumberFormat="1" applyAlignment="1">
      <alignment horizontal="center"/>
    </xf>
    <xf numFmtId="0" fontId="4" fillId="3" borderId="1" xfId="0" applyFont="1" applyFill="1" applyBorder="1" applyAlignment="1">
      <alignment horizontal="center" vertical="center"/>
    </xf>
    <xf numFmtId="166" fontId="7" fillId="3" borderId="15" xfId="0" applyNumberFormat="1" applyFont="1" applyFill="1" applyBorder="1" applyAlignment="1">
      <alignment horizontal="center" vertical="center" wrapText="1"/>
    </xf>
    <xf numFmtId="166" fontId="7" fillId="3" borderId="15" xfId="0" applyNumberFormat="1" applyFont="1" applyFill="1" applyBorder="1" applyAlignment="1">
      <alignment horizontal="center" vertical="center"/>
    </xf>
    <xf numFmtId="166" fontId="0" fillId="3" borderId="1" xfId="0" applyNumberFormat="1" applyFill="1" applyBorder="1" applyAlignment="1">
      <alignment horizontal="center" vertical="center" wrapText="1"/>
    </xf>
    <xf numFmtId="166" fontId="0" fillId="3" borderId="11" xfId="0" applyNumberFormat="1" applyFill="1" applyBorder="1" applyAlignment="1">
      <alignment horizontal="center" vertical="center" wrapText="1"/>
    </xf>
    <xf numFmtId="166" fontId="0" fillId="3" borderId="1" xfId="0" quotePrefix="1" applyNumberFormat="1" applyFill="1" applyBorder="1" applyAlignment="1">
      <alignment horizontal="center" vertical="center" wrapText="1"/>
    </xf>
    <xf numFmtId="166" fontId="0" fillId="3" borderId="11" xfId="0" quotePrefix="1" applyNumberFormat="1" applyFill="1" applyBorder="1" applyAlignment="1">
      <alignment horizontal="center" vertical="center" wrapText="1"/>
    </xf>
    <xf numFmtId="166" fontId="0" fillId="0" borderId="13" xfId="0" applyNumberFormat="1" applyBorder="1" applyAlignment="1">
      <alignment horizontal="center" wrapText="1"/>
    </xf>
    <xf numFmtId="166" fontId="0" fillId="0" borderId="13" xfId="0" applyNumberFormat="1" applyBorder="1" applyAlignment="1">
      <alignment horizontal="center"/>
    </xf>
    <xf numFmtId="0" fontId="9" fillId="0" borderId="16" xfId="0" applyFont="1" applyBorder="1" applyAlignment="1">
      <alignment horizontal="left"/>
    </xf>
    <xf numFmtId="0" fontId="32" fillId="0" borderId="0" xfId="0" applyFont="1"/>
    <xf numFmtId="0" fontId="25" fillId="0" borderId="0" xfId="0" applyFont="1"/>
    <xf numFmtId="166" fontId="6" fillId="0" borderId="1" xfId="0" applyNumberFormat="1" applyFont="1" applyBorder="1" applyAlignment="1">
      <alignment horizontal="center"/>
    </xf>
    <xf numFmtId="2" fontId="6" fillId="0" borderId="1" xfId="0" applyNumberFormat="1" applyFont="1" applyBorder="1" applyAlignment="1">
      <alignment horizontal="center"/>
    </xf>
    <xf numFmtId="2" fontId="22" fillId="0" borderId="0" xfId="0" applyNumberFormat="1" applyFont="1"/>
    <xf numFmtId="2" fontId="20" fillId="0" borderId="0" xfId="0" applyNumberFormat="1" applyFont="1"/>
    <xf numFmtId="2" fontId="19" fillId="0" borderId="0" xfId="0" applyNumberFormat="1" applyFont="1"/>
    <xf numFmtId="2" fontId="21" fillId="0" borderId="0" xfId="0" applyNumberFormat="1" applyFont="1"/>
    <xf numFmtId="2" fontId="4" fillId="0" borderId="0" xfId="0" applyNumberFormat="1" applyFont="1"/>
    <xf numFmtId="2" fontId="23" fillId="0" borderId="0" xfId="0" applyNumberFormat="1" applyFont="1"/>
    <xf numFmtId="2" fontId="0" fillId="0" borderId="0" xfId="0" applyNumberFormat="1"/>
    <xf numFmtId="2" fontId="31" fillId="0" borderId="0" xfId="0" applyNumberFormat="1" applyFont="1"/>
    <xf numFmtId="166" fontId="0" fillId="0" borderId="0" xfId="0" applyNumberFormat="1"/>
    <xf numFmtId="11" fontId="0" fillId="0" borderId="0" xfId="0" applyNumberFormat="1"/>
    <xf numFmtId="0" fontId="31" fillId="4" borderId="0" xfId="0" applyFont="1" applyFill="1"/>
    <xf numFmtId="0" fontId="25" fillId="4" borderId="0" xfId="0" applyFont="1" applyFill="1"/>
    <xf numFmtId="0" fontId="32" fillId="4" borderId="0" xfId="0" applyFont="1" applyFill="1"/>
    <xf numFmtId="0" fontId="24" fillId="0" borderId="0" xfId="0" applyFont="1" applyAlignment="1">
      <alignment horizontal="left" vertical="top" wrapText="1"/>
    </xf>
    <xf numFmtId="0" fontId="7" fillId="4" borderId="0" xfId="0" applyFont="1" applyFill="1"/>
    <xf numFmtId="0" fontId="0" fillId="4" borderId="0" xfId="0" applyFill="1" applyAlignment="1">
      <alignment horizontal="left" wrapText="1"/>
    </xf>
    <xf numFmtId="166" fontId="0" fillId="0" borderId="1" xfId="0" applyNumberFormat="1" applyBorder="1"/>
    <xf numFmtId="0" fontId="0" fillId="0" borderId="1" xfId="0" applyBorder="1" applyAlignment="1">
      <alignment horizontal="left"/>
    </xf>
    <xf numFmtId="165" fontId="0" fillId="0" borderId="1" xfId="0" applyNumberFormat="1" applyBorder="1" applyAlignment="1">
      <alignment horizontal="left"/>
    </xf>
    <xf numFmtId="0" fontId="0" fillId="0" borderId="1" xfId="0" applyBorder="1"/>
    <xf numFmtId="0" fontId="8" fillId="0" borderId="1" xfId="0" applyFont="1" applyBorder="1" applyAlignment="1">
      <alignment horizontal="left"/>
    </xf>
    <xf numFmtId="0" fontId="8" fillId="0" borderId="0" xfId="0" applyFont="1" applyAlignment="1">
      <alignment horizontal="center"/>
    </xf>
    <xf numFmtId="0" fontId="8" fillId="0" borderId="0" xfId="0" applyFont="1"/>
    <xf numFmtId="0" fontId="7" fillId="0" borderId="16" xfId="0" applyFont="1" applyBorder="1" applyAlignment="1">
      <alignment horizontal="center"/>
    </xf>
    <xf numFmtId="0" fontId="7" fillId="0" borderId="17" xfId="0" applyFont="1" applyBorder="1" applyAlignment="1">
      <alignment horizontal="center"/>
    </xf>
    <xf numFmtId="0" fontId="7" fillId="0" borderId="1" xfId="0" applyFont="1" applyBorder="1" applyAlignment="1">
      <alignment horizontal="center"/>
    </xf>
    <xf numFmtId="165" fontId="7" fillId="0" borderId="1" xfId="0" applyNumberFormat="1" applyFont="1" applyBorder="1" applyAlignment="1">
      <alignment horizontal="center"/>
    </xf>
    <xf numFmtId="0" fontId="7" fillId="0" borderId="15" xfId="0" applyFont="1" applyBorder="1" applyAlignment="1">
      <alignment horizontal="center"/>
    </xf>
    <xf numFmtId="166" fontId="7" fillId="0" borderId="1" xfId="0" applyNumberFormat="1" applyFont="1" applyBorder="1" applyAlignment="1">
      <alignment horizontal="center"/>
    </xf>
    <xf numFmtId="166" fontId="8" fillId="0" borderId="1" xfId="0" applyNumberFormat="1" applyFont="1" applyBorder="1" applyAlignment="1">
      <alignment horizontal="center"/>
    </xf>
    <xf numFmtId="166" fontId="7" fillId="3" borderId="11" xfId="0" applyNumberFormat="1" applyFont="1" applyFill="1" applyBorder="1" applyAlignment="1">
      <alignment horizontal="center" vertical="center" wrapText="1"/>
    </xf>
    <xf numFmtId="164" fontId="7" fillId="3" borderId="11" xfId="0" applyNumberFormat="1" applyFont="1" applyFill="1" applyBorder="1" applyAlignment="1">
      <alignment horizontal="center" vertical="center" wrapText="1"/>
    </xf>
    <xf numFmtId="167" fontId="7" fillId="3" borderId="11" xfId="0" applyNumberFormat="1" applyFont="1" applyFill="1" applyBorder="1" applyAlignment="1">
      <alignment horizontal="center" vertical="center" wrapText="1"/>
    </xf>
    <xf numFmtId="0" fontId="4" fillId="3" borderId="10" xfId="0" quotePrefix="1" applyFont="1" applyFill="1" applyBorder="1" applyAlignment="1">
      <alignment horizontal="center" vertical="center"/>
    </xf>
    <xf numFmtId="0" fontId="0" fillId="4" borderId="0" xfId="0" applyFill="1" applyAlignment="1">
      <alignment horizontal="left" vertical="center" wrapText="1"/>
    </xf>
    <xf numFmtId="0" fontId="0" fillId="4" borderId="0" xfId="0" applyFill="1" applyAlignment="1">
      <alignment horizontal="left" wrapText="1"/>
    </xf>
    <xf numFmtId="0" fontId="8" fillId="4" borderId="0" xfId="0" applyFont="1" applyFill="1" applyAlignment="1">
      <alignment horizontal="center" vertical="center" wrapText="1"/>
    </xf>
    <xf numFmtId="0" fontId="8" fillId="0" borderId="5" xfId="0" applyFont="1" applyBorder="1" applyAlignment="1">
      <alignment horizontal="center" vertical="center" wrapText="1"/>
    </xf>
    <xf numFmtId="0" fontId="8" fillId="4" borderId="5" xfId="0" applyFont="1" applyFill="1" applyBorder="1" applyAlignment="1">
      <alignment horizontal="center" wrapText="1"/>
    </xf>
    <xf numFmtId="0" fontId="14" fillId="0" borderId="0" xfId="0" applyFont="1" applyAlignment="1">
      <alignment horizontal="left" vertical="top" wrapText="1"/>
    </xf>
    <xf numFmtId="0" fontId="14" fillId="0" borderId="0" xfId="0" applyFont="1" applyFill="1" applyAlignment="1">
      <alignment horizontal="left" wrapText="1"/>
    </xf>
    <xf numFmtId="0" fontId="24" fillId="0" borderId="0" xfId="0" applyFont="1" applyAlignment="1">
      <alignment horizontal="left" vertical="top" wrapText="1"/>
    </xf>
    <xf numFmtId="0" fontId="14" fillId="0" borderId="0" xfId="0" applyFont="1" applyAlignment="1">
      <alignment horizontal="left" wrapText="1"/>
    </xf>
    <xf numFmtId="0" fontId="24" fillId="0" borderId="0" xfId="0" applyFont="1" applyFill="1" applyAlignment="1">
      <alignment horizontal="left" vertical="top" wrapText="1"/>
    </xf>
  </cellXfs>
  <cellStyles count="1">
    <cellStyle name="Normal" xfId="0" builtinId="0"/>
  </cellStyles>
  <dxfs count="1">
    <dxf>
      <fill>
        <patternFill>
          <bgColor theme="0" tint="-0.14996795556505021"/>
        </patternFill>
      </fill>
    </dxf>
  </dxfs>
  <tableStyles count="0" defaultTableStyle="TableStyleMedium2" defaultPivotStyle="PivotStyleLight16"/>
  <colors>
    <mruColors>
      <color rgb="FF003399"/>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2.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11.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_rels/chart15.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4.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8.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0.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ysClr val="windowText" lastClr="000000"/>
                </a:solidFill>
                <a:latin typeface="+mn-lt"/>
                <a:ea typeface="+mn-ea"/>
                <a:cs typeface="+mn-cs"/>
              </a:defRPr>
            </a:pPr>
            <a:r>
              <a:rPr lang="en-SG" sz="1600" b="1">
                <a:solidFill>
                  <a:sysClr val="windowText" lastClr="000000"/>
                </a:solidFill>
              </a:rPr>
              <a:t>weak PUF energy per bit vs year</a:t>
            </a:r>
          </a:p>
        </c:rich>
      </c:tx>
      <c:layout>
        <c:manualLayout>
          <c:xMode val="edge"/>
          <c:yMode val="edge"/>
          <c:x val="0.28937896825396825"/>
          <c:y val="0"/>
        </c:manualLayout>
      </c:layout>
      <c:overlay val="0"/>
      <c:spPr>
        <a:noFill/>
        <a:ln>
          <a:noFill/>
        </a:ln>
        <a:effectLst/>
      </c:spPr>
    </c:title>
    <c:autoTitleDeleted val="0"/>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PUF_Data!$E$3</c:f>
              <c:strCache>
                <c:ptCount val="1"/>
                <c:pt idx="0">
                  <c:v>analog</c:v>
                </c:pt>
              </c:strCache>
            </c:strRef>
          </c:tx>
          <c:spPr>
            <a:ln w="19050">
              <a:noFill/>
            </a:ln>
          </c:spPr>
          <c:marker>
            <c:symbol val="circle"/>
            <c:size val="7"/>
            <c:spPr>
              <a:noFill/>
              <a:ln w="25400">
                <a:solidFill>
                  <a:srgbClr val="003399"/>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PUF_Data!$AI$4:$AI$89</c:f>
              <c:numCache>
                <c:formatCode>0.000E+00</c:formatCode>
                <c:ptCount val="86"/>
                <c:pt idx="0">
                  <c:v>8333.3333333333339</c:v>
                </c:pt>
                <c:pt idx="1">
                  <c:v>0</c:v>
                </c:pt>
                <c:pt idx="2">
                  <c:v>0</c:v>
                </c:pt>
                <c:pt idx="3">
                  <c:v>0</c:v>
                </c:pt>
                <c:pt idx="4">
                  <c:v>0</c:v>
                </c:pt>
                <c:pt idx="5">
                  <c:v>39.0625</c:v>
                </c:pt>
                <c:pt idx="6">
                  <c:v>49.479166666666664</c:v>
                </c:pt>
                <c:pt idx="7">
                  <c:v>0</c:v>
                </c:pt>
                <c:pt idx="8">
                  <c:v>0</c:v>
                </c:pt>
                <c:pt idx="9">
                  <c:v>49.479166666666664</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1.1000000000000001</c:v>
                </c:pt>
                <c:pt idx="26">
                  <c:v>0</c:v>
                </c:pt>
                <c:pt idx="27">
                  <c:v>0</c:v>
                </c:pt>
                <c:pt idx="28">
                  <c:v>0</c:v>
                </c:pt>
                <c:pt idx="29">
                  <c:v>0</c:v>
                </c:pt>
                <c:pt idx="30">
                  <c:v>0</c:v>
                </c:pt>
                <c:pt idx="31">
                  <c:v>6.02</c:v>
                </c:pt>
                <c:pt idx="32">
                  <c:v>0</c:v>
                </c:pt>
                <c:pt idx="33">
                  <c:v>0</c:v>
                </c:pt>
                <c:pt idx="34">
                  <c:v>0</c:v>
                </c:pt>
                <c:pt idx="35">
                  <c:v>0</c:v>
                </c:pt>
                <c:pt idx="36">
                  <c:v>3.36</c:v>
                </c:pt>
                <c:pt idx="37">
                  <c:v>0</c:v>
                </c:pt>
                <c:pt idx="38">
                  <c:v>34.5</c:v>
                </c:pt>
                <c:pt idx="39">
                  <c:v>0</c:v>
                </c:pt>
                <c:pt idx="40">
                  <c:v>0</c:v>
                </c:pt>
                <c:pt idx="41">
                  <c:v>0</c:v>
                </c:pt>
                <c:pt idx="42">
                  <c:v>0</c:v>
                </c:pt>
                <c:pt idx="43">
                  <c:v>0.38</c:v>
                </c:pt>
                <c:pt idx="44">
                  <c:v>9.8000000000000007</c:v>
                </c:pt>
                <c:pt idx="45">
                  <c:v>0</c:v>
                </c:pt>
                <c:pt idx="46">
                  <c:v>0</c:v>
                </c:pt>
                <c:pt idx="47">
                  <c:v>0</c:v>
                </c:pt>
                <c:pt idx="48">
                  <c:v>12</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1.4E-5</c:v>
                </c:pt>
                <c:pt idx="78">
                  <c:v>0</c:v>
                </c:pt>
                <c:pt idx="79">
                  <c:v>168</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0-28E5-4837-9F51-4E6580F371A6}"/>
            </c:ext>
          </c:extLst>
        </c:ser>
        <c:ser>
          <c:idx val="1"/>
          <c:order val="1"/>
          <c:tx>
            <c:strRef>
              <c:f>PUF_Data!$F$3</c:f>
              <c:strCache>
                <c:ptCount val="1"/>
                <c:pt idx="0">
                  <c:v>delay</c:v>
                </c:pt>
              </c:strCache>
            </c:strRef>
          </c:tx>
          <c:spPr>
            <a:ln w="19050">
              <a:noFill/>
            </a:ln>
          </c:spPr>
          <c:marker>
            <c:symbol val="triangle"/>
            <c:size val="7"/>
            <c:spPr>
              <a:noFill/>
              <a:ln w="25400">
                <a:solidFill>
                  <a:srgbClr val="00B0F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PUF_Data!$AJ$4:$AJ$89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0.47499999999999998</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2.15</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1.29E-2</c:v>
                </c:pt>
                <c:pt idx="83">
                  <c:v>0</c:v>
                </c:pt>
                <c:pt idx="84">
                  <c:v>0</c:v>
                </c:pt>
                <c:pt idx="85">
                  <c:v>0</c:v>
                </c:pt>
              </c:numCache>
            </c:numRef>
          </c:yVal>
          <c:smooth val="0"/>
          <c:extLst>
            <c:ext xmlns:c16="http://schemas.microsoft.com/office/drawing/2014/chart" uri="{C3380CC4-5D6E-409C-BE32-E72D297353CC}">
              <c16:uniqueId val="{00000001-28E5-4837-9F51-4E6580F371A6}"/>
            </c:ext>
          </c:extLst>
        </c:ser>
        <c:ser>
          <c:idx val="2"/>
          <c:order val="2"/>
          <c:tx>
            <c:strRef>
              <c:f>PUF_Data!$G$3</c:f>
              <c:strCache>
                <c:ptCount val="1"/>
                <c:pt idx="0">
                  <c:v>memory (volatile)</c:v>
                </c:pt>
              </c:strCache>
            </c:strRef>
          </c:tx>
          <c:spPr>
            <a:ln w="19050">
              <a:noFill/>
            </a:ln>
          </c:spPr>
          <c:marker>
            <c:symbol val="square"/>
            <c:size val="7"/>
            <c:spPr>
              <a:noFill/>
              <a:ln w="25400">
                <a:solidFill>
                  <a:srgbClr val="00B05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PUF_Data!$AK$4:$AK$89</c:f>
              <c:numCache>
                <c:formatCode>0.000E+00</c:formatCode>
                <c:ptCount val="86"/>
                <c:pt idx="0">
                  <c:v>0</c:v>
                </c:pt>
                <c:pt idx="1">
                  <c:v>0</c:v>
                </c:pt>
                <c:pt idx="2">
                  <c:v>0</c:v>
                </c:pt>
                <c:pt idx="3">
                  <c:v>0.93</c:v>
                </c:pt>
                <c:pt idx="4">
                  <c:v>0.93</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1.1000000000000001</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128</c:v>
                </c:pt>
                <c:pt idx="59">
                  <c:v>1.5299999999999999E-2</c:v>
                </c:pt>
                <c:pt idx="60">
                  <c:v>0</c:v>
                </c:pt>
                <c:pt idx="61">
                  <c:v>7.8E-2</c:v>
                </c:pt>
                <c:pt idx="62">
                  <c:v>0</c:v>
                </c:pt>
                <c:pt idx="63">
                  <c:v>0</c:v>
                </c:pt>
                <c:pt idx="64">
                  <c:v>0</c:v>
                </c:pt>
                <c:pt idx="65">
                  <c:v>0</c:v>
                </c:pt>
                <c:pt idx="66">
                  <c:v>0</c:v>
                </c:pt>
                <c:pt idx="67">
                  <c:v>0</c:v>
                </c:pt>
                <c:pt idx="68">
                  <c:v>0</c:v>
                </c:pt>
                <c:pt idx="69">
                  <c:v>0</c:v>
                </c:pt>
                <c:pt idx="70">
                  <c:v>0</c:v>
                </c:pt>
                <c:pt idx="71">
                  <c:v>0</c:v>
                </c:pt>
                <c:pt idx="72">
                  <c:v>0</c:v>
                </c:pt>
                <c:pt idx="73">
                  <c:v>0</c:v>
                </c:pt>
                <c:pt idx="74">
                  <c:v>1.67</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2-28E5-4837-9F51-4E6580F371A6}"/>
            </c:ext>
          </c:extLst>
        </c:ser>
        <c:ser>
          <c:idx val="5"/>
          <c:order val="3"/>
          <c:tx>
            <c:strRef>
              <c:f>PUF_Data!$J$3</c:f>
              <c:strCache>
                <c:ptCount val="1"/>
                <c:pt idx="0">
                  <c:v>memory (non-volatile)</c:v>
                </c:pt>
              </c:strCache>
            </c:strRef>
          </c:tx>
          <c:spPr>
            <a:ln w="19050">
              <a:noFill/>
            </a:ln>
          </c:spPr>
          <c:marker>
            <c:symbol val="x"/>
            <c:size val="5"/>
            <c:spPr>
              <a:noFill/>
              <a:ln w="25400">
                <a:solidFill>
                  <a:srgbClr val="7030A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PUF_Data!$AN$4:$AN$89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3.028</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5-28E5-4837-9F51-4E6580F371A6}"/>
            </c:ext>
          </c:extLst>
        </c:ser>
        <c:ser>
          <c:idx val="3"/>
          <c:order val="4"/>
          <c:tx>
            <c:strRef>
              <c:f>PUF_Data!$AL$3</c:f>
              <c:strCache>
                <c:ptCount val="1"/>
                <c:pt idx="0">
                  <c:v>metastability</c:v>
                </c:pt>
              </c:strCache>
            </c:strRef>
          </c:tx>
          <c:spPr>
            <a:ln w="19050">
              <a:noFill/>
            </a:ln>
          </c:spPr>
          <c:marker>
            <c:symbol val="star"/>
            <c:size val="7"/>
            <c:spPr>
              <a:noFill/>
              <a:ln w="25400">
                <a:solidFill>
                  <a:srgbClr val="FFC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PUF_Data!$AL$4:$AL$89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0.19</c:v>
                </c:pt>
                <c:pt idx="22">
                  <c:v>1.2999999999999999E-2</c:v>
                </c:pt>
                <c:pt idx="23">
                  <c:v>0</c:v>
                </c:pt>
                <c:pt idx="24">
                  <c:v>0</c:v>
                </c:pt>
                <c:pt idx="25">
                  <c:v>0</c:v>
                </c:pt>
                <c:pt idx="26">
                  <c:v>0</c:v>
                </c:pt>
                <c:pt idx="27">
                  <c:v>0</c:v>
                </c:pt>
                <c:pt idx="28">
                  <c:v>0</c:v>
                </c:pt>
                <c:pt idx="29">
                  <c:v>0</c:v>
                </c:pt>
                <c:pt idx="30">
                  <c:v>0</c:v>
                </c:pt>
                <c:pt idx="31">
                  <c:v>0</c:v>
                </c:pt>
                <c:pt idx="32">
                  <c:v>4.0000000000000001E-3</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0.46</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3-28E5-4837-9F51-4E6580F371A6}"/>
            </c:ext>
          </c:extLst>
        </c:ser>
        <c:ser>
          <c:idx val="4"/>
          <c:order val="5"/>
          <c:tx>
            <c:strRef>
              <c:f>PUF_Data!$I$3</c:f>
              <c:strCache>
                <c:ptCount val="1"/>
                <c:pt idx="0">
                  <c:v>monostable</c:v>
                </c:pt>
              </c:strCache>
            </c:strRef>
          </c:tx>
          <c:spPr>
            <a:ln w="19050">
              <a:noFill/>
            </a:ln>
          </c:spPr>
          <c:marker>
            <c:symbol val="diamond"/>
            <c:size val="7"/>
            <c:spPr>
              <a:noFill/>
              <a:ln w="25400">
                <a:solidFill>
                  <a:srgbClr val="FF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PUF_Data!$AM$4:$AM$89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1.4999999999999999E-2</c:v>
                </c:pt>
                <c:pt idx="25">
                  <c:v>0</c:v>
                </c:pt>
                <c:pt idx="26">
                  <c:v>0</c:v>
                </c:pt>
                <c:pt idx="27">
                  <c:v>0</c:v>
                </c:pt>
                <c:pt idx="28">
                  <c:v>0</c:v>
                </c:pt>
                <c:pt idx="29">
                  <c:v>0</c:v>
                </c:pt>
                <c:pt idx="30">
                  <c:v>0</c:v>
                </c:pt>
                <c:pt idx="31">
                  <c:v>0</c:v>
                </c:pt>
                <c:pt idx="32">
                  <c:v>0</c:v>
                </c:pt>
                <c:pt idx="33">
                  <c:v>0</c:v>
                </c:pt>
                <c:pt idx="34">
                  <c:v>1.4E-2</c:v>
                </c:pt>
                <c:pt idx="35">
                  <c:v>1.0999999999999999E-2</c:v>
                </c:pt>
                <c:pt idx="36">
                  <c:v>0</c:v>
                </c:pt>
                <c:pt idx="37">
                  <c:v>0</c:v>
                </c:pt>
                <c:pt idx="38">
                  <c:v>0</c:v>
                </c:pt>
                <c:pt idx="39">
                  <c:v>0</c:v>
                </c:pt>
                <c:pt idx="40">
                  <c:v>0</c:v>
                </c:pt>
                <c:pt idx="41">
                  <c:v>1.0200000000000001E-3</c:v>
                </c:pt>
                <c:pt idx="42">
                  <c:v>0</c:v>
                </c:pt>
                <c:pt idx="43">
                  <c:v>0</c:v>
                </c:pt>
                <c:pt idx="44">
                  <c:v>0</c:v>
                </c:pt>
                <c:pt idx="45">
                  <c:v>0</c:v>
                </c:pt>
                <c:pt idx="46">
                  <c:v>0</c:v>
                </c:pt>
                <c:pt idx="47">
                  <c:v>1.0200000000000001E-3</c:v>
                </c:pt>
                <c:pt idx="48">
                  <c:v>0</c:v>
                </c:pt>
                <c:pt idx="49">
                  <c:v>0</c:v>
                </c:pt>
                <c:pt idx="50">
                  <c:v>0</c:v>
                </c:pt>
                <c:pt idx="51">
                  <c:v>6.2000000000000003E-5</c:v>
                </c:pt>
                <c:pt idx="52">
                  <c:v>0</c:v>
                </c:pt>
                <c:pt idx="53">
                  <c:v>0</c:v>
                </c:pt>
                <c:pt idx="54">
                  <c:v>0</c:v>
                </c:pt>
                <c:pt idx="55">
                  <c:v>0</c:v>
                </c:pt>
                <c:pt idx="56">
                  <c:v>0</c:v>
                </c:pt>
                <c:pt idx="57">
                  <c:v>0</c:v>
                </c:pt>
                <c:pt idx="58">
                  <c:v>0</c:v>
                </c:pt>
                <c:pt idx="59">
                  <c:v>0</c:v>
                </c:pt>
                <c:pt idx="60">
                  <c:v>1E-3</c:v>
                </c:pt>
                <c:pt idx="61">
                  <c:v>0</c:v>
                </c:pt>
                <c:pt idx="62">
                  <c:v>0</c:v>
                </c:pt>
                <c:pt idx="63">
                  <c:v>0</c:v>
                </c:pt>
                <c:pt idx="64">
                  <c:v>6.0000000000000002E-5</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5.5999999999999999E-5</c:v>
                </c:pt>
                <c:pt idx="85">
                  <c:v>0</c:v>
                </c:pt>
              </c:numCache>
            </c:numRef>
          </c:yVal>
          <c:smooth val="0"/>
          <c:extLst>
            <c:ext xmlns:c16="http://schemas.microsoft.com/office/drawing/2014/chart" uri="{C3380CC4-5D6E-409C-BE32-E72D297353CC}">
              <c16:uniqueId val="{00000004-28E5-4837-9F51-4E6580F371A6}"/>
            </c:ext>
          </c:extLst>
        </c:ser>
        <c:ser>
          <c:idx val="7"/>
          <c:order val="6"/>
          <c:tx>
            <c:strRef>
              <c:f>PUF_Data!$AO$3</c:f>
              <c:strCache>
                <c:ptCount val="1"/>
                <c:pt idx="0">
                  <c:v>hybrid</c:v>
                </c:pt>
              </c:strCache>
            </c:strRef>
          </c:tx>
          <c:spPr>
            <a:ln w="19050">
              <a:noFill/>
            </a:ln>
          </c:spPr>
          <c:marker>
            <c:symbol val="star"/>
            <c:size val="7"/>
            <c:spPr>
              <a:ln w="25400">
                <a:solidFill>
                  <a:srgbClr val="C00000"/>
                </a:solidFill>
              </a:ln>
            </c:spPr>
          </c:marker>
          <c:xVal>
            <c:numRef>
              <c:f>PUF_Data!$AH$4:$AH$89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PUF_Data!$AO$4:$AO$89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3.9E-2</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0-EF8D-435D-99A4-03B4B12263FA}"/>
            </c:ext>
          </c:extLst>
        </c:ser>
        <c:ser>
          <c:idx val="6"/>
          <c:order val="7"/>
          <c:tx>
            <c:strRef>
              <c:f>PUF_Data!$L$3</c:f>
              <c:strCache>
                <c:ptCount val="1"/>
                <c:pt idx="0">
                  <c:v>others</c:v>
                </c:pt>
              </c:strCache>
            </c:strRef>
          </c:tx>
          <c:spPr>
            <a:ln w="19050">
              <a:noFill/>
            </a:ln>
          </c:spPr>
          <c:marker>
            <c:spPr>
              <a:noFill/>
              <a:ln w="25400">
                <a:solidFill>
                  <a:srgbClr val="00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PUF_Data!$AP$4:$AP$89</c:f>
              <c:numCache>
                <c:formatCode>0.000E+00</c:formatCode>
                <c:ptCount val="86"/>
                <c:pt idx="0">
                  <c:v>0</c:v>
                </c:pt>
                <c:pt idx="1">
                  <c:v>0</c:v>
                </c:pt>
                <c:pt idx="2">
                  <c:v>0</c:v>
                </c:pt>
                <c:pt idx="3">
                  <c:v>0</c:v>
                </c:pt>
                <c:pt idx="4">
                  <c:v>0</c:v>
                </c:pt>
                <c:pt idx="5">
                  <c:v>0</c:v>
                </c:pt>
                <c:pt idx="6">
                  <c:v>0</c:v>
                </c:pt>
                <c:pt idx="7">
                  <c:v>0.34</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5.2</c:v>
                </c:pt>
                <c:pt idx="43">
                  <c:v>0</c:v>
                </c:pt>
                <c:pt idx="44">
                  <c:v>0</c:v>
                </c:pt>
                <c:pt idx="45">
                  <c:v>0</c:v>
                </c:pt>
                <c:pt idx="46">
                  <c:v>0</c:v>
                </c:pt>
                <c:pt idx="47">
                  <c:v>0</c:v>
                </c:pt>
                <c:pt idx="48">
                  <c:v>0</c:v>
                </c:pt>
                <c:pt idx="49">
                  <c:v>0</c:v>
                </c:pt>
                <c:pt idx="50">
                  <c:v>5.1799999999999999E-2</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746.5</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5.0599999999999999E-2</c:v>
                </c:pt>
              </c:numCache>
            </c:numRef>
          </c:yVal>
          <c:smooth val="0"/>
          <c:extLst>
            <c:ext xmlns:c16="http://schemas.microsoft.com/office/drawing/2014/chart" uri="{C3380CC4-5D6E-409C-BE32-E72D297353CC}">
              <c16:uniqueId val="{00000006-28E5-4837-9F51-4E6580F371A6}"/>
            </c:ext>
          </c:extLst>
        </c:ser>
        <c:dLbls>
          <c:showLegendKey val="0"/>
          <c:showVal val="0"/>
          <c:showCatName val="0"/>
          <c:showSerName val="0"/>
          <c:showPercent val="0"/>
          <c:showBubbleSize val="0"/>
        </c:dLbls>
        <c:axId val="152336752"/>
        <c:axId val="152337144"/>
        <c:extLst/>
      </c:scatterChart>
      <c:valAx>
        <c:axId val="152336752"/>
        <c:scaling>
          <c:orientation val="minMax"/>
          <c:max val="2024"/>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year</a:t>
                </a:r>
              </a:p>
            </c:rich>
          </c:tx>
          <c:layout>
            <c:manualLayout>
              <c:xMode val="edge"/>
              <c:yMode val="edge"/>
              <c:x val="0.46727242063492064"/>
              <c:y val="0.85789322099530496"/>
            </c:manualLayout>
          </c:layout>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At val="1.0000000000000004E-5"/>
        <c:crossBetween val="midCat"/>
        <c:majorUnit val="2"/>
      </c:valAx>
      <c:valAx>
        <c:axId val="152337144"/>
        <c:scaling>
          <c:logBase val="10"/>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energy</a:t>
                </a:r>
                <a:r>
                  <a:rPr lang="en-US" sz="1100" b="1" baseline="0">
                    <a:solidFill>
                      <a:sysClr val="windowText" lastClr="000000"/>
                    </a:solidFill>
                  </a:rPr>
                  <a:t>/bit (pJ)</a:t>
                </a:r>
                <a:endParaRPr lang="en-US" sz="1100" b="1">
                  <a:solidFill>
                    <a:sysClr val="windowText" lastClr="000000"/>
                  </a:solidFill>
                </a:endParaRPr>
              </a:p>
            </c:rich>
          </c:tx>
          <c:overlay val="0"/>
          <c:spPr>
            <a:noFill/>
            <a:ln>
              <a:noFill/>
            </a:ln>
            <a:effectLst/>
          </c:sp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 val="autoZero"/>
        <c:crossBetween val="midCat"/>
      </c:valAx>
      <c:spPr>
        <a:noFill/>
        <a:ln w="19050">
          <a:solidFill>
            <a:schemeClr val="tx1"/>
          </a:solidFill>
        </a:ln>
        <a:effectLst/>
      </c:spPr>
    </c:plotArea>
    <c:legend>
      <c:legendPos val="b"/>
      <c:layout>
        <c:manualLayout>
          <c:xMode val="edge"/>
          <c:yMode val="edge"/>
          <c:x val="0"/>
          <c:y val="0.92255621380054487"/>
          <c:w val="1"/>
          <c:h val="7.744378619945512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ysClr val="windowText" lastClr="000000"/>
                </a:solidFill>
                <a:latin typeface="+mn-lt"/>
                <a:ea typeface="+mn-ea"/>
                <a:cs typeface="+mn-cs"/>
              </a:defRPr>
            </a:pPr>
            <a:r>
              <a:rPr lang="en-SG" sz="1600" b="1">
                <a:solidFill>
                  <a:sysClr val="windowText" lastClr="000000"/>
                </a:solidFill>
              </a:rPr>
              <a:t>TRNG normalized area vs year</a:t>
            </a:r>
          </a:p>
        </c:rich>
      </c:tx>
      <c:layout>
        <c:manualLayout>
          <c:xMode val="edge"/>
          <c:yMode val="edge"/>
          <c:x val="0.31224206349206352"/>
          <c:y val="0"/>
        </c:manualLayout>
      </c:layout>
      <c:overlay val="0"/>
      <c:spPr>
        <a:noFill/>
        <a:ln>
          <a:noFill/>
        </a:ln>
        <a:effectLst/>
      </c:spPr>
    </c:title>
    <c:autoTitleDeleted val="0"/>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TRNG_Data!$D$3</c:f>
              <c:strCache>
                <c:ptCount val="1"/>
                <c:pt idx="0">
                  <c:v>noise-based</c:v>
                </c:pt>
              </c:strCache>
            </c:strRef>
          </c:tx>
          <c:spPr>
            <a:ln w="19050">
              <a:noFill/>
            </a:ln>
          </c:spPr>
          <c:marker>
            <c:symbol val="circle"/>
            <c:size val="7"/>
            <c:spPr>
              <a:noFill/>
              <a:ln w="25400">
                <a:solidFill>
                  <a:srgbClr val="003399"/>
                </a:solidFill>
              </a:ln>
              <a:effectLst/>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TRNG_Data!$K$4:$K$41</c:f>
              <c:numCache>
                <c:formatCode>0.000E+00</c:formatCode>
                <c:ptCount val="38"/>
                <c:pt idx="0">
                  <c:v>0</c:v>
                </c:pt>
                <c:pt idx="1">
                  <c:v>0</c:v>
                </c:pt>
                <c:pt idx="2">
                  <c:v>625000000000</c:v>
                </c:pt>
                <c:pt idx="3">
                  <c:v>0</c:v>
                </c:pt>
                <c:pt idx="4">
                  <c:v>0</c:v>
                </c:pt>
                <c:pt idx="5">
                  <c:v>0</c:v>
                </c:pt>
                <c:pt idx="6">
                  <c:v>0</c:v>
                </c:pt>
                <c:pt idx="7">
                  <c:v>19520000000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0-4611-4AC5-97F8-5721DF81CEE1}"/>
            </c:ext>
          </c:extLst>
        </c:ser>
        <c:ser>
          <c:idx val="1"/>
          <c:order val="1"/>
          <c:tx>
            <c:strRef>
              <c:f>TRNG_Data!$E$3</c:f>
              <c:strCache>
                <c:ptCount val="1"/>
                <c:pt idx="0">
                  <c:v>jitter</c:v>
                </c:pt>
              </c:strCache>
            </c:strRef>
          </c:tx>
          <c:spPr>
            <a:ln w="19050">
              <a:noFill/>
            </a:ln>
          </c:spPr>
          <c:marker>
            <c:symbol val="triangle"/>
            <c:size val="7"/>
            <c:spPr>
              <a:noFill/>
              <a:ln w="25400">
                <a:solidFill>
                  <a:srgbClr val="00B0F0"/>
                </a:solidFill>
              </a:ln>
              <a:effectLst/>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TRNG_Data!$L$4:$L$41</c:f>
              <c:numCache>
                <c:formatCode>0.000E+00</c:formatCode>
                <c:ptCount val="38"/>
                <c:pt idx="0">
                  <c:v>49382716049.382721</c:v>
                </c:pt>
                <c:pt idx="1">
                  <c:v>0</c:v>
                </c:pt>
                <c:pt idx="2">
                  <c:v>0</c:v>
                </c:pt>
                <c:pt idx="3">
                  <c:v>0</c:v>
                </c:pt>
                <c:pt idx="4">
                  <c:v>0</c:v>
                </c:pt>
                <c:pt idx="5">
                  <c:v>1604938271604.9385</c:v>
                </c:pt>
                <c:pt idx="6">
                  <c:v>0</c:v>
                </c:pt>
                <c:pt idx="7">
                  <c:v>0</c:v>
                </c:pt>
                <c:pt idx="8">
                  <c:v>0</c:v>
                </c:pt>
                <c:pt idx="9">
                  <c:v>0</c:v>
                </c:pt>
                <c:pt idx="10">
                  <c:v>472000</c:v>
                </c:pt>
                <c:pt idx="11">
                  <c:v>875000000000</c:v>
                </c:pt>
                <c:pt idx="12">
                  <c:v>0</c:v>
                </c:pt>
                <c:pt idx="13">
                  <c:v>0</c:v>
                </c:pt>
                <c:pt idx="14">
                  <c:v>519000</c:v>
                </c:pt>
                <c:pt idx="15">
                  <c:v>0</c:v>
                </c:pt>
                <c:pt idx="16">
                  <c:v>218000</c:v>
                </c:pt>
                <c:pt idx="17">
                  <c:v>0</c:v>
                </c:pt>
                <c:pt idx="18">
                  <c:v>0</c:v>
                </c:pt>
                <c:pt idx="19">
                  <c:v>0</c:v>
                </c:pt>
                <c:pt idx="20">
                  <c:v>0</c:v>
                </c:pt>
                <c:pt idx="21">
                  <c:v>0</c:v>
                </c:pt>
                <c:pt idx="22">
                  <c:v>0</c:v>
                </c:pt>
                <c:pt idx="23">
                  <c:v>0</c:v>
                </c:pt>
                <c:pt idx="24">
                  <c:v>0</c:v>
                </c:pt>
                <c:pt idx="25">
                  <c:v>14201183</c:v>
                </c:pt>
                <c:pt idx="26">
                  <c:v>19642857</c:v>
                </c:pt>
                <c:pt idx="27">
                  <c:v>0</c:v>
                </c:pt>
                <c:pt idx="28">
                  <c:v>0</c:v>
                </c:pt>
                <c:pt idx="29">
                  <c:v>0</c:v>
                </c:pt>
                <c:pt idx="30">
                  <c:v>2709375</c:v>
                </c:pt>
                <c:pt idx="31">
                  <c:v>0</c:v>
                </c:pt>
                <c:pt idx="32">
                  <c:v>87000</c:v>
                </c:pt>
                <c:pt idx="33">
                  <c:v>0</c:v>
                </c:pt>
                <c:pt idx="34">
                  <c:v>0</c:v>
                </c:pt>
                <c:pt idx="35">
                  <c:v>191000</c:v>
                </c:pt>
                <c:pt idx="36">
                  <c:v>340000</c:v>
                </c:pt>
                <c:pt idx="37">
                  <c:v>1810000</c:v>
                </c:pt>
              </c:numCache>
            </c:numRef>
          </c:yVal>
          <c:smooth val="0"/>
          <c:extLst>
            <c:ext xmlns:c16="http://schemas.microsoft.com/office/drawing/2014/chart" uri="{C3380CC4-5D6E-409C-BE32-E72D297353CC}">
              <c16:uniqueId val="{00000001-4611-4AC5-97F8-5721DF81CEE1}"/>
            </c:ext>
          </c:extLst>
        </c:ser>
        <c:ser>
          <c:idx val="2"/>
          <c:order val="2"/>
          <c:tx>
            <c:strRef>
              <c:f>TRNG_Data!$F$3</c:f>
              <c:strCache>
                <c:ptCount val="1"/>
                <c:pt idx="0">
                  <c:v>metastability</c:v>
                </c:pt>
              </c:strCache>
            </c:strRef>
          </c:tx>
          <c:spPr>
            <a:ln w="19050">
              <a:noFill/>
            </a:ln>
          </c:spPr>
          <c:marker>
            <c:symbol val="star"/>
            <c:size val="7"/>
            <c:spPr>
              <a:noFill/>
              <a:ln w="25400">
                <a:solidFill>
                  <a:srgbClr val="FFC000"/>
                </a:solidFill>
              </a:ln>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TRNG_Data!$M$4:$M$41</c:f>
              <c:numCache>
                <c:formatCode>0.000E+00</c:formatCode>
                <c:ptCount val="38"/>
                <c:pt idx="0">
                  <c:v>0</c:v>
                </c:pt>
                <c:pt idx="1">
                  <c:v>0</c:v>
                </c:pt>
                <c:pt idx="2">
                  <c:v>0</c:v>
                </c:pt>
                <c:pt idx="3">
                  <c:v>0</c:v>
                </c:pt>
                <c:pt idx="4">
                  <c:v>0</c:v>
                </c:pt>
                <c:pt idx="5">
                  <c:v>0</c:v>
                </c:pt>
                <c:pt idx="6">
                  <c:v>0</c:v>
                </c:pt>
                <c:pt idx="7">
                  <c:v>0</c:v>
                </c:pt>
                <c:pt idx="8">
                  <c:v>0</c:v>
                </c:pt>
                <c:pt idx="9">
                  <c:v>1977283950617.2839</c:v>
                </c:pt>
                <c:pt idx="10">
                  <c:v>0</c:v>
                </c:pt>
                <c:pt idx="11">
                  <c:v>0</c:v>
                </c:pt>
                <c:pt idx="12">
                  <c:v>0</c:v>
                </c:pt>
                <c:pt idx="13">
                  <c:v>0</c:v>
                </c:pt>
                <c:pt idx="14">
                  <c:v>0</c:v>
                </c:pt>
                <c:pt idx="15">
                  <c:v>0</c:v>
                </c:pt>
                <c:pt idx="16">
                  <c:v>0</c:v>
                </c:pt>
                <c:pt idx="17">
                  <c:v>0</c:v>
                </c:pt>
                <c:pt idx="18">
                  <c:v>0</c:v>
                </c:pt>
                <c:pt idx="19">
                  <c:v>0</c:v>
                </c:pt>
                <c:pt idx="20">
                  <c:v>0</c:v>
                </c:pt>
                <c:pt idx="21">
                  <c:v>2370000</c:v>
                </c:pt>
                <c:pt idx="22">
                  <c:v>10800000</c:v>
                </c:pt>
                <c:pt idx="23">
                  <c:v>430000</c:v>
                </c:pt>
                <c:pt idx="24">
                  <c:v>0</c:v>
                </c:pt>
                <c:pt idx="25">
                  <c:v>0</c:v>
                </c:pt>
                <c:pt idx="26">
                  <c:v>0</c:v>
                </c:pt>
                <c:pt idx="27">
                  <c:v>0</c:v>
                </c:pt>
                <c:pt idx="28">
                  <c:v>329000</c:v>
                </c:pt>
                <c:pt idx="29">
                  <c:v>0</c:v>
                </c:pt>
                <c:pt idx="30">
                  <c:v>0</c:v>
                </c:pt>
                <c:pt idx="31">
                  <c:v>0</c:v>
                </c:pt>
                <c:pt idx="32">
                  <c:v>0</c:v>
                </c:pt>
                <c:pt idx="33">
                  <c:v>0</c:v>
                </c:pt>
                <c:pt idx="34">
                  <c:v>316000</c:v>
                </c:pt>
                <c:pt idx="35">
                  <c:v>0</c:v>
                </c:pt>
                <c:pt idx="36">
                  <c:v>0</c:v>
                </c:pt>
                <c:pt idx="37">
                  <c:v>0</c:v>
                </c:pt>
              </c:numCache>
            </c:numRef>
          </c:yVal>
          <c:smooth val="0"/>
          <c:extLst>
            <c:ext xmlns:c16="http://schemas.microsoft.com/office/drawing/2014/chart" uri="{C3380CC4-5D6E-409C-BE32-E72D297353CC}">
              <c16:uniqueId val="{00000002-4611-4AC5-97F8-5721DF81CEE1}"/>
            </c:ext>
          </c:extLst>
        </c:ser>
        <c:ser>
          <c:idx val="3"/>
          <c:order val="3"/>
          <c:tx>
            <c:strRef>
              <c:f>TRNG_Data!$G$3</c:f>
              <c:strCache>
                <c:ptCount val="1"/>
                <c:pt idx="0">
                  <c:v>chaotic map</c:v>
                </c:pt>
              </c:strCache>
            </c:strRef>
          </c:tx>
          <c:spPr>
            <a:ln w="19050">
              <a:noFill/>
            </a:ln>
          </c:spPr>
          <c:marker>
            <c:symbol val="diamond"/>
            <c:size val="7"/>
            <c:spPr>
              <a:noFill/>
              <a:ln w="25400">
                <a:solidFill>
                  <a:srgbClr val="FF0000"/>
                </a:solidFill>
              </a:ln>
              <a:effectLst/>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TRNG_Data!$N$4:$N$41</c:f>
              <c:numCache>
                <c:formatCode>0.000E+00</c:formatCode>
                <c:ptCount val="38"/>
                <c:pt idx="0">
                  <c:v>0</c:v>
                </c:pt>
                <c:pt idx="1">
                  <c:v>0</c:v>
                </c:pt>
                <c:pt idx="2">
                  <c:v>0</c:v>
                </c:pt>
                <c:pt idx="3">
                  <c:v>4244897959183.6724</c:v>
                </c:pt>
                <c:pt idx="4">
                  <c:v>0</c:v>
                </c:pt>
                <c:pt idx="5">
                  <c:v>0</c:v>
                </c:pt>
                <c:pt idx="6">
                  <c:v>0</c:v>
                </c:pt>
                <c:pt idx="7">
                  <c:v>0</c:v>
                </c:pt>
                <c:pt idx="8">
                  <c:v>0</c:v>
                </c:pt>
                <c:pt idx="9">
                  <c:v>0</c:v>
                </c:pt>
                <c:pt idx="10">
                  <c:v>0</c:v>
                </c:pt>
                <c:pt idx="11">
                  <c:v>0</c:v>
                </c:pt>
                <c:pt idx="12">
                  <c:v>46000</c:v>
                </c:pt>
                <c:pt idx="13">
                  <c:v>0</c:v>
                </c:pt>
                <c:pt idx="14">
                  <c:v>0</c:v>
                </c:pt>
                <c:pt idx="15">
                  <c:v>0</c:v>
                </c:pt>
                <c:pt idx="16">
                  <c:v>0</c:v>
                </c:pt>
                <c:pt idx="17">
                  <c:v>0</c:v>
                </c:pt>
                <c:pt idx="18">
                  <c:v>6481000</c:v>
                </c:pt>
                <c:pt idx="19">
                  <c:v>132000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3-4611-4AC5-97F8-5721DF81CEE1}"/>
            </c:ext>
          </c:extLst>
        </c:ser>
        <c:ser>
          <c:idx val="5"/>
          <c:order val="4"/>
          <c:tx>
            <c:strRef>
              <c:f>TRNG_Data!$O$3</c:f>
              <c:strCache>
                <c:ptCount val="1"/>
                <c:pt idx="0">
                  <c:v>hybrid</c:v>
                </c:pt>
              </c:strCache>
            </c:strRef>
          </c:tx>
          <c:spPr>
            <a:ln w="19050">
              <a:noFill/>
            </a:ln>
          </c:spPr>
          <c:marker>
            <c:symbol val="star"/>
            <c:size val="5"/>
            <c:spPr>
              <a:noFill/>
              <a:ln w="25400">
                <a:solidFill>
                  <a:srgbClr val="C00000"/>
                </a:solidFill>
              </a:ln>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TRNG_Data!$O$4:$O$41</c:f>
              <c:numCache>
                <c:formatCode>0.000E+00</c:formatCode>
                <c:ptCount val="38"/>
                <c:pt idx="0">
                  <c:v>0</c:v>
                </c:pt>
                <c:pt idx="1">
                  <c:v>0</c:v>
                </c:pt>
                <c:pt idx="2">
                  <c:v>0</c:v>
                </c:pt>
                <c:pt idx="3">
                  <c:v>0</c:v>
                </c:pt>
                <c:pt idx="4">
                  <c:v>49704142011834.313</c:v>
                </c:pt>
                <c:pt idx="5">
                  <c:v>0</c:v>
                </c:pt>
                <c:pt idx="6">
                  <c:v>8579881656804.7324</c:v>
                </c:pt>
                <c:pt idx="7">
                  <c:v>0</c:v>
                </c:pt>
                <c:pt idx="8">
                  <c:v>0</c:v>
                </c:pt>
                <c:pt idx="9">
                  <c:v>0</c:v>
                </c:pt>
                <c:pt idx="10">
                  <c:v>0</c:v>
                </c:pt>
                <c:pt idx="11">
                  <c:v>0</c:v>
                </c:pt>
                <c:pt idx="12">
                  <c:v>0</c:v>
                </c:pt>
                <c:pt idx="13">
                  <c:v>5150000</c:v>
                </c:pt>
                <c:pt idx="14">
                  <c:v>0</c:v>
                </c:pt>
                <c:pt idx="15">
                  <c:v>0</c:v>
                </c:pt>
                <c:pt idx="16">
                  <c:v>0</c:v>
                </c:pt>
                <c:pt idx="17">
                  <c:v>380000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0-B52B-447D-AB5B-70D84E576519}"/>
            </c:ext>
          </c:extLst>
        </c:ser>
        <c:ser>
          <c:idx val="4"/>
          <c:order val="5"/>
          <c:tx>
            <c:strRef>
              <c:f>TRNG_Data!$I$3</c:f>
              <c:strCache>
                <c:ptCount val="1"/>
                <c:pt idx="0">
                  <c:v>others</c:v>
                </c:pt>
              </c:strCache>
            </c:strRef>
          </c:tx>
          <c:spPr>
            <a:ln w="19050">
              <a:noFill/>
            </a:ln>
          </c:spPr>
          <c:marker>
            <c:symbol val="plus"/>
            <c:size val="7"/>
            <c:spPr>
              <a:noFill/>
              <a:ln w="25400">
                <a:solidFill>
                  <a:schemeClr val="tx1"/>
                </a:solidFill>
              </a:ln>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TRNG_Data!$P$4:$P$41</c:f>
              <c:numCache>
                <c:formatCode>0.000E+00</c:formatCode>
                <c:ptCount val="38"/>
                <c:pt idx="0">
                  <c:v>0</c:v>
                </c:pt>
                <c:pt idx="1">
                  <c:v>0</c:v>
                </c:pt>
                <c:pt idx="2">
                  <c:v>0</c:v>
                </c:pt>
                <c:pt idx="3">
                  <c:v>0</c:v>
                </c:pt>
                <c:pt idx="4">
                  <c:v>0</c:v>
                </c:pt>
                <c:pt idx="5">
                  <c:v>0</c:v>
                </c:pt>
                <c:pt idx="6">
                  <c:v>0</c:v>
                </c:pt>
                <c:pt idx="7">
                  <c:v>0</c:v>
                </c:pt>
                <c:pt idx="8">
                  <c:v>284023668639.05322</c:v>
                </c:pt>
                <c:pt idx="9">
                  <c:v>0</c:v>
                </c:pt>
                <c:pt idx="10">
                  <c:v>0</c:v>
                </c:pt>
                <c:pt idx="11">
                  <c:v>0</c:v>
                </c:pt>
                <c:pt idx="12">
                  <c:v>0</c:v>
                </c:pt>
                <c:pt idx="13">
                  <c:v>0</c:v>
                </c:pt>
                <c:pt idx="14">
                  <c:v>0</c:v>
                </c:pt>
                <c:pt idx="15">
                  <c:v>49000000</c:v>
                </c:pt>
                <c:pt idx="16">
                  <c:v>0</c:v>
                </c:pt>
                <c:pt idx="17">
                  <c:v>0</c:v>
                </c:pt>
                <c:pt idx="18">
                  <c:v>0</c:v>
                </c:pt>
                <c:pt idx="19">
                  <c:v>0</c:v>
                </c:pt>
                <c:pt idx="20">
                  <c:v>229591.83673469385</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4-4611-4AC5-97F8-5721DF81CEE1}"/>
            </c:ext>
          </c:extLst>
        </c:ser>
        <c:dLbls>
          <c:showLegendKey val="0"/>
          <c:showVal val="0"/>
          <c:showCatName val="0"/>
          <c:showSerName val="0"/>
          <c:showPercent val="0"/>
          <c:showBubbleSize val="0"/>
        </c:dLbls>
        <c:axId val="152336752"/>
        <c:axId val="152337144"/>
        <c:extLst/>
      </c:scatterChart>
      <c:valAx>
        <c:axId val="152336752"/>
        <c:scaling>
          <c:orientation val="minMax"/>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year</a:t>
                </a:r>
              </a:p>
            </c:rich>
          </c:tx>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 val="autoZero"/>
        <c:crossBetween val="midCat"/>
        <c:majorUnit val="2"/>
      </c:valAx>
      <c:valAx>
        <c:axId val="152337144"/>
        <c:scaling>
          <c:logBase val="10"/>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area (F</a:t>
                </a:r>
                <a:r>
                  <a:rPr lang="en-US" sz="1100" b="1" baseline="30000">
                    <a:solidFill>
                      <a:sysClr val="windowText" lastClr="000000"/>
                    </a:solidFill>
                  </a:rPr>
                  <a:t>2</a:t>
                </a:r>
                <a:r>
                  <a:rPr lang="en-US" sz="1100" b="1">
                    <a:solidFill>
                      <a:sysClr val="windowText" lastClr="000000"/>
                    </a:solidFill>
                  </a:rPr>
                  <a:t>)</a:t>
                </a:r>
              </a:p>
            </c:rich>
          </c:tx>
          <c:overlay val="0"/>
          <c:spPr>
            <a:noFill/>
            <a:ln>
              <a:noFill/>
            </a:ln>
            <a:effectLst/>
          </c:spPr>
        </c:title>
        <c:numFmt formatCode="0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 val="autoZero"/>
        <c:crossBetween val="midCat"/>
      </c:valAx>
      <c:spPr>
        <a:noFill/>
        <a:ln w="19050">
          <a:solidFill>
            <a:schemeClr val="tx1"/>
          </a:solidFill>
        </a:ln>
        <a:effectLst/>
      </c:spPr>
    </c:plotArea>
    <c:legend>
      <c:legendPos val="b"/>
      <c:layout>
        <c:manualLayout>
          <c:xMode val="edge"/>
          <c:yMode val="edge"/>
          <c:x val="0.13880039682539683"/>
          <c:y val="0.92523820710987037"/>
          <c:w val="0.79709773109917426"/>
          <c:h val="6.0422086819428997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ysClr val="windowText" lastClr="000000"/>
                </a:solidFill>
                <a:latin typeface="+mn-lt"/>
                <a:ea typeface="+mn-ea"/>
                <a:cs typeface="+mn-cs"/>
              </a:defRPr>
            </a:pPr>
            <a:r>
              <a:rPr lang="en-SG" sz="1600" b="1">
                <a:solidFill>
                  <a:sysClr val="windowText" lastClr="000000"/>
                </a:solidFill>
              </a:rPr>
              <a:t>TRNG energy per bit vs year</a:t>
            </a:r>
          </a:p>
        </c:rich>
      </c:tx>
      <c:layout>
        <c:manualLayout>
          <c:xMode val="edge"/>
          <c:yMode val="edge"/>
          <c:x val="0.32232142857142859"/>
          <c:y val="0"/>
        </c:manualLayout>
      </c:layout>
      <c:overlay val="0"/>
      <c:spPr>
        <a:noFill/>
        <a:ln>
          <a:noFill/>
        </a:ln>
        <a:effectLst/>
      </c:spPr>
    </c:title>
    <c:autoTitleDeleted val="0"/>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TRNG_Data!$D$3</c:f>
              <c:strCache>
                <c:ptCount val="1"/>
                <c:pt idx="0">
                  <c:v>noise-based</c:v>
                </c:pt>
              </c:strCache>
            </c:strRef>
          </c:tx>
          <c:spPr>
            <a:ln w="19050">
              <a:noFill/>
            </a:ln>
          </c:spPr>
          <c:marker>
            <c:symbol val="circle"/>
            <c:size val="7"/>
            <c:spPr>
              <a:noFill/>
              <a:ln w="25400">
                <a:solidFill>
                  <a:srgbClr val="003399"/>
                </a:solidFill>
              </a:ln>
              <a:effectLst/>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TRNG_Data!$Y$4:$Y$41</c:f>
              <c:numCache>
                <c:formatCode>0.000E+00</c:formatCode>
                <c:ptCount val="38"/>
                <c:pt idx="0">
                  <c:v>0</c:v>
                </c:pt>
                <c:pt idx="1">
                  <c:v>0</c:v>
                </c:pt>
                <c:pt idx="2">
                  <c:v>250</c:v>
                </c:pt>
                <c:pt idx="3">
                  <c:v>0</c:v>
                </c:pt>
                <c:pt idx="4">
                  <c:v>0</c:v>
                </c:pt>
                <c:pt idx="5">
                  <c:v>0</c:v>
                </c:pt>
                <c:pt idx="6">
                  <c:v>0</c:v>
                </c:pt>
                <c:pt idx="7">
                  <c:v>3800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0-535B-47CF-83CD-E7BD84F476C1}"/>
            </c:ext>
          </c:extLst>
        </c:ser>
        <c:ser>
          <c:idx val="1"/>
          <c:order val="1"/>
          <c:tx>
            <c:strRef>
              <c:f>TRNG_Data!$E$3</c:f>
              <c:strCache>
                <c:ptCount val="1"/>
                <c:pt idx="0">
                  <c:v>jitter</c:v>
                </c:pt>
              </c:strCache>
            </c:strRef>
          </c:tx>
          <c:spPr>
            <a:ln w="19050">
              <a:noFill/>
            </a:ln>
          </c:spPr>
          <c:marker>
            <c:symbol val="triangle"/>
            <c:size val="7"/>
            <c:spPr>
              <a:noFill/>
              <a:ln w="25400">
                <a:solidFill>
                  <a:srgbClr val="00B0F0"/>
                </a:solidFill>
              </a:ln>
              <a:effectLst/>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TRNG_Data!$Z$4:$Z$41</c:f>
              <c:numCache>
                <c:formatCode>0.000E+00</c:formatCode>
                <c:ptCount val="38"/>
                <c:pt idx="0">
                  <c:v>230</c:v>
                </c:pt>
                <c:pt idx="1">
                  <c:v>0</c:v>
                </c:pt>
                <c:pt idx="2">
                  <c:v>0</c:v>
                </c:pt>
                <c:pt idx="3">
                  <c:v>0</c:v>
                </c:pt>
                <c:pt idx="4">
                  <c:v>0</c:v>
                </c:pt>
                <c:pt idx="5">
                  <c:v>137.93103448275863</c:v>
                </c:pt>
                <c:pt idx="6">
                  <c:v>0</c:v>
                </c:pt>
                <c:pt idx="7">
                  <c:v>0</c:v>
                </c:pt>
                <c:pt idx="8">
                  <c:v>0</c:v>
                </c:pt>
                <c:pt idx="9">
                  <c:v>0</c:v>
                </c:pt>
                <c:pt idx="10">
                  <c:v>23</c:v>
                </c:pt>
                <c:pt idx="11">
                  <c:v>0.42799999999999999</c:v>
                </c:pt>
                <c:pt idx="12">
                  <c:v>0</c:v>
                </c:pt>
                <c:pt idx="13">
                  <c:v>0</c:v>
                </c:pt>
                <c:pt idx="14">
                  <c:v>11</c:v>
                </c:pt>
                <c:pt idx="15">
                  <c:v>0</c:v>
                </c:pt>
                <c:pt idx="16">
                  <c:v>35.5</c:v>
                </c:pt>
                <c:pt idx="17">
                  <c:v>0</c:v>
                </c:pt>
                <c:pt idx="18">
                  <c:v>0</c:v>
                </c:pt>
                <c:pt idx="19">
                  <c:v>0</c:v>
                </c:pt>
                <c:pt idx="20">
                  <c:v>0</c:v>
                </c:pt>
                <c:pt idx="21">
                  <c:v>0</c:v>
                </c:pt>
                <c:pt idx="22">
                  <c:v>0</c:v>
                </c:pt>
                <c:pt idx="23">
                  <c:v>0</c:v>
                </c:pt>
                <c:pt idx="24">
                  <c:v>0</c:v>
                </c:pt>
                <c:pt idx="25">
                  <c:v>6.9</c:v>
                </c:pt>
                <c:pt idx="26">
                  <c:v>9.6</c:v>
                </c:pt>
                <c:pt idx="27">
                  <c:v>0</c:v>
                </c:pt>
                <c:pt idx="28">
                  <c:v>0</c:v>
                </c:pt>
                <c:pt idx="29">
                  <c:v>0</c:v>
                </c:pt>
                <c:pt idx="30">
                  <c:v>1.48</c:v>
                </c:pt>
                <c:pt idx="31">
                  <c:v>0</c:v>
                </c:pt>
                <c:pt idx="32">
                  <c:v>5</c:v>
                </c:pt>
                <c:pt idx="33">
                  <c:v>0</c:v>
                </c:pt>
                <c:pt idx="34">
                  <c:v>0</c:v>
                </c:pt>
                <c:pt idx="35">
                  <c:v>10.7</c:v>
                </c:pt>
                <c:pt idx="36">
                  <c:v>2.5</c:v>
                </c:pt>
                <c:pt idx="37">
                  <c:v>3.67</c:v>
                </c:pt>
              </c:numCache>
            </c:numRef>
          </c:yVal>
          <c:smooth val="0"/>
          <c:extLst>
            <c:ext xmlns:c16="http://schemas.microsoft.com/office/drawing/2014/chart" uri="{C3380CC4-5D6E-409C-BE32-E72D297353CC}">
              <c16:uniqueId val="{00000001-535B-47CF-83CD-E7BD84F476C1}"/>
            </c:ext>
          </c:extLst>
        </c:ser>
        <c:ser>
          <c:idx val="2"/>
          <c:order val="2"/>
          <c:tx>
            <c:strRef>
              <c:f>TRNG_Data!$F$3</c:f>
              <c:strCache>
                <c:ptCount val="1"/>
                <c:pt idx="0">
                  <c:v>metastability</c:v>
                </c:pt>
              </c:strCache>
            </c:strRef>
          </c:tx>
          <c:spPr>
            <a:ln w="19050">
              <a:noFill/>
            </a:ln>
          </c:spPr>
          <c:marker>
            <c:symbol val="star"/>
            <c:size val="7"/>
            <c:spPr>
              <a:noFill/>
              <a:ln w="25400">
                <a:solidFill>
                  <a:srgbClr val="FFC000"/>
                </a:solidFill>
              </a:ln>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TRNG_Data!$AA$4:$AA$41</c:f>
              <c:numCache>
                <c:formatCode>0.000E+00</c:formatCode>
                <c:ptCount val="38"/>
                <c:pt idx="0">
                  <c:v>0</c:v>
                </c:pt>
                <c:pt idx="1">
                  <c:v>0</c:v>
                </c:pt>
                <c:pt idx="2">
                  <c:v>0</c:v>
                </c:pt>
                <c:pt idx="3">
                  <c:v>0</c:v>
                </c:pt>
                <c:pt idx="4">
                  <c:v>0</c:v>
                </c:pt>
                <c:pt idx="5">
                  <c:v>0</c:v>
                </c:pt>
                <c:pt idx="6">
                  <c:v>0</c:v>
                </c:pt>
                <c:pt idx="7">
                  <c:v>0</c:v>
                </c:pt>
                <c:pt idx="8">
                  <c:v>0</c:v>
                </c:pt>
                <c:pt idx="9">
                  <c:v>0.4</c:v>
                </c:pt>
                <c:pt idx="10">
                  <c:v>0</c:v>
                </c:pt>
                <c:pt idx="11">
                  <c:v>0</c:v>
                </c:pt>
                <c:pt idx="12">
                  <c:v>0</c:v>
                </c:pt>
                <c:pt idx="13">
                  <c:v>0</c:v>
                </c:pt>
                <c:pt idx="14">
                  <c:v>0</c:v>
                </c:pt>
                <c:pt idx="15">
                  <c:v>0</c:v>
                </c:pt>
                <c:pt idx="16">
                  <c:v>0</c:v>
                </c:pt>
                <c:pt idx="17">
                  <c:v>0</c:v>
                </c:pt>
                <c:pt idx="18">
                  <c:v>0</c:v>
                </c:pt>
                <c:pt idx="19">
                  <c:v>0</c:v>
                </c:pt>
                <c:pt idx="20">
                  <c:v>0</c:v>
                </c:pt>
                <c:pt idx="21">
                  <c:v>2.58</c:v>
                </c:pt>
                <c:pt idx="22">
                  <c:v>2.5</c:v>
                </c:pt>
                <c:pt idx="23">
                  <c:v>2.5</c:v>
                </c:pt>
                <c:pt idx="24">
                  <c:v>0</c:v>
                </c:pt>
                <c:pt idx="25">
                  <c:v>0</c:v>
                </c:pt>
                <c:pt idx="26">
                  <c:v>0</c:v>
                </c:pt>
                <c:pt idx="27">
                  <c:v>0</c:v>
                </c:pt>
                <c:pt idx="28">
                  <c:v>0.186</c:v>
                </c:pt>
                <c:pt idx="29">
                  <c:v>0</c:v>
                </c:pt>
                <c:pt idx="30">
                  <c:v>0</c:v>
                </c:pt>
                <c:pt idx="31">
                  <c:v>0</c:v>
                </c:pt>
                <c:pt idx="32">
                  <c:v>0</c:v>
                </c:pt>
                <c:pt idx="33">
                  <c:v>0</c:v>
                </c:pt>
                <c:pt idx="34">
                  <c:v>0.11600000000000001</c:v>
                </c:pt>
                <c:pt idx="35">
                  <c:v>0</c:v>
                </c:pt>
                <c:pt idx="36">
                  <c:v>0</c:v>
                </c:pt>
                <c:pt idx="37">
                  <c:v>0</c:v>
                </c:pt>
              </c:numCache>
            </c:numRef>
          </c:yVal>
          <c:smooth val="0"/>
          <c:extLst>
            <c:ext xmlns:c16="http://schemas.microsoft.com/office/drawing/2014/chart" uri="{C3380CC4-5D6E-409C-BE32-E72D297353CC}">
              <c16:uniqueId val="{00000002-535B-47CF-83CD-E7BD84F476C1}"/>
            </c:ext>
          </c:extLst>
        </c:ser>
        <c:ser>
          <c:idx val="3"/>
          <c:order val="3"/>
          <c:tx>
            <c:strRef>
              <c:f>TRNG_Data!$G$3</c:f>
              <c:strCache>
                <c:ptCount val="1"/>
                <c:pt idx="0">
                  <c:v>chaotic map</c:v>
                </c:pt>
              </c:strCache>
            </c:strRef>
          </c:tx>
          <c:spPr>
            <a:ln w="19050">
              <a:noFill/>
            </a:ln>
          </c:spPr>
          <c:marker>
            <c:symbol val="diamond"/>
            <c:size val="7"/>
            <c:spPr>
              <a:noFill/>
              <a:ln w="25400">
                <a:solidFill>
                  <a:srgbClr val="FF0000"/>
                </a:solidFill>
              </a:ln>
              <a:effectLst/>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TRNG_Data!$AB$4:$AB$41</c:f>
              <c:numCache>
                <c:formatCode>0.000E+00</c:formatCode>
                <c:ptCount val="38"/>
                <c:pt idx="0">
                  <c:v>0</c:v>
                </c:pt>
                <c:pt idx="1">
                  <c:v>0</c:v>
                </c:pt>
                <c:pt idx="2">
                  <c:v>0</c:v>
                </c:pt>
                <c:pt idx="3">
                  <c:v>750</c:v>
                </c:pt>
                <c:pt idx="4">
                  <c:v>0</c:v>
                </c:pt>
                <c:pt idx="5">
                  <c:v>0</c:v>
                </c:pt>
                <c:pt idx="6">
                  <c:v>0</c:v>
                </c:pt>
                <c:pt idx="7">
                  <c:v>0</c:v>
                </c:pt>
                <c:pt idx="8">
                  <c:v>0</c:v>
                </c:pt>
                <c:pt idx="9">
                  <c:v>0</c:v>
                </c:pt>
                <c:pt idx="10">
                  <c:v>0</c:v>
                </c:pt>
                <c:pt idx="11">
                  <c:v>0</c:v>
                </c:pt>
                <c:pt idx="12">
                  <c:v>8.6</c:v>
                </c:pt>
                <c:pt idx="13">
                  <c:v>0</c:v>
                </c:pt>
                <c:pt idx="14">
                  <c:v>0</c:v>
                </c:pt>
                <c:pt idx="15">
                  <c:v>0</c:v>
                </c:pt>
                <c:pt idx="16">
                  <c:v>0</c:v>
                </c:pt>
                <c:pt idx="17">
                  <c:v>0</c:v>
                </c:pt>
                <c:pt idx="18">
                  <c:v>0.3</c:v>
                </c:pt>
                <c:pt idx="19">
                  <c:v>2.5000000000000001E-2</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3-535B-47CF-83CD-E7BD84F476C1}"/>
            </c:ext>
          </c:extLst>
        </c:ser>
        <c:ser>
          <c:idx val="5"/>
          <c:order val="4"/>
          <c:tx>
            <c:strRef>
              <c:f>TRNG_Data!$H$3</c:f>
              <c:strCache>
                <c:ptCount val="1"/>
                <c:pt idx="0">
                  <c:v>hybrid</c:v>
                </c:pt>
              </c:strCache>
            </c:strRef>
          </c:tx>
          <c:spPr>
            <a:ln w="19050">
              <a:noFill/>
            </a:ln>
          </c:spPr>
          <c:marker>
            <c:symbol val="star"/>
            <c:size val="7"/>
            <c:spPr>
              <a:noFill/>
              <a:ln w="25400">
                <a:solidFill>
                  <a:srgbClr val="C00000"/>
                </a:solidFill>
              </a:ln>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TRNG_Data!$AC$4:$AC$41</c:f>
              <c:numCache>
                <c:formatCode>0.000E+00</c:formatCode>
                <c:ptCount val="38"/>
                <c:pt idx="0">
                  <c:v>0</c:v>
                </c:pt>
                <c:pt idx="1">
                  <c:v>0</c:v>
                </c:pt>
                <c:pt idx="2">
                  <c:v>0</c:v>
                </c:pt>
                <c:pt idx="3">
                  <c:v>0</c:v>
                </c:pt>
                <c:pt idx="4">
                  <c:v>0</c:v>
                </c:pt>
                <c:pt idx="5">
                  <c:v>0</c:v>
                </c:pt>
                <c:pt idx="6">
                  <c:v>5000</c:v>
                </c:pt>
                <c:pt idx="7">
                  <c:v>0</c:v>
                </c:pt>
                <c:pt idx="8">
                  <c:v>0</c:v>
                </c:pt>
                <c:pt idx="9">
                  <c:v>0</c:v>
                </c:pt>
                <c:pt idx="10">
                  <c:v>0</c:v>
                </c:pt>
                <c:pt idx="11">
                  <c:v>0</c:v>
                </c:pt>
                <c:pt idx="12">
                  <c:v>0</c:v>
                </c:pt>
                <c:pt idx="13">
                  <c:v>23</c:v>
                </c:pt>
                <c:pt idx="14">
                  <c:v>0</c:v>
                </c:pt>
                <c:pt idx="15">
                  <c:v>0</c:v>
                </c:pt>
                <c:pt idx="16">
                  <c:v>0</c:v>
                </c:pt>
                <c:pt idx="17">
                  <c:v>1.6</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0-B970-4FA3-85F3-A3E28A8BD3CA}"/>
            </c:ext>
          </c:extLst>
        </c:ser>
        <c:ser>
          <c:idx val="4"/>
          <c:order val="5"/>
          <c:tx>
            <c:strRef>
              <c:f>TRNG_Data!$I$3</c:f>
              <c:strCache>
                <c:ptCount val="1"/>
                <c:pt idx="0">
                  <c:v>others</c:v>
                </c:pt>
              </c:strCache>
            </c:strRef>
          </c:tx>
          <c:spPr>
            <a:ln w="19050">
              <a:noFill/>
            </a:ln>
          </c:spPr>
          <c:marker>
            <c:symbol val="plus"/>
            <c:size val="7"/>
            <c:spPr>
              <a:noFill/>
              <a:ln w="25400">
                <a:solidFill>
                  <a:schemeClr val="tx1"/>
                </a:solidFill>
              </a:ln>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TRNG_Data!$AD$4:$AD$41</c:f>
              <c:numCache>
                <c:formatCode>0.000E+00</c:formatCode>
                <c:ptCount val="38"/>
                <c:pt idx="0">
                  <c:v>0</c:v>
                </c:pt>
                <c:pt idx="1">
                  <c:v>0</c:v>
                </c:pt>
                <c:pt idx="2">
                  <c:v>0</c:v>
                </c:pt>
                <c:pt idx="3">
                  <c:v>0</c:v>
                </c:pt>
                <c:pt idx="4">
                  <c:v>0</c:v>
                </c:pt>
                <c:pt idx="5">
                  <c:v>0</c:v>
                </c:pt>
                <c:pt idx="6">
                  <c:v>0</c:v>
                </c:pt>
                <c:pt idx="7">
                  <c:v>0</c:v>
                </c:pt>
                <c:pt idx="8">
                  <c:v>181818.18181818182</c:v>
                </c:pt>
                <c:pt idx="9">
                  <c:v>0</c:v>
                </c:pt>
                <c:pt idx="10">
                  <c:v>0</c:v>
                </c:pt>
                <c:pt idx="11">
                  <c:v>0</c:v>
                </c:pt>
                <c:pt idx="12">
                  <c:v>0</c:v>
                </c:pt>
                <c:pt idx="13">
                  <c:v>0</c:v>
                </c:pt>
                <c:pt idx="14">
                  <c:v>0</c:v>
                </c:pt>
                <c:pt idx="15">
                  <c:v>0</c:v>
                </c:pt>
                <c:pt idx="16">
                  <c:v>0</c:v>
                </c:pt>
                <c:pt idx="17">
                  <c:v>0</c:v>
                </c:pt>
                <c:pt idx="18">
                  <c:v>0</c:v>
                </c:pt>
                <c:pt idx="19">
                  <c:v>0</c:v>
                </c:pt>
                <c:pt idx="20">
                  <c:v>11</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4-535B-47CF-83CD-E7BD84F476C1}"/>
            </c:ext>
          </c:extLst>
        </c:ser>
        <c:dLbls>
          <c:showLegendKey val="0"/>
          <c:showVal val="0"/>
          <c:showCatName val="0"/>
          <c:showSerName val="0"/>
          <c:showPercent val="0"/>
          <c:showBubbleSize val="0"/>
        </c:dLbls>
        <c:axId val="152336752"/>
        <c:axId val="152337144"/>
        <c:extLst/>
      </c:scatterChart>
      <c:valAx>
        <c:axId val="152336752"/>
        <c:scaling>
          <c:orientation val="minMax"/>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year</a:t>
                </a:r>
              </a:p>
            </c:rich>
          </c:tx>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At val="1.0000000000000002E-3"/>
        <c:crossBetween val="midCat"/>
        <c:majorUnit val="2"/>
      </c:valAx>
      <c:valAx>
        <c:axId val="152337144"/>
        <c:scaling>
          <c:logBase val="10"/>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energy/bit (pJ)</a:t>
                </a:r>
              </a:p>
            </c:rich>
          </c:tx>
          <c:overlay val="0"/>
          <c:spPr>
            <a:noFill/>
            <a:ln>
              <a:noFill/>
            </a:ln>
            <a:effectLst/>
          </c:spPr>
        </c:title>
        <c:numFmt formatCode="0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 val="autoZero"/>
        <c:crossBetween val="midCat"/>
      </c:valAx>
      <c:spPr>
        <a:noFill/>
        <a:ln w="19050">
          <a:solidFill>
            <a:schemeClr val="tx1"/>
          </a:solidFill>
        </a:ln>
        <a:effectLst/>
      </c:spPr>
    </c:plotArea>
    <c:legend>
      <c:legendPos val="b"/>
      <c:layout>
        <c:manualLayout>
          <c:xMode val="edge"/>
          <c:yMode val="edge"/>
          <c:x val="0.13880039682539683"/>
          <c:y val="0.92523820710987037"/>
          <c:w val="0.79709773109917426"/>
          <c:h val="6.0422086819428997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userShapes r:id="rId1"/>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ysClr val="windowText" lastClr="000000"/>
                </a:solidFill>
                <a:latin typeface="+mn-lt"/>
                <a:ea typeface="+mn-ea"/>
                <a:cs typeface="+mn-cs"/>
              </a:defRPr>
            </a:pPr>
            <a:r>
              <a:rPr lang="en-SG" sz="1600" b="1">
                <a:solidFill>
                  <a:sysClr val="windowText" lastClr="000000"/>
                </a:solidFill>
              </a:rPr>
              <a:t>TRNG area vs year</a:t>
            </a:r>
          </a:p>
        </c:rich>
      </c:tx>
      <c:layout>
        <c:manualLayout>
          <c:xMode val="edge"/>
          <c:yMode val="edge"/>
          <c:x val="0.39035714285714279"/>
          <c:y val="3.7011369776224013E-3"/>
        </c:manualLayout>
      </c:layout>
      <c:overlay val="0"/>
      <c:spPr>
        <a:noFill/>
        <a:ln>
          <a:noFill/>
        </a:ln>
        <a:effectLst/>
      </c:spPr>
    </c:title>
    <c:autoTitleDeleted val="0"/>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TRNG_Data!$D$3</c:f>
              <c:strCache>
                <c:ptCount val="1"/>
                <c:pt idx="0">
                  <c:v>noise-based</c:v>
                </c:pt>
              </c:strCache>
            </c:strRef>
          </c:tx>
          <c:spPr>
            <a:ln w="19050">
              <a:noFill/>
            </a:ln>
          </c:spPr>
          <c:marker>
            <c:symbol val="circle"/>
            <c:size val="7"/>
            <c:spPr>
              <a:noFill/>
              <a:ln w="25400">
                <a:solidFill>
                  <a:srgbClr val="003399"/>
                </a:solidFill>
              </a:ln>
              <a:effectLst/>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TRNG_Data!$R$4:$R$41</c:f>
              <c:numCache>
                <c:formatCode>0.000E+00</c:formatCode>
                <c:ptCount val="38"/>
                <c:pt idx="0">
                  <c:v>0</c:v>
                </c:pt>
                <c:pt idx="1">
                  <c:v>0</c:v>
                </c:pt>
                <c:pt idx="2">
                  <c:v>9000000000</c:v>
                </c:pt>
                <c:pt idx="3">
                  <c:v>0</c:v>
                </c:pt>
                <c:pt idx="4">
                  <c:v>0</c:v>
                </c:pt>
                <c:pt idx="5">
                  <c:v>0</c:v>
                </c:pt>
                <c:pt idx="6">
                  <c:v>0</c:v>
                </c:pt>
                <c:pt idx="7">
                  <c:v>1220000000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0-5C8B-45D3-AA96-5E19F76BD5A4}"/>
            </c:ext>
          </c:extLst>
        </c:ser>
        <c:ser>
          <c:idx val="1"/>
          <c:order val="1"/>
          <c:tx>
            <c:strRef>
              <c:f>TRNG_Data!$E$3</c:f>
              <c:strCache>
                <c:ptCount val="1"/>
                <c:pt idx="0">
                  <c:v>jitter</c:v>
                </c:pt>
              </c:strCache>
            </c:strRef>
          </c:tx>
          <c:spPr>
            <a:ln w="19050">
              <a:noFill/>
            </a:ln>
          </c:spPr>
          <c:marker>
            <c:symbol val="triangle"/>
            <c:size val="7"/>
            <c:spPr>
              <a:noFill/>
              <a:ln w="25400">
                <a:solidFill>
                  <a:srgbClr val="00B0F0"/>
                </a:solidFill>
              </a:ln>
              <a:effectLst/>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TRNG_Data!$S$4:$S$41</c:f>
              <c:numCache>
                <c:formatCode>0.000E+00</c:formatCode>
                <c:ptCount val="38"/>
                <c:pt idx="0">
                  <c:v>1600000000</c:v>
                </c:pt>
                <c:pt idx="1">
                  <c:v>0</c:v>
                </c:pt>
                <c:pt idx="2">
                  <c:v>0</c:v>
                </c:pt>
                <c:pt idx="3">
                  <c:v>0</c:v>
                </c:pt>
                <c:pt idx="4">
                  <c:v>0</c:v>
                </c:pt>
                <c:pt idx="5">
                  <c:v>13000000000</c:v>
                </c:pt>
                <c:pt idx="6">
                  <c:v>0</c:v>
                </c:pt>
                <c:pt idx="7">
                  <c:v>0</c:v>
                </c:pt>
                <c:pt idx="8">
                  <c:v>0</c:v>
                </c:pt>
                <c:pt idx="9">
                  <c:v>0</c:v>
                </c:pt>
                <c:pt idx="10">
                  <c:v>370048000.00000006</c:v>
                </c:pt>
                <c:pt idx="11">
                  <c:v>1400000000</c:v>
                </c:pt>
                <c:pt idx="12">
                  <c:v>0</c:v>
                </c:pt>
                <c:pt idx="13">
                  <c:v>0</c:v>
                </c:pt>
                <c:pt idx="14">
                  <c:v>830400000</c:v>
                </c:pt>
                <c:pt idx="15">
                  <c:v>0</c:v>
                </c:pt>
                <c:pt idx="16">
                  <c:v>921050000.00000012</c:v>
                </c:pt>
                <c:pt idx="17">
                  <c:v>0</c:v>
                </c:pt>
                <c:pt idx="18">
                  <c:v>0</c:v>
                </c:pt>
                <c:pt idx="19">
                  <c:v>0</c:v>
                </c:pt>
                <c:pt idx="20">
                  <c:v>0</c:v>
                </c:pt>
                <c:pt idx="21">
                  <c:v>0</c:v>
                </c:pt>
                <c:pt idx="22">
                  <c:v>0</c:v>
                </c:pt>
                <c:pt idx="23">
                  <c:v>0</c:v>
                </c:pt>
                <c:pt idx="24">
                  <c:v>0</c:v>
                </c:pt>
                <c:pt idx="25">
                  <c:v>59999998175</c:v>
                </c:pt>
                <c:pt idx="26">
                  <c:v>15399999888</c:v>
                </c:pt>
                <c:pt idx="27">
                  <c:v>0</c:v>
                </c:pt>
                <c:pt idx="28">
                  <c:v>0</c:v>
                </c:pt>
                <c:pt idx="29">
                  <c:v>0</c:v>
                </c:pt>
                <c:pt idx="30">
                  <c:v>4335000000</c:v>
                </c:pt>
                <c:pt idx="31">
                  <c:v>0</c:v>
                </c:pt>
                <c:pt idx="32">
                  <c:v>366000000</c:v>
                </c:pt>
                <c:pt idx="33">
                  <c:v>0</c:v>
                </c:pt>
                <c:pt idx="34">
                  <c:v>0</c:v>
                </c:pt>
                <c:pt idx="35">
                  <c:v>305600000</c:v>
                </c:pt>
                <c:pt idx="36">
                  <c:v>0</c:v>
                </c:pt>
                <c:pt idx="37">
                  <c:v>0</c:v>
                </c:pt>
              </c:numCache>
            </c:numRef>
          </c:yVal>
          <c:smooth val="0"/>
          <c:extLst>
            <c:ext xmlns:c16="http://schemas.microsoft.com/office/drawing/2014/chart" uri="{C3380CC4-5D6E-409C-BE32-E72D297353CC}">
              <c16:uniqueId val="{00000001-5C8B-45D3-AA96-5E19F76BD5A4}"/>
            </c:ext>
          </c:extLst>
        </c:ser>
        <c:ser>
          <c:idx val="2"/>
          <c:order val="2"/>
          <c:tx>
            <c:strRef>
              <c:f>TRNG_Data!$F$3</c:f>
              <c:strCache>
                <c:ptCount val="1"/>
                <c:pt idx="0">
                  <c:v>metastability</c:v>
                </c:pt>
              </c:strCache>
            </c:strRef>
          </c:tx>
          <c:spPr>
            <a:ln w="19050">
              <a:noFill/>
            </a:ln>
          </c:spPr>
          <c:marker>
            <c:symbol val="star"/>
            <c:size val="7"/>
            <c:spPr>
              <a:noFill/>
              <a:ln w="25400">
                <a:solidFill>
                  <a:srgbClr val="FFC000"/>
                </a:solidFill>
              </a:ln>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TRNG_Data!$T$4:$T$41</c:f>
              <c:numCache>
                <c:formatCode>0.000E+00</c:formatCode>
                <c:ptCount val="38"/>
                <c:pt idx="0">
                  <c:v>0</c:v>
                </c:pt>
                <c:pt idx="1">
                  <c:v>0</c:v>
                </c:pt>
                <c:pt idx="2">
                  <c:v>0</c:v>
                </c:pt>
                <c:pt idx="3">
                  <c:v>0</c:v>
                </c:pt>
                <c:pt idx="4">
                  <c:v>0</c:v>
                </c:pt>
                <c:pt idx="5">
                  <c:v>0</c:v>
                </c:pt>
                <c:pt idx="6">
                  <c:v>0</c:v>
                </c:pt>
                <c:pt idx="7">
                  <c:v>0</c:v>
                </c:pt>
                <c:pt idx="8">
                  <c:v>0</c:v>
                </c:pt>
                <c:pt idx="9">
                  <c:v>4003999999.9999995</c:v>
                </c:pt>
                <c:pt idx="10">
                  <c:v>0</c:v>
                </c:pt>
                <c:pt idx="11">
                  <c:v>0</c:v>
                </c:pt>
                <c:pt idx="12">
                  <c:v>0</c:v>
                </c:pt>
                <c:pt idx="13">
                  <c:v>0</c:v>
                </c:pt>
                <c:pt idx="14">
                  <c:v>0</c:v>
                </c:pt>
                <c:pt idx="15">
                  <c:v>0</c:v>
                </c:pt>
                <c:pt idx="16">
                  <c:v>0</c:v>
                </c:pt>
                <c:pt idx="17">
                  <c:v>0</c:v>
                </c:pt>
                <c:pt idx="18">
                  <c:v>0</c:v>
                </c:pt>
                <c:pt idx="19">
                  <c:v>0</c:v>
                </c:pt>
                <c:pt idx="20">
                  <c:v>0</c:v>
                </c:pt>
                <c:pt idx="21">
                  <c:v>10013250000.000002</c:v>
                </c:pt>
                <c:pt idx="22">
                  <c:v>2116799999.9999998</c:v>
                </c:pt>
                <c:pt idx="23">
                  <c:v>688000000</c:v>
                </c:pt>
                <c:pt idx="24">
                  <c:v>0</c:v>
                </c:pt>
                <c:pt idx="25">
                  <c:v>0</c:v>
                </c:pt>
                <c:pt idx="26">
                  <c:v>0</c:v>
                </c:pt>
                <c:pt idx="27">
                  <c:v>0</c:v>
                </c:pt>
                <c:pt idx="28">
                  <c:v>5560100000</c:v>
                </c:pt>
                <c:pt idx="29">
                  <c:v>0</c:v>
                </c:pt>
                <c:pt idx="30">
                  <c:v>0</c:v>
                </c:pt>
                <c:pt idx="31">
                  <c:v>0</c:v>
                </c:pt>
                <c:pt idx="32">
                  <c:v>0</c:v>
                </c:pt>
                <c:pt idx="33">
                  <c:v>0</c:v>
                </c:pt>
                <c:pt idx="34">
                  <c:v>5343000000</c:v>
                </c:pt>
                <c:pt idx="35">
                  <c:v>0</c:v>
                </c:pt>
                <c:pt idx="36">
                  <c:v>0</c:v>
                </c:pt>
                <c:pt idx="37">
                  <c:v>0</c:v>
                </c:pt>
              </c:numCache>
            </c:numRef>
          </c:yVal>
          <c:smooth val="0"/>
          <c:extLst>
            <c:ext xmlns:c16="http://schemas.microsoft.com/office/drawing/2014/chart" uri="{C3380CC4-5D6E-409C-BE32-E72D297353CC}">
              <c16:uniqueId val="{00000002-5C8B-45D3-AA96-5E19F76BD5A4}"/>
            </c:ext>
          </c:extLst>
        </c:ser>
        <c:ser>
          <c:idx val="3"/>
          <c:order val="3"/>
          <c:tx>
            <c:strRef>
              <c:f>TRNG_Data!$G$3</c:f>
              <c:strCache>
                <c:ptCount val="1"/>
                <c:pt idx="0">
                  <c:v>chaotic map</c:v>
                </c:pt>
              </c:strCache>
            </c:strRef>
          </c:tx>
          <c:spPr>
            <a:ln w="19050">
              <a:noFill/>
            </a:ln>
          </c:spPr>
          <c:marker>
            <c:symbol val="diamond"/>
            <c:size val="7"/>
            <c:spPr>
              <a:noFill/>
              <a:ln w="25400">
                <a:solidFill>
                  <a:srgbClr val="FF0000"/>
                </a:solidFill>
              </a:ln>
              <a:effectLst/>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TRNG_Data!$U$4:$U$41</c:f>
              <c:numCache>
                <c:formatCode>0.000E+00</c:formatCode>
                <c:ptCount val="38"/>
                <c:pt idx="0">
                  <c:v>0</c:v>
                </c:pt>
                <c:pt idx="1">
                  <c:v>0</c:v>
                </c:pt>
                <c:pt idx="2">
                  <c:v>0</c:v>
                </c:pt>
                <c:pt idx="3">
                  <c:v>520000000000</c:v>
                </c:pt>
                <c:pt idx="4">
                  <c:v>0</c:v>
                </c:pt>
                <c:pt idx="5">
                  <c:v>0</c:v>
                </c:pt>
                <c:pt idx="6">
                  <c:v>0</c:v>
                </c:pt>
                <c:pt idx="7">
                  <c:v>0</c:v>
                </c:pt>
                <c:pt idx="8">
                  <c:v>0</c:v>
                </c:pt>
                <c:pt idx="9">
                  <c:v>0</c:v>
                </c:pt>
                <c:pt idx="10">
                  <c:v>0</c:v>
                </c:pt>
                <c:pt idx="11">
                  <c:v>0</c:v>
                </c:pt>
                <c:pt idx="12">
                  <c:v>93149999.999999985</c:v>
                </c:pt>
                <c:pt idx="13">
                  <c:v>0</c:v>
                </c:pt>
                <c:pt idx="14">
                  <c:v>0</c:v>
                </c:pt>
                <c:pt idx="15">
                  <c:v>0</c:v>
                </c:pt>
                <c:pt idx="16">
                  <c:v>0</c:v>
                </c:pt>
                <c:pt idx="17">
                  <c:v>0</c:v>
                </c:pt>
                <c:pt idx="18">
                  <c:v>210000000000</c:v>
                </c:pt>
                <c:pt idx="19">
                  <c:v>557700000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3-5C8B-45D3-AA96-5E19F76BD5A4}"/>
            </c:ext>
          </c:extLst>
        </c:ser>
        <c:ser>
          <c:idx val="5"/>
          <c:order val="4"/>
          <c:tx>
            <c:strRef>
              <c:f>TRNG_Data!$H$3</c:f>
              <c:strCache>
                <c:ptCount val="1"/>
                <c:pt idx="0">
                  <c:v>hybrid</c:v>
                </c:pt>
              </c:strCache>
            </c:strRef>
          </c:tx>
          <c:spPr>
            <a:ln w="19050">
              <a:noFill/>
            </a:ln>
          </c:spPr>
          <c:marker>
            <c:symbol val="star"/>
            <c:size val="7"/>
            <c:spPr>
              <a:noFill/>
              <a:ln w="25400">
                <a:solidFill>
                  <a:srgbClr val="C00000"/>
                </a:solidFill>
              </a:ln>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TRNG_Data!$V$4:$V$41</c:f>
              <c:numCache>
                <c:formatCode>0.000E+00</c:formatCode>
                <c:ptCount val="38"/>
                <c:pt idx="0">
                  <c:v>0</c:v>
                </c:pt>
                <c:pt idx="1">
                  <c:v>0</c:v>
                </c:pt>
                <c:pt idx="2">
                  <c:v>0</c:v>
                </c:pt>
                <c:pt idx="3">
                  <c:v>0</c:v>
                </c:pt>
                <c:pt idx="4">
                  <c:v>210000000000</c:v>
                </c:pt>
                <c:pt idx="5">
                  <c:v>0</c:v>
                </c:pt>
                <c:pt idx="6">
                  <c:v>145000000000</c:v>
                </c:pt>
                <c:pt idx="7">
                  <c:v>0</c:v>
                </c:pt>
                <c:pt idx="8">
                  <c:v>0</c:v>
                </c:pt>
                <c:pt idx="9">
                  <c:v>0</c:v>
                </c:pt>
                <c:pt idx="10">
                  <c:v>0</c:v>
                </c:pt>
                <c:pt idx="11">
                  <c:v>0</c:v>
                </c:pt>
                <c:pt idx="12">
                  <c:v>0</c:v>
                </c:pt>
                <c:pt idx="13">
                  <c:v>1009400000</c:v>
                </c:pt>
                <c:pt idx="14">
                  <c:v>0</c:v>
                </c:pt>
                <c:pt idx="15">
                  <c:v>0</c:v>
                </c:pt>
                <c:pt idx="16">
                  <c:v>0</c:v>
                </c:pt>
                <c:pt idx="17">
                  <c:v>1605500000.0000002</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1-AB78-499E-A970-F8231E37561D}"/>
            </c:ext>
          </c:extLst>
        </c:ser>
        <c:ser>
          <c:idx val="4"/>
          <c:order val="5"/>
          <c:tx>
            <c:strRef>
              <c:f>TRNG_Data!$I$3</c:f>
              <c:strCache>
                <c:ptCount val="1"/>
                <c:pt idx="0">
                  <c:v>others</c:v>
                </c:pt>
              </c:strCache>
            </c:strRef>
          </c:tx>
          <c:spPr>
            <a:ln w="19050">
              <a:noFill/>
            </a:ln>
          </c:spPr>
          <c:marker>
            <c:symbol val="plus"/>
            <c:size val="7"/>
            <c:spPr>
              <a:noFill/>
              <a:ln w="25400">
                <a:solidFill>
                  <a:schemeClr val="tx1"/>
                </a:solidFill>
              </a:ln>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TRNG_Data!$W$4:$W$41</c:f>
              <c:numCache>
                <c:formatCode>0.000E+00</c:formatCode>
                <c:ptCount val="38"/>
                <c:pt idx="0">
                  <c:v>0</c:v>
                </c:pt>
                <c:pt idx="1">
                  <c:v>0</c:v>
                </c:pt>
                <c:pt idx="2">
                  <c:v>0</c:v>
                </c:pt>
                <c:pt idx="3">
                  <c:v>0</c:v>
                </c:pt>
                <c:pt idx="4">
                  <c:v>0</c:v>
                </c:pt>
                <c:pt idx="5">
                  <c:v>0</c:v>
                </c:pt>
                <c:pt idx="6">
                  <c:v>0</c:v>
                </c:pt>
                <c:pt idx="7">
                  <c:v>0</c:v>
                </c:pt>
                <c:pt idx="8">
                  <c:v>1200000000</c:v>
                </c:pt>
                <c:pt idx="9">
                  <c:v>0</c:v>
                </c:pt>
                <c:pt idx="10">
                  <c:v>0</c:v>
                </c:pt>
                <c:pt idx="11">
                  <c:v>0</c:v>
                </c:pt>
                <c:pt idx="12">
                  <c:v>0</c:v>
                </c:pt>
                <c:pt idx="13">
                  <c:v>0</c:v>
                </c:pt>
                <c:pt idx="14">
                  <c:v>0</c:v>
                </c:pt>
                <c:pt idx="15">
                  <c:v>1102500000000</c:v>
                </c:pt>
                <c:pt idx="16">
                  <c:v>0</c:v>
                </c:pt>
                <c:pt idx="17">
                  <c:v>0</c:v>
                </c:pt>
                <c:pt idx="18">
                  <c:v>0</c:v>
                </c:pt>
                <c:pt idx="19">
                  <c:v>0</c:v>
                </c:pt>
                <c:pt idx="20">
                  <c:v>180000000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4-5C8B-45D3-AA96-5E19F76BD5A4}"/>
            </c:ext>
          </c:extLst>
        </c:ser>
        <c:dLbls>
          <c:showLegendKey val="0"/>
          <c:showVal val="0"/>
          <c:showCatName val="0"/>
          <c:showSerName val="0"/>
          <c:showPercent val="0"/>
          <c:showBubbleSize val="0"/>
        </c:dLbls>
        <c:axId val="152336752"/>
        <c:axId val="152337144"/>
        <c:extLst/>
      </c:scatterChart>
      <c:valAx>
        <c:axId val="152336752"/>
        <c:scaling>
          <c:orientation val="minMax"/>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year</a:t>
                </a:r>
              </a:p>
            </c:rich>
          </c:tx>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 val="autoZero"/>
        <c:crossBetween val="midCat"/>
        <c:majorUnit val="2"/>
      </c:valAx>
      <c:valAx>
        <c:axId val="152337144"/>
        <c:scaling>
          <c:logBase val="10"/>
          <c:orientation val="minMax"/>
          <c:min val="10000000"/>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area (</a:t>
                </a:r>
                <a:r>
                  <a:rPr lang="en-US" sz="1100" b="1">
                    <a:solidFill>
                      <a:sysClr val="windowText" lastClr="000000"/>
                    </a:solidFill>
                    <a:sym typeface="Symbol" panose="05050102010706020507" pitchFamily="18" charset="2"/>
                  </a:rPr>
                  <a:t></a:t>
                </a:r>
                <a:r>
                  <a:rPr lang="en-US" sz="1100" b="1">
                    <a:solidFill>
                      <a:sysClr val="windowText" lastClr="000000"/>
                    </a:solidFill>
                  </a:rPr>
                  <a:t>m</a:t>
                </a:r>
                <a:r>
                  <a:rPr lang="en-US" sz="1100" b="1" baseline="30000">
                    <a:solidFill>
                      <a:sysClr val="windowText" lastClr="000000"/>
                    </a:solidFill>
                  </a:rPr>
                  <a:t>2</a:t>
                </a:r>
                <a:r>
                  <a:rPr lang="en-US" sz="1100" b="1">
                    <a:solidFill>
                      <a:sysClr val="windowText" lastClr="000000"/>
                    </a:solidFill>
                  </a:rPr>
                  <a:t>)</a:t>
                </a:r>
              </a:p>
            </c:rich>
          </c:tx>
          <c:overlay val="0"/>
          <c:spPr>
            <a:noFill/>
            <a:ln>
              <a:noFill/>
            </a:ln>
            <a:effectLst/>
          </c:spPr>
        </c:title>
        <c:numFmt formatCode="0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 val="autoZero"/>
        <c:crossBetween val="midCat"/>
      </c:valAx>
      <c:spPr>
        <a:noFill/>
        <a:ln w="19050">
          <a:solidFill>
            <a:schemeClr val="tx1"/>
          </a:solidFill>
        </a:ln>
        <a:effectLst/>
      </c:spPr>
    </c:plotArea>
    <c:legend>
      <c:legendPos val="b"/>
      <c:layout>
        <c:manualLayout>
          <c:xMode val="edge"/>
          <c:yMode val="edge"/>
          <c:x val="0.13880039682539683"/>
          <c:y val="0.92523820710987037"/>
          <c:w val="0.79709773109917426"/>
          <c:h val="6.0335673029604506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userShapes r:id="rId1"/>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ysClr val="windowText" lastClr="000000"/>
                </a:solidFill>
                <a:latin typeface="+mn-lt"/>
                <a:ea typeface="+mn-ea"/>
                <a:cs typeface="+mn-cs"/>
              </a:defRPr>
            </a:pPr>
            <a:r>
              <a:rPr lang="en-SG" sz="1600" b="1">
                <a:solidFill>
                  <a:sysClr val="windowText" lastClr="000000"/>
                </a:solidFill>
              </a:rPr>
              <a:t>TRNG</a:t>
            </a:r>
            <a:r>
              <a:rPr lang="en-SG" sz="1600" b="1" baseline="0">
                <a:solidFill>
                  <a:sysClr val="windowText" lastClr="000000"/>
                </a:solidFill>
              </a:rPr>
              <a:t> </a:t>
            </a:r>
            <a:r>
              <a:rPr lang="en-SG" sz="1600" b="1">
                <a:solidFill>
                  <a:sysClr val="windowText" lastClr="000000"/>
                </a:solidFill>
              </a:rPr>
              <a:t>throughput vs normalized area</a:t>
            </a:r>
          </a:p>
        </c:rich>
      </c:tx>
      <c:layout>
        <c:manualLayout>
          <c:xMode val="edge"/>
          <c:yMode val="edge"/>
          <c:x val="0.23195533378377112"/>
          <c:y val="0"/>
        </c:manualLayout>
      </c:layout>
      <c:overlay val="0"/>
      <c:spPr>
        <a:noFill/>
        <a:ln>
          <a:noFill/>
        </a:ln>
        <a:effectLst/>
      </c:spPr>
    </c:title>
    <c:autoTitleDeleted val="0"/>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TRNG_Data!$AG$3</c:f>
              <c:strCache>
                <c:ptCount val="1"/>
                <c:pt idx="0">
                  <c:v>noise-based</c:v>
                </c:pt>
              </c:strCache>
            </c:strRef>
          </c:tx>
          <c:spPr>
            <a:ln w="19050">
              <a:noFill/>
            </a:ln>
          </c:spPr>
          <c:marker>
            <c:symbol val="circle"/>
            <c:size val="7"/>
            <c:spPr>
              <a:noFill/>
              <a:ln w="25400">
                <a:solidFill>
                  <a:srgbClr val="003399"/>
                </a:solidFill>
              </a:ln>
              <a:effectLst/>
            </c:spPr>
          </c:marker>
          <c:xVal>
            <c:numRef>
              <c:f>TRNG_Data!$AH$4:$AH$41</c:f>
              <c:numCache>
                <c:formatCode>0.000E+00</c:formatCode>
                <c:ptCount val="38"/>
                <c:pt idx="0">
                  <c:v>0</c:v>
                </c:pt>
                <c:pt idx="1">
                  <c:v>0</c:v>
                </c:pt>
                <c:pt idx="2">
                  <c:v>0</c:v>
                </c:pt>
                <c:pt idx="3">
                  <c:v>0</c:v>
                </c:pt>
                <c:pt idx="4">
                  <c:v>0</c:v>
                </c:pt>
                <c:pt idx="5">
                  <c:v>0</c:v>
                </c:pt>
                <c:pt idx="6">
                  <c:v>0</c:v>
                </c:pt>
                <c:pt idx="7">
                  <c:v>19520000000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TRNG_Data!$AG$4:$AG$41</c:f>
              <c:numCache>
                <c:formatCode>0.000E+00</c:formatCode>
                <c:ptCount val="38"/>
                <c:pt idx="0">
                  <c:v>0</c:v>
                </c:pt>
                <c:pt idx="1">
                  <c:v>0</c:v>
                </c:pt>
                <c:pt idx="2">
                  <c:v>0</c:v>
                </c:pt>
                <c:pt idx="3">
                  <c:v>0</c:v>
                </c:pt>
                <c:pt idx="4">
                  <c:v>0</c:v>
                </c:pt>
                <c:pt idx="5">
                  <c:v>0</c:v>
                </c:pt>
                <c:pt idx="6">
                  <c:v>0</c:v>
                </c:pt>
                <c:pt idx="7">
                  <c:v>2000000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0-70C6-4AE0-8BF3-B67FEAC8198C}"/>
            </c:ext>
          </c:extLst>
        </c:ser>
        <c:ser>
          <c:idx val="1"/>
          <c:order val="1"/>
          <c:tx>
            <c:strRef>
              <c:f>TRNG_Data!$AI$3</c:f>
              <c:strCache>
                <c:ptCount val="1"/>
                <c:pt idx="0">
                  <c:v>jitter</c:v>
                </c:pt>
              </c:strCache>
            </c:strRef>
          </c:tx>
          <c:spPr>
            <a:ln w="19050">
              <a:noFill/>
            </a:ln>
          </c:spPr>
          <c:marker>
            <c:symbol val="triangle"/>
            <c:size val="7"/>
            <c:spPr>
              <a:noFill/>
              <a:ln w="25400">
                <a:solidFill>
                  <a:srgbClr val="00B0F0"/>
                </a:solidFill>
              </a:ln>
              <a:effectLst/>
            </c:spPr>
          </c:marker>
          <c:xVal>
            <c:numRef>
              <c:f>TRNG_Data!$AJ$4:$AJ$41</c:f>
              <c:numCache>
                <c:formatCode>0.000E+00</c:formatCode>
                <c:ptCount val="38"/>
                <c:pt idx="0">
                  <c:v>49382716049.382721</c:v>
                </c:pt>
                <c:pt idx="1">
                  <c:v>0</c:v>
                </c:pt>
                <c:pt idx="2">
                  <c:v>0</c:v>
                </c:pt>
                <c:pt idx="3">
                  <c:v>0</c:v>
                </c:pt>
                <c:pt idx="4">
                  <c:v>0</c:v>
                </c:pt>
                <c:pt idx="5">
                  <c:v>1604938271604.9385</c:v>
                </c:pt>
                <c:pt idx="6">
                  <c:v>0</c:v>
                </c:pt>
                <c:pt idx="7">
                  <c:v>0</c:v>
                </c:pt>
                <c:pt idx="8">
                  <c:v>0</c:v>
                </c:pt>
                <c:pt idx="9">
                  <c:v>0</c:v>
                </c:pt>
                <c:pt idx="10">
                  <c:v>472000</c:v>
                </c:pt>
                <c:pt idx="11">
                  <c:v>875000000000</c:v>
                </c:pt>
                <c:pt idx="12">
                  <c:v>0</c:v>
                </c:pt>
                <c:pt idx="13">
                  <c:v>0</c:v>
                </c:pt>
                <c:pt idx="14">
                  <c:v>519000</c:v>
                </c:pt>
                <c:pt idx="15">
                  <c:v>0</c:v>
                </c:pt>
                <c:pt idx="16">
                  <c:v>218000</c:v>
                </c:pt>
                <c:pt idx="17">
                  <c:v>0</c:v>
                </c:pt>
                <c:pt idx="18">
                  <c:v>0</c:v>
                </c:pt>
                <c:pt idx="19">
                  <c:v>0</c:v>
                </c:pt>
                <c:pt idx="20">
                  <c:v>0</c:v>
                </c:pt>
                <c:pt idx="21">
                  <c:v>0</c:v>
                </c:pt>
                <c:pt idx="22">
                  <c:v>0</c:v>
                </c:pt>
                <c:pt idx="23">
                  <c:v>0</c:v>
                </c:pt>
                <c:pt idx="24">
                  <c:v>0</c:v>
                </c:pt>
                <c:pt idx="25">
                  <c:v>14201183</c:v>
                </c:pt>
                <c:pt idx="26">
                  <c:v>19642857</c:v>
                </c:pt>
                <c:pt idx="27">
                  <c:v>0</c:v>
                </c:pt>
                <c:pt idx="28">
                  <c:v>0</c:v>
                </c:pt>
                <c:pt idx="29">
                  <c:v>0</c:v>
                </c:pt>
                <c:pt idx="30">
                  <c:v>2709375</c:v>
                </c:pt>
                <c:pt idx="31">
                  <c:v>0</c:v>
                </c:pt>
                <c:pt idx="32">
                  <c:v>87000</c:v>
                </c:pt>
                <c:pt idx="33">
                  <c:v>0</c:v>
                </c:pt>
                <c:pt idx="34">
                  <c:v>0</c:v>
                </c:pt>
                <c:pt idx="35">
                  <c:v>0</c:v>
                </c:pt>
                <c:pt idx="36">
                  <c:v>340000</c:v>
                </c:pt>
                <c:pt idx="37">
                  <c:v>1810000</c:v>
                </c:pt>
              </c:numCache>
            </c:numRef>
          </c:xVal>
          <c:yVal>
            <c:numRef>
              <c:f>TRNG_Data!$AI$4:$AI$41</c:f>
              <c:numCache>
                <c:formatCode>0.000E+00</c:formatCode>
                <c:ptCount val="38"/>
                <c:pt idx="0">
                  <c:v>10000000</c:v>
                </c:pt>
                <c:pt idx="1">
                  <c:v>0</c:v>
                </c:pt>
                <c:pt idx="2">
                  <c:v>0</c:v>
                </c:pt>
                <c:pt idx="3">
                  <c:v>0</c:v>
                </c:pt>
                <c:pt idx="4">
                  <c:v>0</c:v>
                </c:pt>
                <c:pt idx="5">
                  <c:v>1740000</c:v>
                </c:pt>
                <c:pt idx="6">
                  <c:v>0</c:v>
                </c:pt>
                <c:pt idx="7">
                  <c:v>0</c:v>
                </c:pt>
                <c:pt idx="8">
                  <c:v>0</c:v>
                </c:pt>
                <c:pt idx="9">
                  <c:v>0</c:v>
                </c:pt>
                <c:pt idx="10">
                  <c:v>23160000</c:v>
                </c:pt>
                <c:pt idx="11">
                  <c:v>500000</c:v>
                </c:pt>
                <c:pt idx="12">
                  <c:v>0</c:v>
                </c:pt>
                <c:pt idx="13">
                  <c:v>0</c:v>
                </c:pt>
                <c:pt idx="14">
                  <c:v>2000000</c:v>
                </c:pt>
                <c:pt idx="15">
                  <c:v>0</c:v>
                </c:pt>
                <c:pt idx="16">
                  <c:v>9900000</c:v>
                </c:pt>
                <c:pt idx="17">
                  <c:v>0</c:v>
                </c:pt>
                <c:pt idx="18">
                  <c:v>0</c:v>
                </c:pt>
                <c:pt idx="19">
                  <c:v>0</c:v>
                </c:pt>
                <c:pt idx="20">
                  <c:v>0</c:v>
                </c:pt>
                <c:pt idx="21">
                  <c:v>0</c:v>
                </c:pt>
                <c:pt idx="22">
                  <c:v>0</c:v>
                </c:pt>
                <c:pt idx="23">
                  <c:v>0</c:v>
                </c:pt>
                <c:pt idx="24">
                  <c:v>0</c:v>
                </c:pt>
                <c:pt idx="25">
                  <c:v>52000000</c:v>
                </c:pt>
                <c:pt idx="26">
                  <c:v>3600000</c:v>
                </c:pt>
                <c:pt idx="27">
                  <c:v>0</c:v>
                </c:pt>
                <c:pt idx="28">
                  <c:v>0</c:v>
                </c:pt>
                <c:pt idx="29">
                  <c:v>0</c:v>
                </c:pt>
                <c:pt idx="30">
                  <c:v>45000000</c:v>
                </c:pt>
                <c:pt idx="31">
                  <c:v>0</c:v>
                </c:pt>
                <c:pt idx="32">
                  <c:v>52000000</c:v>
                </c:pt>
                <c:pt idx="33">
                  <c:v>0</c:v>
                </c:pt>
                <c:pt idx="34">
                  <c:v>0</c:v>
                </c:pt>
                <c:pt idx="35">
                  <c:v>0</c:v>
                </c:pt>
                <c:pt idx="36">
                  <c:v>53000000</c:v>
                </c:pt>
                <c:pt idx="37">
                  <c:v>100800000</c:v>
                </c:pt>
              </c:numCache>
            </c:numRef>
          </c:yVal>
          <c:smooth val="0"/>
          <c:extLst>
            <c:ext xmlns:c16="http://schemas.microsoft.com/office/drawing/2014/chart" uri="{C3380CC4-5D6E-409C-BE32-E72D297353CC}">
              <c16:uniqueId val="{00000001-70C6-4AE0-8BF3-B67FEAC8198C}"/>
            </c:ext>
          </c:extLst>
        </c:ser>
        <c:ser>
          <c:idx val="2"/>
          <c:order val="2"/>
          <c:tx>
            <c:strRef>
              <c:f>TRNG_Data!$AK$3</c:f>
              <c:strCache>
                <c:ptCount val="1"/>
                <c:pt idx="0">
                  <c:v>metastability</c:v>
                </c:pt>
              </c:strCache>
            </c:strRef>
          </c:tx>
          <c:spPr>
            <a:ln w="19050">
              <a:noFill/>
            </a:ln>
          </c:spPr>
          <c:marker>
            <c:symbol val="star"/>
            <c:size val="7"/>
            <c:spPr>
              <a:noFill/>
              <a:ln w="25400">
                <a:solidFill>
                  <a:srgbClr val="FFC000"/>
                </a:solidFill>
              </a:ln>
            </c:spPr>
          </c:marker>
          <c:xVal>
            <c:numRef>
              <c:f>TRNG_Data!$AL$4:$AL$41</c:f>
              <c:numCache>
                <c:formatCode>0.000E+00</c:formatCode>
                <c:ptCount val="38"/>
                <c:pt idx="0">
                  <c:v>0</c:v>
                </c:pt>
                <c:pt idx="1">
                  <c:v>0</c:v>
                </c:pt>
                <c:pt idx="2">
                  <c:v>0</c:v>
                </c:pt>
                <c:pt idx="3">
                  <c:v>0</c:v>
                </c:pt>
                <c:pt idx="4">
                  <c:v>0</c:v>
                </c:pt>
                <c:pt idx="5">
                  <c:v>0</c:v>
                </c:pt>
                <c:pt idx="6">
                  <c:v>0</c:v>
                </c:pt>
                <c:pt idx="7">
                  <c:v>0</c:v>
                </c:pt>
                <c:pt idx="8">
                  <c:v>0</c:v>
                </c:pt>
                <c:pt idx="9">
                  <c:v>1977283950617.2839</c:v>
                </c:pt>
                <c:pt idx="10">
                  <c:v>0</c:v>
                </c:pt>
                <c:pt idx="11">
                  <c:v>0</c:v>
                </c:pt>
                <c:pt idx="12">
                  <c:v>0</c:v>
                </c:pt>
                <c:pt idx="13">
                  <c:v>0</c:v>
                </c:pt>
                <c:pt idx="14">
                  <c:v>0</c:v>
                </c:pt>
                <c:pt idx="15">
                  <c:v>0</c:v>
                </c:pt>
                <c:pt idx="16">
                  <c:v>0</c:v>
                </c:pt>
                <c:pt idx="17">
                  <c:v>0</c:v>
                </c:pt>
                <c:pt idx="18">
                  <c:v>0</c:v>
                </c:pt>
                <c:pt idx="19">
                  <c:v>0</c:v>
                </c:pt>
                <c:pt idx="20">
                  <c:v>0</c:v>
                </c:pt>
                <c:pt idx="21">
                  <c:v>2370000</c:v>
                </c:pt>
                <c:pt idx="22">
                  <c:v>10800000</c:v>
                </c:pt>
                <c:pt idx="23">
                  <c:v>430000</c:v>
                </c:pt>
                <c:pt idx="24">
                  <c:v>0</c:v>
                </c:pt>
                <c:pt idx="25">
                  <c:v>0</c:v>
                </c:pt>
                <c:pt idx="26">
                  <c:v>0</c:v>
                </c:pt>
                <c:pt idx="27">
                  <c:v>0</c:v>
                </c:pt>
                <c:pt idx="28">
                  <c:v>329000</c:v>
                </c:pt>
                <c:pt idx="29">
                  <c:v>0</c:v>
                </c:pt>
                <c:pt idx="30">
                  <c:v>0</c:v>
                </c:pt>
                <c:pt idx="31">
                  <c:v>0</c:v>
                </c:pt>
                <c:pt idx="32">
                  <c:v>0</c:v>
                </c:pt>
                <c:pt idx="33">
                  <c:v>0</c:v>
                </c:pt>
                <c:pt idx="34">
                  <c:v>316000</c:v>
                </c:pt>
                <c:pt idx="35">
                  <c:v>0</c:v>
                </c:pt>
                <c:pt idx="36">
                  <c:v>0</c:v>
                </c:pt>
                <c:pt idx="37">
                  <c:v>0</c:v>
                </c:pt>
              </c:numCache>
            </c:numRef>
          </c:xVal>
          <c:yVal>
            <c:numRef>
              <c:f>TRNG_Data!$AK$4:$AK$41</c:f>
              <c:numCache>
                <c:formatCode>0.000E+00</c:formatCode>
                <c:ptCount val="38"/>
                <c:pt idx="0">
                  <c:v>0</c:v>
                </c:pt>
                <c:pt idx="1">
                  <c:v>0</c:v>
                </c:pt>
                <c:pt idx="2">
                  <c:v>0</c:v>
                </c:pt>
                <c:pt idx="3">
                  <c:v>0</c:v>
                </c:pt>
                <c:pt idx="4">
                  <c:v>0</c:v>
                </c:pt>
                <c:pt idx="5">
                  <c:v>0</c:v>
                </c:pt>
                <c:pt idx="6">
                  <c:v>0</c:v>
                </c:pt>
                <c:pt idx="7">
                  <c:v>0</c:v>
                </c:pt>
                <c:pt idx="8">
                  <c:v>0</c:v>
                </c:pt>
                <c:pt idx="9">
                  <c:v>2400000000</c:v>
                </c:pt>
                <c:pt idx="10">
                  <c:v>0</c:v>
                </c:pt>
                <c:pt idx="11">
                  <c:v>0</c:v>
                </c:pt>
                <c:pt idx="12">
                  <c:v>0</c:v>
                </c:pt>
                <c:pt idx="13">
                  <c:v>0</c:v>
                </c:pt>
                <c:pt idx="14">
                  <c:v>0</c:v>
                </c:pt>
                <c:pt idx="15">
                  <c:v>0</c:v>
                </c:pt>
                <c:pt idx="16">
                  <c:v>0</c:v>
                </c:pt>
                <c:pt idx="17">
                  <c:v>0</c:v>
                </c:pt>
                <c:pt idx="18">
                  <c:v>0</c:v>
                </c:pt>
                <c:pt idx="19">
                  <c:v>0</c:v>
                </c:pt>
                <c:pt idx="20">
                  <c:v>0</c:v>
                </c:pt>
                <c:pt idx="21">
                  <c:v>86000000</c:v>
                </c:pt>
                <c:pt idx="22">
                  <c:v>1480000000</c:v>
                </c:pt>
                <c:pt idx="23">
                  <c:v>128000000</c:v>
                </c:pt>
                <c:pt idx="24">
                  <c:v>0</c:v>
                </c:pt>
                <c:pt idx="25">
                  <c:v>0</c:v>
                </c:pt>
                <c:pt idx="26">
                  <c:v>0</c:v>
                </c:pt>
                <c:pt idx="27">
                  <c:v>0</c:v>
                </c:pt>
                <c:pt idx="28">
                  <c:v>2390000</c:v>
                </c:pt>
                <c:pt idx="29">
                  <c:v>0</c:v>
                </c:pt>
                <c:pt idx="30">
                  <c:v>0</c:v>
                </c:pt>
                <c:pt idx="31">
                  <c:v>0</c:v>
                </c:pt>
                <c:pt idx="32">
                  <c:v>0</c:v>
                </c:pt>
                <c:pt idx="33">
                  <c:v>0</c:v>
                </c:pt>
                <c:pt idx="34">
                  <c:v>1300000</c:v>
                </c:pt>
                <c:pt idx="35">
                  <c:v>0</c:v>
                </c:pt>
                <c:pt idx="36">
                  <c:v>0</c:v>
                </c:pt>
                <c:pt idx="37">
                  <c:v>0</c:v>
                </c:pt>
              </c:numCache>
            </c:numRef>
          </c:yVal>
          <c:smooth val="0"/>
          <c:extLst>
            <c:ext xmlns:c16="http://schemas.microsoft.com/office/drawing/2014/chart" uri="{C3380CC4-5D6E-409C-BE32-E72D297353CC}">
              <c16:uniqueId val="{00000002-70C6-4AE0-8BF3-B67FEAC8198C}"/>
            </c:ext>
          </c:extLst>
        </c:ser>
        <c:ser>
          <c:idx val="3"/>
          <c:order val="3"/>
          <c:tx>
            <c:strRef>
              <c:f>TRNG_Data!$AM$3</c:f>
              <c:strCache>
                <c:ptCount val="1"/>
                <c:pt idx="0">
                  <c:v>chaotic map</c:v>
                </c:pt>
              </c:strCache>
            </c:strRef>
          </c:tx>
          <c:spPr>
            <a:ln w="19050">
              <a:noFill/>
            </a:ln>
          </c:spPr>
          <c:marker>
            <c:symbol val="diamond"/>
            <c:size val="7"/>
            <c:spPr>
              <a:noFill/>
              <a:ln w="25400">
                <a:solidFill>
                  <a:srgbClr val="FF0000"/>
                </a:solidFill>
              </a:ln>
              <a:effectLst/>
            </c:spPr>
          </c:marker>
          <c:xVal>
            <c:numRef>
              <c:f>TRNG_Data!$AN$4:$AN$41</c:f>
              <c:numCache>
                <c:formatCode>0.000E+00</c:formatCode>
                <c:ptCount val="38"/>
                <c:pt idx="0">
                  <c:v>0</c:v>
                </c:pt>
                <c:pt idx="1">
                  <c:v>0</c:v>
                </c:pt>
                <c:pt idx="2">
                  <c:v>0</c:v>
                </c:pt>
                <c:pt idx="3">
                  <c:v>4244897959183.6724</c:v>
                </c:pt>
                <c:pt idx="4">
                  <c:v>0</c:v>
                </c:pt>
                <c:pt idx="5">
                  <c:v>0</c:v>
                </c:pt>
                <c:pt idx="6">
                  <c:v>0</c:v>
                </c:pt>
                <c:pt idx="7">
                  <c:v>0</c:v>
                </c:pt>
                <c:pt idx="8">
                  <c:v>0</c:v>
                </c:pt>
                <c:pt idx="9">
                  <c:v>0</c:v>
                </c:pt>
                <c:pt idx="10">
                  <c:v>0</c:v>
                </c:pt>
                <c:pt idx="11">
                  <c:v>0</c:v>
                </c:pt>
                <c:pt idx="12">
                  <c:v>46000</c:v>
                </c:pt>
                <c:pt idx="13">
                  <c:v>0</c:v>
                </c:pt>
                <c:pt idx="14">
                  <c:v>0</c:v>
                </c:pt>
                <c:pt idx="15">
                  <c:v>0</c:v>
                </c:pt>
                <c:pt idx="16">
                  <c:v>0</c:v>
                </c:pt>
                <c:pt idx="17">
                  <c:v>0</c:v>
                </c:pt>
                <c:pt idx="18">
                  <c:v>6481000</c:v>
                </c:pt>
                <c:pt idx="19">
                  <c:v>132000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TRNG_Data!$AM$4:$AM$41</c:f>
              <c:numCache>
                <c:formatCode>0.000E+00</c:formatCode>
                <c:ptCount val="38"/>
                <c:pt idx="0">
                  <c:v>0</c:v>
                </c:pt>
                <c:pt idx="1">
                  <c:v>0</c:v>
                </c:pt>
                <c:pt idx="2">
                  <c:v>0</c:v>
                </c:pt>
                <c:pt idx="3">
                  <c:v>40000000</c:v>
                </c:pt>
                <c:pt idx="4">
                  <c:v>0</c:v>
                </c:pt>
                <c:pt idx="5">
                  <c:v>0</c:v>
                </c:pt>
                <c:pt idx="6">
                  <c:v>0</c:v>
                </c:pt>
                <c:pt idx="7">
                  <c:v>0</c:v>
                </c:pt>
                <c:pt idx="8">
                  <c:v>0</c:v>
                </c:pt>
                <c:pt idx="9">
                  <c:v>0</c:v>
                </c:pt>
                <c:pt idx="10">
                  <c:v>0</c:v>
                </c:pt>
                <c:pt idx="11">
                  <c:v>0</c:v>
                </c:pt>
                <c:pt idx="12">
                  <c:v>127000000</c:v>
                </c:pt>
                <c:pt idx="13">
                  <c:v>0</c:v>
                </c:pt>
                <c:pt idx="14">
                  <c:v>0</c:v>
                </c:pt>
                <c:pt idx="15">
                  <c:v>0</c:v>
                </c:pt>
                <c:pt idx="16">
                  <c:v>0</c:v>
                </c:pt>
                <c:pt idx="17">
                  <c:v>0</c:v>
                </c:pt>
                <c:pt idx="18">
                  <c:v>270000</c:v>
                </c:pt>
                <c:pt idx="19">
                  <c:v>67000000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3-70C6-4AE0-8BF3-B67FEAC8198C}"/>
            </c:ext>
          </c:extLst>
        </c:ser>
        <c:ser>
          <c:idx val="4"/>
          <c:order val="4"/>
          <c:tx>
            <c:strRef>
              <c:f>TRNG_Data!$AO$3</c:f>
              <c:strCache>
                <c:ptCount val="1"/>
                <c:pt idx="0">
                  <c:v>hybrid</c:v>
                </c:pt>
              </c:strCache>
            </c:strRef>
          </c:tx>
          <c:spPr>
            <a:ln w="19050">
              <a:noFill/>
            </a:ln>
          </c:spPr>
          <c:marker>
            <c:symbol val="star"/>
            <c:size val="7"/>
            <c:spPr>
              <a:noFill/>
              <a:ln w="25400">
                <a:solidFill>
                  <a:srgbClr val="C00000"/>
                </a:solidFill>
              </a:ln>
            </c:spPr>
          </c:marker>
          <c:xVal>
            <c:numRef>
              <c:f>TRNG_Data!$AP$4:$AP$41</c:f>
              <c:numCache>
                <c:formatCode>0.000E+00</c:formatCode>
                <c:ptCount val="38"/>
                <c:pt idx="0">
                  <c:v>0</c:v>
                </c:pt>
                <c:pt idx="1">
                  <c:v>0</c:v>
                </c:pt>
                <c:pt idx="2">
                  <c:v>0</c:v>
                </c:pt>
                <c:pt idx="3">
                  <c:v>0</c:v>
                </c:pt>
                <c:pt idx="4">
                  <c:v>49704142011834.313</c:v>
                </c:pt>
                <c:pt idx="5">
                  <c:v>0</c:v>
                </c:pt>
                <c:pt idx="6">
                  <c:v>8579881656804.7324</c:v>
                </c:pt>
                <c:pt idx="7">
                  <c:v>0</c:v>
                </c:pt>
                <c:pt idx="8">
                  <c:v>0</c:v>
                </c:pt>
                <c:pt idx="9">
                  <c:v>0</c:v>
                </c:pt>
                <c:pt idx="10">
                  <c:v>0</c:v>
                </c:pt>
                <c:pt idx="11">
                  <c:v>0</c:v>
                </c:pt>
                <c:pt idx="12">
                  <c:v>0</c:v>
                </c:pt>
                <c:pt idx="13">
                  <c:v>5150000</c:v>
                </c:pt>
                <c:pt idx="14">
                  <c:v>0</c:v>
                </c:pt>
                <c:pt idx="15">
                  <c:v>0</c:v>
                </c:pt>
                <c:pt idx="16">
                  <c:v>0</c:v>
                </c:pt>
                <c:pt idx="17">
                  <c:v>380000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TRNG_Data!$AO$4:$AO$41</c:f>
              <c:numCache>
                <c:formatCode>0.000E+00</c:formatCode>
                <c:ptCount val="38"/>
                <c:pt idx="0">
                  <c:v>0</c:v>
                </c:pt>
                <c:pt idx="1">
                  <c:v>0</c:v>
                </c:pt>
                <c:pt idx="2">
                  <c:v>0</c:v>
                </c:pt>
                <c:pt idx="3">
                  <c:v>0</c:v>
                </c:pt>
                <c:pt idx="4">
                  <c:v>2000000</c:v>
                </c:pt>
                <c:pt idx="5">
                  <c:v>0</c:v>
                </c:pt>
                <c:pt idx="6">
                  <c:v>200000</c:v>
                </c:pt>
                <c:pt idx="7">
                  <c:v>0</c:v>
                </c:pt>
                <c:pt idx="8">
                  <c:v>0</c:v>
                </c:pt>
                <c:pt idx="9">
                  <c:v>0</c:v>
                </c:pt>
                <c:pt idx="10">
                  <c:v>0</c:v>
                </c:pt>
                <c:pt idx="11">
                  <c:v>0</c:v>
                </c:pt>
                <c:pt idx="12">
                  <c:v>0</c:v>
                </c:pt>
                <c:pt idx="13">
                  <c:v>162500000</c:v>
                </c:pt>
                <c:pt idx="14">
                  <c:v>0</c:v>
                </c:pt>
                <c:pt idx="15">
                  <c:v>0</c:v>
                </c:pt>
                <c:pt idx="16">
                  <c:v>0</c:v>
                </c:pt>
                <c:pt idx="17">
                  <c:v>3000000000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8-70C6-4AE0-8BF3-B67FEAC8198C}"/>
            </c:ext>
          </c:extLst>
        </c:ser>
        <c:ser>
          <c:idx val="5"/>
          <c:order val="5"/>
          <c:tx>
            <c:strRef>
              <c:f>TRNG_Data!$AQ$3</c:f>
              <c:strCache>
                <c:ptCount val="1"/>
                <c:pt idx="0">
                  <c:v>others</c:v>
                </c:pt>
              </c:strCache>
            </c:strRef>
          </c:tx>
          <c:spPr>
            <a:ln w="19050">
              <a:noFill/>
            </a:ln>
          </c:spPr>
          <c:marker>
            <c:symbol val="plus"/>
            <c:size val="7"/>
            <c:spPr>
              <a:noFill/>
              <a:ln w="25400">
                <a:solidFill>
                  <a:schemeClr val="tx1"/>
                </a:solidFill>
              </a:ln>
            </c:spPr>
          </c:marker>
          <c:xVal>
            <c:numRef>
              <c:f>TRNG_Data!$AR$4:$AR$41</c:f>
              <c:numCache>
                <c:formatCode>0.000E+00</c:formatCode>
                <c:ptCount val="38"/>
                <c:pt idx="0">
                  <c:v>0</c:v>
                </c:pt>
                <c:pt idx="1">
                  <c:v>0</c:v>
                </c:pt>
                <c:pt idx="2">
                  <c:v>0</c:v>
                </c:pt>
                <c:pt idx="3">
                  <c:v>0</c:v>
                </c:pt>
                <c:pt idx="4">
                  <c:v>0</c:v>
                </c:pt>
                <c:pt idx="5">
                  <c:v>0</c:v>
                </c:pt>
                <c:pt idx="6">
                  <c:v>0</c:v>
                </c:pt>
                <c:pt idx="7">
                  <c:v>0</c:v>
                </c:pt>
                <c:pt idx="8">
                  <c:v>284023668639.05322</c:v>
                </c:pt>
                <c:pt idx="9">
                  <c:v>0</c:v>
                </c:pt>
                <c:pt idx="10">
                  <c:v>0</c:v>
                </c:pt>
                <c:pt idx="11">
                  <c:v>0</c:v>
                </c:pt>
                <c:pt idx="12">
                  <c:v>0</c:v>
                </c:pt>
                <c:pt idx="13">
                  <c:v>0</c:v>
                </c:pt>
                <c:pt idx="14">
                  <c:v>0</c:v>
                </c:pt>
                <c:pt idx="15">
                  <c:v>49000000</c:v>
                </c:pt>
                <c:pt idx="16">
                  <c:v>0</c:v>
                </c:pt>
                <c:pt idx="17">
                  <c:v>0</c:v>
                </c:pt>
                <c:pt idx="18">
                  <c:v>0</c:v>
                </c:pt>
                <c:pt idx="19">
                  <c:v>0</c:v>
                </c:pt>
                <c:pt idx="20">
                  <c:v>229591.83673469385</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TRNG_Data!$AQ$4:$AQ$41</c:f>
              <c:numCache>
                <c:formatCode>0.000E+00</c:formatCode>
                <c:ptCount val="38"/>
                <c:pt idx="0">
                  <c:v>0</c:v>
                </c:pt>
                <c:pt idx="1">
                  <c:v>0</c:v>
                </c:pt>
                <c:pt idx="2">
                  <c:v>0</c:v>
                </c:pt>
                <c:pt idx="3">
                  <c:v>0</c:v>
                </c:pt>
                <c:pt idx="4">
                  <c:v>0</c:v>
                </c:pt>
                <c:pt idx="5">
                  <c:v>0</c:v>
                </c:pt>
                <c:pt idx="6">
                  <c:v>0</c:v>
                </c:pt>
                <c:pt idx="7">
                  <c:v>0</c:v>
                </c:pt>
                <c:pt idx="8">
                  <c:v>11000</c:v>
                </c:pt>
                <c:pt idx="9">
                  <c:v>0</c:v>
                </c:pt>
                <c:pt idx="10">
                  <c:v>0</c:v>
                </c:pt>
                <c:pt idx="11">
                  <c:v>0</c:v>
                </c:pt>
                <c:pt idx="12">
                  <c:v>0</c:v>
                </c:pt>
                <c:pt idx="13">
                  <c:v>0</c:v>
                </c:pt>
                <c:pt idx="14">
                  <c:v>0</c:v>
                </c:pt>
                <c:pt idx="15">
                  <c:v>128000000</c:v>
                </c:pt>
                <c:pt idx="16">
                  <c:v>0</c:v>
                </c:pt>
                <c:pt idx="17">
                  <c:v>0</c:v>
                </c:pt>
                <c:pt idx="18">
                  <c:v>0</c:v>
                </c:pt>
                <c:pt idx="19">
                  <c:v>0</c:v>
                </c:pt>
                <c:pt idx="20">
                  <c:v>66000000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4-70C6-4AE0-8BF3-B67FEAC8198C}"/>
            </c:ext>
          </c:extLst>
        </c:ser>
        <c:dLbls>
          <c:showLegendKey val="0"/>
          <c:showVal val="0"/>
          <c:showCatName val="0"/>
          <c:showSerName val="0"/>
          <c:showPercent val="0"/>
          <c:showBubbleSize val="0"/>
        </c:dLbls>
        <c:axId val="152336752"/>
        <c:axId val="152337144"/>
        <c:extLst/>
      </c:scatterChart>
      <c:valAx>
        <c:axId val="152336752"/>
        <c:scaling>
          <c:logBase val="10"/>
          <c:orientation val="minMax"/>
          <c:min val="10000"/>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i="0" baseline="0">
                    <a:effectLst/>
                  </a:rPr>
                  <a:t>area (F</a:t>
                </a:r>
                <a:r>
                  <a:rPr lang="en-US" sz="1100" b="1" i="0" baseline="30000">
                    <a:effectLst/>
                  </a:rPr>
                  <a:t>2</a:t>
                </a:r>
                <a:r>
                  <a:rPr lang="en-US" sz="1100" b="1" i="0" baseline="0">
                    <a:effectLst/>
                  </a:rPr>
                  <a:t>)</a:t>
                </a:r>
                <a:endParaRPr lang="en-SG" sz="1100">
                  <a:effectLst/>
                </a:endParaRPr>
              </a:p>
            </c:rich>
          </c:tx>
          <c:overlay val="0"/>
          <c:spPr>
            <a:noFill/>
            <a:ln>
              <a:noFill/>
            </a:ln>
            <a:effectLst/>
          </c:spPr>
        </c:title>
        <c:numFmt formatCode="0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At val="1.0000000000000002E-3"/>
        <c:crossBetween val="midCat"/>
      </c:valAx>
      <c:valAx>
        <c:axId val="152337144"/>
        <c:scaling>
          <c:logBase val="10"/>
          <c:orientation val="minMax"/>
          <c:min val="10000"/>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throughput (bps)</a:t>
                </a:r>
              </a:p>
            </c:rich>
          </c:tx>
          <c:overlay val="0"/>
          <c:spPr>
            <a:noFill/>
            <a:ln>
              <a:noFill/>
            </a:ln>
            <a:effectLst/>
          </c:spPr>
        </c:title>
        <c:numFmt formatCode="0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 val="autoZero"/>
        <c:crossBetween val="midCat"/>
      </c:valAx>
      <c:spPr>
        <a:noFill/>
        <a:ln w="19050">
          <a:solidFill>
            <a:schemeClr val="tx1"/>
          </a:solidFill>
        </a:ln>
        <a:effectLst/>
      </c:spPr>
    </c:plotArea>
    <c:legend>
      <c:legendPos val="b"/>
      <c:layout>
        <c:manualLayout>
          <c:xMode val="edge"/>
          <c:yMode val="edge"/>
          <c:x val="0.13880039682539683"/>
          <c:y val="0.92523820710987037"/>
          <c:w val="0.8306706996246308"/>
          <c:h val="6.5356770372719683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ysClr val="windowText" lastClr="000000"/>
                </a:solidFill>
                <a:latin typeface="+mn-lt"/>
                <a:ea typeface="+mn-ea"/>
                <a:cs typeface="+mn-cs"/>
              </a:defRPr>
            </a:pPr>
            <a:r>
              <a:rPr lang="en-SG" sz="1600" b="1">
                <a:solidFill>
                  <a:sysClr val="windowText" lastClr="000000"/>
                </a:solidFill>
              </a:rPr>
              <a:t>TRNG</a:t>
            </a:r>
            <a:r>
              <a:rPr lang="en-SG" sz="1600" b="1" baseline="0">
                <a:solidFill>
                  <a:sysClr val="windowText" lastClr="000000"/>
                </a:solidFill>
              </a:rPr>
              <a:t> </a:t>
            </a:r>
            <a:r>
              <a:rPr lang="en-SG" sz="1600" b="1">
                <a:solidFill>
                  <a:sysClr val="windowText" lastClr="000000"/>
                </a:solidFill>
              </a:rPr>
              <a:t>throughput vs area</a:t>
            </a:r>
          </a:p>
        </c:rich>
      </c:tx>
      <c:layout>
        <c:manualLayout>
          <c:xMode val="edge"/>
          <c:yMode val="edge"/>
          <c:x val="0.31657378556176846"/>
          <c:y val="0"/>
        </c:manualLayout>
      </c:layout>
      <c:overlay val="0"/>
      <c:spPr>
        <a:noFill/>
        <a:ln>
          <a:noFill/>
        </a:ln>
        <a:effectLst/>
      </c:spPr>
    </c:title>
    <c:autoTitleDeleted val="0"/>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TRNG_Data!$AT$3</c:f>
              <c:strCache>
                <c:ptCount val="1"/>
                <c:pt idx="0">
                  <c:v>noise-based</c:v>
                </c:pt>
              </c:strCache>
            </c:strRef>
          </c:tx>
          <c:spPr>
            <a:ln w="19050">
              <a:noFill/>
            </a:ln>
          </c:spPr>
          <c:marker>
            <c:symbol val="circle"/>
            <c:size val="7"/>
            <c:spPr>
              <a:noFill/>
              <a:ln w="25400">
                <a:solidFill>
                  <a:srgbClr val="003399"/>
                </a:solidFill>
              </a:ln>
              <a:effectLst/>
            </c:spPr>
          </c:marker>
          <c:xVal>
            <c:numRef>
              <c:f>TRNG_Data!$AU$4:$AU$41</c:f>
              <c:numCache>
                <c:formatCode>0.000E+00</c:formatCode>
                <c:ptCount val="38"/>
                <c:pt idx="0">
                  <c:v>0</c:v>
                </c:pt>
                <c:pt idx="1">
                  <c:v>0</c:v>
                </c:pt>
                <c:pt idx="2">
                  <c:v>0</c:v>
                </c:pt>
                <c:pt idx="3">
                  <c:v>0</c:v>
                </c:pt>
                <c:pt idx="4">
                  <c:v>0</c:v>
                </c:pt>
                <c:pt idx="5">
                  <c:v>0</c:v>
                </c:pt>
                <c:pt idx="6">
                  <c:v>0</c:v>
                </c:pt>
                <c:pt idx="7">
                  <c:v>1220000000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TRNG_Data!$AT$4:$AT$41</c:f>
              <c:numCache>
                <c:formatCode>0.000E+00</c:formatCode>
                <c:ptCount val="38"/>
                <c:pt idx="0">
                  <c:v>0</c:v>
                </c:pt>
                <c:pt idx="1">
                  <c:v>0</c:v>
                </c:pt>
                <c:pt idx="2">
                  <c:v>0</c:v>
                </c:pt>
                <c:pt idx="3">
                  <c:v>0</c:v>
                </c:pt>
                <c:pt idx="4">
                  <c:v>0</c:v>
                </c:pt>
                <c:pt idx="5">
                  <c:v>0</c:v>
                </c:pt>
                <c:pt idx="6">
                  <c:v>0</c:v>
                </c:pt>
                <c:pt idx="7">
                  <c:v>2000000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0-EB5F-4771-B81E-87A877E23C3E}"/>
            </c:ext>
          </c:extLst>
        </c:ser>
        <c:ser>
          <c:idx val="1"/>
          <c:order val="1"/>
          <c:tx>
            <c:strRef>
              <c:f>TRNG_Data!$AV$3</c:f>
              <c:strCache>
                <c:ptCount val="1"/>
                <c:pt idx="0">
                  <c:v>jitter</c:v>
                </c:pt>
              </c:strCache>
            </c:strRef>
          </c:tx>
          <c:spPr>
            <a:ln w="19050">
              <a:noFill/>
            </a:ln>
          </c:spPr>
          <c:marker>
            <c:symbol val="triangle"/>
            <c:size val="7"/>
            <c:spPr>
              <a:noFill/>
              <a:ln w="25400">
                <a:solidFill>
                  <a:srgbClr val="00B0F0"/>
                </a:solidFill>
              </a:ln>
              <a:effectLst/>
            </c:spPr>
          </c:marker>
          <c:xVal>
            <c:numRef>
              <c:f>TRNG_Data!$AW$4:$AW$41</c:f>
              <c:numCache>
                <c:formatCode>0.000E+00</c:formatCode>
                <c:ptCount val="38"/>
                <c:pt idx="0">
                  <c:v>1600000000</c:v>
                </c:pt>
                <c:pt idx="1">
                  <c:v>0</c:v>
                </c:pt>
                <c:pt idx="2">
                  <c:v>0</c:v>
                </c:pt>
                <c:pt idx="3">
                  <c:v>0</c:v>
                </c:pt>
                <c:pt idx="4">
                  <c:v>0</c:v>
                </c:pt>
                <c:pt idx="5">
                  <c:v>13000000000</c:v>
                </c:pt>
                <c:pt idx="6">
                  <c:v>0</c:v>
                </c:pt>
                <c:pt idx="7">
                  <c:v>0</c:v>
                </c:pt>
                <c:pt idx="8">
                  <c:v>0</c:v>
                </c:pt>
                <c:pt idx="9">
                  <c:v>0</c:v>
                </c:pt>
                <c:pt idx="10">
                  <c:v>370048000.00000006</c:v>
                </c:pt>
                <c:pt idx="11">
                  <c:v>1400000000</c:v>
                </c:pt>
                <c:pt idx="12">
                  <c:v>0</c:v>
                </c:pt>
                <c:pt idx="13">
                  <c:v>0</c:v>
                </c:pt>
                <c:pt idx="14">
                  <c:v>830400000</c:v>
                </c:pt>
                <c:pt idx="15">
                  <c:v>0</c:v>
                </c:pt>
                <c:pt idx="16">
                  <c:v>921050000.00000012</c:v>
                </c:pt>
                <c:pt idx="17">
                  <c:v>0</c:v>
                </c:pt>
                <c:pt idx="18">
                  <c:v>0</c:v>
                </c:pt>
                <c:pt idx="19">
                  <c:v>0</c:v>
                </c:pt>
                <c:pt idx="20">
                  <c:v>0</c:v>
                </c:pt>
                <c:pt idx="21">
                  <c:v>0</c:v>
                </c:pt>
                <c:pt idx="22">
                  <c:v>0</c:v>
                </c:pt>
                <c:pt idx="23">
                  <c:v>0</c:v>
                </c:pt>
                <c:pt idx="24">
                  <c:v>0</c:v>
                </c:pt>
                <c:pt idx="25">
                  <c:v>59999998175</c:v>
                </c:pt>
                <c:pt idx="26">
                  <c:v>15399999888</c:v>
                </c:pt>
                <c:pt idx="27">
                  <c:v>0</c:v>
                </c:pt>
                <c:pt idx="28">
                  <c:v>0</c:v>
                </c:pt>
                <c:pt idx="29">
                  <c:v>0</c:v>
                </c:pt>
                <c:pt idx="30">
                  <c:v>4335000000</c:v>
                </c:pt>
                <c:pt idx="31">
                  <c:v>0</c:v>
                </c:pt>
                <c:pt idx="32">
                  <c:v>366000000</c:v>
                </c:pt>
                <c:pt idx="33">
                  <c:v>0</c:v>
                </c:pt>
                <c:pt idx="34">
                  <c:v>0</c:v>
                </c:pt>
                <c:pt idx="35">
                  <c:v>0</c:v>
                </c:pt>
                <c:pt idx="36">
                  <c:v>0</c:v>
                </c:pt>
                <c:pt idx="37">
                  <c:v>0</c:v>
                </c:pt>
              </c:numCache>
            </c:numRef>
          </c:xVal>
          <c:yVal>
            <c:numRef>
              <c:f>TRNG_Data!$AV$4:$AV$41</c:f>
              <c:numCache>
                <c:formatCode>0.000E+00</c:formatCode>
                <c:ptCount val="38"/>
                <c:pt idx="0">
                  <c:v>10000000</c:v>
                </c:pt>
                <c:pt idx="1">
                  <c:v>0</c:v>
                </c:pt>
                <c:pt idx="2">
                  <c:v>0</c:v>
                </c:pt>
                <c:pt idx="3">
                  <c:v>0</c:v>
                </c:pt>
                <c:pt idx="4">
                  <c:v>0</c:v>
                </c:pt>
                <c:pt idx="5">
                  <c:v>1740000</c:v>
                </c:pt>
                <c:pt idx="6">
                  <c:v>0</c:v>
                </c:pt>
                <c:pt idx="7">
                  <c:v>0</c:v>
                </c:pt>
                <c:pt idx="8">
                  <c:v>0</c:v>
                </c:pt>
                <c:pt idx="9">
                  <c:v>0</c:v>
                </c:pt>
                <c:pt idx="10">
                  <c:v>23160000</c:v>
                </c:pt>
                <c:pt idx="11">
                  <c:v>500000</c:v>
                </c:pt>
                <c:pt idx="12">
                  <c:v>0</c:v>
                </c:pt>
                <c:pt idx="13">
                  <c:v>0</c:v>
                </c:pt>
                <c:pt idx="14">
                  <c:v>2000000</c:v>
                </c:pt>
                <c:pt idx="15">
                  <c:v>0</c:v>
                </c:pt>
                <c:pt idx="16">
                  <c:v>9900000</c:v>
                </c:pt>
                <c:pt idx="17">
                  <c:v>0</c:v>
                </c:pt>
                <c:pt idx="18">
                  <c:v>0</c:v>
                </c:pt>
                <c:pt idx="19">
                  <c:v>0</c:v>
                </c:pt>
                <c:pt idx="20">
                  <c:v>0</c:v>
                </c:pt>
                <c:pt idx="21">
                  <c:v>0</c:v>
                </c:pt>
                <c:pt idx="22">
                  <c:v>0</c:v>
                </c:pt>
                <c:pt idx="23">
                  <c:v>0</c:v>
                </c:pt>
                <c:pt idx="24">
                  <c:v>0</c:v>
                </c:pt>
                <c:pt idx="25">
                  <c:v>52000000</c:v>
                </c:pt>
                <c:pt idx="26">
                  <c:v>3600000</c:v>
                </c:pt>
                <c:pt idx="27">
                  <c:v>0</c:v>
                </c:pt>
                <c:pt idx="28">
                  <c:v>0</c:v>
                </c:pt>
                <c:pt idx="29">
                  <c:v>0</c:v>
                </c:pt>
                <c:pt idx="30">
                  <c:v>45000000</c:v>
                </c:pt>
                <c:pt idx="31">
                  <c:v>0</c:v>
                </c:pt>
                <c:pt idx="32">
                  <c:v>52000000</c:v>
                </c:pt>
                <c:pt idx="33">
                  <c:v>0</c:v>
                </c:pt>
                <c:pt idx="34">
                  <c:v>0</c:v>
                </c:pt>
                <c:pt idx="35">
                  <c:v>0</c:v>
                </c:pt>
                <c:pt idx="36">
                  <c:v>0</c:v>
                </c:pt>
                <c:pt idx="37">
                  <c:v>0</c:v>
                </c:pt>
              </c:numCache>
            </c:numRef>
          </c:yVal>
          <c:smooth val="0"/>
          <c:extLst>
            <c:ext xmlns:c16="http://schemas.microsoft.com/office/drawing/2014/chart" uri="{C3380CC4-5D6E-409C-BE32-E72D297353CC}">
              <c16:uniqueId val="{00000001-EB5F-4771-B81E-87A877E23C3E}"/>
            </c:ext>
          </c:extLst>
        </c:ser>
        <c:ser>
          <c:idx val="2"/>
          <c:order val="2"/>
          <c:tx>
            <c:strRef>
              <c:f>TRNG_Data!$AX$3</c:f>
              <c:strCache>
                <c:ptCount val="1"/>
                <c:pt idx="0">
                  <c:v>metastability</c:v>
                </c:pt>
              </c:strCache>
            </c:strRef>
          </c:tx>
          <c:spPr>
            <a:ln w="19050">
              <a:noFill/>
            </a:ln>
          </c:spPr>
          <c:marker>
            <c:symbol val="star"/>
            <c:size val="7"/>
            <c:spPr>
              <a:noFill/>
              <a:ln w="25400">
                <a:solidFill>
                  <a:srgbClr val="FFC000"/>
                </a:solidFill>
              </a:ln>
            </c:spPr>
          </c:marker>
          <c:xVal>
            <c:numRef>
              <c:f>TRNG_Data!$AY$4:$AY$41</c:f>
              <c:numCache>
                <c:formatCode>0.000E+00</c:formatCode>
                <c:ptCount val="38"/>
                <c:pt idx="0">
                  <c:v>0</c:v>
                </c:pt>
                <c:pt idx="1">
                  <c:v>0</c:v>
                </c:pt>
                <c:pt idx="2">
                  <c:v>0</c:v>
                </c:pt>
                <c:pt idx="3">
                  <c:v>0</c:v>
                </c:pt>
                <c:pt idx="4">
                  <c:v>0</c:v>
                </c:pt>
                <c:pt idx="5">
                  <c:v>0</c:v>
                </c:pt>
                <c:pt idx="6">
                  <c:v>0</c:v>
                </c:pt>
                <c:pt idx="7">
                  <c:v>0</c:v>
                </c:pt>
                <c:pt idx="8">
                  <c:v>0</c:v>
                </c:pt>
                <c:pt idx="9">
                  <c:v>4003999999.9999995</c:v>
                </c:pt>
                <c:pt idx="10">
                  <c:v>0</c:v>
                </c:pt>
                <c:pt idx="11">
                  <c:v>0</c:v>
                </c:pt>
                <c:pt idx="12">
                  <c:v>0</c:v>
                </c:pt>
                <c:pt idx="13">
                  <c:v>0</c:v>
                </c:pt>
                <c:pt idx="14">
                  <c:v>0</c:v>
                </c:pt>
                <c:pt idx="15">
                  <c:v>0</c:v>
                </c:pt>
                <c:pt idx="16">
                  <c:v>0</c:v>
                </c:pt>
                <c:pt idx="17">
                  <c:v>0</c:v>
                </c:pt>
                <c:pt idx="18">
                  <c:v>0</c:v>
                </c:pt>
                <c:pt idx="19">
                  <c:v>0</c:v>
                </c:pt>
                <c:pt idx="20">
                  <c:v>0</c:v>
                </c:pt>
                <c:pt idx="21">
                  <c:v>10013250000.000002</c:v>
                </c:pt>
                <c:pt idx="22">
                  <c:v>2116799999.9999998</c:v>
                </c:pt>
                <c:pt idx="23">
                  <c:v>688000000</c:v>
                </c:pt>
                <c:pt idx="24">
                  <c:v>0</c:v>
                </c:pt>
                <c:pt idx="25">
                  <c:v>0</c:v>
                </c:pt>
                <c:pt idx="26">
                  <c:v>0</c:v>
                </c:pt>
                <c:pt idx="27">
                  <c:v>0</c:v>
                </c:pt>
                <c:pt idx="28">
                  <c:v>5560100000</c:v>
                </c:pt>
                <c:pt idx="29">
                  <c:v>0</c:v>
                </c:pt>
                <c:pt idx="30">
                  <c:v>0</c:v>
                </c:pt>
                <c:pt idx="31">
                  <c:v>0</c:v>
                </c:pt>
                <c:pt idx="32">
                  <c:v>0</c:v>
                </c:pt>
                <c:pt idx="33">
                  <c:v>0</c:v>
                </c:pt>
                <c:pt idx="34">
                  <c:v>5343000000</c:v>
                </c:pt>
                <c:pt idx="35">
                  <c:v>0</c:v>
                </c:pt>
                <c:pt idx="36">
                  <c:v>0</c:v>
                </c:pt>
                <c:pt idx="37">
                  <c:v>0</c:v>
                </c:pt>
              </c:numCache>
            </c:numRef>
          </c:xVal>
          <c:yVal>
            <c:numRef>
              <c:f>TRNG_Data!$AX$4:$AX$41</c:f>
              <c:numCache>
                <c:formatCode>0.000E+00</c:formatCode>
                <c:ptCount val="38"/>
                <c:pt idx="0">
                  <c:v>0</c:v>
                </c:pt>
                <c:pt idx="1">
                  <c:v>0</c:v>
                </c:pt>
                <c:pt idx="2">
                  <c:v>0</c:v>
                </c:pt>
                <c:pt idx="3">
                  <c:v>0</c:v>
                </c:pt>
                <c:pt idx="4">
                  <c:v>0</c:v>
                </c:pt>
                <c:pt idx="5">
                  <c:v>0</c:v>
                </c:pt>
                <c:pt idx="6">
                  <c:v>0</c:v>
                </c:pt>
                <c:pt idx="7">
                  <c:v>0</c:v>
                </c:pt>
                <c:pt idx="8">
                  <c:v>0</c:v>
                </c:pt>
                <c:pt idx="9">
                  <c:v>2400000000</c:v>
                </c:pt>
                <c:pt idx="10">
                  <c:v>0</c:v>
                </c:pt>
                <c:pt idx="11">
                  <c:v>0</c:v>
                </c:pt>
                <c:pt idx="12">
                  <c:v>0</c:v>
                </c:pt>
                <c:pt idx="13">
                  <c:v>0</c:v>
                </c:pt>
                <c:pt idx="14">
                  <c:v>0</c:v>
                </c:pt>
                <c:pt idx="15">
                  <c:v>0</c:v>
                </c:pt>
                <c:pt idx="16">
                  <c:v>0</c:v>
                </c:pt>
                <c:pt idx="17">
                  <c:v>0</c:v>
                </c:pt>
                <c:pt idx="18">
                  <c:v>0</c:v>
                </c:pt>
                <c:pt idx="19">
                  <c:v>0</c:v>
                </c:pt>
                <c:pt idx="20">
                  <c:v>0</c:v>
                </c:pt>
                <c:pt idx="21">
                  <c:v>86000000</c:v>
                </c:pt>
                <c:pt idx="22">
                  <c:v>1480000000</c:v>
                </c:pt>
                <c:pt idx="23">
                  <c:v>128000000</c:v>
                </c:pt>
                <c:pt idx="24">
                  <c:v>0</c:v>
                </c:pt>
                <c:pt idx="25">
                  <c:v>0</c:v>
                </c:pt>
                <c:pt idx="26">
                  <c:v>0</c:v>
                </c:pt>
                <c:pt idx="27">
                  <c:v>0</c:v>
                </c:pt>
                <c:pt idx="28">
                  <c:v>2390000</c:v>
                </c:pt>
                <c:pt idx="29">
                  <c:v>0</c:v>
                </c:pt>
                <c:pt idx="30">
                  <c:v>0</c:v>
                </c:pt>
                <c:pt idx="31">
                  <c:v>0</c:v>
                </c:pt>
                <c:pt idx="32">
                  <c:v>0</c:v>
                </c:pt>
                <c:pt idx="33">
                  <c:v>0</c:v>
                </c:pt>
                <c:pt idx="34">
                  <c:v>1300000</c:v>
                </c:pt>
                <c:pt idx="35">
                  <c:v>0</c:v>
                </c:pt>
                <c:pt idx="36">
                  <c:v>0</c:v>
                </c:pt>
                <c:pt idx="37">
                  <c:v>0</c:v>
                </c:pt>
              </c:numCache>
            </c:numRef>
          </c:yVal>
          <c:smooth val="0"/>
          <c:extLst>
            <c:ext xmlns:c16="http://schemas.microsoft.com/office/drawing/2014/chart" uri="{C3380CC4-5D6E-409C-BE32-E72D297353CC}">
              <c16:uniqueId val="{00000002-EB5F-4771-B81E-87A877E23C3E}"/>
            </c:ext>
          </c:extLst>
        </c:ser>
        <c:ser>
          <c:idx val="3"/>
          <c:order val="3"/>
          <c:tx>
            <c:strRef>
              <c:f>TRNG_Data!$AZ$3</c:f>
              <c:strCache>
                <c:ptCount val="1"/>
                <c:pt idx="0">
                  <c:v>chaotic map</c:v>
                </c:pt>
              </c:strCache>
            </c:strRef>
          </c:tx>
          <c:spPr>
            <a:ln w="19050">
              <a:noFill/>
            </a:ln>
          </c:spPr>
          <c:marker>
            <c:symbol val="diamond"/>
            <c:size val="7"/>
            <c:spPr>
              <a:noFill/>
              <a:ln w="25400">
                <a:solidFill>
                  <a:srgbClr val="FF0000"/>
                </a:solidFill>
              </a:ln>
              <a:effectLst/>
            </c:spPr>
          </c:marker>
          <c:xVal>
            <c:numRef>
              <c:f>TRNG_Data!$BA$4:$BA$41</c:f>
              <c:numCache>
                <c:formatCode>0.000E+00</c:formatCode>
                <c:ptCount val="38"/>
                <c:pt idx="0">
                  <c:v>0</c:v>
                </c:pt>
                <c:pt idx="1">
                  <c:v>0</c:v>
                </c:pt>
                <c:pt idx="2">
                  <c:v>0</c:v>
                </c:pt>
                <c:pt idx="3">
                  <c:v>520000000000</c:v>
                </c:pt>
                <c:pt idx="4">
                  <c:v>0</c:v>
                </c:pt>
                <c:pt idx="5">
                  <c:v>0</c:v>
                </c:pt>
                <c:pt idx="6">
                  <c:v>0</c:v>
                </c:pt>
                <c:pt idx="7">
                  <c:v>0</c:v>
                </c:pt>
                <c:pt idx="8">
                  <c:v>0</c:v>
                </c:pt>
                <c:pt idx="9">
                  <c:v>0</c:v>
                </c:pt>
                <c:pt idx="10">
                  <c:v>0</c:v>
                </c:pt>
                <c:pt idx="11">
                  <c:v>0</c:v>
                </c:pt>
                <c:pt idx="12">
                  <c:v>93149999.999999985</c:v>
                </c:pt>
                <c:pt idx="13">
                  <c:v>0</c:v>
                </c:pt>
                <c:pt idx="14">
                  <c:v>0</c:v>
                </c:pt>
                <c:pt idx="15">
                  <c:v>0</c:v>
                </c:pt>
                <c:pt idx="16">
                  <c:v>0</c:v>
                </c:pt>
                <c:pt idx="17">
                  <c:v>0</c:v>
                </c:pt>
                <c:pt idx="18">
                  <c:v>210000000000</c:v>
                </c:pt>
                <c:pt idx="19">
                  <c:v>557700000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TRNG_Data!$AZ$4:$AZ$41</c:f>
              <c:numCache>
                <c:formatCode>0.000E+00</c:formatCode>
                <c:ptCount val="38"/>
                <c:pt idx="0">
                  <c:v>0</c:v>
                </c:pt>
                <c:pt idx="1">
                  <c:v>0</c:v>
                </c:pt>
                <c:pt idx="2">
                  <c:v>0</c:v>
                </c:pt>
                <c:pt idx="3">
                  <c:v>40000000</c:v>
                </c:pt>
                <c:pt idx="4">
                  <c:v>0</c:v>
                </c:pt>
                <c:pt idx="5">
                  <c:v>0</c:v>
                </c:pt>
                <c:pt idx="6">
                  <c:v>0</c:v>
                </c:pt>
                <c:pt idx="7">
                  <c:v>0</c:v>
                </c:pt>
                <c:pt idx="8">
                  <c:v>0</c:v>
                </c:pt>
                <c:pt idx="9">
                  <c:v>0</c:v>
                </c:pt>
                <c:pt idx="10">
                  <c:v>0</c:v>
                </c:pt>
                <c:pt idx="11">
                  <c:v>0</c:v>
                </c:pt>
                <c:pt idx="12">
                  <c:v>127000000</c:v>
                </c:pt>
                <c:pt idx="13">
                  <c:v>0</c:v>
                </c:pt>
                <c:pt idx="14">
                  <c:v>0</c:v>
                </c:pt>
                <c:pt idx="15">
                  <c:v>0</c:v>
                </c:pt>
                <c:pt idx="16">
                  <c:v>0</c:v>
                </c:pt>
                <c:pt idx="17">
                  <c:v>0</c:v>
                </c:pt>
                <c:pt idx="18">
                  <c:v>270000</c:v>
                </c:pt>
                <c:pt idx="19">
                  <c:v>67000000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3-EB5F-4771-B81E-87A877E23C3E}"/>
            </c:ext>
          </c:extLst>
        </c:ser>
        <c:ser>
          <c:idx val="4"/>
          <c:order val="4"/>
          <c:tx>
            <c:strRef>
              <c:f>TRNG_Data!$BB$3</c:f>
              <c:strCache>
                <c:ptCount val="1"/>
                <c:pt idx="0">
                  <c:v>hybrid</c:v>
                </c:pt>
              </c:strCache>
            </c:strRef>
          </c:tx>
          <c:spPr>
            <a:ln w="19050">
              <a:noFill/>
            </a:ln>
          </c:spPr>
          <c:marker>
            <c:symbol val="star"/>
            <c:size val="7"/>
            <c:spPr>
              <a:noFill/>
              <a:ln w="25400">
                <a:solidFill>
                  <a:srgbClr val="C00000"/>
                </a:solidFill>
              </a:ln>
            </c:spPr>
          </c:marker>
          <c:xVal>
            <c:numRef>
              <c:f>TRNG_Data!$BC$4:$BC$41</c:f>
              <c:numCache>
                <c:formatCode>0.000E+00</c:formatCode>
                <c:ptCount val="38"/>
                <c:pt idx="0">
                  <c:v>0</c:v>
                </c:pt>
                <c:pt idx="1">
                  <c:v>0</c:v>
                </c:pt>
                <c:pt idx="2">
                  <c:v>0</c:v>
                </c:pt>
                <c:pt idx="3">
                  <c:v>0</c:v>
                </c:pt>
                <c:pt idx="4">
                  <c:v>210000000000</c:v>
                </c:pt>
                <c:pt idx="5">
                  <c:v>0</c:v>
                </c:pt>
                <c:pt idx="6">
                  <c:v>145000000000</c:v>
                </c:pt>
                <c:pt idx="7">
                  <c:v>0</c:v>
                </c:pt>
                <c:pt idx="8">
                  <c:v>0</c:v>
                </c:pt>
                <c:pt idx="9">
                  <c:v>0</c:v>
                </c:pt>
                <c:pt idx="10">
                  <c:v>0</c:v>
                </c:pt>
                <c:pt idx="11">
                  <c:v>0</c:v>
                </c:pt>
                <c:pt idx="12">
                  <c:v>0</c:v>
                </c:pt>
                <c:pt idx="13">
                  <c:v>1009400000</c:v>
                </c:pt>
                <c:pt idx="14">
                  <c:v>0</c:v>
                </c:pt>
                <c:pt idx="15">
                  <c:v>0</c:v>
                </c:pt>
                <c:pt idx="16">
                  <c:v>0</c:v>
                </c:pt>
                <c:pt idx="17">
                  <c:v>1605500000.0000002</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TRNG_Data!$BB$4:$BB$41</c:f>
              <c:numCache>
                <c:formatCode>0.000E+00</c:formatCode>
                <c:ptCount val="38"/>
                <c:pt idx="0">
                  <c:v>0</c:v>
                </c:pt>
                <c:pt idx="1">
                  <c:v>0</c:v>
                </c:pt>
                <c:pt idx="2">
                  <c:v>0</c:v>
                </c:pt>
                <c:pt idx="3">
                  <c:v>0</c:v>
                </c:pt>
                <c:pt idx="4">
                  <c:v>2000000</c:v>
                </c:pt>
                <c:pt idx="5">
                  <c:v>0</c:v>
                </c:pt>
                <c:pt idx="6">
                  <c:v>200000</c:v>
                </c:pt>
                <c:pt idx="7">
                  <c:v>0</c:v>
                </c:pt>
                <c:pt idx="8">
                  <c:v>0</c:v>
                </c:pt>
                <c:pt idx="9">
                  <c:v>0</c:v>
                </c:pt>
                <c:pt idx="10">
                  <c:v>0</c:v>
                </c:pt>
                <c:pt idx="11">
                  <c:v>0</c:v>
                </c:pt>
                <c:pt idx="12">
                  <c:v>0</c:v>
                </c:pt>
                <c:pt idx="13">
                  <c:v>162500000</c:v>
                </c:pt>
                <c:pt idx="14">
                  <c:v>0</c:v>
                </c:pt>
                <c:pt idx="15">
                  <c:v>0</c:v>
                </c:pt>
                <c:pt idx="16">
                  <c:v>0</c:v>
                </c:pt>
                <c:pt idx="17">
                  <c:v>3000000000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4-EB5F-4771-B81E-87A877E23C3E}"/>
            </c:ext>
          </c:extLst>
        </c:ser>
        <c:ser>
          <c:idx val="5"/>
          <c:order val="5"/>
          <c:tx>
            <c:strRef>
              <c:f>TRNG_Data!$BD$3</c:f>
              <c:strCache>
                <c:ptCount val="1"/>
                <c:pt idx="0">
                  <c:v>others</c:v>
                </c:pt>
              </c:strCache>
            </c:strRef>
          </c:tx>
          <c:spPr>
            <a:ln w="19050">
              <a:noFill/>
            </a:ln>
          </c:spPr>
          <c:marker>
            <c:symbol val="plus"/>
            <c:size val="7"/>
            <c:spPr>
              <a:noFill/>
              <a:ln w="25400">
                <a:solidFill>
                  <a:schemeClr val="tx1"/>
                </a:solidFill>
              </a:ln>
            </c:spPr>
          </c:marker>
          <c:xVal>
            <c:numRef>
              <c:f>TRNG_Data!$BE$4:$BE$41</c:f>
              <c:numCache>
                <c:formatCode>General</c:formatCode>
                <c:ptCount val="38"/>
                <c:pt idx="0">
                  <c:v>0</c:v>
                </c:pt>
                <c:pt idx="1">
                  <c:v>0</c:v>
                </c:pt>
                <c:pt idx="2">
                  <c:v>0</c:v>
                </c:pt>
                <c:pt idx="3">
                  <c:v>0</c:v>
                </c:pt>
                <c:pt idx="4">
                  <c:v>0</c:v>
                </c:pt>
                <c:pt idx="5">
                  <c:v>0</c:v>
                </c:pt>
                <c:pt idx="6">
                  <c:v>0</c:v>
                </c:pt>
                <c:pt idx="7">
                  <c:v>0</c:v>
                </c:pt>
                <c:pt idx="8">
                  <c:v>1200000000</c:v>
                </c:pt>
                <c:pt idx="9">
                  <c:v>0</c:v>
                </c:pt>
                <c:pt idx="10">
                  <c:v>0</c:v>
                </c:pt>
                <c:pt idx="11">
                  <c:v>0</c:v>
                </c:pt>
                <c:pt idx="12">
                  <c:v>0</c:v>
                </c:pt>
                <c:pt idx="13">
                  <c:v>0</c:v>
                </c:pt>
                <c:pt idx="14">
                  <c:v>0</c:v>
                </c:pt>
                <c:pt idx="15">
                  <c:v>1102500000000</c:v>
                </c:pt>
                <c:pt idx="16">
                  <c:v>0</c:v>
                </c:pt>
                <c:pt idx="17">
                  <c:v>0</c:v>
                </c:pt>
                <c:pt idx="18">
                  <c:v>0</c:v>
                </c:pt>
                <c:pt idx="19">
                  <c:v>0</c:v>
                </c:pt>
                <c:pt idx="20">
                  <c:v>180000000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TRNG_Data!$BD$4:$BD$41</c:f>
              <c:numCache>
                <c:formatCode>0.000E+00</c:formatCode>
                <c:ptCount val="38"/>
                <c:pt idx="0">
                  <c:v>0</c:v>
                </c:pt>
                <c:pt idx="1">
                  <c:v>0</c:v>
                </c:pt>
                <c:pt idx="2">
                  <c:v>0</c:v>
                </c:pt>
                <c:pt idx="3">
                  <c:v>0</c:v>
                </c:pt>
                <c:pt idx="4">
                  <c:v>0</c:v>
                </c:pt>
                <c:pt idx="5">
                  <c:v>0</c:v>
                </c:pt>
                <c:pt idx="6">
                  <c:v>0</c:v>
                </c:pt>
                <c:pt idx="7">
                  <c:v>0</c:v>
                </c:pt>
                <c:pt idx="8">
                  <c:v>11000</c:v>
                </c:pt>
                <c:pt idx="9">
                  <c:v>0</c:v>
                </c:pt>
                <c:pt idx="10">
                  <c:v>0</c:v>
                </c:pt>
                <c:pt idx="11">
                  <c:v>0</c:v>
                </c:pt>
                <c:pt idx="12">
                  <c:v>0</c:v>
                </c:pt>
                <c:pt idx="13">
                  <c:v>0</c:v>
                </c:pt>
                <c:pt idx="14">
                  <c:v>0</c:v>
                </c:pt>
                <c:pt idx="15">
                  <c:v>128000000</c:v>
                </c:pt>
                <c:pt idx="16">
                  <c:v>0</c:v>
                </c:pt>
                <c:pt idx="17">
                  <c:v>0</c:v>
                </c:pt>
                <c:pt idx="18">
                  <c:v>0</c:v>
                </c:pt>
                <c:pt idx="19">
                  <c:v>0</c:v>
                </c:pt>
                <c:pt idx="20">
                  <c:v>66000000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5-EB5F-4771-B81E-87A877E23C3E}"/>
            </c:ext>
          </c:extLst>
        </c:ser>
        <c:dLbls>
          <c:showLegendKey val="0"/>
          <c:showVal val="0"/>
          <c:showCatName val="0"/>
          <c:showSerName val="0"/>
          <c:showPercent val="0"/>
          <c:showBubbleSize val="0"/>
        </c:dLbls>
        <c:axId val="152336752"/>
        <c:axId val="152337144"/>
        <c:extLst/>
      </c:scatterChart>
      <c:valAx>
        <c:axId val="152336752"/>
        <c:scaling>
          <c:logBase val="10"/>
          <c:orientation val="minMax"/>
          <c:max val="10000000000000"/>
          <c:min val="10000000"/>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i="0" baseline="0">
                    <a:effectLst/>
                  </a:rPr>
                  <a:t>area (</a:t>
                </a:r>
                <a:r>
                  <a:rPr lang="en-US" sz="1100" b="1" i="0" baseline="0">
                    <a:effectLst/>
                    <a:sym typeface="Symbol" panose="05050102010706020507" pitchFamily="18" charset="2"/>
                  </a:rPr>
                  <a:t></a:t>
                </a:r>
                <a:r>
                  <a:rPr lang="en-US" sz="1100" b="1" i="0" baseline="0">
                    <a:effectLst/>
                  </a:rPr>
                  <a:t>m</a:t>
                </a:r>
                <a:r>
                  <a:rPr lang="en-US" sz="1100" b="1" i="0" baseline="30000">
                    <a:effectLst/>
                  </a:rPr>
                  <a:t>2</a:t>
                </a:r>
                <a:r>
                  <a:rPr lang="en-US" sz="1100" b="1" i="0" baseline="0">
                    <a:effectLst/>
                  </a:rPr>
                  <a:t>)</a:t>
                </a:r>
                <a:endParaRPr lang="en-SG" sz="1100">
                  <a:effectLst/>
                </a:endParaRPr>
              </a:p>
            </c:rich>
          </c:tx>
          <c:overlay val="0"/>
          <c:spPr>
            <a:noFill/>
            <a:ln>
              <a:noFill/>
            </a:ln>
            <a:effectLst/>
          </c:spPr>
        </c:title>
        <c:numFmt formatCode="0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At val="1.0000000000000002E-3"/>
        <c:crossBetween val="midCat"/>
      </c:valAx>
      <c:valAx>
        <c:axId val="152337144"/>
        <c:scaling>
          <c:logBase val="10"/>
          <c:orientation val="minMax"/>
          <c:min val="10000"/>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throughput (bps)</a:t>
                </a:r>
              </a:p>
            </c:rich>
          </c:tx>
          <c:overlay val="0"/>
          <c:spPr>
            <a:noFill/>
            <a:ln>
              <a:noFill/>
            </a:ln>
            <a:effectLst/>
          </c:spPr>
        </c:title>
        <c:numFmt formatCode="0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 val="autoZero"/>
        <c:crossBetween val="midCat"/>
      </c:valAx>
      <c:spPr>
        <a:noFill/>
        <a:ln w="19050">
          <a:solidFill>
            <a:schemeClr val="tx1"/>
          </a:solidFill>
        </a:ln>
        <a:effectLst/>
      </c:spPr>
    </c:plotArea>
    <c:legend>
      <c:legendPos val="b"/>
      <c:layout>
        <c:manualLayout>
          <c:xMode val="edge"/>
          <c:yMode val="edge"/>
          <c:x val="0.13880039682539683"/>
          <c:y val="0.92523820710987037"/>
          <c:w val="0.82804485360945379"/>
          <c:h val="6.4251838762703753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ysClr val="windowText" lastClr="000000"/>
                </a:solidFill>
                <a:latin typeface="+mn-lt"/>
                <a:ea typeface="+mn-ea"/>
                <a:cs typeface="+mn-cs"/>
              </a:defRPr>
            </a:pPr>
            <a:r>
              <a:rPr lang="en-SG" sz="1600" b="1">
                <a:solidFill>
                  <a:sysClr val="windowText" lastClr="000000"/>
                </a:solidFill>
              </a:rPr>
              <a:t>TRNG</a:t>
            </a:r>
            <a:r>
              <a:rPr lang="en-SG" sz="1600" b="1" baseline="0">
                <a:solidFill>
                  <a:sysClr val="windowText" lastClr="000000"/>
                </a:solidFill>
              </a:rPr>
              <a:t> </a:t>
            </a:r>
            <a:r>
              <a:rPr lang="en-SG" sz="1600" b="1">
                <a:solidFill>
                  <a:sysClr val="windowText" lastClr="000000"/>
                </a:solidFill>
              </a:rPr>
              <a:t>throughput vs energy</a:t>
            </a:r>
          </a:p>
        </c:rich>
      </c:tx>
      <c:layout>
        <c:manualLayout>
          <c:xMode val="edge"/>
          <c:yMode val="edge"/>
          <c:x val="0.29277484599920672"/>
          <c:y val="0"/>
        </c:manualLayout>
      </c:layout>
      <c:overlay val="0"/>
      <c:spPr>
        <a:noFill/>
        <a:ln>
          <a:noFill/>
        </a:ln>
        <a:effectLst/>
      </c:spPr>
    </c:title>
    <c:autoTitleDeleted val="0"/>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TRNG_Data!$AT$3</c:f>
              <c:strCache>
                <c:ptCount val="1"/>
                <c:pt idx="0">
                  <c:v>noise-based</c:v>
                </c:pt>
              </c:strCache>
            </c:strRef>
          </c:tx>
          <c:spPr>
            <a:ln w="19050">
              <a:noFill/>
            </a:ln>
          </c:spPr>
          <c:marker>
            <c:symbol val="circle"/>
            <c:size val="7"/>
            <c:spPr>
              <a:noFill/>
              <a:ln w="25400">
                <a:solidFill>
                  <a:srgbClr val="003399"/>
                </a:solidFill>
              </a:ln>
              <a:effectLst/>
            </c:spPr>
          </c:marker>
          <c:xVal>
            <c:numRef>
              <c:f>TRNG_Data!$BH$4:$BH$41</c:f>
              <c:numCache>
                <c:formatCode>0.000E+00</c:formatCode>
                <c:ptCount val="38"/>
                <c:pt idx="0">
                  <c:v>0</c:v>
                </c:pt>
                <c:pt idx="1">
                  <c:v>0</c:v>
                </c:pt>
                <c:pt idx="2">
                  <c:v>0</c:v>
                </c:pt>
                <c:pt idx="3">
                  <c:v>0</c:v>
                </c:pt>
                <c:pt idx="4">
                  <c:v>0</c:v>
                </c:pt>
                <c:pt idx="5">
                  <c:v>0</c:v>
                </c:pt>
                <c:pt idx="6">
                  <c:v>0</c:v>
                </c:pt>
                <c:pt idx="7">
                  <c:v>3800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TRNG_Data!$BG$4:$BG$41</c:f>
              <c:numCache>
                <c:formatCode>0.000E+00</c:formatCode>
                <c:ptCount val="38"/>
                <c:pt idx="0">
                  <c:v>0</c:v>
                </c:pt>
                <c:pt idx="1">
                  <c:v>0</c:v>
                </c:pt>
                <c:pt idx="2">
                  <c:v>0</c:v>
                </c:pt>
                <c:pt idx="3">
                  <c:v>0</c:v>
                </c:pt>
                <c:pt idx="4">
                  <c:v>0</c:v>
                </c:pt>
                <c:pt idx="5">
                  <c:v>0</c:v>
                </c:pt>
                <c:pt idx="6">
                  <c:v>0</c:v>
                </c:pt>
                <c:pt idx="7">
                  <c:v>2000000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0-E482-431D-A520-75E1158980F5}"/>
            </c:ext>
          </c:extLst>
        </c:ser>
        <c:ser>
          <c:idx val="1"/>
          <c:order val="1"/>
          <c:tx>
            <c:strRef>
              <c:f>TRNG_Data!$BI$3</c:f>
              <c:strCache>
                <c:ptCount val="1"/>
                <c:pt idx="0">
                  <c:v>jitter</c:v>
                </c:pt>
              </c:strCache>
            </c:strRef>
          </c:tx>
          <c:spPr>
            <a:ln w="19050">
              <a:noFill/>
            </a:ln>
          </c:spPr>
          <c:marker>
            <c:symbol val="triangle"/>
            <c:size val="7"/>
            <c:spPr>
              <a:noFill/>
              <a:ln w="25400">
                <a:solidFill>
                  <a:srgbClr val="00B0F0"/>
                </a:solidFill>
              </a:ln>
              <a:effectLst/>
            </c:spPr>
          </c:marker>
          <c:xVal>
            <c:numRef>
              <c:f>TRNG_Data!$BJ$4:$BJ$41</c:f>
              <c:numCache>
                <c:formatCode>0.000E+00</c:formatCode>
                <c:ptCount val="38"/>
                <c:pt idx="0">
                  <c:v>230</c:v>
                </c:pt>
                <c:pt idx="1">
                  <c:v>0</c:v>
                </c:pt>
                <c:pt idx="2">
                  <c:v>0</c:v>
                </c:pt>
                <c:pt idx="3">
                  <c:v>0</c:v>
                </c:pt>
                <c:pt idx="4">
                  <c:v>0</c:v>
                </c:pt>
                <c:pt idx="5">
                  <c:v>137.93103448275863</c:v>
                </c:pt>
                <c:pt idx="6">
                  <c:v>0</c:v>
                </c:pt>
                <c:pt idx="7">
                  <c:v>0</c:v>
                </c:pt>
                <c:pt idx="8">
                  <c:v>0</c:v>
                </c:pt>
                <c:pt idx="9">
                  <c:v>0</c:v>
                </c:pt>
                <c:pt idx="10">
                  <c:v>23</c:v>
                </c:pt>
                <c:pt idx="11">
                  <c:v>0.42799999999999999</c:v>
                </c:pt>
                <c:pt idx="12">
                  <c:v>0</c:v>
                </c:pt>
                <c:pt idx="13">
                  <c:v>0</c:v>
                </c:pt>
                <c:pt idx="14">
                  <c:v>11</c:v>
                </c:pt>
                <c:pt idx="15">
                  <c:v>0</c:v>
                </c:pt>
                <c:pt idx="16">
                  <c:v>35.5</c:v>
                </c:pt>
                <c:pt idx="17">
                  <c:v>0</c:v>
                </c:pt>
                <c:pt idx="18">
                  <c:v>0</c:v>
                </c:pt>
                <c:pt idx="19">
                  <c:v>0</c:v>
                </c:pt>
                <c:pt idx="20">
                  <c:v>0</c:v>
                </c:pt>
                <c:pt idx="21">
                  <c:v>0</c:v>
                </c:pt>
                <c:pt idx="22">
                  <c:v>0</c:v>
                </c:pt>
                <c:pt idx="23">
                  <c:v>0</c:v>
                </c:pt>
                <c:pt idx="24">
                  <c:v>0</c:v>
                </c:pt>
                <c:pt idx="25">
                  <c:v>6.9</c:v>
                </c:pt>
                <c:pt idx="26">
                  <c:v>9.6</c:v>
                </c:pt>
                <c:pt idx="27">
                  <c:v>0</c:v>
                </c:pt>
                <c:pt idx="28">
                  <c:v>0</c:v>
                </c:pt>
                <c:pt idx="29">
                  <c:v>0</c:v>
                </c:pt>
                <c:pt idx="30">
                  <c:v>1.48</c:v>
                </c:pt>
                <c:pt idx="31">
                  <c:v>0</c:v>
                </c:pt>
                <c:pt idx="32">
                  <c:v>5</c:v>
                </c:pt>
                <c:pt idx="33">
                  <c:v>0</c:v>
                </c:pt>
                <c:pt idx="34">
                  <c:v>0</c:v>
                </c:pt>
                <c:pt idx="35">
                  <c:v>0</c:v>
                </c:pt>
                <c:pt idx="36">
                  <c:v>2.5</c:v>
                </c:pt>
                <c:pt idx="37">
                  <c:v>3.67</c:v>
                </c:pt>
              </c:numCache>
            </c:numRef>
          </c:xVal>
          <c:yVal>
            <c:numRef>
              <c:f>TRNG_Data!$BI$4:$BI$41</c:f>
              <c:numCache>
                <c:formatCode>0.000E+00</c:formatCode>
                <c:ptCount val="38"/>
                <c:pt idx="0">
                  <c:v>10000000</c:v>
                </c:pt>
                <c:pt idx="1">
                  <c:v>0</c:v>
                </c:pt>
                <c:pt idx="2">
                  <c:v>0</c:v>
                </c:pt>
                <c:pt idx="3">
                  <c:v>0</c:v>
                </c:pt>
                <c:pt idx="4">
                  <c:v>0</c:v>
                </c:pt>
                <c:pt idx="5">
                  <c:v>1740000</c:v>
                </c:pt>
                <c:pt idx="6">
                  <c:v>0</c:v>
                </c:pt>
                <c:pt idx="7">
                  <c:v>0</c:v>
                </c:pt>
                <c:pt idx="8">
                  <c:v>0</c:v>
                </c:pt>
                <c:pt idx="9">
                  <c:v>0</c:v>
                </c:pt>
                <c:pt idx="10">
                  <c:v>23160000</c:v>
                </c:pt>
                <c:pt idx="11">
                  <c:v>500000</c:v>
                </c:pt>
                <c:pt idx="12">
                  <c:v>0</c:v>
                </c:pt>
                <c:pt idx="13">
                  <c:v>0</c:v>
                </c:pt>
                <c:pt idx="14">
                  <c:v>2000000</c:v>
                </c:pt>
                <c:pt idx="15">
                  <c:v>0</c:v>
                </c:pt>
                <c:pt idx="16">
                  <c:v>9900000</c:v>
                </c:pt>
                <c:pt idx="17">
                  <c:v>0</c:v>
                </c:pt>
                <c:pt idx="18">
                  <c:v>0</c:v>
                </c:pt>
                <c:pt idx="19">
                  <c:v>0</c:v>
                </c:pt>
                <c:pt idx="20">
                  <c:v>0</c:v>
                </c:pt>
                <c:pt idx="21">
                  <c:v>0</c:v>
                </c:pt>
                <c:pt idx="22">
                  <c:v>0</c:v>
                </c:pt>
                <c:pt idx="23">
                  <c:v>0</c:v>
                </c:pt>
                <c:pt idx="24">
                  <c:v>0</c:v>
                </c:pt>
                <c:pt idx="25">
                  <c:v>52000000</c:v>
                </c:pt>
                <c:pt idx="26">
                  <c:v>3600000</c:v>
                </c:pt>
                <c:pt idx="27">
                  <c:v>0</c:v>
                </c:pt>
                <c:pt idx="28">
                  <c:v>0</c:v>
                </c:pt>
                <c:pt idx="29">
                  <c:v>0</c:v>
                </c:pt>
                <c:pt idx="30">
                  <c:v>45000000</c:v>
                </c:pt>
                <c:pt idx="31">
                  <c:v>0</c:v>
                </c:pt>
                <c:pt idx="32">
                  <c:v>52000000</c:v>
                </c:pt>
                <c:pt idx="33">
                  <c:v>0</c:v>
                </c:pt>
                <c:pt idx="34">
                  <c:v>0</c:v>
                </c:pt>
                <c:pt idx="35">
                  <c:v>0</c:v>
                </c:pt>
                <c:pt idx="36">
                  <c:v>53000000</c:v>
                </c:pt>
                <c:pt idx="37">
                  <c:v>100800000</c:v>
                </c:pt>
              </c:numCache>
            </c:numRef>
          </c:yVal>
          <c:smooth val="0"/>
          <c:extLst>
            <c:ext xmlns:c16="http://schemas.microsoft.com/office/drawing/2014/chart" uri="{C3380CC4-5D6E-409C-BE32-E72D297353CC}">
              <c16:uniqueId val="{00000001-E482-431D-A520-75E1158980F5}"/>
            </c:ext>
          </c:extLst>
        </c:ser>
        <c:ser>
          <c:idx val="2"/>
          <c:order val="2"/>
          <c:tx>
            <c:strRef>
              <c:f>TRNG_Data!$BK$3</c:f>
              <c:strCache>
                <c:ptCount val="1"/>
                <c:pt idx="0">
                  <c:v>metastability</c:v>
                </c:pt>
              </c:strCache>
            </c:strRef>
          </c:tx>
          <c:spPr>
            <a:ln w="19050">
              <a:noFill/>
            </a:ln>
          </c:spPr>
          <c:marker>
            <c:symbol val="star"/>
            <c:size val="7"/>
            <c:spPr>
              <a:noFill/>
              <a:ln w="25400">
                <a:solidFill>
                  <a:srgbClr val="FFC000"/>
                </a:solidFill>
              </a:ln>
            </c:spPr>
          </c:marker>
          <c:xVal>
            <c:numRef>
              <c:f>TRNG_Data!$BL$4:$BL$41</c:f>
              <c:numCache>
                <c:formatCode>0.000E+00</c:formatCode>
                <c:ptCount val="38"/>
                <c:pt idx="0">
                  <c:v>0</c:v>
                </c:pt>
                <c:pt idx="1">
                  <c:v>0</c:v>
                </c:pt>
                <c:pt idx="2">
                  <c:v>0</c:v>
                </c:pt>
                <c:pt idx="3">
                  <c:v>0</c:v>
                </c:pt>
                <c:pt idx="4">
                  <c:v>0</c:v>
                </c:pt>
                <c:pt idx="5">
                  <c:v>0</c:v>
                </c:pt>
                <c:pt idx="6">
                  <c:v>0</c:v>
                </c:pt>
                <c:pt idx="7">
                  <c:v>0</c:v>
                </c:pt>
                <c:pt idx="8">
                  <c:v>0</c:v>
                </c:pt>
                <c:pt idx="9">
                  <c:v>0.4</c:v>
                </c:pt>
                <c:pt idx="10">
                  <c:v>0</c:v>
                </c:pt>
                <c:pt idx="11">
                  <c:v>0</c:v>
                </c:pt>
                <c:pt idx="12">
                  <c:v>0</c:v>
                </c:pt>
                <c:pt idx="13">
                  <c:v>0</c:v>
                </c:pt>
                <c:pt idx="14">
                  <c:v>0</c:v>
                </c:pt>
                <c:pt idx="15">
                  <c:v>0</c:v>
                </c:pt>
                <c:pt idx="16">
                  <c:v>0</c:v>
                </c:pt>
                <c:pt idx="17">
                  <c:v>0</c:v>
                </c:pt>
                <c:pt idx="18">
                  <c:v>0</c:v>
                </c:pt>
                <c:pt idx="19">
                  <c:v>0</c:v>
                </c:pt>
                <c:pt idx="20">
                  <c:v>0</c:v>
                </c:pt>
                <c:pt idx="21">
                  <c:v>2.58</c:v>
                </c:pt>
                <c:pt idx="22">
                  <c:v>2.5</c:v>
                </c:pt>
                <c:pt idx="23">
                  <c:v>2.5</c:v>
                </c:pt>
                <c:pt idx="24">
                  <c:v>0</c:v>
                </c:pt>
                <c:pt idx="25">
                  <c:v>0</c:v>
                </c:pt>
                <c:pt idx="26">
                  <c:v>0</c:v>
                </c:pt>
                <c:pt idx="27">
                  <c:v>0</c:v>
                </c:pt>
                <c:pt idx="28">
                  <c:v>0.186</c:v>
                </c:pt>
                <c:pt idx="29">
                  <c:v>0</c:v>
                </c:pt>
                <c:pt idx="30">
                  <c:v>0</c:v>
                </c:pt>
                <c:pt idx="31">
                  <c:v>0</c:v>
                </c:pt>
                <c:pt idx="32">
                  <c:v>0</c:v>
                </c:pt>
                <c:pt idx="33">
                  <c:v>0</c:v>
                </c:pt>
                <c:pt idx="34">
                  <c:v>0.11600000000000001</c:v>
                </c:pt>
                <c:pt idx="35">
                  <c:v>0</c:v>
                </c:pt>
                <c:pt idx="36">
                  <c:v>0</c:v>
                </c:pt>
                <c:pt idx="37">
                  <c:v>0</c:v>
                </c:pt>
              </c:numCache>
            </c:numRef>
          </c:xVal>
          <c:yVal>
            <c:numRef>
              <c:f>TRNG_Data!$BK$4:$BK$41</c:f>
              <c:numCache>
                <c:formatCode>0.000E+00</c:formatCode>
                <c:ptCount val="38"/>
                <c:pt idx="0">
                  <c:v>0</c:v>
                </c:pt>
                <c:pt idx="1">
                  <c:v>0</c:v>
                </c:pt>
                <c:pt idx="2">
                  <c:v>0</c:v>
                </c:pt>
                <c:pt idx="3">
                  <c:v>0</c:v>
                </c:pt>
                <c:pt idx="4">
                  <c:v>0</c:v>
                </c:pt>
                <c:pt idx="5">
                  <c:v>0</c:v>
                </c:pt>
                <c:pt idx="6">
                  <c:v>0</c:v>
                </c:pt>
                <c:pt idx="7">
                  <c:v>0</c:v>
                </c:pt>
                <c:pt idx="8">
                  <c:v>0</c:v>
                </c:pt>
                <c:pt idx="9">
                  <c:v>2400000000</c:v>
                </c:pt>
                <c:pt idx="10">
                  <c:v>0</c:v>
                </c:pt>
                <c:pt idx="11">
                  <c:v>0</c:v>
                </c:pt>
                <c:pt idx="12">
                  <c:v>0</c:v>
                </c:pt>
                <c:pt idx="13">
                  <c:v>0</c:v>
                </c:pt>
                <c:pt idx="14">
                  <c:v>0</c:v>
                </c:pt>
                <c:pt idx="15">
                  <c:v>0</c:v>
                </c:pt>
                <c:pt idx="16">
                  <c:v>0</c:v>
                </c:pt>
                <c:pt idx="17">
                  <c:v>0</c:v>
                </c:pt>
                <c:pt idx="18">
                  <c:v>0</c:v>
                </c:pt>
                <c:pt idx="19">
                  <c:v>0</c:v>
                </c:pt>
                <c:pt idx="20">
                  <c:v>0</c:v>
                </c:pt>
                <c:pt idx="21">
                  <c:v>86000000</c:v>
                </c:pt>
                <c:pt idx="22">
                  <c:v>1480000000</c:v>
                </c:pt>
                <c:pt idx="23">
                  <c:v>128000000</c:v>
                </c:pt>
                <c:pt idx="24">
                  <c:v>0</c:v>
                </c:pt>
                <c:pt idx="25">
                  <c:v>0</c:v>
                </c:pt>
                <c:pt idx="26">
                  <c:v>0</c:v>
                </c:pt>
                <c:pt idx="27">
                  <c:v>0</c:v>
                </c:pt>
                <c:pt idx="28">
                  <c:v>2390000</c:v>
                </c:pt>
                <c:pt idx="29">
                  <c:v>0</c:v>
                </c:pt>
                <c:pt idx="30">
                  <c:v>0</c:v>
                </c:pt>
                <c:pt idx="31">
                  <c:v>0</c:v>
                </c:pt>
                <c:pt idx="32">
                  <c:v>0</c:v>
                </c:pt>
                <c:pt idx="33">
                  <c:v>0</c:v>
                </c:pt>
                <c:pt idx="34">
                  <c:v>1300000</c:v>
                </c:pt>
                <c:pt idx="35">
                  <c:v>0</c:v>
                </c:pt>
                <c:pt idx="36">
                  <c:v>0</c:v>
                </c:pt>
                <c:pt idx="37">
                  <c:v>0</c:v>
                </c:pt>
              </c:numCache>
            </c:numRef>
          </c:yVal>
          <c:smooth val="0"/>
          <c:extLst>
            <c:ext xmlns:c16="http://schemas.microsoft.com/office/drawing/2014/chart" uri="{C3380CC4-5D6E-409C-BE32-E72D297353CC}">
              <c16:uniqueId val="{00000002-E482-431D-A520-75E1158980F5}"/>
            </c:ext>
          </c:extLst>
        </c:ser>
        <c:ser>
          <c:idx val="3"/>
          <c:order val="3"/>
          <c:tx>
            <c:strRef>
              <c:f>TRNG_Data!$BM$3</c:f>
              <c:strCache>
                <c:ptCount val="1"/>
                <c:pt idx="0">
                  <c:v>chaotic map</c:v>
                </c:pt>
              </c:strCache>
            </c:strRef>
          </c:tx>
          <c:spPr>
            <a:ln w="19050">
              <a:noFill/>
            </a:ln>
          </c:spPr>
          <c:marker>
            <c:symbol val="diamond"/>
            <c:size val="7"/>
            <c:spPr>
              <a:noFill/>
              <a:ln w="25400">
                <a:solidFill>
                  <a:srgbClr val="FF0000"/>
                </a:solidFill>
              </a:ln>
              <a:effectLst/>
            </c:spPr>
          </c:marker>
          <c:xVal>
            <c:numRef>
              <c:f>TRNG_Data!$BN$4:$BN$41</c:f>
              <c:numCache>
                <c:formatCode>0.000E+00</c:formatCode>
                <c:ptCount val="38"/>
                <c:pt idx="0">
                  <c:v>0</c:v>
                </c:pt>
                <c:pt idx="1">
                  <c:v>0</c:v>
                </c:pt>
                <c:pt idx="2">
                  <c:v>0</c:v>
                </c:pt>
                <c:pt idx="3">
                  <c:v>750</c:v>
                </c:pt>
                <c:pt idx="4">
                  <c:v>0</c:v>
                </c:pt>
                <c:pt idx="5">
                  <c:v>0</c:v>
                </c:pt>
                <c:pt idx="6">
                  <c:v>0</c:v>
                </c:pt>
                <c:pt idx="7">
                  <c:v>0</c:v>
                </c:pt>
                <c:pt idx="8">
                  <c:v>0</c:v>
                </c:pt>
                <c:pt idx="9">
                  <c:v>0</c:v>
                </c:pt>
                <c:pt idx="10">
                  <c:v>0</c:v>
                </c:pt>
                <c:pt idx="11">
                  <c:v>0</c:v>
                </c:pt>
                <c:pt idx="12">
                  <c:v>8.6</c:v>
                </c:pt>
                <c:pt idx="13">
                  <c:v>0</c:v>
                </c:pt>
                <c:pt idx="14">
                  <c:v>0</c:v>
                </c:pt>
                <c:pt idx="15">
                  <c:v>0</c:v>
                </c:pt>
                <c:pt idx="16">
                  <c:v>0</c:v>
                </c:pt>
                <c:pt idx="17">
                  <c:v>0</c:v>
                </c:pt>
                <c:pt idx="18">
                  <c:v>0.3</c:v>
                </c:pt>
                <c:pt idx="19">
                  <c:v>2.5000000000000001E-2</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TRNG_Data!$BM$4:$BM$41</c:f>
              <c:numCache>
                <c:formatCode>0.000E+00</c:formatCode>
                <c:ptCount val="38"/>
                <c:pt idx="0">
                  <c:v>0</c:v>
                </c:pt>
                <c:pt idx="1">
                  <c:v>0</c:v>
                </c:pt>
                <c:pt idx="2">
                  <c:v>0</c:v>
                </c:pt>
                <c:pt idx="3">
                  <c:v>40000000</c:v>
                </c:pt>
                <c:pt idx="4">
                  <c:v>0</c:v>
                </c:pt>
                <c:pt idx="5">
                  <c:v>0</c:v>
                </c:pt>
                <c:pt idx="6">
                  <c:v>0</c:v>
                </c:pt>
                <c:pt idx="7">
                  <c:v>0</c:v>
                </c:pt>
                <c:pt idx="8">
                  <c:v>0</c:v>
                </c:pt>
                <c:pt idx="9">
                  <c:v>0</c:v>
                </c:pt>
                <c:pt idx="10">
                  <c:v>0</c:v>
                </c:pt>
                <c:pt idx="11">
                  <c:v>0</c:v>
                </c:pt>
                <c:pt idx="12">
                  <c:v>127000000</c:v>
                </c:pt>
                <c:pt idx="13">
                  <c:v>0</c:v>
                </c:pt>
                <c:pt idx="14">
                  <c:v>0</c:v>
                </c:pt>
                <c:pt idx="15">
                  <c:v>0</c:v>
                </c:pt>
                <c:pt idx="16">
                  <c:v>0</c:v>
                </c:pt>
                <c:pt idx="17">
                  <c:v>0</c:v>
                </c:pt>
                <c:pt idx="18">
                  <c:v>270000</c:v>
                </c:pt>
                <c:pt idx="19">
                  <c:v>67000000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3-E482-431D-A520-75E1158980F5}"/>
            </c:ext>
          </c:extLst>
        </c:ser>
        <c:ser>
          <c:idx val="4"/>
          <c:order val="4"/>
          <c:tx>
            <c:strRef>
              <c:f>TRNG_Data!$BO$3</c:f>
              <c:strCache>
                <c:ptCount val="1"/>
                <c:pt idx="0">
                  <c:v>hybrid</c:v>
                </c:pt>
              </c:strCache>
            </c:strRef>
          </c:tx>
          <c:spPr>
            <a:ln w="19050">
              <a:noFill/>
            </a:ln>
          </c:spPr>
          <c:marker>
            <c:symbol val="star"/>
            <c:size val="7"/>
            <c:spPr>
              <a:ln w="25400">
                <a:solidFill>
                  <a:srgbClr val="C00000"/>
                </a:solidFill>
              </a:ln>
            </c:spPr>
          </c:marker>
          <c:xVal>
            <c:numRef>
              <c:f>TRNG_Data!$BP$4:$BP$41</c:f>
              <c:numCache>
                <c:formatCode>0.000E+00</c:formatCode>
                <c:ptCount val="38"/>
                <c:pt idx="0">
                  <c:v>0</c:v>
                </c:pt>
                <c:pt idx="1">
                  <c:v>0</c:v>
                </c:pt>
                <c:pt idx="2">
                  <c:v>0</c:v>
                </c:pt>
                <c:pt idx="3">
                  <c:v>0</c:v>
                </c:pt>
                <c:pt idx="4">
                  <c:v>0</c:v>
                </c:pt>
                <c:pt idx="5">
                  <c:v>0</c:v>
                </c:pt>
                <c:pt idx="6">
                  <c:v>5000</c:v>
                </c:pt>
                <c:pt idx="7">
                  <c:v>0</c:v>
                </c:pt>
                <c:pt idx="8">
                  <c:v>0</c:v>
                </c:pt>
                <c:pt idx="9">
                  <c:v>0</c:v>
                </c:pt>
                <c:pt idx="10">
                  <c:v>0</c:v>
                </c:pt>
                <c:pt idx="11">
                  <c:v>0</c:v>
                </c:pt>
                <c:pt idx="12">
                  <c:v>0</c:v>
                </c:pt>
                <c:pt idx="13">
                  <c:v>23</c:v>
                </c:pt>
                <c:pt idx="14">
                  <c:v>0</c:v>
                </c:pt>
                <c:pt idx="15">
                  <c:v>0</c:v>
                </c:pt>
                <c:pt idx="16">
                  <c:v>0</c:v>
                </c:pt>
                <c:pt idx="17">
                  <c:v>1.6</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TRNG_Data!$BO$4:$BO$41</c:f>
              <c:numCache>
                <c:formatCode>0.000E+00</c:formatCode>
                <c:ptCount val="38"/>
                <c:pt idx="0">
                  <c:v>0</c:v>
                </c:pt>
                <c:pt idx="1">
                  <c:v>0</c:v>
                </c:pt>
                <c:pt idx="2">
                  <c:v>0</c:v>
                </c:pt>
                <c:pt idx="3">
                  <c:v>0</c:v>
                </c:pt>
                <c:pt idx="4">
                  <c:v>0</c:v>
                </c:pt>
                <c:pt idx="5">
                  <c:v>0</c:v>
                </c:pt>
                <c:pt idx="6">
                  <c:v>200000</c:v>
                </c:pt>
                <c:pt idx="7">
                  <c:v>0</c:v>
                </c:pt>
                <c:pt idx="8">
                  <c:v>0</c:v>
                </c:pt>
                <c:pt idx="9">
                  <c:v>0</c:v>
                </c:pt>
                <c:pt idx="10">
                  <c:v>0</c:v>
                </c:pt>
                <c:pt idx="11">
                  <c:v>0</c:v>
                </c:pt>
                <c:pt idx="12">
                  <c:v>0</c:v>
                </c:pt>
                <c:pt idx="13">
                  <c:v>162500000</c:v>
                </c:pt>
                <c:pt idx="14">
                  <c:v>0</c:v>
                </c:pt>
                <c:pt idx="15">
                  <c:v>0</c:v>
                </c:pt>
                <c:pt idx="16">
                  <c:v>0</c:v>
                </c:pt>
                <c:pt idx="17">
                  <c:v>3000000000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4-E482-431D-A520-75E1158980F5}"/>
            </c:ext>
          </c:extLst>
        </c:ser>
        <c:ser>
          <c:idx val="5"/>
          <c:order val="5"/>
          <c:tx>
            <c:strRef>
              <c:f>TRNG_Data!$BQ$3</c:f>
              <c:strCache>
                <c:ptCount val="1"/>
                <c:pt idx="0">
                  <c:v>others</c:v>
                </c:pt>
              </c:strCache>
            </c:strRef>
          </c:tx>
          <c:spPr>
            <a:ln w="19050">
              <a:noFill/>
            </a:ln>
          </c:spPr>
          <c:marker>
            <c:symbol val="plus"/>
            <c:size val="7"/>
            <c:spPr>
              <a:noFill/>
              <a:ln w="25400">
                <a:solidFill>
                  <a:schemeClr val="tx1"/>
                </a:solidFill>
              </a:ln>
            </c:spPr>
          </c:marker>
          <c:xVal>
            <c:numRef>
              <c:f>TRNG_Data!$BR$4:$BR$41</c:f>
              <c:numCache>
                <c:formatCode>0.000E+00</c:formatCode>
                <c:ptCount val="38"/>
                <c:pt idx="0">
                  <c:v>0</c:v>
                </c:pt>
                <c:pt idx="1">
                  <c:v>0</c:v>
                </c:pt>
                <c:pt idx="2">
                  <c:v>0</c:v>
                </c:pt>
                <c:pt idx="3">
                  <c:v>0</c:v>
                </c:pt>
                <c:pt idx="4">
                  <c:v>0</c:v>
                </c:pt>
                <c:pt idx="5">
                  <c:v>0</c:v>
                </c:pt>
                <c:pt idx="6">
                  <c:v>0</c:v>
                </c:pt>
                <c:pt idx="7">
                  <c:v>0</c:v>
                </c:pt>
                <c:pt idx="8">
                  <c:v>181818.18181818182</c:v>
                </c:pt>
                <c:pt idx="9">
                  <c:v>0</c:v>
                </c:pt>
                <c:pt idx="10">
                  <c:v>0</c:v>
                </c:pt>
                <c:pt idx="11">
                  <c:v>0</c:v>
                </c:pt>
                <c:pt idx="12">
                  <c:v>0</c:v>
                </c:pt>
                <c:pt idx="13">
                  <c:v>0</c:v>
                </c:pt>
                <c:pt idx="14">
                  <c:v>0</c:v>
                </c:pt>
                <c:pt idx="15">
                  <c:v>0</c:v>
                </c:pt>
                <c:pt idx="16">
                  <c:v>0</c:v>
                </c:pt>
                <c:pt idx="17">
                  <c:v>0</c:v>
                </c:pt>
                <c:pt idx="18">
                  <c:v>0</c:v>
                </c:pt>
                <c:pt idx="19">
                  <c:v>0</c:v>
                </c:pt>
                <c:pt idx="20">
                  <c:v>11</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TRNG_Data!$BQ$4:$BQ$41</c:f>
              <c:numCache>
                <c:formatCode>0.000E+00</c:formatCode>
                <c:ptCount val="38"/>
                <c:pt idx="0">
                  <c:v>0</c:v>
                </c:pt>
                <c:pt idx="1">
                  <c:v>0</c:v>
                </c:pt>
                <c:pt idx="2">
                  <c:v>0</c:v>
                </c:pt>
                <c:pt idx="3">
                  <c:v>0</c:v>
                </c:pt>
                <c:pt idx="4">
                  <c:v>0</c:v>
                </c:pt>
                <c:pt idx="5">
                  <c:v>0</c:v>
                </c:pt>
                <c:pt idx="6">
                  <c:v>0</c:v>
                </c:pt>
                <c:pt idx="7">
                  <c:v>0</c:v>
                </c:pt>
                <c:pt idx="8">
                  <c:v>11000</c:v>
                </c:pt>
                <c:pt idx="9">
                  <c:v>0</c:v>
                </c:pt>
                <c:pt idx="10">
                  <c:v>0</c:v>
                </c:pt>
                <c:pt idx="11">
                  <c:v>0</c:v>
                </c:pt>
                <c:pt idx="12">
                  <c:v>0</c:v>
                </c:pt>
                <c:pt idx="13">
                  <c:v>0</c:v>
                </c:pt>
                <c:pt idx="14">
                  <c:v>0</c:v>
                </c:pt>
                <c:pt idx="15">
                  <c:v>0</c:v>
                </c:pt>
                <c:pt idx="16">
                  <c:v>0</c:v>
                </c:pt>
                <c:pt idx="17">
                  <c:v>0</c:v>
                </c:pt>
                <c:pt idx="18">
                  <c:v>0</c:v>
                </c:pt>
                <c:pt idx="19">
                  <c:v>0</c:v>
                </c:pt>
                <c:pt idx="20">
                  <c:v>66000000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5-E482-431D-A520-75E1158980F5}"/>
            </c:ext>
          </c:extLst>
        </c:ser>
        <c:dLbls>
          <c:showLegendKey val="0"/>
          <c:showVal val="0"/>
          <c:showCatName val="0"/>
          <c:showSerName val="0"/>
          <c:showPercent val="0"/>
          <c:showBubbleSize val="0"/>
        </c:dLbls>
        <c:axId val="152336752"/>
        <c:axId val="152337144"/>
        <c:extLst/>
      </c:scatterChart>
      <c:valAx>
        <c:axId val="152336752"/>
        <c:scaling>
          <c:logBase val="10"/>
          <c:orientation val="minMax"/>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i="0" baseline="0">
                    <a:effectLst/>
                  </a:rPr>
                  <a:t>energy (pJ/bit)</a:t>
                </a:r>
                <a:endParaRPr lang="en-SG" sz="1100">
                  <a:effectLst/>
                </a:endParaRPr>
              </a:p>
            </c:rich>
          </c:tx>
          <c:overlay val="0"/>
          <c:spPr>
            <a:noFill/>
            <a:ln>
              <a:noFill/>
            </a:ln>
            <a:effectLst/>
          </c:spPr>
        </c:title>
        <c:numFmt formatCode="0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At val="1.0000000000000002E-3"/>
        <c:crossBetween val="midCat"/>
      </c:valAx>
      <c:valAx>
        <c:axId val="152337144"/>
        <c:scaling>
          <c:logBase val="10"/>
          <c:orientation val="minMax"/>
          <c:min val="10000"/>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throughput (bps)</a:t>
                </a:r>
              </a:p>
            </c:rich>
          </c:tx>
          <c:overlay val="0"/>
          <c:spPr>
            <a:noFill/>
            <a:ln>
              <a:noFill/>
            </a:ln>
            <a:effectLst/>
          </c:spPr>
        </c:title>
        <c:numFmt formatCode="0E+0" sourceLinked="0"/>
        <c:majorTickMark val="out"/>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At val="1.0000000000000002E-2"/>
        <c:crossBetween val="midCat"/>
      </c:valAx>
      <c:spPr>
        <a:noFill/>
        <a:ln w="19050">
          <a:solidFill>
            <a:schemeClr val="tx1"/>
          </a:solidFill>
        </a:ln>
        <a:effectLst/>
      </c:spPr>
    </c:plotArea>
    <c:legend>
      <c:legendPos val="b"/>
      <c:layout>
        <c:manualLayout>
          <c:xMode val="edge"/>
          <c:yMode val="edge"/>
          <c:x val="0.13880039682539683"/>
          <c:y val="0.92523820710987037"/>
          <c:w val="0.82804485360945379"/>
          <c:h val="6.4251838762703753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userShapes r:id="rId1"/>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ysClr val="windowText" lastClr="000000"/>
                </a:solidFill>
                <a:latin typeface="+mn-lt"/>
                <a:ea typeface="+mn-ea"/>
                <a:cs typeface="+mn-cs"/>
              </a:defRPr>
            </a:pPr>
            <a:r>
              <a:rPr lang="en-SG" sz="1600" b="1">
                <a:solidFill>
                  <a:sysClr val="windowText" lastClr="000000"/>
                </a:solidFill>
              </a:rPr>
              <a:t>TRNG</a:t>
            </a:r>
            <a:r>
              <a:rPr lang="en-SG" sz="1600" b="1" baseline="0">
                <a:solidFill>
                  <a:sysClr val="windowText" lastClr="000000"/>
                </a:solidFill>
              </a:rPr>
              <a:t> </a:t>
            </a:r>
            <a:r>
              <a:rPr lang="en-SG" sz="1600" b="1">
                <a:solidFill>
                  <a:sysClr val="windowText" lastClr="000000"/>
                </a:solidFill>
              </a:rPr>
              <a:t>energy vs normalized area</a:t>
            </a:r>
          </a:p>
        </c:rich>
      </c:tx>
      <c:layout>
        <c:manualLayout>
          <c:xMode val="edge"/>
          <c:yMode val="edge"/>
          <c:x val="0.26368725320052011"/>
          <c:y val="0"/>
        </c:manualLayout>
      </c:layout>
      <c:overlay val="0"/>
      <c:spPr>
        <a:noFill/>
        <a:ln>
          <a:noFill/>
        </a:ln>
        <a:effectLst/>
      </c:spPr>
    </c:title>
    <c:autoTitleDeleted val="0"/>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TRNG_Data!$BT$3</c:f>
              <c:strCache>
                <c:ptCount val="1"/>
                <c:pt idx="0">
                  <c:v>noise-based</c:v>
                </c:pt>
              </c:strCache>
            </c:strRef>
          </c:tx>
          <c:spPr>
            <a:ln w="19050">
              <a:noFill/>
            </a:ln>
          </c:spPr>
          <c:marker>
            <c:symbol val="circle"/>
            <c:size val="7"/>
            <c:spPr>
              <a:noFill/>
              <a:ln w="25400">
                <a:solidFill>
                  <a:srgbClr val="003399"/>
                </a:solidFill>
              </a:ln>
              <a:effectLst/>
            </c:spPr>
          </c:marker>
          <c:xVal>
            <c:numRef>
              <c:f>TRNG_Data!$BU$4:$BU$41</c:f>
              <c:numCache>
                <c:formatCode>0.000E+00</c:formatCode>
                <c:ptCount val="38"/>
                <c:pt idx="0">
                  <c:v>0</c:v>
                </c:pt>
                <c:pt idx="1">
                  <c:v>0</c:v>
                </c:pt>
                <c:pt idx="2">
                  <c:v>625000000000</c:v>
                </c:pt>
                <c:pt idx="3">
                  <c:v>0</c:v>
                </c:pt>
                <c:pt idx="4">
                  <c:v>0</c:v>
                </c:pt>
                <c:pt idx="5">
                  <c:v>0</c:v>
                </c:pt>
                <c:pt idx="6">
                  <c:v>0</c:v>
                </c:pt>
                <c:pt idx="7">
                  <c:v>19520000000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TRNG_Data!$BT$4:$BT$41</c:f>
              <c:numCache>
                <c:formatCode>0.000E+00</c:formatCode>
                <c:ptCount val="38"/>
                <c:pt idx="0">
                  <c:v>0</c:v>
                </c:pt>
                <c:pt idx="1">
                  <c:v>0</c:v>
                </c:pt>
                <c:pt idx="2">
                  <c:v>250</c:v>
                </c:pt>
                <c:pt idx="3">
                  <c:v>0</c:v>
                </c:pt>
                <c:pt idx="4">
                  <c:v>0</c:v>
                </c:pt>
                <c:pt idx="5">
                  <c:v>0</c:v>
                </c:pt>
                <c:pt idx="6">
                  <c:v>0</c:v>
                </c:pt>
                <c:pt idx="7">
                  <c:v>3800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0-5D72-4326-8031-0EA786151E68}"/>
            </c:ext>
          </c:extLst>
        </c:ser>
        <c:ser>
          <c:idx val="1"/>
          <c:order val="1"/>
          <c:tx>
            <c:strRef>
              <c:f>TRNG_Data!$BV$3</c:f>
              <c:strCache>
                <c:ptCount val="1"/>
                <c:pt idx="0">
                  <c:v>jitter</c:v>
                </c:pt>
              </c:strCache>
            </c:strRef>
          </c:tx>
          <c:spPr>
            <a:ln w="19050">
              <a:noFill/>
            </a:ln>
          </c:spPr>
          <c:marker>
            <c:symbol val="triangle"/>
            <c:size val="7"/>
            <c:spPr>
              <a:noFill/>
              <a:ln w="25400">
                <a:solidFill>
                  <a:srgbClr val="00B0F0"/>
                </a:solidFill>
              </a:ln>
              <a:effectLst/>
            </c:spPr>
          </c:marker>
          <c:xVal>
            <c:numRef>
              <c:f>TRNG_Data!$BW$4:$BW$41</c:f>
              <c:numCache>
                <c:formatCode>0.000E+00</c:formatCode>
                <c:ptCount val="38"/>
                <c:pt idx="0">
                  <c:v>49382716049.382721</c:v>
                </c:pt>
                <c:pt idx="1">
                  <c:v>0</c:v>
                </c:pt>
                <c:pt idx="2">
                  <c:v>0</c:v>
                </c:pt>
                <c:pt idx="3">
                  <c:v>0</c:v>
                </c:pt>
                <c:pt idx="4">
                  <c:v>0</c:v>
                </c:pt>
                <c:pt idx="5">
                  <c:v>1604938271604.9385</c:v>
                </c:pt>
                <c:pt idx="6">
                  <c:v>0</c:v>
                </c:pt>
                <c:pt idx="7">
                  <c:v>0</c:v>
                </c:pt>
                <c:pt idx="8">
                  <c:v>0</c:v>
                </c:pt>
                <c:pt idx="9">
                  <c:v>0</c:v>
                </c:pt>
                <c:pt idx="10">
                  <c:v>472000</c:v>
                </c:pt>
                <c:pt idx="11">
                  <c:v>875000000000</c:v>
                </c:pt>
                <c:pt idx="12">
                  <c:v>0</c:v>
                </c:pt>
                <c:pt idx="13">
                  <c:v>0</c:v>
                </c:pt>
                <c:pt idx="14">
                  <c:v>519000</c:v>
                </c:pt>
                <c:pt idx="15">
                  <c:v>0</c:v>
                </c:pt>
                <c:pt idx="16">
                  <c:v>218000</c:v>
                </c:pt>
                <c:pt idx="17">
                  <c:v>0</c:v>
                </c:pt>
                <c:pt idx="18">
                  <c:v>0</c:v>
                </c:pt>
                <c:pt idx="19">
                  <c:v>0</c:v>
                </c:pt>
                <c:pt idx="20">
                  <c:v>0</c:v>
                </c:pt>
                <c:pt idx="21">
                  <c:v>0</c:v>
                </c:pt>
                <c:pt idx="22">
                  <c:v>0</c:v>
                </c:pt>
                <c:pt idx="23">
                  <c:v>0</c:v>
                </c:pt>
                <c:pt idx="24">
                  <c:v>0</c:v>
                </c:pt>
                <c:pt idx="25">
                  <c:v>14201183</c:v>
                </c:pt>
                <c:pt idx="26">
                  <c:v>19642857</c:v>
                </c:pt>
                <c:pt idx="27">
                  <c:v>0</c:v>
                </c:pt>
                <c:pt idx="28">
                  <c:v>0</c:v>
                </c:pt>
                <c:pt idx="29">
                  <c:v>0</c:v>
                </c:pt>
                <c:pt idx="30">
                  <c:v>2709375</c:v>
                </c:pt>
                <c:pt idx="31">
                  <c:v>0</c:v>
                </c:pt>
                <c:pt idx="32">
                  <c:v>87000</c:v>
                </c:pt>
                <c:pt idx="33">
                  <c:v>0</c:v>
                </c:pt>
                <c:pt idx="34">
                  <c:v>0</c:v>
                </c:pt>
                <c:pt idx="35">
                  <c:v>191000</c:v>
                </c:pt>
                <c:pt idx="36">
                  <c:v>340000</c:v>
                </c:pt>
                <c:pt idx="37">
                  <c:v>1810000</c:v>
                </c:pt>
              </c:numCache>
            </c:numRef>
          </c:xVal>
          <c:yVal>
            <c:numRef>
              <c:f>TRNG_Data!$BV$4:$BV$41</c:f>
              <c:numCache>
                <c:formatCode>0.000E+00</c:formatCode>
                <c:ptCount val="38"/>
                <c:pt idx="0">
                  <c:v>230</c:v>
                </c:pt>
                <c:pt idx="1">
                  <c:v>0</c:v>
                </c:pt>
                <c:pt idx="2">
                  <c:v>0</c:v>
                </c:pt>
                <c:pt idx="3">
                  <c:v>0</c:v>
                </c:pt>
                <c:pt idx="4">
                  <c:v>0</c:v>
                </c:pt>
                <c:pt idx="5">
                  <c:v>137.93103448275863</c:v>
                </c:pt>
                <c:pt idx="6">
                  <c:v>0</c:v>
                </c:pt>
                <c:pt idx="7">
                  <c:v>0</c:v>
                </c:pt>
                <c:pt idx="8">
                  <c:v>0</c:v>
                </c:pt>
                <c:pt idx="9">
                  <c:v>0</c:v>
                </c:pt>
                <c:pt idx="10">
                  <c:v>23</c:v>
                </c:pt>
                <c:pt idx="11">
                  <c:v>0.42799999999999999</c:v>
                </c:pt>
                <c:pt idx="12">
                  <c:v>0</c:v>
                </c:pt>
                <c:pt idx="13">
                  <c:v>0</c:v>
                </c:pt>
                <c:pt idx="14">
                  <c:v>11</c:v>
                </c:pt>
                <c:pt idx="15">
                  <c:v>0</c:v>
                </c:pt>
                <c:pt idx="16">
                  <c:v>35.5</c:v>
                </c:pt>
                <c:pt idx="17">
                  <c:v>0</c:v>
                </c:pt>
                <c:pt idx="18">
                  <c:v>0</c:v>
                </c:pt>
                <c:pt idx="19">
                  <c:v>0</c:v>
                </c:pt>
                <c:pt idx="20">
                  <c:v>0</c:v>
                </c:pt>
                <c:pt idx="21">
                  <c:v>0</c:v>
                </c:pt>
                <c:pt idx="22">
                  <c:v>0</c:v>
                </c:pt>
                <c:pt idx="23">
                  <c:v>0</c:v>
                </c:pt>
                <c:pt idx="24">
                  <c:v>0</c:v>
                </c:pt>
                <c:pt idx="25">
                  <c:v>6.9</c:v>
                </c:pt>
                <c:pt idx="26">
                  <c:v>9.6</c:v>
                </c:pt>
                <c:pt idx="27">
                  <c:v>0</c:v>
                </c:pt>
                <c:pt idx="28">
                  <c:v>0</c:v>
                </c:pt>
                <c:pt idx="29">
                  <c:v>0</c:v>
                </c:pt>
                <c:pt idx="30">
                  <c:v>1.48</c:v>
                </c:pt>
                <c:pt idx="31">
                  <c:v>0</c:v>
                </c:pt>
                <c:pt idx="32">
                  <c:v>5</c:v>
                </c:pt>
                <c:pt idx="33">
                  <c:v>0</c:v>
                </c:pt>
                <c:pt idx="34">
                  <c:v>0</c:v>
                </c:pt>
                <c:pt idx="35">
                  <c:v>10.7</c:v>
                </c:pt>
                <c:pt idx="36">
                  <c:v>2.5</c:v>
                </c:pt>
                <c:pt idx="37">
                  <c:v>3.67</c:v>
                </c:pt>
              </c:numCache>
            </c:numRef>
          </c:yVal>
          <c:smooth val="0"/>
          <c:extLst>
            <c:ext xmlns:c16="http://schemas.microsoft.com/office/drawing/2014/chart" uri="{C3380CC4-5D6E-409C-BE32-E72D297353CC}">
              <c16:uniqueId val="{00000001-5D72-4326-8031-0EA786151E68}"/>
            </c:ext>
          </c:extLst>
        </c:ser>
        <c:ser>
          <c:idx val="2"/>
          <c:order val="2"/>
          <c:tx>
            <c:strRef>
              <c:f>TRNG_Data!$BX$3</c:f>
              <c:strCache>
                <c:ptCount val="1"/>
                <c:pt idx="0">
                  <c:v>metastability</c:v>
                </c:pt>
              </c:strCache>
            </c:strRef>
          </c:tx>
          <c:spPr>
            <a:ln w="19050">
              <a:noFill/>
            </a:ln>
          </c:spPr>
          <c:marker>
            <c:symbol val="star"/>
            <c:size val="7"/>
            <c:spPr>
              <a:noFill/>
              <a:ln w="25400">
                <a:solidFill>
                  <a:srgbClr val="FFC000"/>
                </a:solidFill>
              </a:ln>
            </c:spPr>
          </c:marker>
          <c:xVal>
            <c:numRef>
              <c:f>TRNG_Data!$BY$4:$BY$41</c:f>
              <c:numCache>
                <c:formatCode>0.000E+00</c:formatCode>
                <c:ptCount val="38"/>
                <c:pt idx="0">
                  <c:v>0</c:v>
                </c:pt>
                <c:pt idx="1">
                  <c:v>0</c:v>
                </c:pt>
                <c:pt idx="2">
                  <c:v>0</c:v>
                </c:pt>
                <c:pt idx="3">
                  <c:v>0</c:v>
                </c:pt>
                <c:pt idx="4">
                  <c:v>0</c:v>
                </c:pt>
                <c:pt idx="5">
                  <c:v>0</c:v>
                </c:pt>
                <c:pt idx="6">
                  <c:v>0</c:v>
                </c:pt>
                <c:pt idx="7">
                  <c:v>0</c:v>
                </c:pt>
                <c:pt idx="8">
                  <c:v>0</c:v>
                </c:pt>
                <c:pt idx="9">
                  <c:v>1977283950617.2839</c:v>
                </c:pt>
                <c:pt idx="10">
                  <c:v>0</c:v>
                </c:pt>
                <c:pt idx="11">
                  <c:v>0</c:v>
                </c:pt>
                <c:pt idx="12">
                  <c:v>0</c:v>
                </c:pt>
                <c:pt idx="13">
                  <c:v>0</c:v>
                </c:pt>
                <c:pt idx="14">
                  <c:v>0</c:v>
                </c:pt>
                <c:pt idx="15">
                  <c:v>0</c:v>
                </c:pt>
                <c:pt idx="16">
                  <c:v>0</c:v>
                </c:pt>
                <c:pt idx="17">
                  <c:v>0</c:v>
                </c:pt>
                <c:pt idx="18">
                  <c:v>0</c:v>
                </c:pt>
                <c:pt idx="19">
                  <c:v>0</c:v>
                </c:pt>
                <c:pt idx="20">
                  <c:v>0</c:v>
                </c:pt>
                <c:pt idx="21">
                  <c:v>2370000</c:v>
                </c:pt>
                <c:pt idx="22">
                  <c:v>10800000</c:v>
                </c:pt>
                <c:pt idx="23">
                  <c:v>430000</c:v>
                </c:pt>
                <c:pt idx="24">
                  <c:v>0</c:v>
                </c:pt>
                <c:pt idx="25">
                  <c:v>0</c:v>
                </c:pt>
                <c:pt idx="26">
                  <c:v>0</c:v>
                </c:pt>
                <c:pt idx="27">
                  <c:v>0</c:v>
                </c:pt>
                <c:pt idx="28">
                  <c:v>329000</c:v>
                </c:pt>
                <c:pt idx="29">
                  <c:v>0</c:v>
                </c:pt>
                <c:pt idx="30">
                  <c:v>0</c:v>
                </c:pt>
                <c:pt idx="31">
                  <c:v>0</c:v>
                </c:pt>
                <c:pt idx="32">
                  <c:v>0</c:v>
                </c:pt>
                <c:pt idx="33">
                  <c:v>0</c:v>
                </c:pt>
                <c:pt idx="34">
                  <c:v>316000</c:v>
                </c:pt>
                <c:pt idx="35">
                  <c:v>0</c:v>
                </c:pt>
                <c:pt idx="36">
                  <c:v>0</c:v>
                </c:pt>
                <c:pt idx="37">
                  <c:v>0</c:v>
                </c:pt>
              </c:numCache>
            </c:numRef>
          </c:xVal>
          <c:yVal>
            <c:numRef>
              <c:f>TRNG_Data!$BX$4:$BX$41</c:f>
              <c:numCache>
                <c:formatCode>0.000E+00</c:formatCode>
                <c:ptCount val="38"/>
                <c:pt idx="0">
                  <c:v>0</c:v>
                </c:pt>
                <c:pt idx="1">
                  <c:v>0</c:v>
                </c:pt>
                <c:pt idx="2">
                  <c:v>0</c:v>
                </c:pt>
                <c:pt idx="3">
                  <c:v>0</c:v>
                </c:pt>
                <c:pt idx="4">
                  <c:v>0</c:v>
                </c:pt>
                <c:pt idx="5">
                  <c:v>0</c:v>
                </c:pt>
                <c:pt idx="6">
                  <c:v>0</c:v>
                </c:pt>
                <c:pt idx="7">
                  <c:v>0</c:v>
                </c:pt>
                <c:pt idx="8">
                  <c:v>0</c:v>
                </c:pt>
                <c:pt idx="9">
                  <c:v>0.4</c:v>
                </c:pt>
                <c:pt idx="10">
                  <c:v>0</c:v>
                </c:pt>
                <c:pt idx="11">
                  <c:v>0</c:v>
                </c:pt>
                <c:pt idx="12">
                  <c:v>0</c:v>
                </c:pt>
                <c:pt idx="13">
                  <c:v>0</c:v>
                </c:pt>
                <c:pt idx="14">
                  <c:v>0</c:v>
                </c:pt>
                <c:pt idx="15">
                  <c:v>0</c:v>
                </c:pt>
                <c:pt idx="16">
                  <c:v>0</c:v>
                </c:pt>
                <c:pt idx="17">
                  <c:v>0</c:v>
                </c:pt>
                <c:pt idx="18">
                  <c:v>0</c:v>
                </c:pt>
                <c:pt idx="19">
                  <c:v>0</c:v>
                </c:pt>
                <c:pt idx="20">
                  <c:v>0</c:v>
                </c:pt>
                <c:pt idx="21">
                  <c:v>2.58</c:v>
                </c:pt>
                <c:pt idx="22">
                  <c:v>2.5</c:v>
                </c:pt>
                <c:pt idx="23">
                  <c:v>2.5</c:v>
                </c:pt>
                <c:pt idx="24">
                  <c:v>0</c:v>
                </c:pt>
                <c:pt idx="25">
                  <c:v>0</c:v>
                </c:pt>
                <c:pt idx="26">
                  <c:v>0</c:v>
                </c:pt>
                <c:pt idx="27">
                  <c:v>0</c:v>
                </c:pt>
                <c:pt idx="28">
                  <c:v>0.186</c:v>
                </c:pt>
                <c:pt idx="29">
                  <c:v>0</c:v>
                </c:pt>
                <c:pt idx="30">
                  <c:v>0</c:v>
                </c:pt>
                <c:pt idx="31">
                  <c:v>0</c:v>
                </c:pt>
                <c:pt idx="32">
                  <c:v>0</c:v>
                </c:pt>
                <c:pt idx="33">
                  <c:v>0</c:v>
                </c:pt>
                <c:pt idx="34">
                  <c:v>0.11600000000000001</c:v>
                </c:pt>
                <c:pt idx="35">
                  <c:v>0</c:v>
                </c:pt>
                <c:pt idx="36">
                  <c:v>0</c:v>
                </c:pt>
                <c:pt idx="37">
                  <c:v>0</c:v>
                </c:pt>
              </c:numCache>
            </c:numRef>
          </c:yVal>
          <c:smooth val="0"/>
          <c:extLst>
            <c:ext xmlns:c16="http://schemas.microsoft.com/office/drawing/2014/chart" uri="{C3380CC4-5D6E-409C-BE32-E72D297353CC}">
              <c16:uniqueId val="{00000002-5D72-4326-8031-0EA786151E68}"/>
            </c:ext>
          </c:extLst>
        </c:ser>
        <c:ser>
          <c:idx val="3"/>
          <c:order val="3"/>
          <c:tx>
            <c:strRef>
              <c:f>TRNG_Data!$BZ$3</c:f>
              <c:strCache>
                <c:ptCount val="1"/>
                <c:pt idx="0">
                  <c:v>chaotic map</c:v>
                </c:pt>
              </c:strCache>
            </c:strRef>
          </c:tx>
          <c:spPr>
            <a:ln w="19050">
              <a:noFill/>
            </a:ln>
          </c:spPr>
          <c:marker>
            <c:symbol val="diamond"/>
            <c:size val="7"/>
            <c:spPr>
              <a:noFill/>
              <a:ln w="25400">
                <a:solidFill>
                  <a:srgbClr val="FF0000"/>
                </a:solidFill>
              </a:ln>
              <a:effectLst/>
            </c:spPr>
          </c:marker>
          <c:xVal>
            <c:numRef>
              <c:f>TRNG_Data!$CA$4:$CA$41</c:f>
              <c:numCache>
                <c:formatCode>0.000E+00</c:formatCode>
                <c:ptCount val="38"/>
                <c:pt idx="0">
                  <c:v>0</c:v>
                </c:pt>
                <c:pt idx="1">
                  <c:v>0</c:v>
                </c:pt>
                <c:pt idx="2">
                  <c:v>0</c:v>
                </c:pt>
                <c:pt idx="3">
                  <c:v>4244897959183.6724</c:v>
                </c:pt>
                <c:pt idx="4">
                  <c:v>0</c:v>
                </c:pt>
                <c:pt idx="5">
                  <c:v>0</c:v>
                </c:pt>
                <c:pt idx="6">
                  <c:v>0</c:v>
                </c:pt>
                <c:pt idx="7">
                  <c:v>0</c:v>
                </c:pt>
                <c:pt idx="8">
                  <c:v>0</c:v>
                </c:pt>
                <c:pt idx="9">
                  <c:v>0</c:v>
                </c:pt>
                <c:pt idx="10">
                  <c:v>0</c:v>
                </c:pt>
                <c:pt idx="11">
                  <c:v>0</c:v>
                </c:pt>
                <c:pt idx="12">
                  <c:v>46000</c:v>
                </c:pt>
                <c:pt idx="13">
                  <c:v>0</c:v>
                </c:pt>
                <c:pt idx="14">
                  <c:v>0</c:v>
                </c:pt>
                <c:pt idx="15">
                  <c:v>0</c:v>
                </c:pt>
                <c:pt idx="16">
                  <c:v>0</c:v>
                </c:pt>
                <c:pt idx="17">
                  <c:v>0</c:v>
                </c:pt>
                <c:pt idx="18">
                  <c:v>6481000</c:v>
                </c:pt>
                <c:pt idx="19">
                  <c:v>132000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TRNG_Data!$BZ$4:$BZ$41</c:f>
              <c:numCache>
                <c:formatCode>0.000E+00</c:formatCode>
                <c:ptCount val="38"/>
                <c:pt idx="0">
                  <c:v>0</c:v>
                </c:pt>
                <c:pt idx="1">
                  <c:v>0</c:v>
                </c:pt>
                <c:pt idx="2">
                  <c:v>0</c:v>
                </c:pt>
                <c:pt idx="3">
                  <c:v>750</c:v>
                </c:pt>
                <c:pt idx="4">
                  <c:v>0</c:v>
                </c:pt>
                <c:pt idx="5">
                  <c:v>0</c:v>
                </c:pt>
                <c:pt idx="6">
                  <c:v>0</c:v>
                </c:pt>
                <c:pt idx="7">
                  <c:v>0</c:v>
                </c:pt>
                <c:pt idx="8">
                  <c:v>0</c:v>
                </c:pt>
                <c:pt idx="9">
                  <c:v>0</c:v>
                </c:pt>
                <c:pt idx="10">
                  <c:v>0</c:v>
                </c:pt>
                <c:pt idx="11">
                  <c:v>0</c:v>
                </c:pt>
                <c:pt idx="12">
                  <c:v>8.6</c:v>
                </c:pt>
                <c:pt idx="13">
                  <c:v>0</c:v>
                </c:pt>
                <c:pt idx="14">
                  <c:v>0</c:v>
                </c:pt>
                <c:pt idx="15">
                  <c:v>0</c:v>
                </c:pt>
                <c:pt idx="16">
                  <c:v>0</c:v>
                </c:pt>
                <c:pt idx="17">
                  <c:v>0</c:v>
                </c:pt>
                <c:pt idx="18">
                  <c:v>0.3</c:v>
                </c:pt>
                <c:pt idx="19">
                  <c:v>2.5000000000000001E-2</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3-5D72-4326-8031-0EA786151E68}"/>
            </c:ext>
          </c:extLst>
        </c:ser>
        <c:ser>
          <c:idx val="4"/>
          <c:order val="4"/>
          <c:tx>
            <c:strRef>
              <c:f>TRNG_Data!$CB$3</c:f>
              <c:strCache>
                <c:ptCount val="1"/>
                <c:pt idx="0">
                  <c:v>hybrid</c:v>
                </c:pt>
              </c:strCache>
            </c:strRef>
          </c:tx>
          <c:spPr>
            <a:ln w="19050">
              <a:noFill/>
            </a:ln>
          </c:spPr>
          <c:marker>
            <c:symbol val="star"/>
            <c:size val="7"/>
            <c:spPr>
              <a:ln w="25400">
                <a:solidFill>
                  <a:srgbClr val="C00000"/>
                </a:solidFill>
              </a:ln>
            </c:spPr>
          </c:marker>
          <c:xVal>
            <c:numRef>
              <c:f>TRNG_Data!$CC$4:$CC$41</c:f>
              <c:numCache>
                <c:formatCode>0.000E+00</c:formatCode>
                <c:ptCount val="38"/>
                <c:pt idx="0">
                  <c:v>0</c:v>
                </c:pt>
                <c:pt idx="1">
                  <c:v>0</c:v>
                </c:pt>
                <c:pt idx="2">
                  <c:v>0</c:v>
                </c:pt>
                <c:pt idx="3">
                  <c:v>0</c:v>
                </c:pt>
                <c:pt idx="4">
                  <c:v>0</c:v>
                </c:pt>
                <c:pt idx="5">
                  <c:v>0</c:v>
                </c:pt>
                <c:pt idx="6">
                  <c:v>8579881656804.7324</c:v>
                </c:pt>
                <c:pt idx="7">
                  <c:v>0</c:v>
                </c:pt>
                <c:pt idx="8">
                  <c:v>0</c:v>
                </c:pt>
                <c:pt idx="9">
                  <c:v>0</c:v>
                </c:pt>
                <c:pt idx="10">
                  <c:v>0</c:v>
                </c:pt>
                <c:pt idx="11">
                  <c:v>0</c:v>
                </c:pt>
                <c:pt idx="12">
                  <c:v>0</c:v>
                </c:pt>
                <c:pt idx="13">
                  <c:v>5150000</c:v>
                </c:pt>
                <c:pt idx="14">
                  <c:v>0</c:v>
                </c:pt>
                <c:pt idx="15">
                  <c:v>0</c:v>
                </c:pt>
                <c:pt idx="16">
                  <c:v>0</c:v>
                </c:pt>
                <c:pt idx="17">
                  <c:v>380000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TRNG_Data!$CB$4:$CB$41</c:f>
              <c:numCache>
                <c:formatCode>0.000E+00</c:formatCode>
                <c:ptCount val="38"/>
                <c:pt idx="0">
                  <c:v>0</c:v>
                </c:pt>
                <c:pt idx="1">
                  <c:v>0</c:v>
                </c:pt>
                <c:pt idx="2">
                  <c:v>0</c:v>
                </c:pt>
                <c:pt idx="3">
                  <c:v>0</c:v>
                </c:pt>
                <c:pt idx="4">
                  <c:v>0</c:v>
                </c:pt>
                <c:pt idx="5">
                  <c:v>0</c:v>
                </c:pt>
                <c:pt idx="6">
                  <c:v>5000</c:v>
                </c:pt>
                <c:pt idx="7">
                  <c:v>0</c:v>
                </c:pt>
                <c:pt idx="8">
                  <c:v>0</c:v>
                </c:pt>
                <c:pt idx="9">
                  <c:v>0</c:v>
                </c:pt>
                <c:pt idx="10">
                  <c:v>0</c:v>
                </c:pt>
                <c:pt idx="11">
                  <c:v>0</c:v>
                </c:pt>
                <c:pt idx="12">
                  <c:v>0</c:v>
                </c:pt>
                <c:pt idx="13">
                  <c:v>23</c:v>
                </c:pt>
                <c:pt idx="14">
                  <c:v>0</c:v>
                </c:pt>
                <c:pt idx="15">
                  <c:v>0</c:v>
                </c:pt>
                <c:pt idx="16">
                  <c:v>0</c:v>
                </c:pt>
                <c:pt idx="17">
                  <c:v>1.6</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4-5D72-4326-8031-0EA786151E68}"/>
            </c:ext>
          </c:extLst>
        </c:ser>
        <c:ser>
          <c:idx val="5"/>
          <c:order val="5"/>
          <c:tx>
            <c:strRef>
              <c:f>TRNG_Data!$CD$3</c:f>
              <c:strCache>
                <c:ptCount val="1"/>
                <c:pt idx="0">
                  <c:v>others</c:v>
                </c:pt>
              </c:strCache>
            </c:strRef>
          </c:tx>
          <c:spPr>
            <a:ln w="19050">
              <a:noFill/>
            </a:ln>
          </c:spPr>
          <c:marker>
            <c:symbol val="plus"/>
            <c:size val="7"/>
            <c:spPr>
              <a:noFill/>
              <a:ln w="25400">
                <a:solidFill>
                  <a:schemeClr val="tx1"/>
                </a:solidFill>
              </a:ln>
            </c:spPr>
          </c:marker>
          <c:xVal>
            <c:numRef>
              <c:f>TRNG_Data!$CE$4:$CE$41</c:f>
              <c:numCache>
                <c:formatCode>0.000E+00</c:formatCode>
                <c:ptCount val="38"/>
                <c:pt idx="0">
                  <c:v>0</c:v>
                </c:pt>
                <c:pt idx="1">
                  <c:v>0</c:v>
                </c:pt>
                <c:pt idx="2">
                  <c:v>0</c:v>
                </c:pt>
                <c:pt idx="3">
                  <c:v>0</c:v>
                </c:pt>
                <c:pt idx="4">
                  <c:v>0</c:v>
                </c:pt>
                <c:pt idx="5">
                  <c:v>0</c:v>
                </c:pt>
                <c:pt idx="6">
                  <c:v>0</c:v>
                </c:pt>
                <c:pt idx="7">
                  <c:v>0</c:v>
                </c:pt>
                <c:pt idx="8">
                  <c:v>284023668639.05322</c:v>
                </c:pt>
                <c:pt idx="9">
                  <c:v>0</c:v>
                </c:pt>
                <c:pt idx="10">
                  <c:v>0</c:v>
                </c:pt>
                <c:pt idx="11">
                  <c:v>0</c:v>
                </c:pt>
                <c:pt idx="12">
                  <c:v>0</c:v>
                </c:pt>
                <c:pt idx="13">
                  <c:v>0</c:v>
                </c:pt>
                <c:pt idx="14">
                  <c:v>0</c:v>
                </c:pt>
                <c:pt idx="15">
                  <c:v>0</c:v>
                </c:pt>
                <c:pt idx="16">
                  <c:v>0</c:v>
                </c:pt>
                <c:pt idx="17">
                  <c:v>0</c:v>
                </c:pt>
                <c:pt idx="18">
                  <c:v>0</c:v>
                </c:pt>
                <c:pt idx="19">
                  <c:v>0</c:v>
                </c:pt>
                <c:pt idx="20">
                  <c:v>229591.83673469385</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TRNG_Data!$CD$4:$CD$41</c:f>
              <c:numCache>
                <c:formatCode>0.000E+00</c:formatCode>
                <c:ptCount val="38"/>
                <c:pt idx="0">
                  <c:v>0</c:v>
                </c:pt>
                <c:pt idx="1">
                  <c:v>0</c:v>
                </c:pt>
                <c:pt idx="2">
                  <c:v>0</c:v>
                </c:pt>
                <c:pt idx="3">
                  <c:v>0</c:v>
                </c:pt>
                <c:pt idx="4">
                  <c:v>0</c:v>
                </c:pt>
                <c:pt idx="5">
                  <c:v>0</c:v>
                </c:pt>
                <c:pt idx="6">
                  <c:v>0</c:v>
                </c:pt>
                <c:pt idx="7">
                  <c:v>0</c:v>
                </c:pt>
                <c:pt idx="8">
                  <c:v>181818.18181818182</c:v>
                </c:pt>
                <c:pt idx="9">
                  <c:v>0</c:v>
                </c:pt>
                <c:pt idx="10">
                  <c:v>0</c:v>
                </c:pt>
                <c:pt idx="11">
                  <c:v>0</c:v>
                </c:pt>
                <c:pt idx="12">
                  <c:v>0</c:v>
                </c:pt>
                <c:pt idx="13">
                  <c:v>0</c:v>
                </c:pt>
                <c:pt idx="14">
                  <c:v>0</c:v>
                </c:pt>
                <c:pt idx="15">
                  <c:v>0</c:v>
                </c:pt>
                <c:pt idx="16">
                  <c:v>0</c:v>
                </c:pt>
                <c:pt idx="17">
                  <c:v>0</c:v>
                </c:pt>
                <c:pt idx="18">
                  <c:v>0</c:v>
                </c:pt>
                <c:pt idx="19">
                  <c:v>0</c:v>
                </c:pt>
                <c:pt idx="20">
                  <c:v>11</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5-5D72-4326-8031-0EA786151E68}"/>
            </c:ext>
          </c:extLst>
        </c:ser>
        <c:dLbls>
          <c:showLegendKey val="0"/>
          <c:showVal val="0"/>
          <c:showCatName val="0"/>
          <c:showSerName val="0"/>
          <c:showPercent val="0"/>
          <c:showBubbleSize val="0"/>
        </c:dLbls>
        <c:axId val="152336752"/>
        <c:axId val="152337144"/>
        <c:extLst/>
      </c:scatterChart>
      <c:valAx>
        <c:axId val="152336752"/>
        <c:scaling>
          <c:logBase val="10"/>
          <c:orientation val="minMax"/>
          <c:max val="100000000000000"/>
          <c:min val="10000"/>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i="0" baseline="0">
                    <a:effectLst/>
                  </a:rPr>
                  <a:t>area (F</a:t>
                </a:r>
                <a:r>
                  <a:rPr lang="en-US" sz="1100" b="1" i="0" baseline="30000">
                    <a:effectLst/>
                  </a:rPr>
                  <a:t>2</a:t>
                </a:r>
                <a:r>
                  <a:rPr lang="en-US" sz="1100" b="1" i="0" baseline="0">
                    <a:effectLst/>
                  </a:rPr>
                  <a:t>)</a:t>
                </a:r>
                <a:endParaRPr lang="en-SG" sz="1100">
                  <a:effectLst/>
                </a:endParaRPr>
              </a:p>
            </c:rich>
          </c:tx>
          <c:overlay val="0"/>
          <c:spPr>
            <a:noFill/>
            <a:ln>
              <a:noFill/>
            </a:ln>
            <a:effectLst/>
          </c:spPr>
        </c:title>
        <c:numFmt formatCode="0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At val="1.0000000000000002E-3"/>
        <c:crossBetween val="midCat"/>
      </c:valAx>
      <c:valAx>
        <c:axId val="152337144"/>
        <c:scaling>
          <c:logBase val="10"/>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energy (pJ/bit)</a:t>
                </a:r>
              </a:p>
            </c:rich>
          </c:tx>
          <c:overlay val="0"/>
          <c:spPr>
            <a:noFill/>
            <a:ln>
              <a:noFill/>
            </a:ln>
            <a:effectLst/>
          </c:spPr>
        </c:title>
        <c:numFmt formatCode="0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At val="1.0000000000000002E-2"/>
        <c:crossBetween val="midCat"/>
      </c:valAx>
      <c:spPr>
        <a:noFill/>
        <a:ln w="19050">
          <a:solidFill>
            <a:schemeClr val="tx1"/>
          </a:solidFill>
        </a:ln>
        <a:effectLst/>
      </c:spPr>
    </c:plotArea>
    <c:legend>
      <c:legendPos val="b"/>
      <c:layout>
        <c:manualLayout>
          <c:xMode val="edge"/>
          <c:yMode val="edge"/>
          <c:x val="0.13880039682539683"/>
          <c:y val="0.92523820710987037"/>
          <c:w val="0.82804485360945379"/>
          <c:h val="6.4251838762703753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ysClr val="windowText" lastClr="000000"/>
                </a:solidFill>
                <a:latin typeface="+mn-lt"/>
                <a:ea typeface="+mn-ea"/>
                <a:cs typeface="+mn-cs"/>
              </a:defRPr>
            </a:pPr>
            <a:r>
              <a:rPr lang="en-SG" sz="1600" b="1">
                <a:solidFill>
                  <a:sysClr val="windowText" lastClr="000000"/>
                </a:solidFill>
              </a:rPr>
              <a:t>TRNG</a:t>
            </a:r>
            <a:r>
              <a:rPr lang="en-SG" sz="1600" b="1" baseline="0">
                <a:solidFill>
                  <a:sysClr val="windowText" lastClr="000000"/>
                </a:solidFill>
              </a:rPr>
              <a:t> </a:t>
            </a:r>
            <a:r>
              <a:rPr lang="en-SG" sz="1600" b="1">
                <a:solidFill>
                  <a:sysClr val="windowText" lastClr="000000"/>
                </a:solidFill>
              </a:rPr>
              <a:t>energy vs area</a:t>
            </a:r>
          </a:p>
        </c:rich>
      </c:tx>
      <c:layout>
        <c:manualLayout>
          <c:xMode val="edge"/>
          <c:yMode val="edge"/>
          <c:x val="0.36681599130495435"/>
          <c:y val="0"/>
        </c:manualLayout>
      </c:layout>
      <c:overlay val="0"/>
      <c:spPr>
        <a:noFill/>
        <a:ln>
          <a:noFill/>
        </a:ln>
        <a:effectLst/>
      </c:spPr>
    </c:title>
    <c:autoTitleDeleted val="0"/>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TRNG_Data!$CG$3</c:f>
              <c:strCache>
                <c:ptCount val="1"/>
                <c:pt idx="0">
                  <c:v>noise-based</c:v>
                </c:pt>
              </c:strCache>
            </c:strRef>
          </c:tx>
          <c:spPr>
            <a:ln w="19050">
              <a:noFill/>
            </a:ln>
          </c:spPr>
          <c:marker>
            <c:symbol val="circle"/>
            <c:size val="7"/>
            <c:spPr>
              <a:noFill/>
              <a:ln w="25400">
                <a:solidFill>
                  <a:srgbClr val="003399"/>
                </a:solidFill>
              </a:ln>
              <a:effectLst/>
            </c:spPr>
          </c:marker>
          <c:xVal>
            <c:numRef>
              <c:f>TRNG_Data!$CH$4:$CH$41</c:f>
              <c:numCache>
                <c:formatCode>0.000E+00</c:formatCode>
                <c:ptCount val="38"/>
                <c:pt idx="0">
                  <c:v>0</c:v>
                </c:pt>
                <c:pt idx="1">
                  <c:v>0</c:v>
                </c:pt>
                <c:pt idx="2">
                  <c:v>9000000000</c:v>
                </c:pt>
                <c:pt idx="3">
                  <c:v>0</c:v>
                </c:pt>
                <c:pt idx="4">
                  <c:v>0</c:v>
                </c:pt>
                <c:pt idx="5">
                  <c:v>0</c:v>
                </c:pt>
                <c:pt idx="6">
                  <c:v>0</c:v>
                </c:pt>
                <c:pt idx="7">
                  <c:v>1220000000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TRNG_Data!$CG$4:$CG$41</c:f>
              <c:numCache>
                <c:formatCode>0.000E+00</c:formatCode>
                <c:ptCount val="38"/>
                <c:pt idx="0">
                  <c:v>0</c:v>
                </c:pt>
                <c:pt idx="1">
                  <c:v>0</c:v>
                </c:pt>
                <c:pt idx="2">
                  <c:v>250</c:v>
                </c:pt>
                <c:pt idx="3">
                  <c:v>0</c:v>
                </c:pt>
                <c:pt idx="4">
                  <c:v>0</c:v>
                </c:pt>
                <c:pt idx="5">
                  <c:v>0</c:v>
                </c:pt>
                <c:pt idx="6">
                  <c:v>0</c:v>
                </c:pt>
                <c:pt idx="7">
                  <c:v>3800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0-B2EB-4DDF-9223-38BD7BDD4F7B}"/>
            </c:ext>
          </c:extLst>
        </c:ser>
        <c:ser>
          <c:idx val="1"/>
          <c:order val="1"/>
          <c:tx>
            <c:strRef>
              <c:f>TRNG_Data!$CI$3</c:f>
              <c:strCache>
                <c:ptCount val="1"/>
                <c:pt idx="0">
                  <c:v>jitter</c:v>
                </c:pt>
              </c:strCache>
            </c:strRef>
          </c:tx>
          <c:spPr>
            <a:ln w="19050">
              <a:noFill/>
            </a:ln>
          </c:spPr>
          <c:marker>
            <c:symbol val="triangle"/>
            <c:size val="7"/>
            <c:spPr>
              <a:noFill/>
              <a:ln w="25400">
                <a:solidFill>
                  <a:srgbClr val="00B0F0"/>
                </a:solidFill>
              </a:ln>
              <a:effectLst/>
            </c:spPr>
          </c:marker>
          <c:xVal>
            <c:numRef>
              <c:f>TRNG_Data!$CJ$4:$CJ$41</c:f>
              <c:numCache>
                <c:formatCode>0.000E+00</c:formatCode>
                <c:ptCount val="38"/>
                <c:pt idx="0">
                  <c:v>1600000000</c:v>
                </c:pt>
                <c:pt idx="1">
                  <c:v>0</c:v>
                </c:pt>
                <c:pt idx="2">
                  <c:v>0</c:v>
                </c:pt>
                <c:pt idx="3">
                  <c:v>0</c:v>
                </c:pt>
                <c:pt idx="4">
                  <c:v>0</c:v>
                </c:pt>
                <c:pt idx="5">
                  <c:v>13000000000</c:v>
                </c:pt>
                <c:pt idx="6">
                  <c:v>0</c:v>
                </c:pt>
                <c:pt idx="7">
                  <c:v>0</c:v>
                </c:pt>
                <c:pt idx="8">
                  <c:v>0</c:v>
                </c:pt>
                <c:pt idx="9">
                  <c:v>0</c:v>
                </c:pt>
                <c:pt idx="10">
                  <c:v>370048000.00000006</c:v>
                </c:pt>
                <c:pt idx="11">
                  <c:v>1400000000</c:v>
                </c:pt>
                <c:pt idx="12">
                  <c:v>0</c:v>
                </c:pt>
                <c:pt idx="13">
                  <c:v>0</c:v>
                </c:pt>
                <c:pt idx="14">
                  <c:v>830400000</c:v>
                </c:pt>
                <c:pt idx="15">
                  <c:v>0</c:v>
                </c:pt>
                <c:pt idx="16">
                  <c:v>921050000.00000012</c:v>
                </c:pt>
                <c:pt idx="17">
                  <c:v>0</c:v>
                </c:pt>
                <c:pt idx="18">
                  <c:v>0</c:v>
                </c:pt>
                <c:pt idx="19">
                  <c:v>0</c:v>
                </c:pt>
                <c:pt idx="20">
                  <c:v>0</c:v>
                </c:pt>
                <c:pt idx="21">
                  <c:v>0</c:v>
                </c:pt>
                <c:pt idx="22">
                  <c:v>0</c:v>
                </c:pt>
                <c:pt idx="23">
                  <c:v>0</c:v>
                </c:pt>
                <c:pt idx="24">
                  <c:v>0</c:v>
                </c:pt>
                <c:pt idx="25">
                  <c:v>59999998175</c:v>
                </c:pt>
                <c:pt idx="26">
                  <c:v>15399999888</c:v>
                </c:pt>
                <c:pt idx="27">
                  <c:v>0</c:v>
                </c:pt>
                <c:pt idx="28">
                  <c:v>0</c:v>
                </c:pt>
                <c:pt idx="29">
                  <c:v>0</c:v>
                </c:pt>
                <c:pt idx="30">
                  <c:v>4335000000</c:v>
                </c:pt>
                <c:pt idx="31">
                  <c:v>0</c:v>
                </c:pt>
                <c:pt idx="32">
                  <c:v>366000000</c:v>
                </c:pt>
                <c:pt idx="33">
                  <c:v>0</c:v>
                </c:pt>
                <c:pt idx="34">
                  <c:v>0</c:v>
                </c:pt>
                <c:pt idx="35">
                  <c:v>305600000</c:v>
                </c:pt>
                <c:pt idx="36">
                  <c:v>0</c:v>
                </c:pt>
                <c:pt idx="37">
                  <c:v>0</c:v>
                </c:pt>
              </c:numCache>
            </c:numRef>
          </c:xVal>
          <c:yVal>
            <c:numRef>
              <c:f>TRNG_Data!$CI$4:$CI$41</c:f>
              <c:numCache>
                <c:formatCode>0.000E+00</c:formatCode>
                <c:ptCount val="38"/>
                <c:pt idx="0">
                  <c:v>230</c:v>
                </c:pt>
                <c:pt idx="1">
                  <c:v>0</c:v>
                </c:pt>
                <c:pt idx="2">
                  <c:v>0</c:v>
                </c:pt>
                <c:pt idx="3">
                  <c:v>0</c:v>
                </c:pt>
                <c:pt idx="4">
                  <c:v>0</c:v>
                </c:pt>
                <c:pt idx="5">
                  <c:v>137.93103448275863</c:v>
                </c:pt>
                <c:pt idx="6">
                  <c:v>0</c:v>
                </c:pt>
                <c:pt idx="7">
                  <c:v>0</c:v>
                </c:pt>
                <c:pt idx="8">
                  <c:v>0</c:v>
                </c:pt>
                <c:pt idx="9">
                  <c:v>0</c:v>
                </c:pt>
                <c:pt idx="10">
                  <c:v>23</c:v>
                </c:pt>
                <c:pt idx="11">
                  <c:v>0.42799999999999999</c:v>
                </c:pt>
                <c:pt idx="12">
                  <c:v>0</c:v>
                </c:pt>
                <c:pt idx="13">
                  <c:v>0</c:v>
                </c:pt>
                <c:pt idx="14">
                  <c:v>11</c:v>
                </c:pt>
                <c:pt idx="15">
                  <c:v>0</c:v>
                </c:pt>
                <c:pt idx="16">
                  <c:v>35.5</c:v>
                </c:pt>
                <c:pt idx="17">
                  <c:v>0</c:v>
                </c:pt>
                <c:pt idx="18">
                  <c:v>0</c:v>
                </c:pt>
                <c:pt idx="19">
                  <c:v>0</c:v>
                </c:pt>
                <c:pt idx="20">
                  <c:v>0</c:v>
                </c:pt>
                <c:pt idx="21">
                  <c:v>0</c:v>
                </c:pt>
                <c:pt idx="22">
                  <c:v>0</c:v>
                </c:pt>
                <c:pt idx="23">
                  <c:v>0</c:v>
                </c:pt>
                <c:pt idx="24">
                  <c:v>0</c:v>
                </c:pt>
                <c:pt idx="25">
                  <c:v>6.9</c:v>
                </c:pt>
                <c:pt idx="26">
                  <c:v>9.6</c:v>
                </c:pt>
                <c:pt idx="27">
                  <c:v>0</c:v>
                </c:pt>
                <c:pt idx="28">
                  <c:v>0</c:v>
                </c:pt>
                <c:pt idx="29">
                  <c:v>0</c:v>
                </c:pt>
                <c:pt idx="30">
                  <c:v>1.48</c:v>
                </c:pt>
                <c:pt idx="31">
                  <c:v>0</c:v>
                </c:pt>
                <c:pt idx="32">
                  <c:v>5</c:v>
                </c:pt>
                <c:pt idx="33">
                  <c:v>0</c:v>
                </c:pt>
                <c:pt idx="34">
                  <c:v>0</c:v>
                </c:pt>
                <c:pt idx="35">
                  <c:v>10.7</c:v>
                </c:pt>
                <c:pt idx="36">
                  <c:v>0</c:v>
                </c:pt>
                <c:pt idx="37">
                  <c:v>0</c:v>
                </c:pt>
              </c:numCache>
            </c:numRef>
          </c:yVal>
          <c:smooth val="0"/>
          <c:extLst>
            <c:ext xmlns:c16="http://schemas.microsoft.com/office/drawing/2014/chart" uri="{C3380CC4-5D6E-409C-BE32-E72D297353CC}">
              <c16:uniqueId val="{00000001-B2EB-4DDF-9223-38BD7BDD4F7B}"/>
            </c:ext>
          </c:extLst>
        </c:ser>
        <c:ser>
          <c:idx val="2"/>
          <c:order val="2"/>
          <c:tx>
            <c:strRef>
              <c:f>TRNG_Data!$CK$3</c:f>
              <c:strCache>
                <c:ptCount val="1"/>
                <c:pt idx="0">
                  <c:v>metastability</c:v>
                </c:pt>
              </c:strCache>
            </c:strRef>
          </c:tx>
          <c:spPr>
            <a:ln w="19050">
              <a:noFill/>
            </a:ln>
          </c:spPr>
          <c:marker>
            <c:symbol val="star"/>
            <c:size val="7"/>
            <c:spPr>
              <a:noFill/>
              <a:ln w="25400">
                <a:solidFill>
                  <a:srgbClr val="FFC000"/>
                </a:solidFill>
              </a:ln>
            </c:spPr>
          </c:marker>
          <c:xVal>
            <c:numRef>
              <c:f>TRNG_Data!$CL$4:$CL$41</c:f>
              <c:numCache>
                <c:formatCode>0.000E+00</c:formatCode>
                <c:ptCount val="38"/>
                <c:pt idx="0">
                  <c:v>0</c:v>
                </c:pt>
                <c:pt idx="1">
                  <c:v>0</c:v>
                </c:pt>
                <c:pt idx="2">
                  <c:v>0</c:v>
                </c:pt>
                <c:pt idx="3">
                  <c:v>0</c:v>
                </c:pt>
                <c:pt idx="4">
                  <c:v>0</c:v>
                </c:pt>
                <c:pt idx="5">
                  <c:v>0</c:v>
                </c:pt>
                <c:pt idx="6">
                  <c:v>0</c:v>
                </c:pt>
                <c:pt idx="7">
                  <c:v>0</c:v>
                </c:pt>
                <c:pt idx="8">
                  <c:v>0</c:v>
                </c:pt>
                <c:pt idx="9">
                  <c:v>4003999999.9999995</c:v>
                </c:pt>
                <c:pt idx="10">
                  <c:v>0</c:v>
                </c:pt>
                <c:pt idx="11">
                  <c:v>0</c:v>
                </c:pt>
                <c:pt idx="12">
                  <c:v>0</c:v>
                </c:pt>
                <c:pt idx="13">
                  <c:v>0</c:v>
                </c:pt>
                <c:pt idx="14">
                  <c:v>0</c:v>
                </c:pt>
                <c:pt idx="15">
                  <c:v>0</c:v>
                </c:pt>
                <c:pt idx="16">
                  <c:v>0</c:v>
                </c:pt>
                <c:pt idx="17">
                  <c:v>0</c:v>
                </c:pt>
                <c:pt idx="18">
                  <c:v>0</c:v>
                </c:pt>
                <c:pt idx="19">
                  <c:v>0</c:v>
                </c:pt>
                <c:pt idx="20">
                  <c:v>0</c:v>
                </c:pt>
                <c:pt idx="21">
                  <c:v>10013250000.000002</c:v>
                </c:pt>
                <c:pt idx="22">
                  <c:v>2116799999.9999998</c:v>
                </c:pt>
                <c:pt idx="23">
                  <c:v>688000000</c:v>
                </c:pt>
                <c:pt idx="24">
                  <c:v>0</c:v>
                </c:pt>
                <c:pt idx="25">
                  <c:v>0</c:v>
                </c:pt>
                <c:pt idx="26">
                  <c:v>0</c:v>
                </c:pt>
                <c:pt idx="27">
                  <c:v>0</c:v>
                </c:pt>
                <c:pt idx="28">
                  <c:v>5560100000</c:v>
                </c:pt>
                <c:pt idx="29">
                  <c:v>0</c:v>
                </c:pt>
                <c:pt idx="30">
                  <c:v>0</c:v>
                </c:pt>
                <c:pt idx="31">
                  <c:v>0</c:v>
                </c:pt>
                <c:pt idx="32">
                  <c:v>0</c:v>
                </c:pt>
                <c:pt idx="33">
                  <c:v>0</c:v>
                </c:pt>
                <c:pt idx="34">
                  <c:v>5343000000</c:v>
                </c:pt>
                <c:pt idx="35">
                  <c:v>0</c:v>
                </c:pt>
                <c:pt idx="36">
                  <c:v>0</c:v>
                </c:pt>
                <c:pt idx="37">
                  <c:v>0</c:v>
                </c:pt>
              </c:numCache>
            </c:numRef>
          </c:xVal>
          <c:yVal>
            <c:numRef>
              <c:f>TRNG_Data!$CK$4:$CK$41</c:f>
              <c:numCache>
                <c:formatCode>0.000E+00</c:formatCode>
                <c:ptCount val="38"/>
                <c:pt idx="0">
                  <c:v>0</c:v>
                </c:pt>
                <c:pt idx="1">
                  <c:v>0</c:v>
                </c:pt>
                <c:pt idx="2">
                  <c:v>0</c:v>
                </c:pt>
                <c:pt idx="3">
                  <c:v>0</c:v>
                </c:pt>
                <c:pt idx="4">
                  <c:v>0</c:v>
                </c:pt>
                <c:pt idx="5">
                  <c:v>0</c:v>
                </c:pt>
                <c:pt idx="6">
                  <c:v>0</c:v>
                </c:pt>
                <c:pt idx="7">
                  <c:v>0</c:v>
                </c:pt>
                <c:pt idx="8">
                  <c:v>0</c:v>
                </c:pt>
                <c:pt idx="9">
                  <c:v>0.4</c:v>
                </c:pt>
                <c:pt idx="10">
                  <c:v>0</c:v>
                </c:pt>
                <c:pt idx="11">
                  <c:v>0</c:v>
                </c:pt>
                <c:pt idx="12">
                  <c:v>0</c:v>
                </c:pt>
                <c:pt idx="13">
                  <c:v>0</c:v>
                </c:pt>
                <c:pt idx="14">
                  <c:v>0</c:v>
                </c:pt>
                <c:pt idx="15">
                  <c:v>0</c:v>
                </c:pt>
                <c:pt idx="16">
                  <c:v>0</c:v>
                </c:pt>
                <c:pt idx="17">
                  <c:v>0</c:v>
                </c:pt>
                <c:pt idx="18">
                  <c:v>0</c:v>
                </c:pt>
                <c:pt idx="19">
                  <c:v>0</c:v>
                </c:pt>
                <c:pt idx="20">
                  <c:v>0</c:v>
                </c:pt>
                <c:pt idx="21">
                  <c:v>2.58</c:v>
                </c:pt>
                <c:pt idx="22">
                  <c:v>2.5</c:v>
                </c:pt>
                <c:pt idx="23">
                  <c:v>2.5</c:v>
                </c:pt>
                <c:pt idx="24">
                  <c:v>0</c:v>
                </c:pt>
                <c:pt idx="25">
                  <c:v>0</c:v>
                </c:pt>
                <c:pt idx="26">
                  <c:v>0</c:v>
                </c:pt>
                <c:pt idx="27">
                  <c:v>0</c:v>
                </c:pt>
                <c:pt idx="28">
                  <c:v>0.186</c:v>
                </c:pt>
                <c:pt idx="29">
                  <c:v>0</c:v>
                </c:pt>
                <c:pt idx="30">
                  <c:v>0</c:v>
                </c:pt>
                <c:pt idx="31">
                  <c:v>0</c:v>
                </c:pt>
                <c:pt idx="32">
                  <c:v>0</c:v>
                </c:pt>
                <c:pt idx="33">
                  <c:v>0</c:v>
                </c:pt>
                <c:pt idx="34">
                  <c:v>0.11600000000000001</c:v>
                </c:pt>
                <c:pt idx="35">
                  <c:v>0</c:v>
                </c:pt>
                <c:pt idx="36">
                  <c:v>0</c:v>
                </c:pt>
                <c:pt idx="37">
                  <c:v>0</c:v>
                </c:pt>
              </c:numCache>
            </c:numRef>
          </c:yVal>
          <c:smooth val="0"/>
          <c:extLst>
            <c:ext xmlns:c16="http://schemas.microsoft.com/office/drawing/2014/chart" uri="{C3380CC4-5D6E-409C-BE32-E72D297353CC}">
              <c16:uniqueId val="{00000002-B2EB-4DDF-9223-38BD7BDD4F7B}"/>
            </c:ext>
          </c:extLst>
        </c:ser>
        <c:ser>
          <c:idx val="3"/>
          <c:order val="3"/>
          <c:tx>
            <c:strRef>
              <c:f>TRNG_Data!$CM$3</c:f>
              <c:strCache>
                <c:ptCount val="1"/>
                <c:pt idx="0">
                  <c:v>chaotic map</c:v>
                </c:pt>
              </c:strCache>
            </c:strRef>
          </c:tx>
          <c:spPr>
            <a:ln w="19050">
              <a:noFill/>
            </a:ln>
          </c:spPr>
          <c:marker>
            <c:symbol val="diamond"/>
            <c:size val="7"/>
            <c:spPr>
              <a:noFill/>
              <a:ln w="25400">
                <a:solidFill>
                  <a:srgbClr val="FF0000"/>
                </a:solidFill>
              </a:ln>
              <a:effectLst/>
            </c:spPr>
          </c:marker>
          <c:xVal>
            <c:numRef>
              <c:f>TRNG_Data!$CN$4:$CN$41</c:f>
              <c:numCache>
                <c:formatCode>0.000E+00</c:formatCode>
                <c:ptCount val="38"/>
                <c:pt idx="0">
                  <c:v>0</c:v>
                </c:pt>
                <c:pt idx="1">
                  <c:v>0</c:v>
                </c:pt>
                <c:pt idx="2">
                  <c:v>0</c:v>
                </c:pt>
                <c:pt idx="3">
                  <c:v>520000000000</c:v>
                </c:pt>
                <c:pt idx="4">
                  <c:v>0</c:v>
                </c:pt>
                <c:pt idx="5">
                  <c:v>0</c:v>
                </c:pt>
                <c:pt idx="6">
                  <c:v>0</c:v>
                </c:pt>
                <c:pt idx="7">
                  <c:v>0</c:v>
                </c:pt>
                <c:pt idx="8">
                  <c:v>0</c:v>
                </c:pt>
                <c:pt idx="9">
                  <c:v>0</c:v>
                </c:pt>
                <c:pt idx="10">
                  <c:v>0</c:v>
                </c:pt>
                <c:pt idx="11">
                  <c:v>0</c:v>
                </c:pt>
                <c:pt idx="12">
                  <c:v>93149999.999999985</c:v>
                </c:pt>
                <c:pt idx="13">
                  <c:v>0</c:v>
                </c:pt>
                <c:pt idx="14">
                  <c:v>0</c:v>
                </c:pt>
                <c:pt idx="15">
                  <c:v>0</c:v>
                </c:pt>
                <c:pt idx="16">
                  <c:v>0</c:v>
                </c:pt>
                <c:pt idx="17">
                  <c:v>0</c:v>
                </c:pt>
                <c:pt idx="18">
                  <c:v>210000000000</c:v>
                </c:pt>
                <c:pt idx="19">
                  <c:v>557700000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TRNG_Data!$CM$4:$CM$41</c:f>
              <c:numCache>
                <c:formatCode>0.000E+00</c:formatCode>
                <c:ptCount val="38"/>
                <c:pt idx="0">
                  <c:v>0</c:v>
                </c:pt>
                <c:pt idx="1">
                  <c:v>0</c:v>
                </c:pt>
                <c:pt idx="2">
                  <c:v>0</c:v>
                </c:pt>
                <c:pt idx="3">
                  <c:v>750</c:v>
                </c:pt>
                <c:pt idx="4">
                  <c:v>0</c:v>
                </c:pt>
                <c:pt idx="5">
                  <c:v>0</c:v>
                </c:pt>
                <c:pt idx="6">
                  <c:v>0</c:v>
                </c:pt>
                <c:pt idx="7">
                  <c:v>0</c:v>
                </c:pt>
                <c:pt idx="8">
                  <c:v>0</c:v>
                </c:pt>
                <c:pt idx="9">
                  <c:v>0</c:v>
                </c:pt>
                <c:pt idx="10">
                  <c:v>0</c:v>
                </c:pt>
                <c:pt idx="11">
                  <c:v>0</c:v>
                </c:pt>
                <c:pt idx="12">
                  <c:v>8.6</c:v>
                </c:pt>
                <c:pt idx="13">
                  <c:v>0</c:v>
                </c:pt>
                <c:pt idx="14">
                  <c:v>0</c:v>
                </c:pt>
                <c:pt idx="15">
                  <c:v>0</c:v>
                </c:pt>
                <c:pt idx="16">
                  <c:v>0</c:v>
                </c:pt>
                <c:pt idx="17">
                  <c:v>0</c:v>
                </c:pt>
                <c:pt idx="18">
                  <c:v>0.3</c:v>
                </c:pt>
                <c:pt idx="19">
                  <c:v>2.5000000000000001E-2</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3-B2EB-4DDF-9223-38BD7BDD4F7B}"/>
            </c:ext>
          </c:extLst>
        </c:ser>
        <c:ser>
          <c:idx val="4"/>
          <c:order val="4"/>
          <c:tx>
            <c:strRef>
              <c:f>TRNG_Data!$CO$3</c:f>
              <c:strCache>
                <c:ptCount val="1"/>
                <c:pt idx="0">
                  <c:v>hybrid</c:v>
                </c:pt>
              </c:strCache>
            </c:strRef>
          </c:tx>
          <c:spPr>
            <a:ln w="19050">
              <a:noFill/>
            </a:ln>
          </c:spPr>
          <c:marker>
            <c:symbol val="star"/>
            <c:size val="7"/>
            <c:spPr>
              <a:noFill/>
              <a:ln w="25400">
                <a:solidFill>
                  <a:srgbClr val="C00000"/>
                </a:solidFill>
              </a:ln>
            </c:spPr>
          </c:marker>
          <c:xVal>
            <c:numRef>
              <c:f>TRNG_Data!$CP$4:$CP$41</c:f>
              <c:numCache>
                <c:formatCode>0.000E+00</c:formatCode>
                <c:ptCount val="38"/>
                <c:pt idx="0">
                  <c:v>0</c:v>
                </c:pt>
                <c:pt idx="1">
                  <c:v>0</c:v>
                </c:pt>
                <c:pt idx="2">
                  <c:v>0</c:v>
                </c:pt>
                <c:pt idx="3">
                  <c:v>0</c:v>
                </c:pt>
                <c:pt idx="4">
                  <c:v>0</c:v>
                </c:pt>
                <c:pt idx="5">
                  <c:v>0</c:v>
                </c:pt>
                <c:pt idx="6">
                  <c:v>145000000000</c:v>
                </c:pt>
                <c:pt idx="7">
                  <c:v>0</c:v>
                </c:pt>
                <c:pt idx="8">
                  <c:v>0</c:v>
                </c:pt>
                <c:pt idx="9">
                  <c:v>0</c:v>
                </c:pt>
                <c:pt idx="10">
                  <c:v>0</c:v>
                </c:pt>
                <c:pt idx="11">
                  <c:v>0</c:v>
                </c:pt>
                <c:pt idx="12">
                  <c:v>0</c:v>
                </c:pt>
                <c:pt idx="13">
                  <c:v>1009400000</c:v>
                </c:pt>
                <c:pt idx="14">
                  <c:v>0</c:v>
                </c:pt>
                <c:pt idx="15">
                  <c:v>0</c:v>
                </c:pt>
                <c:pt idx="16">
                  <c:v>0</c:v>
                </c:pt>
                <c:pt idx="17">
                  <c:v>1605500000.0000002</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TRNG_Data!$CO$4:$CO$41</c:f>
              <c:numCache>
                <c:formatCode>0.000E+00</c:formatCode>
                <c:ptCount val="38"/>
                <c:pt idx="0">
                  <c:v>0</c:v>
                </c:pt>
                <c:pt idx="1">
                  <c:v>0</c:v>
                </c:pt>
                <c:pt idx="2">
                  <c:v>0</c:v>
                </c:pt>
                <c:pt idx="3">
                  <c:v>0</c:v>
                </c:pt>
                <c:pt idx="4">
                  <c:v>0</c:v>
                </c:pt>
                <c:pt idx="5">
                  <c:v>0</c:v>
                </c:pt>
                <c:pt idx="6">
                  <c:v>5000</c:v>
                </c:pt>
                <c:pt idx="7">
                  <c:v>0</c:v>
                </c:pt>
                <c:pt idx="8">
                  <c:v>0</c:v>
                </c:pt>
                <c:pt idx="9">
                  <c:v>0</c:v>
                </c:pt>
                <c:pt idx="10">
                  <c:v>0</c:v>
                </c:pt>
                <c:pt idx="11">
                  <c:v>0</c:v>
                </c:pt>
                <c:pt idx="12">
                  <c:v>0</c:v>
                </c:pt>
                <c:pt idx="13">
                  <c:v>23</c:v>
                </c:pt>
                <c:pt idx="14">
                  <c:v>0</c:v>
                </c:pt>
                <c:pt idx="15">
                  <c:v>0</c:v>
                </c:pt>
                <c:pt idx="16">
                  <c:v>0</c:v>
                </c:pt>
                <c:pt idx="17">
                  <c:v>1.6</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4-B2EB-4DDF-9223-38BD7BDD4F7B}"/>
            </c:ext>
          </c:extLst>
        </c:ser>
        <c:ser>
          <c:idx val="5"/>
          <c:order val="5"/>
          <c:tx>
            <c:strRef>
              <c:f>TRNG_Data!$CQ$3</c:f>
              <c:strCache>
                <c:ptCount val="1"/>
                <c:pt idx="0">
                  <c:v>others</c:v>
                </c:pt>
              </c:strCache>
            </c:strRef>
          </c:tx>
          <c:spPr>
            <a:ln w="19050">
              <a:noFill/>
            </a:ln>
          </c:spPr>
          <c:marker>
            <c:symbol val="plus"/>
            <c:size val="7"/>
            <c:spPr>
              <a:noFill/>
              <a:ln w="25400">
                <a:solidFill>
                  <a:schemeClr val="tx1"/>
                </a:solidFill>
              </a:ln>
            </c:spPr>
          </c:marker>
          <c:xVal>
            <c:numRef>
              <c:f>TRNG_Data!$CR$4:$CR$41</c:f>
              <c:numCache>
                <c:formatCode>0.000E+00</c:formatCode>
                <c:ptCount val="38"/>
                <c:pt idx="0">
                  <c:v>0</c:v>
                </c:pt>
                <c:pt idx="1">
                  <c:v>0</c:v>
                </c:pt>
                <c:pt idx="2">
                  <c:v>0</c:v>
                </c:pt>
                <c:pt idx="3">
                  <c:v>0</c:v>
                </c:pt>
                <c:pt idx="4">
                  <c:v>0</c:v>
                </c:pt>
                <c:pt idx="5">
                  <c:v>0</c:v>
                </c:pt>
                <c:pt idx="6">
                  <c:v>0</c:v>
                </c:pt>
                <c:pt idx="7">
                  <c:v>0</c:v>
                </c:pt>
                <c:pt idx="8">
                  <c:v>1200000000</c:v>
                </c:pt>
                <c:pt idx="9">
                  <c:v>0</c:v>
                </c:pt>
                <c:pt idx="10">
                  <c:v>0</c:v>
                </c:pt>
                <c:pt idx="11">
                  <c:v>0</c:v>
                </c:pt>
                <c:pt idx="12">
                  <c:v>0</c:v>
                </c:pt>
                <c:pt idx="13">
                  <c:v>0</c:v>
                </c:pt>
                <c:pt idx="14">
                  <c:v>0</c:v>
                </c:pt>
                <c:pt idx="15">
                  <c:v>0</c:v>
                </c:pt>
                <c:pt idx="16">
                  <c:v>0</c:v>
                </c:pt>
                <c:pt idx="17">
                  <c:v>0</c:v>
                </c:pt>
                <c:pt idx="18">
                  <c:v>0</c:v>
                </c:pt>
                <c:pt idx="19">
                  <c:v>0</c:v>
                </c:pt>
                <c:pt idx="20">
                  <c:v>180000000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xVal>
          <c:yVal>
            <c:numRef>
              <c:f>TRNG_Data!$CQ$4:$CQ$41</c:f>
              <c:numCache>
                <c:formatCode>0.000E+00</c:formatCode>
                <c:ptCount val="38"/>
                <c:pt idx="0">
                  <c:v>0</c:v>
                </c:pt>
                <c:pt idx="1">
                  <c:v>0</c:v>
                </c:pt>
                <c:pt idx="2">
                  <c:v>0</c:v>
                </c:pt>
                <c:pt idx="3">
                  <c:v>0</c:v>
                </c:pt>
                <c:pt idx="4">
                  <c:v>0</c:v>
                </c:pt>
                <c:pt idx="5">
                  <c:v>0</c:v>
                </c:pt>
                <c:pt idx="6">
                  <c:v>0</c:v>
                </c:pt>
                <c:pt idx="7">
                  <c:v>0</c:v>
                </c:pt>
                <c:pt idx="8">
                  <c:v>181818.18181818182</c:v>
                </c:pt>
                <c:pt idx="9">
                  <c:v>0</c:v>
                </c:pt>
                <c:pt idx="10">
                  <c:v>0</c:v>
                </c:pt>
                <c:pt idx="11">
                  <c:v>0</c:v>
                </c:pt>
                <c:pt idx="12">
                  <c:v>0</c:v>
                </c:pt>
                <c:pt idx="13">
                  <c:v>0</c:v>
                </c:pt>
                <c:pt idx="14">
                  <c:v>0</c:v>
                </c:pt>
                <c:pt idx="15">
                  <c:v>0</c:v>
                </c:pt>
                <c:pt idx="16">
                  <c:v>0</c:v>
                </c:pt>
                <c:pt idx="17">
                  <c:v>0</c:v>
                </c:pt>
                <c:pt idx="18">
                  <c:v>0</c:v>
                </c:pt>
                <c:pt idx="19">
                  <c:v>0</c:v>
                </c:pt>
                <c:pt idx="20">
                  <c:v>11</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5-B2EB-4DDF-9223-38BD7BDD4F7B}"/>
            </c:ext>
          </c:extLst>
        </c:ser>
        <c:dLbls>
          <c:showLegendKey val="0"/>
          <c:showVal val="0"/>
          <c:showCatName val="0"/>
          <c:showSerName val="0"/>
          <c:showPercent val="0"/>
          <c:showBubbleSize val="0"/>
        </c:dLbls>
        <c:axId val="152336752"/>
        <c:axId val="152337144"/>
        <c:extLst/>
      </c:scatterChart>
      <c:valAx>
        <c:axId val="152336752"/>
        <c:scaling>
          <c:logBase val="10"/>
          <c:orientation val="minMax"/>
          <c:max val="10000000000000"/>
          <c:min val="10000000"/>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i="0" baseline="0">
                    <a:effectLst/>
                  </a:rPr>
                  <a:t>area (</a:t>
                </a:r>
                <a:r>
                  <a:rPr lang="en-US" sz="1100" b="1" i="0" baseline="0">
                    <a:effectLst/>
                    <a:sym typeface="Symbol" panose="05050102010706020507" pitchFamily="18" charset="2"/>
                  </a:rPr>
                  <a:t></a:t>
                </a:r>
                <a:r>
                  <a:rPr lang="en-US" sz="1100" b="1" i="0" baseline="0">
                    <a:effectLst/>
                  </a:rPr>
                  <a:t>m</a:t>
                </a:r>
                <a:r>
                  <a:rPr lang="en-US" sz="1100" b="1" i="0" baseline="30000">
                    <a:effectLst/>
                  </a:rPr>
                  <a:t>2</a:t>
                </a:r>
                <a:r>
                  <a:rPr lang="en-US" sz="1100" b="1" i="0" baseline="0">
                    <a:effectLst/>
                  </a:rPr>
                  <a:t>)</a:t>
                </a:r>
                <a:endParaRPr lang="en-SG" sz="1100">
                  <a:effectLst/>
                </a:endParaRPr>
              </a:p>
            </c:rich>
          </c:tx>
          <c:overlay val="0"/>
          <c:spPr>
            <a:noFill/>
            <a:ln>
              <a:noFill/>
            </a:ln>
            <a:effectLst/>
          </c:spPr>
        </c:title>
        <c:numFmt formatCode="0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At val="1.0000000000000002E-3"/>
        <c:crossBetween val="midCat"/>
      </c:valAx>
      <c:valAx>
        <c:axId val="152337144"/>
        <c:scaling>
          <c:logBase val="10"/>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energy (pJ/bit)</a:t>
                </a:r>
              </a:p>
            </c:rich>
          </c:tx>
          <c:overlay val="0"/>
          <c:spPr>
            <a:noFill/>
            <a:ln>
              <a:noFill/>
            </a:ln>
            <a:effectLst/>
          </c:spPr>
        </c:title>
        <c:numFmt formatCode="0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At val="1.0000000000000002E-2"/>
        <c:crossBetween val="midCat"/>
      </c:valAx>
      <c:spPr>
        <a:noFill/>
        <a:ln w="19050">
          <a:solidFill>
            <a:schemeClr val="tx1"/>
          </a:solidFill>
        </a:ln>
        <a:effectLst/>
      </c:spPr>
    </c:plotArea>
    <c:legend>
      <c:legendPos val="b"/>
      <c:layout>
        <c:manualLayout>
          <c:xMode val="edge"/>
          <c:yMode val="edge"/>
          <c:x val="0.13880039682539683"/>
          <c:y val="0.92523820710987037"/>
          <c:w val="0.82804485360945379"/>
          <c:h val="6.4251838762703753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0"/>
    <c:dispBlanksAs val="zero"/>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ysClr val="windowText" lastClr="000000"/>
                </a:solidFill>
                <a:latin typeface="+mn-lt"/>
                <a:ea typeface="+mn-ea"/>
                <a:cs typeface="+mn-cs"/>
              </a:defRPr>
            </a:pPr>
            <a:r>
              <a:rPr lang="en-SG" sz="1600" b="1">
                <a:solidFill>
                  <a:sysClr val="windowText" lastClr="000000"/>
                </a:solidFill>
              </a:rPr>
              <a:t>strong PUF area vs year</a:t>
            </a:r>
          </a:p>
        </c:rich>
      </c:tx>
      <c:layout>
        <c:manualLayout>
          <c:xMode val="edge"/>
          <c:yMode val="edge"/>
          <c:x val="0.36497420634920635"/>
          <c:y val="0"/>
        </c:manualLayout>
      </c:layout>
      <c:overlay val="0"/>
      <c:spPr>
        <a:noFill/>
        <a:ln>
          <a:noFill/>
        </a:ln>
        <a:effectLst/>
      </c:spPr>
    </c:title>
    <c:autoTitleDeleted val="0"/>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PUF_Data!$BC$3</c:f>
              <c:strCache>
                <c:ptCount val="1"/>
                <c:pt idx="0">
                  <c:v>analog</c:v>
                </c:pt>
              </c:strCache>
            </c:strRef>
          </c:tx>
          <c:spPr>
            <a:ln w="19050">
              <a:noFill/>
            </a:ln>
          </c:spPr>
          <c:marker>
            <c:symbol val="circle"/>
            <c:size val="7"/>
            <c:spPr>
              <a:noFill/>
              <a:ln w="25400">
                <a:solidFill>
                  <a:srgbClr val="003399"/>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PUF_Data!$BC$4:$BC$89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2644970.4142011832</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0-0A56-4370-A7CB-34D4F8BDE998}"/>
            </c:ext>
          </c:extLst>
        </c:ser>
        <c:ser>
          <c:idx val="1"/>
          <c:order val="1"/>
          <c:tx>
            <c:strRef>
              <c:f>PUF_Data!$BD$3</c:f>
              <c:strCache>
                <c:ptCount val="1"/>
                <c:pt idx="0">
                  <c:v>delay</c:v>
                </c:pt>
              </c:strCache>
            </c:strRef>
          </c:tx>
          <c:spPr>
            <a:ln w="19050">
              <a:noFill/>
            </a:ln>
          </c:spPr>
          <c:marker>
            <c:symbol val="triangle"/>
            <c:size val="7"/>
            <c:spPr>
              <a:noFill/>
              <a:ln w="25400">
                <a:solidFill>
                  <a:srgbClr val="00B0F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PUF_Data!$BD$4:$BD$89</c:f>
              <c:numCache>
                <c:formatCode>0.000E+00</c:formatCode>
                <c:ptCount val="86"/>
                <c:pt idx="0">
                  <c:v>0</c:v>
                </c:pt>
                <c:pt idx="1">
                  <c:v>45337777.777777784</c:v>
                </c:pt>
                <c:pt idx="2">
                  <c:v>45337777.777777784</c:v>
                </c:pt>
                <c:pt idx="3">
                  <c:v>0</c:v>
                </c:pt>
                <c:pt idx="4">
                  <c:v>0</c:v>
                </c:pt>
                <c:pt idx="5">
                  <c:v>0</c:v>
                </c:pt>
                <c:pt idx="6">
                  <c:v>0</c:v>
                </c:pt>
                <c:pt idx="7">
                  <c:v>0</c:v>
                </c:pt>
                <c:pt idx="8">
                  <c:v>0</c:v>
                </c:pt>
                <c:pt idx="9">
                  <c:v>0</c:v>
                </c:pt>
                <c:pt idx="10">
                  <c:v>0</c:v>
                </c:pt>
                <c:pt idx="11">
                  <c:v>0</c:v>
                </c:pt>
                <c:pt idx="12">
                  <c:v>0</c:v>
                </c:pt>
                <c:pt idx="13">
                  <c:v>66035502.958579876</c:v>
                </c:pt>
                <c:pt idx="14">
                  <c:v>0</c:v>
                </c:pt>
                <c:pt idx="15">
                  <c:v>0</c:v>
                </c:pt>
                <c:pt idx="16">
                  <c:v>0</c:v>
                </c:pt>
                <c:pt idx="17">
                  <c:v>0</c:v>
                </c:pt>
                <c:pt idx="18">
                  <c:v>0</c:v>
                </c:pt>
                <c:pt idx="19">
                  <c:v>0</c:v>
                </c:pt>
                <c:pt idx="20">
                  <c:v>0</c:v>
                </c:pt>
                <c:pt idx="21">
                  <c:v>0</c:v>
                </c:pt>
                <c:pt idx="22">
                  <c:v>0</c:v>
                </c:pt>
                <c:pt idx="23">
                  <c:v>0</c:v>
                </c:pt>
                <c:pt idx="24">
                  <c:v>0</c:v>
                </c:pt>
                <c:pt idx="25">
                  <c:v>0</c:v>
                </c:pt>
                <c:pt idx="26">
                  <c:v>0</c:v>
                </c:pt>
                <c:pt idx="27">
                  <c:v>528125</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1-0A56-4370-A7CB-34D4F8BDE998}"/>
            </c:ext>
          </c:extLst>
        </c:ser>
        <c:ser>
          <c:idx val="2"/>
          <c:order val="2"/>
          <c:tx>
            <c:strRef>
              <c:f>PUF_Data!$BE$3</c:f>
              <c:strCache>
                <c:ptCount val="1"/>
                <c:pt idx="0">
                  <c:v>memory (volatile)</c:v>
                </c:pt>
              </c:strCache>
            </c:strRef>
          </c:tx>
          <c:spPr>
            <a:ln w="19050">
              <a:noFill/>
            </a:ln>
          </c:spPr>
          <c:marker>
            <c:symbol val="square"/>
            <c:size val="7"/>
            <c:spPr>
              <a:noFill/>
              <a:ln w="25400">
                <a:solidFill>
                  <a:srgbClr val="00B05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PUF_Data!$BE$4:$BE$89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1454081</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594</c:v>
                </c:pt>
                <c:pt idx="63">
                  <c:v>0</c:v>
                </c:pt>
                <c:pt idx="64">
                  <c:v>0</c:v>
                </c:pt>
                <c:pt idx="65">
                  <c:v>0</c:v>
                </c:pt>
                <c:pt idx="66">
                  <c:v>0</c:v>
                </c:pt>
                <c:pt idx="67">
                  <c:v>0</c:v>
                </c:pt>
                <c:pt idx="68">
                  <c:v>0</c:v>
                </c:pt>
                <c:pt idx="69">
                  <c:v>2</c:v>
                </c:pt>
                <c:pt idx="70">
                  <c:v>0</c:v>
                </c:pt>
                <c:pt idx="71">
                  <c:v>0</c:v>
                </c:pt>
                <c:pt idx="72">
                  <c:v>0</c:v>
                </c:pt>
                <c:pt idx="73">
                  <c:v>0</c:v>
                </c:pt>
                <c:pt idx="74">
                  <c:v>0</c:v>
                </c:pt>
                <c:pt idx="75">
                  <c:v>0</c:v>
                </c:pt>
                <c:pt idx="76">
                  <c:v>0</c:v>
                </c:pt>
                <c:pt idx="77">
                  <c:v>0</c:v>
                </c:pt>
                <c:pt idx="78">
                  <c:v>20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2-0A56-4370-A7CB-34D4F8BDE998}"/>
            </c:ext>
          </c:extLst>
        </c:ser>
        <c:ser>
          <c:idx val="5"/>
          <c:order val="3"/>
          <c:tx>
            <c:strRef>
              <c:f>PUF_Data!$BH$3</c:f>
              <c:strCache>
                <c:ptCount val="1"/>
                <c:pt idx="0">
                  <c:v>memory (non-volatile)</c:v>
                </c:pt>
              </c:strCache>
            </c:strRef>
          </c:tx>
          <c:spPr>
            <a:ln w="19050">
              <a:noFill/>
            </a:ln>
          </c:spPr>
          <c:marker>
            <c:symbol val="x"/>
            <c:size val="5"/>
            <c:spPr>
              <a:noFill/>
              <a:ln w="25400">
                <a:solidFill>
                  <a:srgbClr val="7030A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PUF_Data!$BH$4:$BH$89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8000000</c:v>
                </c:pt>
                <c:pt idx="57">
                  <c:v>0</c:v>
                </c:pt>
                <c:pt idx="58">
                  <c:v>0</c:v>
                </c:pt>
                <c:pt idx="59">
                  <c:v>0</c:v>
                </c:pt>
                <c:pt idx="60">
                  <c:v>0</c:v>
                </c:pt>
                <c:pt idx="61">
                  <c:v>0</c:v>
                </c:pt>
                <c:pt idx="62">
                  <c:v>0</c:v>
                </c:pt>
                <c:pt idx="63">
                  <c:v>0</c:v>
                </c:pt>
                <c:pt idx="64">
                  <c:v>0</c:v>
                </c:pt>
                <c:pt idx="65">
                  <c:v>1187</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3-0A56-4370-A7CB-34D4F8BDE998}"/>
            </c:ext>
          </c:extLst>
        </c:ser>
        <c:ser>
          <c:idx val="3"/>
          <c:order val="4"/>
          <c:tx>
            <c:strRef>
              <c:f>PUF_Data!$BF$3</c:f>
              <c:strCache>
                <c:ptCount val="1"/>
                <c:pt idx="0">
                  <c:v>metastability</c:v>
                </c:pt>
              </c:strCache>
            </c:strRef>
          </c:tx>
          <c:spPr>
            <a:ln w="19050">
              <a:noFill/>
            </a:ln>
          </c:spPr>
          <c:marker>
            <c:symbol val="star"/>
            <c:size val="7"/>
            <c:spPr>
              <a:noFill/>
              <a:ln w="25400">
                <a:solidFill>
                  <a:srgbClr val="FFC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PUF_Data!$BF$4:$BF$89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29729591.836734693</c:v>
                </c:pt>
                <c:pt idx="58">
                  <c:v>0</c:v>
                </c:pt>
                <c:pt idx="59">
                  <c:v>0</c:v>
                </c:pt>
                <c:pt idx="60">
                  <c:v>0</c:v>
                </c:pt>
                <c:pt idx="61">
                  <c:v>0</c:v>
                </c:pt>
                <c:pt idx="62">
                  <c:v>0</c:v>
                </c:pt>
                <c:pt idx="63">
                  <c:v>0</c:v>
                </c:pt>
                <c:pt idx="64">
                  <c:v>0</c:v>
                </c:pt>
                <c:pt idx="65">
                  <c:v>0</c:v>
                </c:pt>
                <c:pt idx="66">
                  <c:v>0</c:v>
                </c:pt>
                <c:pt idx="67">
                  <c:v>0</c:v>
                </c:pt>
                <c:pt idx="68">
                  <c:v>4052625</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4-0A56-4370-A7CB-34D4F8BDE998}"/>
            </c:ext>
          </c:extLst>
        </c:ser>
        <c:ser>
          <c:idx val="4"/>
          <c:order val="5"/>
          <c:tx>
            <c:strRef>
              <c:f>PUF_Data!$BG$3</c:f>
              <c:strCache>
                <c:ptCount val="1"/>
                <c:pt idx="0">
                  <c:v>monostable</c:v>
                </c:pt>
              </c:strCache>
            </c:strRef>
          </c:tx>
          <c:spPr>
            <a:ln w="19050">
              <a:noFill/>
            </a:ln>
          </c:spPr>
          <c:marker>
            <c:symbol val="diamond"/>
            <c:size val="7"/>
            <c:spPr>
              <a:noFill/>
              <a:ln w="25400">
                <a:solidFill>
                  <a:srgbClr val="FF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PUF_Data!$BG$4:$BG$89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2949375</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16700000</c:v>
                </c:pt>
                <c:pt idx="76">
                  <c:v>0</c:v>
                </c:pt>
                <c:pt idx="77">
                  <c:v>0</c:v>
                </c:pt>
                <c:pt idx="78">
                  <c:v>0</c:v>
                </c:pt>
                <c:pt idx="79">
                  <c:v>0</c:v>
                </c:pt>
                <c:pt idx="80">
                  <c:v>0</c:v>
                </c:pt>
                <c:pt idx="81">
                  <c:v>5143</c:v>
                </c:pt>
                <c:pt idx="82">
                  <c:v>0</c:v>
                </c:pt>
                <c:pt idx="83">
                  <c:v>0</c:v>
                </c:pt>
                <c:pt idx="84">
                  <c:v>0</c:v>
                </c:pt>
                <c:pt idx="85">
                  <c:v>0</c:v>
                </c:pt>
              </c:numCache>
            </c:numRef>
          </c:yVal>
          <c:smooth val="0"/>
          <c:extLst>
            <c:ext xmlns:c16="http://schemas.microsoft.com/office/drawing/2014/chart" uri="{C3380CC4-5D6E-409C-BE32-E72D297353CC}">
              <c16:uniqueId val="{00000005-0A56-4370-A7CB-34D4F8BDE998}"/>
            </c:ext>
          </c:extLst>
        </c:ser>
        <c:ser>
          <c:idx val="7"/>
          <c:order val="6"/>
          <c:tx>
            <c:strRef>
              <c:f>PUF_Data!$BI$3</c:f>
              <c:strCache>
                <c:ptCount val="1"/>
                <c:pt idx="0">
                  <c:v>hybrid</c:v>
                </c:pt>
              </c:strCache>
            </c:strRef>
          </c:tx>
          <c:spPr>
            <a:ln w="19050">
              <a:noFill/>
            </a:ln>
          </c:spPr>
          <c:marker>
            <c:symbol val="star"/>
            <c:size val="7"/>
            <c:spPr>
              <a:ln w="25400">
                <a:solidFill>
                  <a:srgbClr val="C0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PUF_Data!$BI$4:$BI$89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950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6-0A56-4370-A7CB-34D4F8BDE998}"/>
            </c:ext>
          </c:extLst>
        </c:ser>
        <c:ser>
          <c:idx val="6"/>
          <c:order val="7"/>
          <c:tx>
            <c:strRef>
              <c:f>PUF_Data!$BJ$3</c:f>
              <c:strCache>
                <c:ptCount val="1"/>
                <c:pt idx="0">
                  <c:v>others</c:v>
                </c:pt>
              </c:strCache>
            </c:strRef>
          </c:tx>
          <c:spPr>
            <a:ln w="19050">
              <a:noFill/>
            </a:ln>
          </c:spPr>
          <c:marker>
            <c:spPr>
              <a:noFill/>
              <a:ln w="25400">
                <a:solidFill>
                  <a:srgbClr val="00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PUF_Data!$BJ$4:$BJ$89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239857</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7-0A56-4370-A7CB-34D4F8BDE998}"/>
            </c:ext>
          </c:extLst>
        </c:ser>
        <c:dLbls>
          <c:showLegendKey val="0"/>
          <c:showVal val="0"/>
          <c:showCatName val="0"/>
          <c:showSerName val="0"/>
          <c:showPercent val="0"/>
          <c:showBubbleSize val="0"/>
        </c:dLbls>
        <c:axId val="152336752"/>
        <c:axId val="152337144"/>
        <c:extLst/>
      </c:scatterChart>
      <c:valAx>
        <c:axId val="152336752"/>
        <c:scaling>
          <c:orientation val="minMax"/>
          <c:max val="2024"/>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year</a:t>
                </a:r>
              </a:p>
            </c:rich>
          </c:tx>
          <c:layout>
            <c:manualLayout>
              <c:xMode val="edge"/>
              <c:yMode val="edge"/>
              <c:x val="0.46727242063492064"/>
              <c:y val="0.8527337245948633"/>
            </c:manualLayout>
          </c:layout>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 val="autoZero"/>
        <c:crossBetween val="midCat"/>
        <c:majorUnit val="2"/>
      </c:valAx>
      <c:valAx>
        <c:axId val="152337144"/>
        <c:scaling>
          <c:logBase val="10"/>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normalized</a:t>
                </a:r>
                <a:r>
                  <a:rPr lang="en-US" sz="1100" b="1" baseline="0">
                    <a:solidFill>
                      <a:sysClr val="windowText" lastClr="000000"/>
                    </a:solidFill>
                  </a:rPr>
                  <a:t> area (F</a:t>
                </a:r>
                <a:r>
                  <a:rPr lang="en-US" sz="1100" b="1" baseline="30000">
                    <a:solidFill>
                      <a:sysClr val="windowText" lastClr="000000"/>
                    </a:solidFill>
                  </a:rPr>
                  <a:t>2</a:t>
                </a:r>
                <a:r>
                  <a:rPr lang="en-US" sz="1100" b="1" baseline="0">
                    <a:solidFill>
                      <a:sysClr val="windowText" lastClr="000000"/>
                    </a:solidFill>
                  </a:rPr>
                  <a:t>)</a:t>
                </a:r>
                <a:endParaRPr lang="en-US" sz="1100" b="1">
                  <a:solidFill>
                    <a:sysClr val="windowText" lastClr="000000"/>
                  </a:solidFill>
                </a:endParaRPr>
              </a:p>
            </c:rich>
          </c:tx>
          <c:overlay val="0"/>
          <c:spPr>
            <a:noFill/>
            <a:ln>
              <a:noFill/>
            </a:ln>
            <a:effectLst/>
          </c:sp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 val="autoZero"/>
        <c:crossBetween val="midCat"/>
      </c:valAx>
      <c:spPr>
        <a:noFill/>
        <a:ln w="19050">
          <a:solidFill>
            <a:schemeClr val="tx1"/>
          </a:solidFill>
        </a:ln>
        <a:effectLst/>
      </c:spPr>
    </c:plotArea>
    <c:legend>
      <c:legendPos val="b"/>
      <c:layout>
        <c:manualLayout>
          <c:xMode val="edge"/>
          <c:yMode val="edge"/>
          <c:x val="1.8816269841269842E-2"/>
          <c:y val="0.90484192803309815"/>
          <c:w val="0.97748650793650815"/>
          <c:h val="9.5158071966901722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ysClr val="windowText" lastClr="000000"/>
                </a:solidFill>
                <a:latin typeface="+mn-lt"/>
                <a:ea typeface="+mn-ea"/>
                <a:cs typeface="+mn-cs"/>
              </a:defRPr>
            </a:pPr>
            <a:r>
              <a:rPr lang="en-SG" sz="1600" b="1">
                <a:solidFill>
                  <a:sysClr val="windowText" lastClr="000000"/>
                </a:solidFill>
              </a:rPr>
              <a:t>strong PUF native BER vs year</a:t>
            </a:r>
          </a:p>
        </c:rich>
      </c:tx>
      <c:layout>
        <c:manualLayout>
          <c:xMode val="edge"/>
          <c:yMode val="edge"/>
          <c:x val="0.30701785714285712"/>
          <c:y val="0"/>
        </c:manualLayout>
      </c:layout>
      <c:overlay val="0"/>
      <c:spPr>
        <a:noFill/>
        <a:ln>
          <a:noFill/>
        </a:ln>
        <a:effectLst/>
      </c:spPr>
    </c:title>
    <c:autoTitleDeleted val="0"/>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PUF_Data!$BM$3</c:f>
              <c:strCache>
                <c:ptCount val="1"/>
                <c:pt idx="0">
                  <c:v>analog</c:v>
                </c:pt>
              </c:strCache>
            </c:strRef>
          </c:tx>
          <c:spPr>
            <a:ln w="19050">
              <a:noFill/>
            </a:ln>
          </c:spPr>
          <c:marker>
            <c:symbol val="circle"/>
            <c:size val="7"/>
            <c:spPr>
              <a:noFill/>
              <a:ln w="25400">
                <a:solidFill>
                  <a:srgbClr val="003399"/>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PUF_Data!$BM$4:$BM$89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9</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0-5854-48B9-BA30-59286F42C6BC}"/>
            </c:ext>
          </c:extLst>
        </c:ser>
        <c:ser>
          <c:idx val="1"/>
          <c:order val="1"/>
          <c:tx>
            <c:strRef>
              <c:f>PUF_Data!$BN$3</c:f>
              <c:strCache>
                <c:ptCount val="1"/>
                <c:pt idx="0">
                  <c:v>delay</c:v>
                </c:pt>
              </c:strCache>
            </c:strRef>
          </c:tx>
          <c:spPr>
            <a:ln w="19050">
              <a:noFill/>
            </a:ln>
          </c:spPr>
          <c:marker>
            <c:symbol val="triangle"/>
            <c:size val="7"/>
            <c:spPr>
              <a:noFill/>
              <a:ln w="25400">
                <a:solidFill>
                  <a:srgbClr val="00B0F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PUF_Data!$BN$4:$BN$89</c:f>
              <c:numCache>
                <c:formatCode>0.000E+00</c:formatCode>
                <c:ptCount val="86"/>
                <c:pt idx="0">
                  <c:v>0</c:v>
                </c:pt>
                <c:pt idx="1">
                  <c:v>4.82</c:v>
                </c:pt>
                <c:pt idx="2">
                  <c:v>4.82</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12.5</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1-5854-48B9-BA30-59286F42C6BC}"/>
            </c:ext>
          </c:extLst>
        </c:ser>
        <c:ser>
          <c:idx val="2"/>
          <c:order val="2"/>
          <c:tx>
            <c:strRef>
              <c:f>PUF_Data!$BO$3</c:f>
              <c:strCache>
                <c:ptCount val="1"/>
                <c:pt idx="0">
                  <c:v>memory (volatile)</c:v>
                </c:pt>
              </c:strCache>
            </c:strRef>
          </c:tx>
          <c:spPr>
            <a:ln w="19050">
              <a:noFill/>
            </a:ln>
          </c:spPr>
          <c:marker>
            <c:symbol val="square"/>
            <c:size val="7"/>
            <c:spPr>
              <a:noFill/>
              <a:ln w="25400">
                <a:solidFill>
                  <a:srgbClr val="00B05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PUF_Data!$BO$4:$BO$89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2.7E-2</c:v>
                </c:pt>
                <c:pt idx="63">
                  <c:v>0</c:v>
                </c:pt>
                <c:pt idx="64">
                  <c:v>0</c:v>
                </c:pt>
                <c:pt idx="65">
                  <c:v>0</c:v>
                </c:pt>
                <c:pt idx="66">
                  <c:v>0</c:v>
                </c:pt>
                <c:pt idx="67">
                  <c:v>0</c:v>
                </c:pt>
                <c:pt idx="68">
                  <c:v>0</c:v>
                </c:pt>
                <c:pt idx="69">
                  <c:v>1.65</c:v>
                </c:pt>
                <c:pt idx="70">
                  <c:v>0</c:v>
                </c:pt>
                <c:pt idx="71">
                  <c:v>0</c:v>
                </c:pt>
                <c:pt idx="72">
                  <c:v>0</c:v>
                </c:pt>
                <c:pt idx="73">
                  <c:v>0</c:v>
                </c:pt>
                <c:pt idx="74">
                  <c:v>0</c:v>
                </c:pt>
                <c:pt idx="75">
                  <c:v>0</c:v>
                </c:pt>
                <c:pt idx="76">
                  <c:v>0</c:v>
                </c:pt>
                <c:pt idx="77">
                  <c:v>0</c:v>
                </c:pt>
                <c:pt idx="78">
                  <c:v>0.79800000000000004</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2-5854-48B9-BA30-59286F42C6BC}"/>
            </c:ext>
          </c:extLst>
        </c:ser>
        <c:ser>
          <c:idx val="5"/>
          <c:order val="3"/>
          <c:tx>
            <c:strRef>
              <c:f>PUF_Data!$BR$3</c:f>
              <c:strCache>
                <c:ptCount val="1"/>
                <c:pt idx="0">
                  <c:v>memory (non-volatile)</c:v>
                </c:pt>
              </c:strCache>
            </c:strRef>
          </c:tx>
          <c:spPr>
            <a:ln w="19050">
              <a:noFill/>
            </a:ln>
          </c:spPr>
          <c:marker>
            <c:symbol val="x"/>
            <c:size val="5"/>
            <c:spPr>
              <a:noFill/>
              <a:ln w="25400">
                <a:solidFill>
                  <a:srgbClr val="7030A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PUF_Data!$BR$4:$BR$89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0.12</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3-5854-48B9-BA30-59286F42C6BC}"/>
            </c:ext>
          </c:extLst>
        </c:ser>
        <c:ser>
          <c:idx val="3"/>
          <c:order val="4"/>
          <c:tx>
            <c:strRef>
              <c:f>PUF_Data!$BP$3</c:f>
              <c:strCache>
                <c:ptCount val="1"/>
                <c:pt idx="0">
                  <c:v>metastability</c:v>
                </c:pt>
              </c:strCache>
            </c:strRef>
          </c:tx>
          <c:spPr>
            <a:ln w="19050">
              <a:noFill/>
            </a:ln>
          </c:spPr>
          <c:marker>
            <c:symbol val="star"/>
            <c:size val="7"/>
            <c:spPr>
              <a:noFill/>
              <a:ln w="25400">
                <a:solidFill>
                  <a:srgbClr val="FFC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PUF_Data!$BP$4:$BP$89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0.19</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4-5854-48B9-BA30-59286F42C6BC}"/>
            </c:ext>
          </c:extLst>
        </c:ser>
        <c:ser>
          <c:idx val="4"/>
          <c:order val="5"/>
          <c:tx>
            <c:strRef>
              <c:f>PUF_Data!$BQ$3</c:f>
              <c:strCache>
                <c:ptCount val="1"/>
                <c:pt idx="0">
                  <c:v>monostable</c:v>
                </c:pt>
              </c:strCache>
            </c:strRef>
          </c:tx>
          <c:spPr>
            <a:ln w="19050">
              <a:noFill/>
            </a:ln>
          </c:spPr>
          <c:marker>
            <c:symbol val="diamond"/>
            <c:size val="7"/>
            <c:spPr>
              <a:noFill/>
              <a:ln w="25400">
                <a:solidFill>
                  <a:srgbClr val="FF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PUF_Data!$BQ$4:$BQ$89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9.7599999999999998E-4</c:v>
                </c:pt>
                <c:pt idx="72">
                  <c:v>0</c:v>
                </c:pt>
                <c:pt idx="73">
                  <c:v>0</c:v>
                </c:pt>
                <c:pt idx="74">
                  <c:v>0</c:v>
                </c:pt>
                <c:pt idx="75">
                  <c:v>0.5</c:v>
                </c:pt>
                <c:pt idx="76">
                  <c:v>0</c:v>
                </c:pt>
                <c:pt idx="77">
                  <c:v>0</c:v>
                </c:pt>
                <c:pt idx="78">
                  <c:v>0</c:v>
                </c:pt>
                <c:pt idx="79">
                  <c:v>0</c:v>
                </c:pt>
                <c:pt idx="80">
                  <c:v>0</c:v>
                </c:pt>
                <c:pt idx="81">
                  <c:v>1.6000000000000001E-3</c:v>
                </c:pt>
                <c:pt idx="82">
                  <c:v>0</c:v>
                </c:pt>
                <c:pt idx="83">
                  <c:v>0</c:v>
                </c:pt>
                <c:pt idx="84">
                  <c:v>0</c:v>
                </c:pt>
                <c:pt idx="85">
                  <c:v>0</c:v>
                </c:pt>
              </c:numCache>
            </c:numRef>
          </c:yVal>
          <c:smooth val="0"/>
          <c:extLst>
            <c:ext xmlns:c16="http://schemas.microsoft.com/office/drawing/2014/chart" uri="{C3380CC4-5D6E-409C-BE32-E72D297353CC}">
              <c16:uniqueId val="{00000005-5854-48B9-BA30-59286F42C6BC}"/>
            </c:ext>
          </c:extLst>
        </c:ser>
        <c:ser>
          <c:idx val="7"/>
          <c:order val="6"/>
          <c:tx>
            <c:strRef>
              <c:f>PUF_Data!$BS$3</c:f>
              <c:strCache>
                <c:ptCount val="1"/>
                <c:pt idx="0">
                  <c:v>hybrid</c:v>
                </c:pt>
              </c:strCache>
            </c:strRef>
          </c:tx>
          <c:spPr>
            <a:ln w="19050">
              <a:noFill/>
            </a:ln>
          </c:spPr>
          <c:marker>
            <c:symbol val="star"/>
            <c:size val="7"/>
            <c:spPr>
              <a:ln w="25400">
                <a:solidFill>
                  <a:srgbClr val="C00000"/>
                </a:solidFill>
              </a:ln>
            </c:spPr>
          </c:marker>
          <c:xVal>
            <c:numRef>
              <c:f>PUF_Data!$N$4:$N$89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PUF_Data!$BS$4:$BS$89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0.77</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6-5854-48B9-BA30-59286F42C6BC}"/>
            </c:ext>
          </c:extLst>
        </c:ser>
        <c:ser>
          <c:idx val="6"/>
          <c:order val="7"/>
          <c:tx>
            <c:strRef>
              <c:f>PUF_Data!$BT$3</c:f>
              <c:strCache>
                <c:ptCount val="1"/>
                <c:pt idx="0">
                  <c:v>others</c:v>
                </c:pt>
              </c:strCache>
            </c:strRef>
          </c:tx>
          <c:spPr>
            <a:ln w="19050">
              <a:noFill/>
            </a:ln>
          </c:spPr>
          <c:marker>
            <c:spPr>
              <a:noFill/>
              <a:ln w="25400">
                <a:solidFill>
                  <a:srgbClr val="00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PUF_Data!$BT$4:$BT$89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7-5854-48B9-BA30-59286F42C6BC}"/>
            </c:ext>
          </c:extLst>
        </c:ser>
        <c:dLbls>
          <c:showLegendKey val="0"/>
          <c:showVal val="0"/>
          <c:showCatName val="0"/>
          <c:showSerName val="0"/>
          <c:showPercent val="0"/>
          <c:showBubbleSize val="0"/>
        </c:dLbls>
        <c:axId val="152336752"/>
        <c:axId val="152337144"/>
        <c:extLst/>
      </c:scatterChart>
      <c:valAx>
        <c:axId val="152336752"/>
        <c:scaling>
          <c:orientation val="minMax"/>
          <c:max val="2024"/>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year</a:t>
                </a:r>
              </a:p>
            </c:rich>
          </c:tx>
          <c:layout>
            <c:manualLayout>
              <c:xMode val="edge"/>
              <c:yMode val="edge"/>
              <c:x val="0.46979226190476192"/>
              <c:y val="0.85973155008796376"/>
            </c:manualLayout>
          </c:layout>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At val="1.0000000000000004E-5"/>
        <c:crossBetween val="midCat"/>
        <c:majorUnit val="2"/>
      </c:valAx>
      <c:valAx>
        <c:axId val="152337144"/>
        <c:scaling>
          <c:logBase val="10"/>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native BER </a:t>
                </a:r>
                <a:r>
                  <a:rPr lang="en-US" sz="1100" b="1" baseline="0">
                    <a:solidFill>
                      <a:sysClr val="windowText" lastClr="000000"/>
                    </a:solidFill>
                  </a:rPr>
                  <a:t>(%)</a:t>
                </a:r>
                <a:endParaRPr lang="en-US" sz="1100" b="1">
                  <a:solidFill>
                    <a:sysClr val="windowText" lastClr="000000"/>
                  </a:solidFill>
                </a:endParaRPr>
              </a:p>
            </c:rich>
          </c:tx>
          <c:overlay val="0"/>
          <c:spPr>
            <a:noFill/>
            <a:ln>
              <a:noFill/>
            </a:ln>
            <a:effectLst/>
          </c:sp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 val="autoZero"/>
        <c:crossBetween val="midCat"/>
      </c:valAx>
      <c:spPr>
        <a:noFill/>
        <a:ln w="19050">
          <a:solidFill>
            <a:schemeClr val="tx1"/>
          </a:solidFill>
        </a:ln>
        <a:effectLst/>
      </c:spPr>
    </c:plotArea>
    <c:legend>
      <c:legendPos val="b"/>
      <c:layout>
        <c:manualLayout>
          <c:xMode val="edge"/>
          <c:yMode val="edge"/>
          <c:x val="0"/>
          <c:y val="0.92482631977707297"/>
          <c:w val="1"/>
          <c:h val="7.5173680222927072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ysClr val="windowText" lastClr="000000"/>
                </a:solidFill>
                <a:latin typeface="+mn-lt"/>
                <a:ea typeface="+mn-ea"/>
                <a:cs typeface="+mn-cs"/>
              </a:defRPr>
            </a:pPr>
            <a:r>
              <a:rPr lang="en-SG" sz="1600" b="1">
                <a:solidFill>
                  <a:sysClr val="windowText" lastClr="000000"/>
                </a:solidFill>
              </a:rPr>
              <a:t>strong PUF energy per bit vs year</a:t>
            </a:r>
          </a:p>
        </c:rich>
      </c:tx>
      <c:layout>
        <c:manualLayout>
          <c:xMode val="edge"/>
          <c:yMode val="edge"/>
          <c:x val="0.28433928571428574"/>
          <c:y val="0"/>
        </c:manualLayout>
      </c:layout>
      <c:overlay val="0"/>
      <c:spPr>
        <a:noFill/>
        <a:ln>
          <a:noFill/>
        </a:ln>
        <a:effectLst/>
      </c:spPr>
    </c:title>
    <c:autoTitleDeleted val="0"/>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PUF_Data!$CG$3</c:f>
              <c:strCache>
                <c:ptCount val="1"/>
                <c:pt idx="0">
                  <c:v>analog</c:v>
                </c:pt>
              </c:strCache>
            </c:strRef>
          </c:tx>
          <c:spPr>
            <a:ln w="19050">
              <a:noFill/>
            </a:ln>
          </c:spPr>
          <c:marker>
            <c:symbol val="circle"/>
            <c:size val="7"/>
            <c:spPr>
              <a:noFill/>
              <a:ln w="25400">
                <a:solidFill>
                  <a:srgbClr val="003399"/>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PUF_Data!$CG$4:$CG$89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11</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0-2130-4C96-BD95-FCC41E7C3684}"/>
            </c:ext>
          </c:extLst>
        </c:ser>
        <c:ser>
          <c:idx val="1"/>
          <c:order val="1"/>
          <c:tx>
            <c:strRef>
              <c:f>PUF_Data!$CH$3</c:f>
              <c:strCache>
                <c:ptCount val="1"/>
                <c:pt idx="0">
                  <c:v>delay</c:v>
                </c:pt>
              </c:strCache>
            </c:strRef>
          </c:tx>
          <c:spPr>
            <a:ln w="19050">
              <a:noFill/>
            </a:ln>
          </c:spPr>
          <c:marker>
            <c:symbol val="triangle"/>
            <c:size val="7"/>
            <c:spPr>
              <a:noFill/>
              <a:ln w="25400">
                <a:solidFill>
                  <a:srgbClr val="00B0F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PUF_Data!$CH$4:$CH$89</c:f>
              <c:numCache>
                <c:formatCode>0.000E+00</c:formatCode>
                <c:ptCount val="86"/>
                <c:pt idx="0">
                  <c:v>0</c:v>
                </c:pt>
                <c:pt idx="1">
                  <c:v>0</c:v>
                </c:pt>
                <c:pt idx="2">
                  <c:v>0.17125000000000001</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17.75</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1-2130-4C96-BD95-FCC41E7C3684}"/>
            </c:ext>
          </c:extLst>
        </c:ser>
        <c:ser>
          <c:idx val="2"/>
          <c:order val="2"/>
          <c:tx>
            <c:strRef>
              <c:f>PUF_Data!$CI$3</c:f>
              <c:strCache>
                <c:ptCount val="1"/>
                <c:pt idx="0">
                  <c:v>memory (volatile)</c:v>
                </c:pt>
              </c:strCache>
            </c:strRef>
          </c:tx>
          <c:spPr>
            <a:ln w="19050">
              <a:noFill/>
            </a:ln>
          </c:spPr>
          <c:marker>
            <c:symbol val="square"/>
            <c:size val="7"/>
            <c:spPr>
              <a:noFill/>
              <a:ln w="25400">
                <a:solidFill>
                  <a:srgbClr val="00B05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PUF_Data!$CI$4:$CI$89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9.7000000000000003E-2</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3.9E-2</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168</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2-2130-4C96-BD95-FCC41E7C3684}"/>
            </c:ext>
          </c:extLst>
        </c:ser>
        <c:ser>
          <c:idx val="5"/>
          <c:order val="3"/>
          <c:tx>
            <c:strRef>
              <c:f>PUF_Data!$CL$3</c:f>
              <c:strCache>
                <c:ptCount val="1"/>
                <c:pt idx="0">
                  <c:v>memory (non-volatile)</c:v>
                </c:pt>
              </c:strCache>
            </c:strRef>
          </c:tx>
          <c:spPr>
            <a:ln w="19050">
              <a:noFill/>
            </a:ln>
          </c:spPr>
          <c:marker>
            <c:symbol val="x"/>
            <c:size val="5"/>
            <c:spPr>
              <a:noFill/>
              <a:ln w="25400">
                <a:solidFill>
                  <a:srgbClr val="7030A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PUF_Data!$CL$4:$CL$89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0.57999999999999996</c:v>
                </c:pt>
                <c:pt idx="57">
                  <c:v>0</c:v>
                </c:pt>
                <c:pt idx="58">
                  <c:v>0</c:v>
                </c:pt>
                <c:pt idx="59">
                  <c:v>0</c:v>
                </c:pt>
                <c:pt idx="60">
                  <c:v>0</c:v>
                </c:pt>
                <c:pt idx="61">
                  <c:v>0</c:v>
                </c:pt>
                <c:pt idx="62">
                  <c:v>0</c:v>
                </c:pt>
                <c:pt idx="63">
                  <c:v>0</c:v>
                </c:pt>
                <c:pt idx="64">
                  <c:v>0</c:v>
                </c:pt>
                <c:pt idx="65">
                  <c:v>746.5</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3-2130-4C96-BD95-FCC41E7C3684}"/>
            </c:ext>
          </c:extLst>
        </c:ser>
        <c:ser>
          <c:idx val="3"/>
          <c:order val="4"/>
          <c:tx>
            <c:strRef>
              <c:f>PUF_Data!$CJ$3</c:f>
              <c:strCache>
                <c:ptCount val="1"/>
                <c:pt idx="0">
                  <c:v>metastability</c:v>
                </c:pt>
              </c:strCache>
            </c:strRef>
          </c:tx>
          <c:spPr>
            <a:ln w="19050">
              <a:noFill/>
            </a:ln>
          </c:spPr>
          <c:marker>
            <c:symbol val="star"/>
            <c:size val="7"/>
            <c:spPr>
              <a:noFill/>
              <a:ln w="25400">
                <a:solidFill>
                  <a:srgbClr val="FFC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PUF_Data!$CJ$4:$CJ$89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97.08</c:v>
                </c:pt>
                <c:pt idx="58">
                  <c:v>0</c:v>
                </c:pt>
                <c:pt idx="59">
                  <c:v>0</c:v>
                </c:pt>
                <c:pt idx="60">
                  <c:v>0</c:v>
                </c:pt>
                <c:pt idx="61">
                  <c:v>0</c:v>
                </c:pt>
                <c:pt idx="62">
                  <c:v>0</c:v>
                </c:pt>
                <c:pt idx="63">
                  <c:v>0</c:v>
                </c:pt>
                <c:pt idx="64">
                  <c:v>0</c:v>
                </c:pt>
                <c:pt idx="65">
                  <c:v>0</c:v>
                </c:pt>
                <c:pt idx="66">
                  <c:v>0</c:v>
                </c:pt>
                <c:pt idx="67">
                  <c:v>0</c:v>
                </c:pt>
                <c:pt idx="68">
                  <c:v>0.127</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4-2130-4C96-BD95-FCC41E7C3684}"/>
            </c:ext>
          </c:extLst>
        </c:ser>
        <c:ser>
          <c:idx val="4"/>
          <c:order val="5"/>
          <c:tx>
            <c:strRef>
              <c:f>PUF_Data!$CK$3</c:f>
              <c:strCache>
                <c:ptCount val="1"/>
                <c:pt idx="0">
                  <c:v>monostable</c:v>
                </c:pt>
              </c:strCache>
            </c:strRef>
          </c:tx>
          <c:spPr>
            <a:ln w="19050">
              <a:noFill/>
            </a:ln>
          </c:spPr>
          <c:marker>
            <c:symbol val="diamond"/>
            <c:size val="7"/>
            <c:spPr>
              <a:noFill/>
              <a:ln w="25400">
                <a:solidFill>
                  <a:srgbClr val="FF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PUF_Data!$CK$4:$CK$89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15.42</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2.17</c:v>
                </c:pt>
                <c:pt idx="76">
                  <c:v>0</c:v>
                </c:pt>
                <c:pt idx="77">
                  <c:v>0</c:v>
                </c:pt>
                <c:pt idx="78">
                  <c:v>0</c:v>
                </c:pt>
                <c:pt idx="79">
                  <c:v>0</c:v>
                </c:pt>
                <c:pt idx="80">
                  <c:v>0</c:v>
                </c:pt>
                <c:pt idx="81">
                  <c:v>1.29E-2</c:v>
                </c:pt>
                <c:pt idx="82">
                  <c:v>0</c:v>
                </c:pt>
                <c:pt idx="83">
                  <c:v>0</c:v>
                </c:pt>
                <c:pt idx="84">
                  <c:v>0</c:v>
                </c:pt>
                <c:pt idx="85">
                  <c:v>0</c:v>
                </c:pt>
              </c:numCache>
            </c:numRef>
          </c:yVal>
          <c:smooth val="0"/>
          <c:extLst>
            <c:ext xmlns:c16="http://schemas.microsoft.com/office/drawing/2014/chart" uri="{C3380CC4-5D6E-409C-BE32-E72D297353CC}">
              <c16:uniqueId val="{00000005-2130-4C96-BD95-FCC41E7C3684}"/>
            </c:ext>
          </c:extLst>
        </c:ser>
        <c:ser>
          <c:idx val="7"/>
          <c:order val="6"/>
          <c:tx>
            <c:strRef>
              <c:f>PUF_Data!$CM$3</c:f>
              <c:strCache>
                <c:ptCount val="1"/>
                <c:pt idx="0">
                  <c:v>hybrid</c:v>
                </c:pt>
              </c:strCache>
            </c:strRef>
          </c:tx>
          <c:spPr>
            <a:ln w="19050">
              <a:noFill/>
            </a:ln>
          </c:spPr>
          <c:marker>
            <c:symbol val="star"/>
            <c:size val="7"/>
            <c:spPr>
              <a:ln w="25400">
                <a:solidFill>
                  <a:srgbClr val="C00000"/>
                </a:solidFill>
              </a:ln>
            </c:spPr>
          </c:marker>
          <c:xVal>
            <c:numRef>
              <c:f>PUF_Data!$AH$4:$AH$89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PUF_Data!$CM$4:$CM$89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1.4E-5</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6-2130-4C96-BD95-FCC41E7C3684}"/>
            </c:ext>
          </c:extLst>
        </c:ser>
        <c:ser>
          <c:idx val="6"/>
          <c:order val="7"/>
          <c:tx>
            <c:strRef>
              <c:f>PUF_Data!$CN$3</c:f>
              <c:strCache>
                <c:ptCount val="1"/>
                <c:pt idx="0">
                  <c:v>others</c:v>
                </c:pt>
              </c:strCache>
            </c:strRef>
          </c:tx>
          <c:spPr>
            <a:ln w="19050">
              <a:noFill/>
            </a:ln>
          </c:spPr>
          <c:marker>
            <c:spPr>
              <a:noFill/>
              <a:ln w="25400">
                <a:solidFill>
                  <a:srgbClr val="00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PUF_Data!$CN$4:$CN$89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0.22</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7-2130-4C96-BD95-FCC41E7C3684}"/>
            </c:ext>
          </c:extLst>
        </c:ser>
        <c:dLbls>
          <c:showLegendKey val="0"/>
          <c:showVal val="0"/>
          <c:showCatName val="0"/>
          <c:showSerName val="0"/>
          <c:showPercent val="0"/>
          <c:showBubbleSize val="0"/>
        </c:dLbls>
        <c:axId val="152336752"/>
        <c:axId val="152337144"/>
        <c:extLst/>
      </c:scatterChart>
      <c:valAx>
        <c:axId val="152336752"/>
        <c:scaling>
          <c:orientation val="minMax"/>
          <c:max val="2024"/>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year</a:t>
                </a:r>
              </a:p>
            </c:rich>
          </c:tx>
          <c:layout>
            <c:manualLayout>
              <c:xMode val="edge"/>
              <c:yMode val="edge"/>
              <c:x val="0.46727242063492064"/>
              <c:y val="0.85789322099530496"/>
            </c:manualLayout>
          </c:layout>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At val="1.0000000000000004E-5"/>
        <c:crossBetween val="midCat"/>
        <c:majorUnit val="2"/>
      </c:valAx>
      <c:valAx>
        <c:axId val="152337144"/>
        <c:scaling>
          <c:logBase val="10"/>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energy</a:t>
                </a:r>
                <a:r>
                  <a:rPr lang="en-US" sz="1100" b="1" baseline="0">
                    <a:solidFill>
                      <a:sysClr val="windowText" lastClr="000000"/>
                    </a:solidFill>
                  </a:rPr>
                  <a:t>/bit (pJ)</a:t>
                </a:r>
                <a:endParaRPr lang="en-US" sz="1100" b="1">
                  <a:solidFill>
                    <a:sysClr val="windowText" lastClr="000000"/>
                  </a:solidFill>
                </a:endParaRPr>
              </a:p>
            </c:rich>
          </c:tx>
          <c:overlay val="0"/>
          <c:spPr>
            <a:noFill/>
            <a:ln>
              <a:noFill/>
            </a:ln>
            <a:effectLst/>
          </c:sp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 val="autoZero"/>
        <c:crossBetween val="midCat"/>
      </c:valAx>
      <c:spPr>
        <a:noFill/>
        <a:ln w="19050">
          <a:solidFill>
            <a:schemeClr val="tx1"/>
          </a:solidFill>
        </a:ln>
        <a:effectLst/>
      </c:spPr>
    </c:plotArea>
    <c:legend>
      <c:legendPos val="b"/>
      <c:layout>
        <c:manualLayout>
          <c:xMode val="edge"/>
          <c:yMode val="edge"/>
          <c:x val="0"/>
          <c:y val="0.92255621380054487"/>
          <c:w val="1"/>
          <c:h val="7.744378619945512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PUF_Data!$BW$3</c:f>
              <c:strCache>
                <c:ptCount val="1"/>
                <c:pt idx="0">
                  <c:v>analog</c:v>
                </c:pt>
              </c:strCache>
            </c:strRef>
          </c:tx>
          <c:spPr>
            <a:ln w="19050">
              <a:noFill/>
            </a:ln>
          </c:spPr>
          <c:marker>
            <c:symbol val="circle"/>
            <c:size val="7"/>
            <c:spPr>
              <a:noFill/>
              <a:ln w="25400">
                <a:solidFill>
                  <a:srgbClr val="003399"/>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PUF_Data!$BW$4:$BW$89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0.4</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0-A893-4F06-924D-B660AAF3749C}"/>
            </c:ext>
          </c:extLst>
        </c:ser>
        <c:ser>
          <c:idx val="1"/>
          <c:order val="1"/>
          <c:tx>
            <c:strRef>
              <c:f>PUF_Data!$BX$3</c:f>
              <c:strCache>
                <c:ptCount val="1"/>
                <c:pt idx="0">
                  <c:v>delay</c:v>
                </c:pt>
              </c:strCache>
            </c:strRef>
          </c:tx>
          <c:spPr>
            <a:ln w="19050">
              <a:noFill/>
            </a:ln>
          </c:spPr>
          <c:marker>
            <c:symbol val="triangle"/>
            <c:size val="7"/>
            <c:spPr>
              <a:noFill/>
              <a:ln w="25400">
                <a:solidFill>
                  <a:srgbClr val="00B0F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PUF_Data!$BX$4:$BX$89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9.9999999999999995E-7</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1-A893-4F06-924D-B660AAF3749C}"/>
            </c:ext>
          </c:extLst>
        </c:ser>
        <c:ser>
          <c:idx val="2"/>
          <c:order val="2"/>
          <c:tx>
            <c:strRef>
              <c:f>PUF_Data!$BY$3</c:f>
              <c:strCache>
                <c:ptCount val="1"/>
                <c:pt idx="0">
                  <c:v>memory (volatile)</c:v>
                </c:pt>
              </c:strCache>
            </c:strRef>
          </c:tx>
          <c:spPr>
            <a:ln w="19050">
              <a:noFill/>
            </a:ln>
          </c:spPr>
          <c:marker>
            <c:symbol val="square"/>
            <c:size val="7"/>
            <c:spPr>
              <a:noFill/>
              <a:ln w="25400">
                <a:solidFill>
                  <a:srgbClr val="00B05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PUF_Data!$BY$4:$BY$89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3.17</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1.9E-3</c:v>
                </c:pt>
                <c:pt idx="63">
                  <c:v>0</c:v>
                </c:pt>
                <c:pt idx="64">
                  <c:v>0</c:v>
                </c:pt>
                <c:pt idx="65">
                  <c:v>0</c:v>
                </c:pt>
                <c:pt idx="66">
                  <c:v>0</c:v>
                </c:pt>
                <c:pt idx="67">
                  <c:v>0</c:v>
                </c:pt>
                <c:pt idx="68">
                  <c:v>0</c:v>
                </c:pt>
                <c:pt idx="69">
                  <c:v>4.5999999999999999E-2</c:v>
                </c:pt>
                <c:pt idx="70">
                  <c:v>0</c:v>
                </c:pt>
                <c:pt idx="71">
                  <c:v>0</c:v>
                </c:pt>
                <c:pt idx="72">
                  <c:v>0</c:v>
                </c:pt>
                <c:pt idx="73">
                  <c:v>0</c:v>
                </c:pt>
                <c:pt idx="74">
                  <c:v>0</c:v>
                </c:pt>
                <c:pt idx="75">
                  <c:v>0</c:v>
                </c:pt>
                <c:pt idx="76">
                  <c:v>0</c:v>
                </c:pt>
                <c:pt idx="77">
                  <c:v>0</c:v>
                </c:pt>
                <c:pt idx="78">
                  <c:v>1.391</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2-A893-4F06-924D-B660AAF3749C}"/>
            </c:ext>
          </c:extLst>
        </c:ser>
        <c:ser>
          <c:idx val="5"/>
          <c:order val="3"/>
          <c:tx>
            <c:strRef>
              <c:f>PUF_Data!$CB$3</c:f>
              <c:strCache>
                <c:ptCount val="1"/>
                <c:pt idx="0">
                  <c:v>memory (non-volatile)</c:v>
                </c:pt>
              </c:strCache>
            </c:strRef>
          </c:tx>
          <c:spPr>
            <a:ln w="19050">
              <a:noFill/>
            </a:ln>
          </c:spPr>
          <c:marker>
            <c:symbol val="x"/>
            <c:size val="5"/>
            <c:spPr>
              <a:noFill/>
              <a:ln w="25400">
                <a:solidFill>
                  <a:srgbClr val="7030A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PUF_Data!$CB$4:$CB$89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5</c:v>
                </c:pt>
                <c:pt idx="57">
                  <c:v>0</c:v>
                </c:pt>
                <c:pt idx="58">
                  <c:v>0</c:v>
                </c:pt>
                <c:pt idx="59">
                  <c:v>0</c:v>
                </c:pt>
                <c:pt idx="60">
                  <c:v>0</c:v>
                </c:pt>
                <c:pt idx="61">
                  <c:v>0</c:v>
                </c:pt>
                <c:pt idx="62">
                  <c:v>0</c:v>
                </c:pt>
                <c:pt idx="63">
                  <c:v>0</c:v>
                </c:pt>
                <c:pt idx="64">
                  <c:v>0</c:v>
                </c:pt>
                <c:pt idx="65">
                  <c:v>4.0890000000000004</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3-A893-4F06-924D-B660AAF3749C}"/>
            </c:ext>
          </c:extLst>
        </c:ser>
        <c:ser>
          <c:idx val="3"/>
          <c:order val="4"/>
          <c:tx>
            <c:strRef>
              <c:f>PUF_Data!$BZ$3</c:f>
              <c:strCache>
                <c:ptCount val="1"/>
                <c:pt idx="0">
                  <c:v>metastability</c:v>
                </c:pt>
              </c:strCache>
            </c:strRef>
          </c:tx>
          <c:spPr>
            <a:ln w="19050">
              <a:noFill/>
            </a:ln>
          </c:spPr>
          <c:marker>
            <c:symbol val="star"/>
            <c:size val="7"/>
            <c:spPr>
              <a:noFill/>
              <a:ln w="25400">
                <a:solidFill>
                  <a:srgbClr val="FFC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PUF_Data!$BZ$4:$BZ$89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0.26</c:v>
                </c:pt>
                <c:pt idx="58">
                  <c:v>0</c:v>
                </c:pt>
                <c:pt idx="59">
                  <c:v>0</c:v>
                </c:pt>
                <c:pt idx="60">
                  <c:v>0</c:v>
                </c:pt>
                <c:pt idx="61">
                  <c:v>0</c:v>
                </c:pt>
                <c:pt idx="62">
                  <c:v>0</c:v>
                </c:pt>
                <c:pt idx="63">
                  <c:v>0</c:v>
                </c:pt>
                <c:pt idx="64">
                  <c:v>0</c:v>
                </c:pt>
                <c:pt idx="65">
                  <c:v>0</c:v>
                </c:pt>
                <c:pt idx="66">
                  <c:v>0</c:v>
                </c:pt>
                <c:pt idx="67">
                  <c:v>0</c:v>
                </c:pt>
                <c:pt idx="68">
                  <c:v>2.4</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4-A893-4F06-924D-B660AAF3749C}"/>
            </c:ext>
          </c:extLst>
        </c:ser>
        <c:ser>
          <c:idx val="4"/>
          <c:order val="5"/>
          <c:tx>
            <c:strRef>
              <c:f>PUF_Data!$CA$3</c:f>
              <c:strCache>
                <c:ptCount val="1"/>
                <c:pt idx="0">
                  <c:v>monostable</c:v>
                </c:pt>
              </c:strCache>
            </c:strRef>
          </c:tx>
          <c:spPr>
            <a:ln w="19050">
              <a:noFill/>
            </a:ln>
          </c:spPr>
          <c:marker>
            <c:symbol val="diamond"/>
            <c:size val="7"/>
            <c:spPr>
              <a:noFill/>
              <a:ln w="25400">
                <a:solidFill>
                  <a:srgbClr val="FF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PUF_Data!$CA$4:$CA$89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0.82</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9.765625E-4</c:v>
                </c:pt>
                <c:pt idx="72">
                  <c:v>0</c:v>
                </c:pt>
                <c:pt idx="73">
                  <c:v>0</c:v>
                </c:pt>
                <c:pt idx="74">
                  <c:v>0</c:v>
                </c:pt>
                <c:pt idx="75">
                  <c:v>0</c:v>
                </c:pt>
                <c:pt idx="76">
                  <c:v>0</c:v>
                </c:pt>
                <c:pt idx="77">
                  <c:v>0</c:v>
                </c:pt>
                <c:pt idx="78">
                  <c:v>0</c:v>
                </c:pt>
                <c:pt idx="79">
                  <c:v>0</c:v>
                </c:pt>
                <c:pt idx="80">
                  <c:v>0</c:v>
                </c:pt>
                <c:pt idx="81">
                  <c:v>0.16</c:v>
                </c:pt>
                <c:pt idx="82">
                  <c:v>0</c:v>
                </c:pt>
                <c:pt idx="83">
                  <c:v>0</c:v>
                </c:pt>
                <c:pt idx="84">
                  <c:v>0</c:v>
                </c:pt>
                <c:pt idx="85">
                  <c:v>0</c:v>
                </c:pt>
              </c:numCache>
            </c:numRef>
          </c:yVal>
          <c:smooth val="0"/>
          <c:extLst>
            <c:ext xmlns:c16="http://schemas.microsoft.com/office/drawing/2014/chart" uri="{C3380CC4-5D6E-409C-BE32-E72D297353CC}">
              <c16:uniqueId val="{00000005-A893-4F06-924D-B660AAF3749C}"/>
            </c:ext>
          </c:extLst>
        </c:ser>
        <c:ser>
          <c:idx val="7"/>
          <c:order val="6"/>
          <c:tx>
            <c:strRef>
              <c:f>PUF_Data!$CC$3</c:f>
              <c:strCache>
                <c:ptCount val="1"/>
                <c:pt idx="0">
                  <c:v>hybrid</c:v>
                </c:pt>
              </c:strCache>
            </c:strRef>
          </c:tx>
          <c:spPr>
            <a:ln w="19050">
              <a:noFill/>
            </a:ln>
          </c:spPr>
          <c:marker>
            <c:symbol val="star"/>
            <c:size val="7"/>
            <c:spPr>
              <a:ln w="25400">
                <a:solidFill>
                  <a:srgbClr val="C00000"/>
                </a:solidFill>
              </a:ln>
            </c:spPr>
          </c:marker>
          <c:xVal>
            <c:numRef>
              <c:f>PUF_Data!$AH$4:$AH$89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PUF_Data!$CC$4:$CC$89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6-A893-4F06-924D-B660AAF3749C}"/>
            </c:ext>
          </c:extLst>
        </c:ser>
        <c:ser>
          <c:idx val="6"/>
          <c:order val="7"/>
          <c:tx>
            <c:strRef>
              <c:f>PUF_Data!$CD$3</c:f>
              <c:strCache>
                <c:ptCount val="1"/>
                <c:pt idx="0">
                  <c:v>others</c:v>
                </c:pt>
              </c:strCache>
            </c:strRef>
          </c:tx>
          <c:spPr>
            <a:ln w="19050">
              <a:noFill/>
            </a:ln>
          </c:spPr>
          <c:marker>
            <c:spPr>
              <a:noFill/>
              <a:ln w="25400">
                <a:solidFill>
                  <a:srgbClr val="00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PUF_Data!$CD$4:$CD$89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7-A893-4F06-924D-B660AAF3749C}"/>
            </c:ext>
          </c:extLst>
        </c:ser>
        <c:dLbls>
          <c:showLegendKey val="0"/>
          <c:showVal val="0"/>
          <c:showCatName val="0"/>
          <c:showSerName val="0"/>
          <c:showPercent val="0"/>
          <c:showBubbleSize val="0"/>
        </c:dLbls>
        <c:axId val="152336752"/>
        <c:axId val="152337144"/>
        <c:extLst/>
      </c:scatterChart>
      <c:valAx>
        <c:axId val="152336752"/>
        <c:scaling>
          <c:orientation val="minMax"/>
          <c:max val="2024"/>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year</a:t>
                </a:r>
              </a:p>
            </c:rich>
          </c:tx>
          <c:layout>
            <c:manualLayout>
              <c:xMode val="edge"/>
              <c:yMode val="edge"/>
              <c:x val="0.46979226190476192"/>
              <c:y val="0.84907131439233696"/>
            </c:manualLayout>
          </c:layout>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At val="1.0000000000000005E-7"/>
        <c:crossBetween val="midCat"/>
        <c:majorUnit val="2"/>
      </c:valAx>
      <c:valAx>
        <c:axId val="152337144"/>
        <c:scaling>
          <c:logBase val="10"/>
          <c:orientation val="minMax"/>
          <c:min val="1.0000000000000005E-7"/>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BER </a:t>
                </a:r>
                <a:r>
                  <a:rPr lang="en-US" sz="1100" b="1" i="0" u="none" strike="noStrike" baseline="0">
                    <a:effectLst/>
                  </a:rPr>
                  <a:t> after stability enhancement </a:t>
                </a:r>
                <a:r>
                  <a:rPr lang="en-US" sz="1100" b="1" baseline="0">
                    <a:solidFill>
                      <a:sysClr val="windowText" lastClr="000000"/>
                    </a:solidFill>
                  </a:rPr>
                  <a:t>(%)</a:t>
                </a:r>
                <a:endParaRPr lang="en-US" sz="1100" b="1">
                  <a:solidFill>
                    <a:sysClr val="windowText" lastClr="000000"/>
                  </a:solidFill>
                </a:endParaRPr>
              </a:p>
            </c:rich>
          </c:tx>
          <c:overlay val="0"/>
          <c:spPr>
            <a:noFill/>
            <a:ln>
              <a:noFill/>
            </a:ln>
            <a:effectLst/>
          </c:sp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 val="autoZero"/>
        <c:crossBetween val="midCat"/>
      </c:valAx>
      <c:spPr>
        <a:noFill/>
        <a:ln w="19050">
          <a:solidFill>
            <a:schemeClr val="tx1"/>
          </a:solidFill>
        </a:ln>
        <a:effectLst/>
      </c:spPr>
    </c:plotArea>
    <c:legend>
      <c:legendPos val="b"/>
      <c:layout>
        <c:manualLayout>
          <c:xMode val="edge"/>
          <c:yMode val="edge"/>
          <c:x val="1.1773809523809475E-3"/>
          <c:y val="0.89534992695790672"/>
          <c:w val="0.99882261904761904"/>
          <c:h val="8.447679464079122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ysClr val="windowText" lastClr="000000"/>
                </a:solidFill>
                <a:latin typeface="+mn-lt"/>
                <a:ea typeface="+mn-ea"/>
                <a:cs typeface="+mn-cs"/>
              </a:defRPr>
            </a:pPr>
            <a:r>
              <a:rPr lang="en-SG" sz="1600" b="1">
                <a:solidFill>
                  <a:sysClr val="windowText" lastClr="000000"/>
                </a:solidFill>
              </a:rPr>
              <a:t>weak PUF native BER vs year</a:t>
            </a:r>
          </a:p>
        </c:rich>
      </c:tx>
      <c:layout>
        <c:manualLayout>
          <c:xMode val="edge"/>
          <c:yMode val="edge"/>
          <c:x val="0.32717658730158727"/>
          <c:y val="0"/>
        </c:manualLayout>
      </c:layout>
      <c:overlay val="0"/>
      <c:spPr>
        <a:noFill/>
        <a:ln>
          <a:noFill/>
        </a:ln>
        <a:effectLst/>
      </c:spPr>
    </c:title>
    <c:autoTitleDeleted val="0"/>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PUF_Data!$E$3</c:f>
              <c:strCache>
                <c:ptCount val="1"/>
                <c:pt idx="0">
                  <c:v>analog</c:v>
                </c:pt>
              </c:strCache>
            </c:strRef>
          </c:tx>
          <c:spPr>
            <a:ln w="19050">
              <a:noFill/>
            </a:ln>
          </c:spPr>
          <c:marker>
            <c:symbol val="circle"/>
            <c:size val="7"/>
            <c:spPr>
              <a:noFill/>
              <a:ln w="25400">
                <a:solidFill>
                  <a:srgbClr val="003399"/>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PUF_Data!$O$4:$O$89</c:f>
              <c:numCache>
                <c:formatCode>0.000E+00</c:formatCode>
                <c:ptCount val="86"/>
                <c:pt idx="0">
                  <c:v>0</c:v>
                </c:pt>
                <c:pt idx="1">
                  <c:v>0</c:v>
                </c:pt>
                <c:pt idx="2">
                  <c:v>0</c:v>
                </c:pt>
                <c:pt idx="3">
                  <c:v>0</c:v>
                </c:pt>
                <c:pt idx="4">
                  <c:v>0</c:v>
                </c:pt>
                <c:pt idx="5">
                  <c:v>7.0000000000000007E-2</c:v>
                </c:pt>
                <c:pt idx="6">
                  <c:v>8.9999999999999993E-3</c:v>
                </c:pt>
                <c:pt idx="7">
                  <c:v>0</c:v>
                </c:pt>
                <c:pt idx="8">
                  <c:v>0</c:v>
                </c:pt>
                <c:pt idx="9">
                  <c:v>8.9999999999999993E-3</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3.43</c:v>
                </c:pt>
                <c:pt idx="27">
                  <c:v>0</c:v>
                </c:pt>
                <c:pt idx="28">
                  <c:v>0</c:v>
                </c:pt>
                <c:pt idx="29">
                  <c:v>0</c:v>
                </c:pt>
                <c:pt idx="30">
                  <c:v>0</c:v>
                </c:pt>
                <c:pt idx="31">
                  <c:v>6.54</c:v>
                </c:pt>
                <c:pt idx="32">
                  <c:v>0</c:v>
                </c:pt>
                <c:pt idx="33">
                  <c:v>0</c:v>
                </c:pt>
                <c:pt idx="34">
                  <c:v>0</c:v>
                </c:pt>
                <c:pt idx="35">
                  <c:v>0</c:v>
                </c:pt>
                <c:pt idx="36">
                  <c:v>0.16</c:v>
                </c:pt>
                <c:pt idx="37">
                  <c:v>0.63</c:v>
                </c:pt>
                <c:pt idx="38">
                  <c:v>0</c:v>
                </c:pt>
                <c:pt idx="39">
                  <c:v>0</c:v>
                </c:pt>
                <c:pt idx="40">
                  <c:v>0</c:v>
                </c:pt>
                <c:pt idx="41">
                  <c:v>0</c:v>
                </c:pt>
                <c:pt idx="42">
                  <c:v>0</c:v>
                </c:pt>
                <c:pt idx="43">
                  <c:v>2.16</c:v>
                </c:pt>
                <c:pt idx="44">
                  <c:v>0.72</c:v>
                </c:pt>
                <c:pt idx="45">
                  <c:v>0</c:v>
                </c:pt>
                <c:pt idx="46">
                  <c:v>0</c:v>
                </c:pt>
                <c:pt idx="47">
                  <c:v>0</c:v>
                </c:pt>
                <c:pt idx="48">
                  <c:v>0.251</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0.77</c:v>
                </c:pt>
                <c:pt idx="78">
                  <c:v>0</c:v>
                </c:pt>
                <c:pt idx="79">
                  <c:v>0.79800000000000004</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0-E112-4D07-9055-A9E4E2594B20}"/>
            </c:ext>
          </c:extLst>
        </c:ser>
        <c:ser>
          <c:idx val="1"/>
          <c:order val="1"/>
          <c:tx>
            <c:strRef>
              <c:f>PUF_Data!$F$3</c:f>
              <c:strCache>
                <c:ptCount val="1"/>
                <c:pt idx="0">
                  <c:v>delay</c:v>
                </c:pt>
              </c:strCache>
            </c:strRef>
          </c:tx>
          <c:spPr>
            <a:ln w="19050">
              <a:noFill/>
            </a:ln>
          </c:spPr>
          <c:marker>
            <c:symbol val="triangle"/>
            <c:size val="7"/>
            <c:spPr>
              <a:noFill/>
              <a:ln w="25400">
                <a:solidFill>
                  <a:srgbClr val="00B0F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PUF_Data!$P$4:$P$89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1.4</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1.6000000000000001E-3</c:v>
                </c:pt>
                <c:pt idx="83">
                  <c:v>0</c:v>
                </c:pt>
                <c:pt idx="84">
                  <c:v>0</c:v>
                </c:pt>
                <c:pt idx="85">
                  <c:v>0</c:v>
                </c:pt>
              </c:numCache>
            </c:numRef>
          </c:yVal>
          <c:smooth val="0"/>
          <c:extLst>
            <c:ext xmlns:c16="http://schemas.microsoft.com/office/drawing/2014/chart" uri="{C3380CC4-5D6E-409C-BE32-E72D297353CC}">
              <c16:uniqueId val="{00000001-E112-4D07-9055-A9E4E2594B20}"/>
            </c:ext>
          </c:extLst>
        </c:ser>
        <c:ser>
          <c:idx val="2"/>
          <c:order val="2"/>
          <c:tx>
            <c:strRef>
              <c:f>PUF_Data!$G$3</c:f>
              <c:strCache>
                <c:ptCount val="1"/>
                <c:pt idx="0">
                  <c:v>memory (volatile)</c:v>
                </c:pt>
              </c:strCache>
            </c:strRef>
          </c:tx>
          <c:spPr>
            <a:ln w="19050">
              <a:noFill/>
            </a:ln>
          </c:spPr>
          <c:marker>
            <c:symbol val="square"/>
            <c:size val="7"/>
            <c:spPr>
              <a:noFill/>
              <a:ln w="25400">
                <a:solidFill>
                  <a:srgbClr val="00B05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PUF_Data!$Q$4:$Q$89</c:f>
              <c:numCache>
                <c:formatCode>0.000E+00</c:formatCode>
                <c:ptCount val="86"/>
                <c:pt idx="0">
                  <c:v>0</c:v>
                </c:pt>
                <c:pt idx="1">
                  <c:v>0</c:v>
                </c:pt>
                <c:pt idx="2">
                  <c:v>0</c:v>
                </c:pt>
                <c:pt idx="3">
                  <c:v>5.46875</c:v>
                </c:pt>
                <c:pt idx="4">
                  <c:v>5.46875</c:v>
                </c:pt>
                <c:pt idx="5">
                  <c:v>0</c:v>
                </c:pt>
                <c:pt idx="6">
                  <c:v>0</c:v>
                </c:pt>
                <c:pt idx="7">
                  <c:v>0</c:v>
                </c:pt>
                <c:pt idx="8">
                  <c:v>0</c:v>
                </c:pt>
                <c:pt idx="9">
                  <c:v>0</c:v>
                </c:pt>
                <c:pt idx="10">
                  <c:v>0</c:v>
                </c:pt>
                <c:pt idx="11">
                  <c:v>0</c:v>
                </c:pt>
                <c:pt idx="12">
                  <c:v>0</c:v>
                </c:pt>
                <c:pt idx="13">
                  <c:v>0</c:v>
                </c:pt>
                <c:pt idx="14">
                  <c:v>0</c:v>
                </c:pt>
                <c:pt idx="15">
                  <c:v>0</c:v>
                </c:pt>
                <c:pt idx="16">
                  <c:v>0</c:v>
                </c:pt>
                <c:pt idx="17">
                  <c:v>0</c:v>
                </c:pt>
                <c:pt idx="18">
                  <c:v>1.0000000000000001E-5</c:v>
                </c:pt>
                <c:pt idx="19">
                  <c:v>1E-4</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0.21</c:v>
                </c:pt>
                <c:pt idx="59">
                  <c:v>0.28999999999999998</c:v>
                </c:pt>
                <c:pt idx="60">
                  <c:v>0</c:v>
                </c:pt>
                <c:pt idx="61">
                  <c:v>1.8</c:v>
                </c:pt>
                <c:pt idx="62">
                  <c:v>0</c:v>
                </c:pt>
                <c:pt idx="63">
                  <c:v>0</c:v>
                </c:pt>
                <c:pt idx="64">
                  <c:v>0</c:v>
                </c:pt>
                <c:pt idx="65">
                  <c:v>0</c:v>
                </c:pt>
                <c:pt idx="66">
                  <c:v>0</c:v>
                </c:pt>
                <c:pt idx="67">
                  <c:v>0</c:v>
                </c:pt>
                <c:pt idx="68">
                  <c:v>0</c:v>
                </c:pt>
                <c:pt idx="69">
                  <c:v>0</c:v>
                </c:pt>
                <c:pt idx="70">
                  <c:v>0</c:v>
                </c:pt>
                <c:pt idx="71">
                  <c:v>0</c:v>
                </c:pt>
                <c:pt idx="72">
                  <c:v>0</c:v>
                </c:pt>
                <c:pt idx="73">
                  <c:v>0</c:v>
                </c:pt>
                <c:pt idx="74">
                  <c:v>1.1000000000000001</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2-E112-4D07-9055-A9E4E2594B20}"/>
            </c:ext>
          </c:extLst>
        </c:ser>
        <c:ser>
          <c:idx val="5"/>
          <c:order val="3"/>
          <c:tx>
            <c:strRef>
              <c:f>PUF_Data!$J$3</c:f>
              <c:strCache>
                <c:ptCount val="1"/>
                <c:pt idx="0">
                  <c:v>memory (non-volatile)</c:v>
                </c:pt>
              </c:strCache>
            </c:strRef>
          </c:tx>
          <c:spPr>
            <a:ln w="19050">
              <a:noFill/>
            </a:ln>
          </c:spPr>
          <c:marker>
            <c:symbol val="x"/>
            <c:size val="5"/>
            <c:spPr>
              <a:noFill/>
              <a:ln w="25400">
                <a:solidFill>
                  <a:srgbClr val="7030A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PUF_Data!$T$4:$T$89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0.5</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6.0000000000000006E-4</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9.7599999999999998E-4</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3-E112-4D07-9055-A9E4E2594B20}"/>
            </c:ext>
          </c:extLst>
        </c:ser>
        <c:ser>
          <c:idx val="3"/>
          <c:order val="4"/>
          <c:tx>
            <c:strRef>
              <c:f>PUF_Data!$H$3</c:f>
              <c:strCache>
                <c:ptCount val="1"/>
                <c:pt idx="0">
                  <c:v>metastability</c:v>
                </c:pt>
              </c:strCache>
            </c:strRef>
          </c:tx>
          <c:spPr>
            <a:ln w="19050">
              <a:noFill/>
            </a:ln>
          </c:spPr>
          <c:marker>
            <c:symbol val="star"/>
            <c:size val="7"/>
            <c:spPr>
              <a:noFill/>
              <a:ln w="25400">
                <a:solidFill>
                  <a:srgbClr val="FFC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PUF_Data!$R$4:$R$89</c:f>
              <c:numCache>
                <c:formatCode>0.000E+00</c:formatCode>
                <c:ptCount val="86"/>
                <c:pt idx="0">
                  <c:v>0</c:v>
                </c:pt>
                <c:pt idx="1">
                  <c:v>0</c:v>
                </c:pt>
                <c:pt idx="2">
                  <c:v>0</c:v>
                </c:pt>
                <c:pt idx="3">
                  <c:v>0</c:v>
                </c:pt>
                <c:pt idx="4">
                  <c:v>0</c:v>
                </c:pt>
                <c:pt idx="5">
                  <c:v>0</c:v>
                </c:pt>
                <c:pt idx="6">
                  <c:v>0</c:v>
                </c:pt>
                <c:pt idx="7">
                  <c:v>0</c:v>
                </c:pt>
                <c:pt idx="8">
                  <c:v>0</c:v>
                </c:pt>
                <c:pt idx="9">
                  <c:v>0</c:v>
                </c:pt>
                <c:pt idx="10">
                  <c:v>0.1</c:v>
                </c:pt>
                <c:pt idx="11">
                  <c:v>0</c:v>
                </c:pt>
                <c:pt idx="12">
                  <c:v>0</c:v>
                </c:pt>
                <c:pt idx="13">
                  <c:v>0</c:v>
                </c:pt>
                <c:pt idx="14">
                  <c:v>0</c:v>
                </c:pt>
                <c:pt idx="15">
                  <c:v>0</c:v>
                </c:pt>
                <c:pt idx="16">
                  <c:v>0</c:v>
                </c:pt>
                <c:pt idx="17">
                  <c:v>0</c:v>
                </c:pt>
                <c:pt idx="18">
                  <c:v>0</c:v>
                </c:pt>
                <c:pt idx="19">
                  <c:v>0</c:v>
                </c:pt>
                <c:pt idx="20">
                  <c:v>0</c:v>
                </c:pt>
                <c:pt idx="21">
                  <c:v>30</c:v>
                </c:pt>
                <c:pt idx="22">
                  <c:v>12.5</c:v>
                </c:pt>
                <c:pt idx="23">
                  <c:v>0</c:v>
                </c:pt>
                <c:pt idx="24">
                  <c:v>0</c:v>
                </c:pt>
                <c:pt idx="25">
                  <c:v>0</c:v>
                </c:pt>
                <c:pt idx="26">
                  <c:v>0</c:v>
                </c:pt>
                <c:pt idx="27">
                  <c:v>0</c:v>
                </c:pt>
                <c:pt idx="28">
                  <c:v>0</c:v>
                </c:pt>
                <c:pt idx="29">
                  <c:v>0</c:v>
                </c:pt>
                <c:pt idx="30">
                  <c:v>0</c:v>
                </c:pt>
                <c:pt idx="31">
                  <c:v>0</c:v>
                </c:pt>
                <c:pt idx="32">
                  <c:v>5.76</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4-E112-4D07-9055-A9E4E2594B20}"/>
            </c:ext>
          </c:extLst>
        </c:ser>
        <c:ser>
          <c:idx val="4"/>
          <c:order val="5"/>
          <c:tx>
            <c:strRef>
              <c:f>PUF_Data!$I$3</c:f>
              <c:strCache>
                <c:ptCount val="1"/>
                <c:pt idx="0">
                  <c:v>monostable</c:v>
                </c:pt>
              </c:strCache>
            </c:strRef>
          </c:tx>
          <c:spPr>
            <a:ln w="19050">
              <a:noFill/>
            </a:ln>
          </c:spPr>
          <c:marker>
            <c:symbol val="diamond"/>
            <c:size val="7"/>
            <c:spPr>
              <a:noFill/>
              <a:ln w="25400">
                <a:solidFill>
                  <a:srgbClr val="FF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PUF_Data!$S$4:$S$89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0.1</c:v>
                </c:pt>
                <c:pt idx="29">
                  <c:v>0</c:v>
                </c:pt>
                <c:pt idx="30">
                  <c:v>0</c:v>
                </c:pt>
                <c:pt idx="31">
                  <c:v>0</c:v>
                </c:pt>
                <c:pt idx="32">
                  <c:v>0</c:v>
                </c:pt>
                <c:pt idx="33">
                  <c:v>0</c:v>
                </c:pt>
                <c:pt idx="34">
                  <c:v>0.18</c:v>
                </c:pt>
                <c:pt idx="35">
                  <c:v>0.13</c:v>
                </c:pt>
                <c:pt idx="36">
                  <c:v>0</c:v>
                </c:pt>
                <c:pt idx="37">
                  <c:v>0</c:v>
                </c:pt>
                <c:pt idx="38">
                  <c:v>0</c:v>
                </c:pt>
                <c:pt idx="39">
                  <c:v>0</c:v>
                </c:pt>
                <c:pt idx="40">
                  <c:v>0</c:v>
                </c:pt>
                <c:pt idx="41">
                  <c:v>2.8000000000000003</c:v>
                </c:pt>
                <c:pt idx="42">
                  <c:v>0</c:v>
                </c:pt>
                <c:pt idx="43">
                  <c:v>0</c:v>
                </c:pt>
                <c:pt idx="44">
                  <c:v>0</c:v>
                </c:pt>
                <c:pt idx="45">
                  <c:v>0</c:v>
                </c:pt>
                <c:pt idx="46">
                  <c:v>0</c:v>
                </c:pt>
                <c:pt idx="47">
                  <c:v>3.2</c:v>
                </c:pt>
                <c:pt idx="48">
                  <c:v>0</c:v>
                </c:pt>
                <c:pt idx="49">
                  <c:v>0</c:v>
                </c:pt>
                <c:pt idx="50">
                  <c:v>0</c:v>
                </c:pt>
                <c:pt idx="51">
                  <c:v>0.3</c:v>
                </c:pt>
                <c:pt idx="52">
                  <c:v>0</c:v>
                </c:pt>
                <c:pt idx="53">
                  <c:v>0</c:v>
                </c:pt>
                <c:pt idx="54">
                  <c:v>10.5</c:v>
                </c:pt>
                <c:pt idx="55">
                  <c:v>0</c:v>
                </c:pt>
                <c:pt idx="56">
                  <c:v>0</c:v>
                </c:pt>
                <c:pt idx="57">
                  <c:v>0</c:v>
                </c:pt>
                <c:pt idx="58">
                  <c:v>0</c:v>
                </c:pt>
                <c:pt idx="59">
                  <c:v>0</c:v>
                </c:pt>
                <c:pt idx="60">
                  <c:v>0.8</c:v>
                </c:pt>
                <c:pt idx="61">
                  <c:v>0</c:v>
                </c:pt>
                <c:pt idx="62">
                  <c:v>0</c:v>
                </c:pt>
                <c:pt idx="63">
                  <c:v>0</c:v>
                </c:pt>
                <c:pt idx="64">
                  <c:v>0.28999999999999998</c:v>
                </c:pt>
                <c:pt idx="65">
                  <c:v>0</c:v>
                </c:pt>
                <c:pt idx="66">
                  <c:v>0</c:v>
                </c:pt>
                <c:pt idx="67">
                  <c:v>0</c:v>
                </c:pt>
                <c:pt idx="68">
                  <c:v>0</c:v>
                </c:pt>
                <c:pt idx="69">
                  <c:v>0</c:v>
                </c:pt>
                <c:pt idx="70">
                  <c:v>0</c:v>
                </c:pt>
                <c:pt idx="71">
                  <c:v>0</c:v>
                </c:pt>
                <c:pt idx="72">
                  <c:v>0</c:v>
                </c:pt>
                <c:pt idx="73">
                  <c:v>0.13</c:v>
                </c:pt>
                <c:pt idx="74">
                  <c:v>0</c:v>
                </c:pt>
                <c:pt idx="75">
                  <c:v>0</c:v>
                </c:pt>
                <c:pt idx="76">
                  <c:v>0</c:v>
                </c:pt>
                <c:pt idx="77">
                  <c:v>0</c:v>
                </c:pt>
                <c:pt idx="78">
                  <c:v>0</c:v>
                </c:pt>
                <c:pt idx="79">
                  <c:v>0</c:v>
                </c:pt>
                <c:pt idx="80">
                  <c:v>0</c:v>
                </c:pt>
                <c:pt idx="81">
                  <c:v>0</c:v>
                </c:pt>
                <c:pt idx="82">
                  <c:v>0</c:v>
                </c:pt>
                <c:pt idx="83">
                  <c:v>0</c:v>
                </c:pt>
                <c:pt idx="84">
                  <c:v>2.8999999999999998E-3</c:v>
                </c:pt>
                <c:pt idx="85">
                  <c:v>0</c:v>
                </c:pt>
              </c:numCache>
            </c:numRef>
          </c:yVal>
          <c:smooth val="0"/>
          <c:extLst>
            <c:ext xmlns:c16="http://schemas.microsoft.com/office/drawing/2014/chart" uri="{C3380CC4-5D6E-409C-BE32-E72D297353CC}">
              <c16:uniqueId val="{00000005-E112-4D07-9055-A9E4E2594B20}"/>
            </c:ext>
          </c:extLst>
        </c:ser>
        <c:ser>
          <c:idx val="7"/>
          <c:order val="6"/>
          <c:tx>
            <c:strRef>
              <c:f>PUF_Data!$U$3</c:f>
              <c:strCache>
                <c:ptCount val="1"/>
                <c:pt idx="0">
                  <c:v>hybrid</c:v>
                </c:pt>
              </c:strCache>
            </c:strRef>
          </c:tx>
          <c:spPr>
            <a:ln w="19050">
              <a:noFill/>
            </a:ln>
          </c:spPr>
          <c:marker>
            <c:symbol val="star"/>
            <c:size val="7"/>
            <c:spPr>
              <a:ln w="25400">
                <a:solidFill>
                  <a:srgbClr val="C00000"/>
                </a:solidFill>
              </a:ln>
            </c:spPr>
          </c:marker>
          <c:xVal>
            <c:numRef>
              <c:f>PUF_Data!$N$4:$N$89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PUF_Data!$U$4:$U$89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2.7E-2</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6-E112-4D07-9055-A9E4E2594B20}"/>
            </c:ext>
          </c:extLst>
        </c:ser>
        <c:ser>
          <c:idx val="6"/>
          <c:order val="7"/>
          <c:tx>
            <c:strRef>
              <c:f>PUF_Data!$L$3</c:f>
              <c:strCache>
                <c:ptCount val="1"/>
                <c:pt idx="0">
                  <c:v>others</c:v>
                </c:pt>
              </c:strCache>
            </c:strRef>
          </c:tx>
          <c:spPr>
            <a:ln w="19050">
              <a:noFill/>
            </a:ln>
          </c:spPr>
          <c:marker>
            <c:spPr>
              <a:noFill/>
              <a:ln w="25400">
                <a:solidFill>
                  <a:srgbClr val="00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PUF_Data!$V$4:$V$89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1.9039999999999998E-2</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3.6399999999999998E-10</c:v>
                </c:pt>
                <c:pt idx="43">
                  <c:v>0</c:v>
                </c:pt>
                <c:pt idx="44">
                  <c:v>0</c:v>
                </c:pt>
                <c:pt idx="45">
                  <c:v>0</c:v>
                </c:pt>
                <c:pt idx="46">
                  <c:v>0</c:v>
                </c:pt>
                <c:pt idx="47">
                  <c:v>0</c:v>
                </c:pt>
                <c:pt idx="48">
                  <c:v>0</c:v>
                </c:pt>
                <c:pt idx="49">
                  <c:v>0</c:v>
                </c:pt>
                <c:pt idx="50">
                  <c:v>0.02</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0.12</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7-E112-4D07-9055-A9E4E2594B20}"/>
            </c:ext>
          </c:extLst>
        </c:ser>
        <c:dLbls>
          <c:showLegendKey val="0"/>
          <c:showVal val="0"/>
          <c:showCatName val="0"/>
          <c:showSerName val="0"/>
          <c:showPercent val="0"/>
          <c:showBubbleSize val="0"/>
        </c:dLbls>
        <c:axId val="152336752"/>
        <c:axId val="152337144"/>
        <c:extLst/>
      </c:scatterChart>
      <c:valAx>
        <c:axId val="152336752"/>
        <c:scaling>
          <c:orientation val="minMax"/>
          <c:max val="2024"/>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year</a:t>
                </a:r>
              </a:p>
            </c:rich>
          </c:tx>
          <c:layout>
            <c:manualLayout>
              <c:xMode val="edge"/>
              <c:yMode val="edge"/>
              <c:x val="0.46979226190476192"/>
              <c:y val="0.85973155008796376"/>
            </c:manualLayout>
          </c:layout>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At val="1.0000000000000006E-10"/>
        <c:crossBetween val="midCat"/>
        <c:majorUnit val="2"/>
      </c:valAx>
      <c:valAx>
        <c:axId val="152337144"/>
        <c:scaling>
          <c:logBase val="10"/>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native BER before stability enhancement</a:t>
                </a:r>
                <a:r>
                  <a:rPr lang="en-US" sz="1100" b="1" baseline="0">
                    <a:solidFill>
                      <a:sysClr val="windowText" lastClr="000000"/>
                    </a:solidFill>
                  </a:rPr>
                  <a:t> (%)</a:t>
                </a:r>
                <a:endParaRPr lang="en-US" sz="1100" b="1">
                  <a:solidFill>
                    <a:sysClr val="windowText" lastClr="000000"/>
                  </a:solidFill>
                </a:endParaRPr>
              </a:p>
            </c:rich>
          </c:tx>
          <c:overlay val="0"/>
          <c:spPr>
            <a:noFill/>
            <a:ln>
              <a:noFill/>
            </a:ln>
            <a:effectLst/>
          </c:sp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 val="autoZero"/>
        <c:crossBetween val="midCat"/>
      </c:valAx>
      <c:spPr>
        <a:noFill/>
        <a:ln w="19050">
          <a:solidFill>
            <a:schemeClr val="tx1"/>
          </a:solidFill>
        </a:ln>
        <a:effectLst/>
      </c:spPr>
    </c:plotArea>
    <c:legend>
      <c:legendPos val="b"/>
      <c:layout>
        <c:manualLayout>
          <c:xMode val="edge"/>
          <c:yMode val="edge"/>
          <c:x val="0"/>
          <c:y val="0.92482631977707297"/>
          <c:w val="1"/>
          <c:h val="7.5173680222927072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ysClr val="windowText" lastClr="000000"/>
                </a:solidFill>
                <a:latin typeface="+mn-lt"/>
                <a:ea typeface="+mn-ea"/>
                <a:cs typeface="+mn-cs"/>
              </a:defRPr>
            </a:pPr>
            <a:r>
              <a:rPr lang="en-SG" sz="1600" b="1">
                <a:solidFill>
                  <a:sysClr val="windowText" lastClr="000000"/>
                </a:solidFill>
              </a:rPr>
              <a:t>weak</a:t>
            </a:r>
            <a:r>
              <a:rPr lang="en-SG" sz="1600" b="1" baseline="0">
                <a:solidFill>
                  <a:sysClr val="windowText" lastClr="000000"/>
                </a:solidFill>
              </a:rPr>
              <a:t> PUF </a:t>
            </a:r>
            <a:r>
              <a:rPr lang="en-SG" sz="1600" b="1">
                <a:solidFill>
                  <a:sysClr val="windowText" lastClr="000000"/>
                </a:solidFill>
              </a:rPr>
              <a:t>area per bit vs year</a:t>
            </a:r>
          </a:p>
        </c:rich>
      </c:tx>
      <c:layout>
        <c:manualLayout>
          <c:xMode val="edge"/>
          <c:yMode val="edge"/>
          <c:x val="0.30701785714285712"/>
          <c:y val="1.015006646828304E-2"/>
        </c:manualLayout>
      </c:layout>
      <c:overlay val="0"/>
      <c:spPr>
        <a:noFill/>
        <a:ln>
          <a:noFill/>
        </a:ln>
        <a:effectLst/>
      </c:spPr>
    </c:title>
    <c:autoTitleDeleted val="0"/>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PUF_Data!$E$3</c:f>
              <c:strCache>
                <c:ptCount val="1"/>
                <c:pt idx="0">
                  <c:v>analog</c:v>
                </c:pt>
              </c:strCache>
            </c:strRef>
          </c:tx>
          <c:spPr>
            <a:ln>
              <a:noFill/>
            </a:ln>
          </c:spPr>
          <c:marker>
            <c:symbol val="circle"/>
            <c:size val="7"/>
            <c:spPr>
              <a:noFill/>
              <a:ln w="25400">
                <a:solidFill>
                  <a:srgbClr val="003399"/>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PUF_Data!$E$4:$E$89</c:f>
              <c:numCache>
                <c:formatCode>0.00</c:formatCode>
                <c:ptCount val="86"/>
                <c:pt idx="0">
                  <c:v>1708.1632653061226</c:v>
                </c:pt>
                <c:pt idx="1">
                  <c:v>0</c:v>
                </c:pt>
                <c:pt idx="2">
                  <c:v>0</c:v>
                </c:pt>
                <c:pt idx="3">
                  <c:v>0</c:v>
                </c:pt>
                <c:pt idx="4">
                  <c:v>0</c:v>
                </c:pt>
                <c:pt idx="5">
                  <c:v>4340.2777777777783</c:v>
                </c:pt>
                <c:pt idx="6">
                  <c:v>1055.8328510802469</c:v>
                </c:pt>
                <c:pt idx="7">
                  <c:v>0</c:v>
                </c:pt>
                <c:pt idx="8">
                  <c:v>0</c:v>
                </c:pt>
                <c:pt idx="9">
                  <c:v>1055.8328510802469</c:v>
                </c:pt>
                <c:pt idx="10">
                  <c:v>0</c:v>
                </c:pt>
                <c:pt idx="11">
                  <c:v>0</c:v>
                </c:pt>
                <c:pt idx="12">
                  <c:v>0</c:v>
                </c:pt>
                <c:pt idx="13">
                  <c:v>0</c:v>
                </c:pt>
                <c:pt idx="14">
                  <c:v>0</c:v>
                </c:pt>
                <c:pt idx="15">
                  <c:v>0</c:v>
                </c:pt>
                <c:pt idx="16">
                  <c:v>0</c:v>
                </c:pt>
                <c:pt idx="17">
                  <c:v>0</c:v>
                </c:pt>
                <c:pt idx="18">
                  <c:v>0</c:v>
                </c:pt>
                <c:pt idx="19">
                  <c:v>0</c:v>
                </c:pt>
                <c:pt idx="20">
                  <c:v>560.5122041420118</c:v>
                </c:pt>
                <c:pt idx="21">
                  <c:v>0</c:v>
                </c:pt>
                <c:pt idx="22">
                  <c:v>0</c:v>
                </c:pt>
                <c:pt idx="23">
                  <c:v>0</c:v>
                </c:pt>
                <c:pt idx="24">
                  <c:v>0</c:v>
                </c:pt>
                <c:pt idx="25">
                  <c:v>726.62721893491107</c:v>
                </c:pt>
                <c:pt idx="26">
                  <c:v>11574.074074074075</c:v>
                </c:pt>
                <c:pt idx="27">
                  <c:v>0</c:v>
                </c:pt>
                <c:pt idx="28">
                  <c:v>0</c:v>
                </c:pt>
                <c:pt idx="29">
                  <c:v>0</c:v>
                </c:pt>
                <c:pt idx="30">
                  <c:v>0</c:v>
                </c:pt>
                <c:pt idx="31">
                  <c:v>726.62721893491107</c:v>
                </c:pt>
                <c:pt idx="32">
                  <c:v>0</c:v>
                </c:pt>
                <c:pt idx="33">
                  <c:v>0</c:v>
                </c:pt>
                <c:pt idx="34">
                  <c:v>0</c:v>
                </c:pt>
                <c:pt idx="35">
                  <c:v>0</c:v>
                </c:pt>
                <c:pt idx="36">
                  <c:v>0</c:v>
                </c:pt>
                <c:pt idx="37">
                  <c:v>150</c:v>
                </c:pt>
                <c:pt idx="38">
                  <c:v>6500</c:v>
                </c:pt>
                <c:pt idx="39">
                  <c:v>0</c:v>
                </c:pt>
                <c:pt idx="40">
                  <c:v>0</c:v>
                </c:pt>
                <c:pt idx="41">
                  <c:v>0</c:v>
                </c:pt>
                <c:pt idx="42">
                  <c:v>0</c:v>
                </c:pt>
                <c:pt idx="43">
                  <c:v>600</c:v>
                </c:pt>
                <c:pt idx="44">
                  <c:v>445</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950</c:v>
                </c:pt>
                <c:pt idx="78">
                  <c:v>0</c:v>
                </c:pt>
                <c:pt idx="79">
                  <c:v>20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0-A28C-4067-B27D-8F96FC0DFBB6}"/>
            </c:ext>
          </c:extLst>
        </c:ser>
        <c:ser>
          <c:idx val="1"/>
          <c:order val="1"/>
          <c:tx>
            <c:strRef>
              <c:f>PUF_Data!$F$3</c:f>
              <c:strCache>
                <c:ptCount val="1"/>
                <c:pt idx="0">
                  <c:v>delay</c:v>
                </c:pt>
              </c:strCache>
            </c:strRef>
          </c:tx>
          <c:spPr>
            <a:ln>
              <a:noFill/>
            </a:ln>
          </c:spPr>
          <c:marker>
            <c:symbol val="triangle"/>
            <c:size val="7"/>
            <c:spPr>
              <a:noFill/>
              <a:ln w="25400">
                <a:solidFill>
                  <a:srgbClr val="00B0F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PUF_Data!$F$4:$F$89</c:f>
              <c:numCache>
                <c:formatCode>0.00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14854.536489151873</c:v>
                </c:pt>
                <c:pt idx="18">
                  <c:v>0</c:v>
                </c:pt>
                <c:pt idx="19">
                  <c:v>0</c:v>
                </c:pt>
                <c:pt idx="20">
                  <c:v>0</c:v>
                </c:pt>
                <c:pt idx="21">
                  <c:v>0</c:v>
                </c:pt>
                <c:pt idx="22">
                  <c:v>0</c:v>
                </c:pt>
                <c:pt idx="23">
                  <c:v>0</c:v>
                </c:pt>
                <c:pt idx="24">
                  <c:v>0</c:v>
                </c:pt>
                <c:pt idx="25">
                  <c:v>0</c:v>
                </c:pt>
                <c:pt idx="26">
                  <c:v>0</c:v>
                </c:pt>
                <c:pt idx="27">
                  <c:v>0</c:v>
                </c:pt>
                <c:pt idx="28">
                  <c:v>0</c:v>
                </c:pt>
                <c:pt idx="29">
                  <c:v>0</c:v>
                </c:pt>
                <c:pt idx="30">
                  <c:v>16642</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33163.265306122448</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5143</c:v>
                </c:pt>
                <c:pt idx="83">
                  <c:v>0</c:v>
                </c:pt>
                <c:pt idx="84">
                  <c:v>0</c:v>
                </c:pt>
                <c:pt idx="85">
                  <c:v>0</c:v>
                </c:pt>
              </c:numCache>
            </c:numRef>
          </c:yVal>
          <c:smooth val="0"/>
          <c:extLst>
            <c:ext xmlns:c16="http://schemas.microsoft.com/office/drawing/2014/chart" uri="{C3380CC4-5D6E-409C-BE32-E72D297353CC}">
              <c16:uniqueId val="{00000001-A28C-4067-B27D-8F96FC0DFBB6}"/>
            </c:ext>
          </c:extLst>
        </c:ser>
        <c:ser>
          <c:idx val="2"/>
          <c:order val="2"/>
          <c:tx>
            <c:strRef>
              <c:f>PUF_Data!$G$3</c:f>
              <c:strCache>
                <c:ptCount val="1"/>
                <c:pt idx="0">
                  <c:v>memory (volatile)</c:v>
                </c:pt>
              </c:strCache>
            </c:strRef>
          </c:tx>
          <c:spPr>
            <a:ln>
              <a:noFill/>
            </a:ln>
          </c:spPr>
          <c:marker>
            <c:symbol val="square"/>
            <c:size val="7"/>
            <c:spPr>
              <a:noFill/>
              <a:ln w="25400">
                <a:solidFill>
                  <a:srgbClr val="00B05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PUF_Data!$G$4:$G$89</c:f>
              <c:numCache>
                <c:formatCode>0.00</c:formatCode>
                <c:ptCount val="86"/>
                <c:pt idx="0">
                  <c:v>0</c:v>
                </c:pt>
                <c:pt idx="1">
                  <c:v>0</c:v>
                </c:pt>
                <c:pt idx="2">
                  <c:v>0</c:v>
                </c:pt>
                <c:pt idx="3">
                  <c:v>3106.5088757396447</c:v>
                </c:pt>
                <c:pt idx="4">
                  <c:v>1092</c:v>
                </c:pt>
                <c:pt idx="5">
                  <c:v>0</c:v>
                </c:pt>
                <c:pt idx="6">
                  <c:v>0</c:v>
                </c:pt>
                <c:pt idx="7">
                  <c:v>0</c:v>
                </c:pt>
                <c:pt idx="8">
                  <c:v>0</c:v>
                </c:pt>
                <c:pt idx="9">
                  <c:v>0</c:v>
                </c:pt>
                <c:pt idx="10">
                  <c:v>0</c:v>
                </c:pt>
                <c:pt idx="11">
                  <c:v>0</c:v>
                </c:pt>
                <c:pt idx="12">
                  <c:v>192.31491540310648</c:v>
                </c:pt>
                <c:pt idx="13">
                  <c:v>0</c:v>
                </c:pt>
                <c:pt idx="14">
                  <c:v>1964.6819526627216</c:v>
                </c:pt>
                <c:pt idx="15">
                  <c:v>2831.4534023668634</c:v>
                </c:pt>
                <c:pt idx="16">
                  <c:v>1097.9105029585799</c:v>
                </c:pt>
                <c:pt idx="17">
                  <c:v>0</c:v>
                </c:pt>
                <c:pt idx="18">
                  <c:v>2384.185791015625</c:v>
                </c:pt>
                <c:pt idx="19">
                  <c:v>38.0859375</c:v>
                </c:pt>
                <c:pt idx="20">
                  <c:v>0</c:v>
                </c:pt>
                <c:pt idx="21">
                  <c:v>0</c:v>
                </c:pt>
                <c:pt idx="22">
                  <c:v>0</c:v>
                </c:pt>
                <c:pt idx="23">
                  <c:v>0</c:v>
                </c:pt>
                <c:pt idx="24">
                  <c:v>0</c:v>
                </c:pt>
                <c:pt idx="25">
                  <c:v>0</c:v>
                </c:pt>
                <c:pt idx="26">
                  <c:v>0</c:v>
                </c:pt>
                <c:pt idx="27">
                  <c:v>0</c:v>
                </c:pt>
                <c:pt idx="28">
                  <c:v>0</c:v>
                </c:pt>
                <c:pt idx="29">
                  <c:v>806</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373</c:v>
                </c:pt>
                <c:pt idx="59">
                  <c:v>497</c:v>
                </c:pt>
                <c:pt idx="60">
                  <c:v>0</c:v>
                </c:pt>
                <c:pt idx="61">
                  <c:v>1125</c:v>
                </c:pt>
                <c:pt idx="62">
                  <c:v>0</c:v>
                </c:pt>
                <c:pt idx="63">
                  <c:v>0</c:v>
                </c:pt>
                <c:pt idx="64">
                  <c:v>0</c:v>
                </c:pt>
                <c:pt idx="65">
                  <c:v>0</c:v>
                </c:pt>
                <c:pt idx="66">
                  <c:v>0</c:v>
                </c:pt>
                <c:pt idx="67">
                  <c:v>0</c:v>
                </c:pt>
                <c:pt idx="68">
                  <c:v>0</c:v>
                </c:pt>
                <c:pt idx="69">
                  <c:v>0</c:v>
                </c:pt>
                <c:pt idx="70">
                  <c:v>0</c:v>
                </c:pt>
                <c:pt idx="71">
                  <c:v>0</c:v>
                </c:pt>
                <c:pt idx="72">
                  <c:v>0</c:v>
                </c:pt>
                <c:pt idx="73">
                  <c:v>0</c:v>
                </c:pt>
                <c:pt idx="74">
                  <c:v>394</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2-A28C-4067-B27D-8F96FC0DFBB6}"/>
            </c:ext>
          </c:extLst>
        </c:ser>
        <c:ser>
          <c:idx val="5"/>
          <c:order val="3"/>
          <c:tx>
            <c:strRef>
              <c:f>PUF_Data!$J$3</c:f>
              <c:strCache>
                <c:ptCount val="1"/>
                <c:pt idx="0">
                  <c:v>memory (non-volatile)</c:v>
                </c:pt>
              </c:strCache>
            </c:strRef>
          </c:tx>
          <c:spPr>
            <a:ln w="19050">
              <a:noFill/>
            </a:ln>
          </c:spPr>
          <c:marker>
            <c:symbol val="x"/>
            <c:size val="5"/>
            <c:spPr>
              <a:noFill/>
              <a:ln w="25400">
                <a:solidFill>
                  <a:srgbClr val="7030A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PUF_Data!$J$4:$J$89</c:f>
              <c:numCache>
                <c:formatCode>0.00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60.625</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169.2307692307692</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3-A28C-4067-B27D-8F96FC0DFBB6}"/>
            </c:ext>
          </c:extLst>
        </c:ser>
        <c:ser>
          <c:idx val="3"/>
          <c:order val="4"/>
          <c:tx>
            <c:strRef>
              <c:f>PUF_Data!$H$3</c:f>
              <c:strCache>
                <c:ptCount val="1"/>
                <c:pt idx="0">
                  <c:v>metastability</c:v>
                </c:pt>
              </c:strCache>
            </c:strRef>
          </c:tx>
          <c:spPr>
            <a:ln>
              <a:noFill/>
            </a:ln>
          </c:spPr>
          <c:marker>
            <c:symbol val="star"/>
            <c:size val="7"/>
            <c:spPr>
              <a:noFill/>
              <a:ln w="25400">
                <a:solidFill>
                  <a:srgbClr val="FFC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PUF_Data!$H$4:$H$89</c:f>
              <c:numCache>
                <c:formatCode>0.00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9632.2314049586785</c:v>
                </c:pt>
                <c:pt idx="22">
                  <c:v>56675.502232142855</c:v>
                </c:pt>
                <c:pt idx="23">
                  <c:v>0</c:v>
                </c:pt>
                <c:pt idx="24">
                  <c:v>0</c:v>
                </c:pt>
                <c:pt idx="25">
                  <c:v>0</c:v>
                </c:pt>
                <c:pt idx="26">
                  <c:v>0</c:v>
                </c:pt>
                <c:pt idx="27">
                  <c:v>0</c:v>
                </c:pt>
                <c:pt idx="28">
                  <c:v>0</c:v>
                </c:pt>
                <c:pt idx="29">
                  <c:v>0</c:v>
                </c:pt>
                <c:pt idx="30">
                  <c:v>0</c:v>
                </c:pt>
                <c:pt idx="31">
                  <c:v>0</c:v>
                </c:pt>
                <c:pt idx="32">
                  <c:v>9387.7551020408155</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21065.848214285717</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4-A28C-4067-B27D-8F96FC0DFBB6}"/>
            </c:ext>
          </c:extLst>
        </c:ser>
        <c:ser>
          <c:idx val="4"/>
          <c:order val="5"/>
          <c:tx>
            <c:strRef>
              <c:f>PUF_Data!$I$3</c:f>
              <c:strCache>
                <c:ptCount val="1"/>
                <c:pt idx="0">
                  <c:v>monostable</c:v>
                </c:pt>
              </c:strCache>
            </c:strRef>
          </c:tx>
          <c:spPr>
            <a:ln w="25400">
              <a:noFill/>
            </a:ln>
          </c:spPr>
          <c:marker>
            <c:symbol val="diamond"/>
            <c:size val="7"/>
            <c:spPr>
              <a:noFill/>
              <a:ln w="25400">
                <a:solidFill>
                  <a:srgbClr val="FF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PUF_Data!$I$4:$I$89</c:f>
              <c:numCache>
                <c:formatCode>0.00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6000</c:v>
                </c:pt>
                <c:pt idx="25">
                  <c:v>0</c:v>
                </c:pt>
                <c:pt idx="26">
                  <c:v>0</c:v>
                </c:pt>
                <c:pt idx="27">
                  <c:v>0</c:v>
                </c:pt>
                <c:pt idx="28">
                  <c:v>2613.3333333333335</c:v>
                </c:pt>
                <c:pt idx="29">
                  <c:v>0</c:v>
                </c:pt>
                <c:pt idx="30">
                  <c:v>0</c:v>
                </c:pt>
                <c:pt idx="31">
                  <c:v>0</c:v>
                </c:pt>
                <c:pt idx="32">
                  <c:v>0</c:v>
                </c:pt>
                <c:pt idx="33">
                  <c:v>0</c:v>
                </c:pt>
                <c:pt idx="34">
                  <c:v>782</c:v>
                </c:pt>
                <c:pt idx="35">
                  <c:v>553</c:v>
                </c:pt>
                <c:pt idx="36">
                  <c:v>0</c:v>
                </c:pt>
                <c:pt idx="37">
                  <c:v>0</c:v>
                </c:pt>
                <c:pt idx="38">
                  <c:v>0</c:v>
                </c:pt>
                <c:pt idx="39">
                  <c:v>0</c:v>
                </c:pt>
                <c:pt idx="40">
                  <c:v>0</c:v>
                </c:pt>
                <c:pt idx="41">
                  <c:v>4518.75</c:v>
                </c:pt>
                <c:pt idx="42">
                  <c:v>0</c:v>
                </c:pt>
                <c:pt idx="43">
                  <c:v>0</c:v>
                </c:pt>
                <c:pt idx="44">
                  <c:v>0</c:v>
                </c:pt>
                <c:pt idx="45">
                  <c:v>0</c:v>
                </c:pt>
                <c:pt idx="46">
                  <c:v>0</c:v>
                </c:pt>
                <c:pt idx="47">
                  <c:v>3643</c:v>
                </c:pt>
                <c:pt idx="48">
                  <c:v>0</c:v>
                </c:pt>
                <c:pt idx="49">
                  <c:v>0</c:v>
                </c:pt>
                <c:pt idx="50">
                  <c:v>0</c:v>
                </c:pt>
                <c:pt idx="51">
                  <c:v>562</c:v>
                </c:pt>
                <c:pt idx="52">
                  <c:v>0</c:v>
                </c:pt>
                <c:pt idx="53">
                  <c:v>0</c:v>
                </c:pt>
                <c:pt idx="54">
                  <c:v>2665</c:v>
                </c:pt>
                <c:pt idx="55">
                  <c:v>0</c:v>
                </c:pt>
                <c:pt idx="56">
                  <c:v>0</c:v>
                </c:pt>
                <c:pt idx="57">
                  <c:v>0</c:v>
                </c:pt>
                <c:pt idx="58">
                  <c:v>0</c:v>
                </c:pt>
                <c:pt idx="59">
                  <c:v>0</c:v>
                </c:pt>
                <c:pt idx="60">
                  <c:v>3643</c:v>
                </c:pt>
                <c:pt idx="61">
                  <c:v>0</c:v>
                </c:pt>
                <c:pt idx="62">
                  <c:v>0</c:v>
                </c:pt>
                <c:pt idx="63">
                  <c:v>0</c:v>
                </c:pt>
                <c:pt idx="64">
                  <c:v>594</c:v>
                </c:pt>
                <c:pt idx="65">
                  <c:v>0</c:v>
                </c:pt>
                <c:pt idx="66">
                  <c:v>0</c:v>
                </c:pt>
                <c:pt idx="67">
                  <c:v>0</c:v>
                </c:pt>
                <c:pt idx="68">
                  <c:v>0</c:v>
                </c:pt>
                <c:pt idx="69">
                  <c:v>0</c:v>
                </c:pt>
                <c:pt idx="70">
                  <c:v>0</c:v>
                </c:pt>
                <c:pt idx="71">
                  <c:v>0</c:v>
                </c:pt>
                <c:pt idx="72">
                  <c:v>0</c:v>
                </c:pt>
                <c:pt idx="73">
                  <c:v>7200</c:v>
                </c:pt>
                <c:pt idx="74">
                  <c:v>0</c:v>
                </c:pt>
                <c:pt idx="75">
                  <c:v>0</c:v>
                </c:pt>
                <c:pt idx="76">
                  <c:v>0</c:v>
                </c:pt>
                <c:pt idx="77">
                  <c:v>0</c:v>
                </c:pt>
                <c:pt idx="78">
                  <c:v>0</c:v>
                </c:pt>
                <c:pt idx="79">
                  <c:v>0</c:v>
                </c:pt>
                <c:pt idx="80">
                  <c:v>0</c:v>
                </c:pt>
                <c:pt idx="81">
                  <c:v>0</c:v>
                </c:pt>
                <c:pt idx="82">
                  <c:v>0</c:v>
                </c:pt>
                <c:pt idx="83">
                  <c:v>0</c:v>
                </c:pt>
                <c:pt idx="84">
                  <c:v>1040</c:v>
                </c:pt>
                <c:pt idx="85">
                  <c:v>0</c:v>
                </c:pt>
              </c:numCache>
            </c:numRef>
          </c:yVal>
          <c:smooth val="0"/>
          <c:extLst>
            <c:ext xmlns:c16="http://schemas.microsoft.com/office/drawing/2014/chart" uri="{C3380CC4-5D6E-409C-BE32-E72D297353CC}">
              <c16:uniqueId val="{00000005-A28C-4067-B27D-8F96FC0DFBB6}"/>
            </c:ext>
          </c:extLst>
        </c:ser>
        <c:ser>
          <c:idx val="7"/>
          <c:order val="6"/>
          <c:tx>
            <c:strRef>
              <c:f>PUF_Data!$K$3</c:f>
              <c:strCache>
                <c:ptCount val="1"/>
                <c:pt idx="0">
                  <c:v>hybrid</c:v>
                </c:pt>
              </c:strCache>
            </c:strRef>
          </c:tx>
          <c:spPr>
            <a:ln w="19050">
              <a:noFill/>
            </a:ln>
          </c:spPr>
          <c:marker>
            <c:symbol val="star"/>
            <c:size val="7"/>
            <c:spPr>
              <a:ln w="25400">
                <a:solidFill>
                  <a:srgbClr val="C0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PUF_Data!$K$4:$K$89</c:f>
              <c:numCache>
                <c:formatCode>0.00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594</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6-A28C-4067-B27D-8F96FC0DFBB6}"/>
            </c:ext>
          </c:extLst>
        </c:ser>
        <c:ser>
          <c:idx val="6"/>
          <c:order val="7"/>
          <c:tx>
            <c:strRef>
              <c:f>PUF_Data!$L$3</c:f>
              <c:strCache>
                <c:ptCount val="1"/>
                <c:pt idx="0">
                  <c:v>others</c:v>
                </c:pt>
              </c:strCache>
            </c:strRef>
          </c:tx>
          <c:spPr>
            <a:ln w="19050">
              <a:noFill/>
            </a:ln>
          </c:spPr>
          <c:marker>
            <c:spPr>
              <a:noFill/>
              <a:ln w="25400">
                <a:solidFill>
                  <a:srgbClr val="00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PUF_Data!$L$4:$L$89</c:f>
              <c:numCache>
                <c:formatCode>0.00</c:formatCode>
                <c:ptCount val="86"/>
                <c:pt idx="0">
                  <c:v>0</c:v>
                </c:pt>
                <c:pt idx="1">
                  <c:v>0</c:v>
                </c:pt>
                <c:pt idx="2">
                  <c:v>0</c:v>
                </c:pt>
                <c:pt idx="3">
                  <c:v>0</c:v>
                </c:pt>
                <c:pt idx="4">
                  <c:v>0</c:v>
                </c:pt>
                <c:pt idx="5">
                  <c:v>0</c:v>
                </c:pt>
                <c:pt idx="6">
                  <c:v>0</c:v>
                </c:pt>
                <c:pt idx="7">
                  <c:v>710.05917159763305</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1052794.1645408163</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218.18181818181819</c:v>
                </c:pt>
                <c:pt idx="43">
                  <c:v>0</c:v>
                </c:pt>
                <c:pt idx="44">
                  <c:v>0</c:v>
                </c:pt>
                <c:pt idx="45">
                  <c:v>0</c:v>
                </c:pt>
                <c:pt idx="46">
                  <c:v>0</c:v>
                </c:pt>
                <c:pt idx="47">
                  <c:v>0</c:v>
                </c:pt>
                <c:pt idx="48">
                  <c:v>0</c:v>
                </c:pt>
                <c:pt idx="49">
                  <c:v>0</c:v>
                </c:pt>
                <c:pt idx="50">
                  <c:v>4918</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1187</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325</c:v>
                </c:pt>
              </c:numCache>
            </c:numRef>
          </c:yVal>
          <c:smooth val="0"/>
          <c:extLst>
            <c:ext xmlns:c16="http://schemas.microsoft.com/office/drawing/2014/chart" uri="{C3380CC4-5D6E-409C-BE32-E72D297353CC}">
              <c16:uniqueId val="{00000007-A28C-4067-B27D-8F96FC0DFBB6}"/>
            </c:ext>
          </c:extLst>
        </c:ser>
        <c:dLbls>
          <c:showLegendKey val="0"/>
          <c:showVal val="0"/>
          <c:showCatName val="0"/>
          <c:showSerName val="0"/>
          <c:showPercent val="0"/>
          <c:showBubbleSize val="0"/>
        </c:dLbls>
        <c:axId val="152336752"/>
        <c:axId val="152337144"/>
        <c:extLst/>
      </c:scatterChart>
      <c:valAx>
        <c:axId val="152336752"/>
        <c:scaling>
          <c:orientation val="minMax"/>
          <c:max val="2024"/>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year</a:t>
                </a:r>
              </a:p>
            </c:rich>
          </c:tx>
          <c:layout>
            <c:manualLayout>
              <c:xMode val="edge"/>
              <c:yMode val="edge"/>
              <c:x val="0.46727242063492064"/>
              <c:y val="0.8527337245948633"/>
            </c:manualLayout>
          </c:layout>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 val="autoZero"/>
        <c:crossBetween val="midCat"/>
        <c:majorUnit val="2"/>
      </c:valAx>
      <c:valAx>
        <c:axId val="152337144"/>
        <c:scaling>
          <c:logBase val="10"/>
          <c:orientation val="minMax"/>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normalized</a:t>
                </a:r>
                <a:r>
                  <a:rPr lang="en-US" sz="1100" b="1" baseline="0">
                    <a:solidFill>
                      <a:sysClr val="windowText" lastClr="000000"/>
                    </a:solidFill>
                  </a:rPr>
                  <a:t> area/bit (F</a:t>
                </a:r>
                <a:r>
                  <a:rPr lang="en-US" sz="1100" b="1" baseline="30000">
                    <a:solidFill>
                      <a:sysClr val="windowText" lastClr="000000"/>
                    </a:solidFill>
                  </a:rPr>
                  <a:t>2</a:t>
                </a:r>
                <a:r>
                  <a:rPr lang="en-US" sz="1100" b="1" baseline="0">
                    <a:solidFill>
                      <a:sysClr val="windowText" lastClr="000000"/>
                    </a:solidFill>
                  </a:rPr>
                  <a:t>)</a:t>
                </a:r>
                <a:endParaRPr lang="en-US" sz="1100" b="1">
                  <a:solidFill>
                    <a:sysClr val="windowText" lastClr="000000"/>
                  </a:solidFill>
                </a:endParaRPr>
              </a:p>
            </c:rich>
          </c:tx>
          <c:overlay val="0"/>
          <c:spPr>
            <a:noFill/>
            <a:ln>
              <a:noFill/>
            </a:ln>
            <a:effectLst/>
          </c:sp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 val="autoZero"/>
        <c:crossBetween val="midCat"/>
      </c:valAx>
      <c:spPr>
        <a:noFill/>
        <a:ln w="19050">
          <a:solidFill>
            <a:schemeClr val="tx1"/>
          </a:solidFill>
        </a:ln>
        <a:effectLst/>
      </c:spPr>
    </c:plotArea>
    <c:legend>
      <c:legendPos val="b"/>
      <c:layout>
        <c:manualLayout>
          <c:xMode val="edge"/>
          <c:yMode val="edge"/>
          <c:x val="1.8816269841269842E-2"/>
          <c:y val="0.90484192803309815"/>
          <c:w val="0.97748650793650815"/>
          <c:h val="9.5158071966901722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PUF_Data!$E$3</c:f>
              <c:strCache>
                <c:ptCount val="1"/>
                <c:pt idx="0">
                  <c:v>analog</c:v>
                </c:pt>
              </c:strCache>
            </c:strRef>
          </c:tx>
          <c:spPr>
            <a:ln w="19050">
              <a:noFill/>
            </a:ln>
          </c:spPr>
          <c:marker>
            <c:symbol val="circle"/>
            <c:size val="7"/>
            <c:spPr>
              <a:noFill/>
              <a:ln w="25400">
                <a:solidFill>
                  <a:srgbClr val="003399"/>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PUF_Data!$Y$4:$Y$89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4.9999999999999998E-7</c:v>
                </c:pt>
                <c:pt idx="21">
                  <c:v>0</c:v>
                </c:pt>
                <c:pt idx="22">
                  <c:v>0</c:v>
                </c:pt>
                <c:pt idx="23">
                  <c:v>0</c:v>
                </c:pt>
                <c:pt idx="24">
                  <c:v>0</c:v>
                </c:pt>
                <c:pt idx="25">
                  <c:v>2</c:v>
                </c:pt>
                <c:pt idx="26">
                  <c:v>0</c:v>
                </c:pt>
                <c:pt idx="27">
                  <c:v>0</c:v>
                </c:pt>
                <c:pt idx="28">
                  <c:v>0</c:v>
                </c:pt>
                <c:pt idx="29">
                  <c:v>0</c:v>
                </c:pt>
                <c:pt idx="30">
                  <c:v>0</c:v>
                </c:pt>
                <c:pt idx="31">
                  <c:v>2</c:v>
                </c:pt>
                <c:pt idx="32">
                  <c:v>0</c:v>
                </c:pt>
                <c:pt idx="33">
                  <c:v>0</c:v>
                </c:pt>
                <c:pt idx="34">
                  <c:v>0</c:v>
                </c:pt>
                <c:pt idx="35">
                  <c:v>0</c:v>
                </c:pt>
                <c:pt idx="36">
                  <c:v>0</c:v>
                </c:pt>
                <c:pt idx="37">
                  <c:v>0</c:v>
                </c:pt>
                <c:pt idx="38">
                  <c:v>0</c:v>
                </c:pt>
                <c:pt idx="39">
                  <c:v>0</c:v>
                </c:pt>
                <c:pt idx="40">
                  <c:v>0</c:v>
                </c:pt>
                <c:pt idx="41">
                  <c:v>0</c:v>
                </c:pt>
                <c:pt idx="42">
                  <c:v>0</c:v>
                </c:pt>
                <c:pt idx="43">
                  <c:v>0.62</c:v>
                </c:pt>
                <c:pt idx="44">
                  <c:v>4.0000000000000001E-3</c:v>
                </c:pt>
                <c:pt idx="45">
                  <c:v>6.64</c:v>
                </c:pt>
                <c:pt idx="46">
                  <c:v>0</c:v>
                </c:pt>
                <c:pt idx="47">
                  <c:v>0</c:v>
                </c:pt>
                <c:pt idx="48">
                  <c:v>0.06</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1.391</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0-C540-4798-9130-6109A7B9DD13}"/>
            </c:ext>
          </c:extLst>
        </c:ser>
        <c:ser>
          <c:idx val="1"/>
          <c:order val="1"/>
          <c:tx>
            <c:strRef>
              <c:f>PUF_Data!$F$3</c:f>
              <c:strCache>
                <c:ptCount val="1"/>
                <c:pt idx="0">
                  <c:v>delay</c:v>
                </c:pt>
              </c:strCache>
            </c:strRef>
          </c:tx>
          <c:spPr>
            <a:ln w="19050">
              <a:noFill/>
            </a:ln>
          </c:spPr>
          <c:marker>
            <c:symbol val="triangle"/>
            <c:size val="7"/>
            <c:spPr>
              <a:noFill/>
              <a:ln w="25400">
                <a:solidFill>
                  <a:srgbClr val="00B0F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PUF_Data!$Z$4:$Z$89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7.8E-2</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0.16</c:v>
                </c:pt>
                <c:pt idx="83">
                  <c:v>0</c:v>
                </c:pt>
                <c:pt idx="84">
                  <c:v>0</c:v>
                </c:pt>
                <c:pt idx="85">
                  <c:v>0</c:v>
                </c:pt>
              </c:numCache>
            </c:numRef>
          </c:yVal>
          <c:smooth val="0"/>
          <c:extLst>
            <c:ext xmlns:c16="http://schemas.microsoft.com/office/drawing/2014/chart" uri="{C3380CC4-5D6E-409C-BE32-E72D297353CC}">
              <c16:uniqueId val="{00000001-C540-4798-9130-6109A7B9DD13}"/>
            </c:ext>
          </c:extLst>
        </c:ser>
        <c:ser>
          <c:idx val="2"/>
          <c:order val="2"/>
          <c:tx>
            <c:strRef>
              <c:f>PUF_Data!$G$3</c:f>
              <c:strCache>
                <c:ptCount val="1"/>
                <c:pt idx="0">
                  <c:v>memory (volatile)</c:v>
                </c:pt>
              </c:strCache>
            </c:strRef>
          </c:tx>
          <c:spPr>
            <a:ln w="19050">
              <a:noFill/>
            </a:ln>
          </c:spPr>
          <c:marker>
            <c:symbol val="square"/>
            <c:size val="7"/>
            <c:spPr>
              <a:noFill/>
              <a:ln w="25400">
                <a:solidFill>
                  <a:srgbClr val="00B050"/>
                </a:solidFill>
              </a:ln>
              <a:effectLst/>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PUF_Data!$AA$4:$AA$89</c:f>
              <c:numCache>
                <c:formatCode>0.000E+00</c:formatCode>
                <c:ptCount val="86"/>
                <c:pt idx="0">
                  <c:v>0</c:v>
                </c:pt>
                <c:pt idx="1">
                  <c:v>0</c:v>
                </c:pt>
                <c:pt idx="2">
                  <c:v>0</c:v>
                </c:pt>
                <c:pt idx="3">
                  <c:v>0</c:v>
                </c:pt>
                <c:pt idx="4">
                  <c:v>3.04</c:v>
                </c:pt>
                <c:pt idx="5">
                  <c:v>0</c:v>
                </c:pt>
                <c:pt idx="6">
                  <c:v>0</c:v>
                </c:pt>
                <c:pt idx="7">
                  <c:v>0</c:v>
                </c:pt>
                <c:pt idx="8">
                  <c:v>0</c:v>
                </c:pt>
                <c:pt idx="9">
                  <c:v>0</c:v>
                </c:pt>
                <c:pt idx="10">
                  <c:v>0</c:v>
                </c:pt>
                <c:pt idx="11">
                  <c:v>0</c:v>
                </c:pt>
                <c:pt idx="12">
                  <c:v>0</c:v>
                </c:pt>
                <c:pt idx="13">
                  <c:v>0</c:v>
                </c:pt>
                <c:pt idx="14">
                  <c:v>0</c:v>
                </c:pt>
                <c:pt idx="15">
                  <c:v>0</c:v>
                </c:pt>
                <c:pt idx="16">
                  <c:v>0</c:v>
                </c:pt>
                <c:pt idx="17">
                  <c:v>0</c:v>
                </c:pt>
                <c:pt idx="18">
                  <c:v>1.0000000000000001E-5</c:v>
                </c:pt>
                <c:pt idx="19">
                  <c:v>1E-4</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5.9899999999999999E-5</c:v>
                </c:pt>
                <c:pt idx="59">
                  <c:v>3.9100000000000002E-5</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2.9999999999999997E-6</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2-C540-4798-9130-6109A7B9DD13}"/>
            </c:ext>
          </c:extLst>
        </c:ser>
        <c:ser>
          <c:idx val="5"/>
          <c:order val="3"/>
          <c:tx>
            <c:strRef>
              <c:f>PUF_Data!$J$3</c:f>
              <c:strCache>
                <c:ptCount val="1"/>
                <c:pt idx="0">
                  <c:v>memory (non-volatile)</c:v>
                </c:pt>
              </c:strCache>
            </c:strRef>
          </c:tx>
          <c:spPr>
            <a:ln w="19050">
              <a:noFill/>
            </a:ln>
          </c:spPr>
          <c:marker>
            <c:symbol val="x"/>
            <c:size val="5"/>
            <c:spPr>
              <a:noFill/>
              <a:ln w="25400">
                <a:solidFill>
                  <a:srgbClr val="7030A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PUF_Data!$AD$4:$AD$89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0.5</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6.0000000000000006E-4</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9.765625E-4</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3-C540-4798-9130-6109A7B9DD13}"/>
            </c:ext>
          </c:extLst>
        </c:ser>
        <c:ser>
          <c:idx val="3"/>
          <c:order val="4"/>
          <c:tx>
            <c:strRef>
              <c:f>PUF_Data!$H$3</c:f>
              <c:strCache>
                <c:ptCount val="1"/>
                <c:pt idx="0">
                  <c:v>metastability</c:v>
                </c:pt>
              </c:strCache>
            </c:strRef>
          </c:tx>
          <c:spPr>
            <a:ln w="19050">
              <a:noFill/>
            </a:ln>
          </c:spPr>
          <c:marker>
            <c:symbol val="star"/>
            <c:size val="7"/>
            <c:spPr>
              <a:noFill/>
              <a:ln w="25400">
                <a:solidFill>
                  <a:srgbClr val="FFC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PUF_Data!$AB$4:$AB$89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0.97</c:v>
                </c:pt>
                <c:pt idx="22">
                  <c:v>1.94</c:v>
                </c:pt>
                <c:pt idx="23">
                  <c:v>0</c:v>
                </c:pt>
                <c:pt idx="24">
                  <c:v>0</c:v>
                </c:pt>
                <c:pt idx="25">
                  <c:v>0</c:v>
                </c:pt>
                <c:pt idx="26">
                  <c:v>0</c:v>
                </c:pt>
                <c:pt idx="27">
                  <c:v>0</c:v>
                </c:pt>
                <c:pt idx="28">
                  <c:v>0</c:v>
                </c:pt>
                <c:pt idx="29">
                  <c:v>0</c:v>
                </c:pt>
                <c:pt idx="30">
                  <c:v>0</c:v>
                </c:pt>
                <c:pt idx="31">
                  <c:v>0</c:v>
                </c:pt>
                <c:pt idx="32">
                  <c:v>1.46</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2.8</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4-C540-4798-9130-6109A7B9DD13}"/>
            </c:ext>
          </c:extLst>
        </c:ser>
        <c:ser>
          <c:idx val="4"/>
          <c:order val="5"/>
          <c:tx>
            <c:strRef>
              <c:f>PUF_Data!$I$3</c:f>
              <c:strCache>
                <c:ptCount val="1"/>
                <c:pt idx="0">
                  <c:v>monostable</c:v>
                </c:pt>
              </c:strCache>
            </c:strRef>
          </c:tx>
          <c:spPr>
            <a:ln w="19050">
              <a:noFill/>
            </a:ln>
          </c:spPr>
          <c:marker>
            <c:symbol val="diamond"/>
            <c:size val="7"/>
            <c:spPr>
              <a:noFill/>
              <a:ln w="25400">
                <a:solidFill>
                  <a:srgbClr val="FF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PUF_Data!$AC$4:$AC$89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1.9999999999999999E-36</c:v>
                </c:pt>
                <c:pt idx="29">
                  <c:v>0</c:v>
                </c:pt>
                <c:pt idx="30">
                  <c:v>0</c:v>
                </c:pt>
                <c:pt idx="31">
                  <c:v>0</c:v>
                </c:pt>
                <c:pt idx="32">
                  <c:v>0</c:v>
                </c:pt>
                <c:pt idx="33">
                  <c:v>0</c:v>
                </c:pt>
                <c:pt idx="34">
                  <c:v>0.08</c:v>
                </c:pt>
                <c:pt idx="35">
                  <c:v>0.05</c:v>
                </c:pt>
                <c:pt idx="36">
                  <c:v>0</c:v>
                </c:pt>
                <c:pt idx="37">
                  <c:v>0</c:v>
                </c:pt>
                <c:pt idx="38">
                  <c:v>0</c:v>
                </c:pt>
                <c:pt idx="39">
                  <c:v>0</c:v>
                </c:pt>
                <c:pt idx="40">
                  <c:v>0</c:v>
                </c:pt>
                <c:pt idx="41">
                  <c:v>0</c:v>
                </c:pt>
                <c:pt idx="42">
                  <c:v>0</c:v>
                </c:pt>
                <c:pt idx="43">
                  <c:v>0</c:v>
                </c:pt>
                <c:pt idx="44">
                  <c:v>0</c:v>
                </c:pt>
                <c:pt idx="45">
                  <c:v>0</c:v>
                </c:pt>
                <c:pt idx="46">
                  <c:v>0</c:v>
                </c:pt>
                <c:pt idx="47">
                  <c:v>0.81</c:v>
                </c:pt>
                <c:pt idx="48">
                  <c:v>0</c:v>
                </c:pt>
                <c:pt idx="49">
                  <c:v>0</c:v>
                </c:pt>
                <c:pt idx="50">
                  <c:v>0</c:v>
                </c:pt>
                <c:pt idx="51">
                  <c:v>0.182</c:v>
                </c:pt>
                <c:pt idx="52">
                  <c:v>0</c:v>
                </c:pt>
                <c:pt idx="53">
                  <c:v>0</c:v>
                </c:pt>
                <c:pt idx="54">
                  <c:v>8.8999999999999996E-2</c:v>
                </c:pt>
                <c:pt idx="55">
                  <c:v>0</c:v>
                </c:pt>
                <c:pt idx="56">
                  <c:v>0</c:v>
                </c:pt>
                <c:pt idx="57">
                  <c:v>0</c:v>
                </c:pt>
                <c:pt idx="58">
                  <c:v>0</c:v>
                </c:pt>
                <c:pt idx="59">
                  <c:v>0</c:v>
                </c:pt>
                <c:pt idx="60">
                  <c:v>5.0000000000000001E-4</c:v>
                </c:pt>
                <c:pt idx="61">
                  <c:v>0</c:v>
                </c:pt>
                <c:pt idx="62">
                  <c:v>0</c:v>
                </c:pt>
                <c:pt idx="63">
                  <c:v>0</c:v>
                </c:pt>
                <c:pt idx="64">
                  <c:v>3.3400000000000002E-6</c:v>
                </c:pt>
                <c:pt idx="65">
                  <c:v>0</c:v>
                </c:pt>
                <c:pt idx="66">
                  <c:v>0</c:v>
                </c:pt>
                <c:pt idx="67">
                  <c:v>0</c:v>
                </c:pt>
                <c:pt idx="68">
                  <c:v>0</c:v>
                </c:pt>
                <c:pt idx="69">
                  <c:v>0</c:v>
                </c:pt>
                <c:pt idx="70">
                  <c:v>0</c:v>
                </c:pt>
                <c:pt idx="71">
                  <c:v>0</c:v>
                </c:pt>
                <c:pt idx="72">
                  <c:v>0</c:v>
                </c:pt>
                <c:pt idx="73">
                  <c:v>1.1000000000000001</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5-C540-4798-9130-6109A7B9DD13}"/>
            </c:ext>
          </c:extLst>
        </c:ser>
        <c:ser>
          <c:idx val="7"/>
          <c:order val="6"/>
          <c:tx>
            <c:strRef>
              <c:f>PUF_Data!$AE$3</c:f>
              <c:strCache>
                <c:ptCount val="1"/>
                <c:pt idx="0">
                  <c:v>hybrid</c:v>
                </c:pt>
              </c:strCache>
            </c:strRef>
          </c:tx>
          <c:spPr>
            <a:ln w="19050">
              <a:noFill/>
            </a:ln>
          </c:spPr>
          <c:marker>
            <c:symbol val="star"/>
            <c:size val="7"/>
            <c:spPr>
              <a:ln w="25400">
                <a:solidFill>
                  <a:srgbClr val="C00000"/>
                </a:solidFill>
              </a:ln>
            </c:spPr>
          </c:marker>
          <c:xVal>
            <c:numRef>
              <c:f>PUF_Data!$AH$4:$AH$89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PUF_Data!$AE$4:$AE$89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1.9E-3</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numCache>
            </c:numRef>
          </c:yVal>
          <c:smooth val="0"/>
          <c:extLst>
            <c:ext xmlns:c16="http://schemas.microsoft.com/office/drawing/2014/chart" uri="{C3380CC4-5D6E-409C-BE32-E72D297353CC}">
              <c16:uniqueId val="{00000006-C540-4798-9130-6109A7B9DD13}"/>
            </c:ext>
          </c:extLst>
        </c:ser>
        <c:ser>
          <c:idx val="6"/>
          <c:order val="7"/>
          <c:tx>
            <c:strRef>
              <c:f>PUF_Data!$L$3</c:f>
              <c:strCache>
                <c:ptCount val="1"/>
                <c:pt idx="0">
                  <c:v>others</c:v>
                </c:pt>
              </c:strCache>
            </c:strRef>
          </c:tx>
          <c:spPr>
            <a:ln w="19050">
              <a:noFill/>
            </a:ln>
          </c:spPr>
          <c:marker>
            <c:spPr>
              <a:noFill/>
              <a:ln w="25400">
                <a:solidFill>
                  <a:srgbClr val="000000"/>
                </a:solidFill>
              </a:ln>
            </c:spPr>
          </c:marker>
          <c:xVal>
            <c:numRef>
              <c:f>PUF_Data!$D$4:$D$89</c:f>
              <c:numCache>
                <c:formatCode>General</c:formatCode>
                <c:ptCount val="86"/>
                <c:pt idx="0">
                  <c:v>2000</c:v>
                </c:pt>
                <c:pt idx="1">
                  <c:v>2004</c:v>
                </c:pt>
                <c:pt idx="2">
                  <c:v>2005</c:v>
                </c:pt>
                <c:pt idx="3">
                  <c:v>2007</c:v>
                </c:pt>
                <c:pt idx="4">
                  <c:v>2008</c:v>
                </c:pt>
                <c:pt idx="5">
                  <c:v>2008</c:v>
                </c:pt>
                <c:pt idx="6">
                  <c:v>2009</c:v>
                </c:pt>
                <c:pt idx="7">
                  <c:v>2010</c:v>
                </c:pt>
                <c:pt idx="8">
                  <c:v>2011</c:v>
                </c:pt>
                <c:pt idx="9">
                  <c:v>2011</c:v>
                </c:pt>
                <c:pt idx="10">
                  <c:v>2011</c:v>
                </c:pt>
                <c:pt idx="11">
                  <c:v>2012</c:v>
                </c:pt>
                <c:pt idx="12">
                  <c:v>2012</c:v>
                </c:pt>
                <c:pt idx="13">
                  <c:v>2012</c:v>
                </c:pt>
                <c:pt idx="14">
                  <c:v>2012</c:v>
                </c:pt>
                <c:pt idx="15">
                  <c:v>2012</c:v>
                </c:pt>
                <c:pt idx="16">
                  <c:v>2012</c:v>
                </c:pt>
                <c:pt idx="17">
                  <c:v>2012</c:v>
                </c:pt>
                <c:pt idx="18">
                  <c:v>2012</c:v>
                </c:pt>
                <c:pt idx="19">
                  <c:v>2013</c:v>
                </c:pt>
                <c:pt idx="20">
                  <c:v>2014</c:v>
                </c:pt>
                <c:pt idx="21">
                  <c:v>2014</c:v>
                </c:pt>
                <c:pt idx="22">
                  <c:v>2014</c:v>
                </c:pt>
                <c:pt idx="23">
                  <c:v>2014</c:v>
                </c:pt>
                <c:pt idx="24">
                  <c:v>2015</c:v>
                </c:pt>
                <c:pt idx="25">
                  <c:v>2015</c:v>
                </c:pt>
                <c:pt idx="26">
                  <c:v>2015</c:v>
                </c:pt>
                <c:pt idx="27">
                  <c:v>2015</c:v>
                </c:pt>
                <c:pt idx="28">
                  <c:v>2016</c:v>
                </c:pt>
                <c:pt idx="29">
                  <c:v>2016</c:v>
                </c:pt>
                <c:pt idx="30">
                  <c:v>2016</c:v>
                </c:pt>
                <c:pt idx="31">
                  <c:v>2016</c:v>
                </c:pt>
                <c:pt idx="32">
                  <c:v>2016</c:v>
                </c:pt>
                <c:pt idx="33">
                  <c:v>2016</c:v>
                </c:pt>
                <c:pt idx="34">
                  <c:v>2017</c:v>
                </c:pt>
                <c:pt idx="35">
                  <c:v>2017</c:v>
                </c:pt>
                <c:pt idx="36">
                  <c:v>2017</c:v>
                </c:pt>
                <c:pt idx="37">
                  <c:v>2017</c:v>
                </c:pt>
                <c:pt idx="38">
                  <c:v>2017</c:v>
                </c:pt>
                <c:pt idx="39">
                  <c:v>2017</c:v>
                </c:pt>
                <c:pt idx="40">
                  <c:v>2017</c:v>
                </c:pt>
                <c:pt idx="41">
                  <c:v>2017</c:v>
                </c:pt>
                <c:pt idx="42">
                  <c:v>2018</c:v>
                </c:pt>
                <c:pt idx="43">
                  <c:v>2018</c:v>
                </c:pt>
                <c:pt idx="44">
                  <c:v>2018</c:v>
                </c:pt>
                <c:pt idx="45">
                  <c:v>2018</c:v>
                </c:pt>
                <c:pt idx="46">
                  <c:v>2018</c:v>
                </c:pt>
                <c:pt idx="47">
                  <c:v>2018</c:v>
                </c:pt>
                <c:pt idx="48">
                  <c:v>2018</c:v>
                </c:pt>
                <c:pt idx="49">
                  <c:v>2018</c:v>
                </c:pt>
                <c:pt idx="50">
                  <c:v>2019</c:v>
                </c:pt>
                <c:pt idx="51">
                  <c:v>2019</c:v>
                </c:pt>
                <c:pt idx="52">
                  <c:v>2019</c:v>
                </c:pt>
                <c:pt idx="53">
                  <c:v>2019</c:v>
                </c:pt>
                <c:pt idx="54">
                  <c:v>2020</c:v>
                </c:pt>
                <c:pt idx="55">
                  <c:v>2020</c:v>
                </c:pt>
                <c:pt idx="56">
                  <c:v>2020</c:v>
                </c:pt>
                <c:pt idx="57">
                  <c:v>2020</c:v>
                </c:pt>
                <c:pt idx="58">
                  <c:v>2020</c:v>
                </c:pt>
                <c:pt idx="59">
                  <c:v>2020</c:v>
                </c:pt>
                <c:pt idx="60">
                  <c:v>2020</c:v>
                </c:pt>
                <c:pt idx="61">
                  <c:v>2021</c:v>
                </c:pt>
                <c:pt idx="62">
                  <c:v>2021</c:v>
                </c:pt>
                <c:pt idx="63">
                  <c:v>2021</c:v>
                </c:pt>
                <c:pt idx="64">
                  <c:v>2021</c:v>
                </c:pt>
                <c:pt idx="65">
                  <c:v>2021</c:v>
                </c:pt>
                <c:pt idx="66">
                  <c:v>2021</c:v>
                </c:pt>
                <c:pt idx="67">
                  <c:v>2021</c:v>
                </c:pt>
                <c:pt idx="68">
                  <c:v>2021</c:v>
                </c:pt>
                <c:pt idx="69">
                  <c:v>2021</c:v>
                </c:pt>
                <c:pt idx="70">
                  <c:v>2021</c:v>
                </c:pt>
                <c:pt idx="71">
                  <c:v>2022</c:v>
                </c:pt>
                <c:pt idx="72">
                  <c:v>2022</c:v>
                </c:pt>
                <c:pt idx="73">
                  <c:v>2022</c:v>
                </c:pt>
                <c:pt idx="74">
                  <c:v>2022</c:v>
                </c:pt>
                <c:pt idx="75">
                  <c:v>2022</c:v>
                </c:pt>
                <c:pt idx="76">
                  <c:v>2022</c:v>
                </c:pt>
                <c:pt idx="77">
                  <c:v>2022</c:v>
                </c:pt>
                <c:pt idx="78">
                  <c:v>2022</c:v>
                </c:pt>
                <c:pt idx="79">
                  <c:v>2022</c:v>
                </c:pt>
                <c:pt idx="80">
                  <c:v>2022</c:v>
                </c:pt>
                <c:pt idx="81">
                  <c:v>2022</c:v>
                </c:pt>
                <c:pt idx="82">
                  <c:v>2023</c:v>
                </c:pt>
                <c:pt idx="83">
                  <c:v>2023</c:v>
                </c:pt>
                <c:pt idx="84">
                  <c:v>2023</c:v>
                </c:pt>
                <c:pt idx="85">
                  <c:v>2023</c:v>
                </c:pt>
              </c:numCache>
            </c:numRef>
          </c:xVal>
          <c:yVal>
            <c:numRef>
              <c:f>PUF_Data!$AF$4:$AF$89</c:f>
              <c:numCache>
                <c:formatCode>0.000E+00</c:formatCode>
                <c:ptCount val="86"/>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1.9039999999999998E-2</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3.6399999999999998E-10</c:v>
                </c:pt>
                <c:pt idx="43">
                  <c:v>0</c:v>
                </c:pt>
                <c:pt idx="44">
                  <c:v>0</c:v>
                </c:pt>
                <c:pt idx="45">
                  <c:v>0</c:v>
                </c:pt>
                <c:pt idx="46">
                  <c:v>0</c:v>
                </c:pt>
                <c:pt idx="47">
                  <c:v>0</c:v>
                </c:pt>
                <c:pt idx="48">
                  <c:v>0</c:v>
                </c:pt>
                <c:pt idx="49">
                  <c:v>0</c:v>
                </c:pt>
                <c:pt idx="50">
                  <c:v>0.02</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4.0890000000000004</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4.3000000000000001E-7</c:v>
                </c:pt>
              </c:numCache>
            </c:numRef>
          </c:yVal>
          <c:smooth val="0"/>
          <c:extLst>
            <c:ext xmlns:c16="http://schemas.microsoft.com/office/drawing/2014/chart" uri="{C3380CC4-5D6E-409C-BE32-E72D297353CC}">
              <c16:uniqueId val="{00000007-C540-4798-9130-6109A7B9DD13}"/>
            </c:ext>
          </c:extLst>
        </c:ser>
        <c:dLbls>
          <c:showLegendKey val="0"/>
          <c:showVal val="0"/>
          <c:showCatName val="0"/>
          <c:showSerName val="0"/>
          <c:showPercent val="0"/>
          <c:showBubbleSize val="0"/>
        </c:dLbls>
        <c:axId val="152336752"/>
        <c:axId val="152337144"/>
        <c:extLst/>
      </c:scatterChart>
      <c:valAx>
        <c:axId val="152336752"/>
        <c:scaling>
          <c:orientation val="minMax"/>
          <c:max val="2024"/>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year</a:t>
                </a:r>
              </a:p>
            </c:rich>
          </c:tx>
          <c:layout>
            <c:manualLayout>
              <c:xMode val="edge"/>
              <c:yMode val="edge"/>
              <c:x val="0.46979226190476192"/>
              <c:y val="0.84907131439233696"/>
            </c:manualLayout>
          </c:layout>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At val="1.0000000000000006E-10"/>
        <c:crossBetween val="midCat"/>
        <c:majorUnit val="2"/>
      </c:valAx>
      <c:valAx>
        <c:axId val="152337144"/>
        <c:scaling>
          <c:logBase val="10"/>
          <c:orientation val="minMax"/>
          <c:min val="1.0000000000000006E-10"/>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BER </a:t>
                </a:r>
                <a:r>
                  <a:rPr lang="en-US" sz="1100" b="1" i="0" u="none" strike="noStrike" baseline="0">
                    <a:effectLst/>
                  </a:rPr>
                  <a:t> after stability enhancement </a:t>
                </a:r>
                <a:r>
                  <a:rPr lang="en-US" sz="1100" b="1" baseline="0">
                    <a:solidFill>
                      <a:sysClr val="windowText" lastClr="000000"/>
                    </a:solidFill>
                  </a:rPr>
                  <a:t>(%)</a:t>
                </a:r>
                <a:endParaRPr lang="en-US" sz="1100" b="1">
                  <a:solidFill>
                    <a:sysClr val="windowText" lastClr="000000"/>
                  </a:solidFill>
                </a:endParaRPr>
              </a:p>
            </c:rich>
          </c:tx>
          <c:overlay val="0"/>
          <c:spPr>
            <a:noFill/>
            <a:ln>
              <a:noFill/>
            </a:ln>
            <a:effectLst/>
          </c:spPr>
        </c:title>
        <c:numFmt formatCode="0.E+0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 val="autoZero"/>
        <c:crossBetween val="midCat"/>
      </c:valAx>
      <c:spPr>
        <a:noFill/>
        <a:ln w="19050">
          <a:solidFill>
            <a:schemeClr val="tx1"/>
          </a:solidFill>
        </a:ln>
        <a:effectLst/>
      </c:spPr>
    </c:plotArea>
    <c:legend>
      <c:legendPos val="b"/>
      <c:layout>
        <c:manualLayout>
          <c:xMode val="edge"/>
          <c:yMode val="edge"/>
          <c:x val="1.1773809523809475E-3"/>
          <c:y val="0.89534992695790672"/>
          <c:w val="0.99882261904761904"/>
          <c:h val="8.447679464079122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lang="en-US" sz="1600" b="1" i="0" u="none" strike="noStrike" kern="1200" spc="0" baseline="0">
                <a:solidFill>
                  <a:sysClr val="windowText" lastClr="000000"/>
                </a:solidFill>
                <a:latin typeface="+mn-lt"/>
                <a:ea typeface="+mn-ea"/>
                <a:cs typeface="+mn-cs"/>
              </a:defRPr>
            </a:pPr>
            <a:r>
              <a:rPr lang="en-SG" sz="1600" b="1">
                <a:solidFill>
                  <a:sysClr val="windowText" lastClr="000000"/>
                </a:solidFill>
              </a:rPr>
              <a:t>TRNG</a:t>
            </a:r>
            <a:r>
              <a:rPr lang="en-SG" sz="1600" b="1" baseline="0">
                <a:solidFill>
                  <a:sysClr val="windowText" lastClr="000000"/>
                </a:solidFill>
              </a:rPr>
              <a:t> </a:t>
            </a:r>
            <a:r>
              <a:rPr lang="en-SG" sz="1600" b="1">
                <a:solidFill>
                  <a:sysClr val="windowText" lastClr="000000"/>
                </a:solidFill>
              </a:rPr>
              <a:t>throughput vs year</a:t>
            </a:r>
          </a:p>
        </c:rich>
      </c:tx>
      <c:layout>
        <c:manualLayout>
          <c:xMode val="edge"/>
          <c:yMode val="edge"/>
          <c:x val="0.33725595238095241"/>
          <c:y val="0"/>
        </c:manualLayout>
      </c:layout>
      <c:overlay val="0"/>
      <c:spPr>
        <a:noFill/>
        <a:ln>
          <a:noFill/>
        </a:ln>
        <a:effectLst/>
      </c:spPr>
    </c:title>
    <c:autoTitleDeleted val="0"/>
    <c:plotArea>
      <c:layout>
        <c:manualLayout>
          <c:layoutTarget val="inner"/>
          <c:xMode val="edge"/>
          <c:yMode val="edge"/>
          <c:x val="0.1568202380952381"/>
          <c:y val="7.9917106637619931E-2"/>
          <c:w val="0.79248055555555552"/>
          <c:h val="0.72477884673499748"/>
        </c:manualLayout>
      </c:layout>
      <c:scatterChart>
        <c:scatterStyle val="lineMarker"/>
        <c:varyColors val="0"/>
        <c:ser>
          <c:idx val="0"/>
          <c:order val="0"/>
          <c:tx>
            <c:strRef>
              <c:f>TRNG_Data!$D$3</c:f>
              <c:strCache>
                <c:ptCount val="1"/>
                <c:pt idx="0">
                  <c:v>noise-based</c:v>
                </c:pt>
              </c:strCache>
            </c:strRef>
          </c:tx>
          <c:spPr>
            <a:ln w="19050">
              <a:noFill/>
            </a:ln>
          </c:spPr>
          <c:marker>
            <c:symbol val="circle"/>
            <c:size val="7"/>
            <c:spPr>
              <a:noFill/>
              <a:ln w="25400">
                <a:solidFill>
                  <a:srgbClr val="003399"/>
                </a:solidFill>
              </a:ln>
              <a:effectLst/>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TRNG_Data!$D$4:$D$41</c:f>
              <c:numCache>
                <c:formatCode>0.000E+00</c:formatCode>
                <c:ptCount val="38"/>
                <c:pt idx="0">
                  <c:v>0</c:v>
                </c:pt>
                <c:pt idx="1">
                  <c:v>50000</c:v>
                </c:pt>
                <c:pt idx="2">
                  <c:v>0</c:v>
                </c:pt>
                <c:pt idx="3">
                  <c:v>0</c:v>
                </c:pt>
                <c:pt idx="4">
                  <c:v>0</c:v>
                </c:pt>
                <c:pt idx="5">
                  <c:v>0</c:v>
                </c:pt>
                <c:pt idx="6">
                  <c:v>0</c:v>
                </c:pt>
                <c:pt idx="7">
                  <c:v>2000000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1500000</c:v>
                </c:pt>
                <c:pt idx="34">
                  <c:v>0</c:v>
                </c:pt>
                <c:pt idx="35">
                  <c:v>0</c:v>
                </c:pt>
                <c:pt idx="36">
                  <c:v>0</c:v>
                </c:pt>
                <c:pt idx="37">
                  <c:v>0</c:v>
                </c:pt>
              </c:numCache>
            </c:numRef>
          </c:yVal>
          <c:smooth val="0"/>
          <c:extLst>
            <c:ext xmlns:c16="http://schemas.microsoft.com/office/drawing/2014/chart" uri="{C3380CC4-5D6E-409C-BE32-E72D297353CC}">
              <c16:uniqueId val="{00000000-898B-4C11-A753-80268AE5DB0D}"/>
            </c:ext>
          </c:extLst>
        </c:ser>
        <c:ser>
          <c:idx val="1"/>
          <c:order val="1"/>
          <c:tx>
            <c:strRef>
              <c:f>TRNG_Data!$E$3</c:f>
              <c:strCache>
                <c:ptCount val="1"/>
                <c:pt idx="0">
                  <c:v>jitter</c:v>
                </c:pt>
              </c:strCache>
            </c:strRef>
          </c:tx>
          <c:spPr>
            <a:ln>
              <a:noFill/>
            </a:ln>
          </c:spPr>
          <c:marker>
            <c:symbol val="triangle"/>
            <c:size val="7"/>
            <c:spPr>
              <a:noFill/>
              <a:ln w="25400">
                <a:solidFill>
                  <a:srgbClr val="00B0F0"/>
                </a:solidFill>
              </a:ln>
              <a:effectLst/>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TRNG_Data!$E$4:$E$41</c:f>
              <c:numCache>
                <c:formatCode>0.000E+00</c:formatCode>
                <c:ptCount val="38"/>
                <c:pt idx="0">
                  <c:v>10000000</c:v>
                </c:pt>
                <c:pt idx="1">
                  <c:v>0</c:v>
                </c:pt>
                <c:pt idx="2">
                  <c:v>0</c:v>
                </c:pt>
                <c:pt idx="3">
                  <c:v>0</c:v>
                </c:pt>
                <c:pt idx="4">
                  <c:v>0</c:v>
                </c:pt>
                <c:pt idx="5">
                  <c:v>1740000</c:v>
                </c:pt>
                <c:pt idx="6">
                  <c:v>0</c:v>
                </c:pt>
                <c:pt idx="7">
                  <c:v>0</c:v>
                </c:pt>
                <c:pt idx="8">
                  <c:v>0</c:v>
                </c:pt>
                <c:pt idx="9">
                  <c:v>0</c:v>
                </c:pt>
                <c:pt idx="10">
                  <c:v>23160000</c:v>
                </c:pt>
                <c:pt idx="11">
                  <c:v>500000</c:v>
                </c:pt>
                <c:pt idx="12">
                  <c:v>0</c:v>
                </c:pt>
                <c:pt idx="13">
                  <c:v>0</c:v>
                </c:pt>
                <c:pt idx="14">
                  <c:v>2000000</c:v>
                </c:pt>
                <c:pt idx="15">
                  <c:v>0</c:v>
                </c:pt>
                <c:pt idx="16">
                  <c:v>9900000</c:v>
                </c:pt>
                <c:pt idx="17">
                  <c:v>0</c:v>
                </c:pt>
                <c:pt idx="18">
                  <c:v>0</c:v>
                </c:pt>
                <c:pt idx="19">
                  <c:v>0</c:v>
                </c:pt>
                <c:pt idx="20">
                  <c:v>0</c:v>
                </c:pt>
                <c:pt idx="21">
                  <c:v>0</c:v>
                </c:pt>
                <c:pt idx="22">
                  <c:v>0</c:v>
                </c:pt>
                <c:pt idx="23">
                  <c:v>0</c:v>
                </c:pt>
                <c:pt idx="24">
                  <c:v>0</c:v>
                </c:pt>
                <c:pt idx="25">
                  <c:v>52000000</c:v>
                </c:pt>
                <c:pt idx="26">
                  <c:v>3600000</c:v>
                </c:pt>
                <c:pt idx="27">
                  <c:v>0</c:v>
                </c:pt>
                <c:pt idx="28">
                  <c:v>0</c:v>
                </c:pt>
                <c:pt idx="29">
                  <c:v>0</c:v>
                </c:pt>
                <c:pt idx="30">
                  <c:v>45000000</c:v>
                </c:pt>
                <c:pt idx="31">
                  <c:v>0</c:v>
                </c:pt>
                <c:pt idx="32">
                  <c:v>52000000</c:v>
                </c:pt>
                <c:pt idx="33">
                  <c:v>0</c:v>
                </c:pt>
                <c:pt idx="34">
                  <c:v>0</c:v>
                </c:pt>
                <c:pt idx="35">
                  <c:v>0</c:v>
                </c:pt>
                <c:pt idx="36">
                  <c:v>53000000</c:v>
                </c:pt>
                <c:pt idx="37">
                  <c:v>100800000</c:v>
                </c:pt>
              </c:numCache>
            </c:numRef>
          </c:yVal>
          <c:smooth val="0"/>
          <c:extLst>
            <c:ext xmlns:c16="http://schemas.microsoft.com/office/drawing/2014/chart" uri="{C3380CC4-5D6E-409C-BE32-E72D297353CC}">
              <c16:uniqueId val="{00000001-898B-4C11-A753-80268AE5DB0D}"/>
            </c:ext>
          </c:extLst>
        </c:ser>
        <c:ser>
          <c:idx val="2"/>
          <c:order val="2"/>
          <c:tx>
            <c:strRef>
              <c:f>TRNG_Data!$F$3</c:f>
              <c:strCache>
                <c:ptCount val="1"/>
                <c:pt idx="0">
                  <c:v>metastability</c:v>
                </c:pt>
              </c:strCache>
            </c:strRef>
          </c:tx>
          <c:spPr>
            <a:ln w="19050">
              <a:noFill/>
            </a:ln>
          </c:spPr>
          <c:marker>
            <c:symbol val="star"/>
            <c:size val="7"/>
            <c:spPr>
              <a:noFill/>
              <a:ln w="25400">
                <a:solidFill>
                  <a:srgbClr val="FFC000"/>
                </a:solidFill>
              </a:ln>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TRNG_Data!$F$4:$F$41</c:f>
              <c:numCache>
                <c:formatCode>0.000E+00</c:formatCode>
                <c:ptCount val="38"/>
                <c:pt idx="0">
                  <c:v>0</c:v>
                </c:pt>
                <c:pt idx="1">
                  <c:v>0</c:v>
                </c:pt>
                <c:pt idx="2">
                  <c:v>0</c:v>
                </c:pt>
                <c:pt idx="3">
                  <c:v>0</c:v>
                </c:pt>
                <c:pt idx="4">
                  <c:v>0</c:v>
                </c:pt>
                <c:pt idx="5">
                  <c:v>0</c:v>
                </c:pt>
                <c:pt idx="6">
                  <c:v>0</c:v>
                </c:pt>
                <c:pt idx="7">
                  <c:v>0</c:v>
                </c:pt>
                <c:pt idx="8">
                  <c:v>0</c:v>
                </c:pt>
                <c:pt idx="9">
                  <c:v>2400000000</c:v>
                </c:pt>
                <c:pt idx="10">
                  <c:v>0</c:v>
                </c:pt>
                <c:pt idx="11">
                  <c:v>0</c:v>
                </c:pt>
                <c:pt idx="12">
                  <c:v>0</c:v>
                </c:pt>
                <c:pt idx="13">
                  <c:v>0</c:v>
                </c:pt>
                <c:pt idx="14">
                  <c:v>0</c:v>
                </c:pt>
                <c:pt idx="15">
                  <c:v>0</c:v>
                </c:pt>
                <c:pt idx="16">
                  <c:v>0</c:v>
                </c:pt>
                <c:pt idx="17">
                  <c:v>0</c:v>
                </c:pt>
                <c:pt idx="18">
                  <c:v>0</c:v>
                </c:pt>
                <c:pt idx="19">
                  <c:v>0</c:v>
                </c:pt>
                <c:pt idx="20">
                  <c:v>0</c:v>
                </c:pt>
                <c:pt idx="21">
                  <c:v>86000000</c:v>
                </c:pt>
                <c:pt idx="22">
                  <c:v>1480000000</c:v>
                </c:pt>
                <c:pt idx="23">
                  <c:v>128000000</c:v>
                </c:pt>
                <c:pt idx="24">
                  <c:v>0</c:v>
                </c:pt>
                <c:pt idx="25">
                  <c:v>0</c:v>
                </c:pt>
                <c:pt idx="26">
                  <c:v>0</c:v>
                </c:pt>
                <c:pt idx="27">
                  <c:v>46410000</c:v>
                </c:pt>
                <c:pt idx="28">
                  <c:v>2390000</c:v>
                </c:pt>
                <c:pt idx="29">
                  <c:v>0</c:v>
                </c:pt>
                <c:pt idx="30">
                  <c:v>0</c:v>
                </c:pt>
                <c:pt idx="31">
                  <c:v>0</c:v>
                </c:pt>
                <c:pt idx="32">
                  <c:v>0</c:v>
                </c:pt>
                <c:pt idx="33">
                  <c:v>0</c:v>
                </c:pt>
                <c:pt idx="34">
                  <c:v>1300000</c:v>
                </c:pt>
                <c:pt idx="35">
                  <c:v>0</c:v>
                </c:pt>
                <c:pt idx="36">
                  <c:v>0</c:v>
                </c:pt>
                <c:pt idx="37">
                  <c:v>0</c:v>
                </c:pt>
              </c:numCache>
            </c:numRef>
          </c:yVal>
          <c:smooth val="0"/>
          <c:extLst>
            <c:ext xmlns:c16="http://schemas.microsoft.com/office/drawing/2014/chart" uri="{C3380CC4-5D6E-409C-BE32-E72D297353CC}">
              <c16:uniqueId val="{00000007-898B-4C11-A753-80268AE5DB0D}"/>
            </c:ext>
          </c:extLst>
        </c:ser>
        <c:ser>
          <c:idx val="3"/>
          <c:order val="3"/>
          <c:tx>
            <c:strRef>
              <c:f>TRNG_Data!$G$3</c:f>
              <c:strCache>
                <c:ptCount val="1"/>
                <c:pt idx="0">
                  <c:v>chaotic map</c:v>
                </c:pt>
              </c:strCache>
            </c:strRef>
          </c:tx>
          <c:spPr>
            <a:ln>
              <a:noFill/>
            </a:ln>
          </c:spPr>
          <c:marker>
            <c:symbol val="diamond"/>
            <c:size val="7"/>
            <c:spPr>
              <a:noFill/>
              <a:ln w="25400">
                <a:solidFill>
                  <a:srgbClr val="FF0000"/>
                </a:solidFill>
              </a:ln>
              <a:effectLst/>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TRNG_Data!$G$4:$G$41</c:f>
              <c:numCache>
                <c:formatCode>0.000E+00</c:formatCode>
                <c:ptCount val="38"/>
                <c:pt idx="0">
                  <c:v>0</c:v>
                </c:pt>
                <c:pt idx="1">
                  <c:v>0</c:v>
                </c:pt>
                <c:pt idx="2">
                  <c:v>0</c:v>
                </c:pt>
                <c:pt idx="3">
                  <c:v>40000000</c:v>
                </c:pt>
                <c:pt idx="4">
                  <c:v>0</c:v>
                </c:pt>
                <c:pt idx="5">
                  <c:v>0</c:v>
                </c:pt>
                <c:pt idx="6">
                  <c:v>0</c:v>
                </c:pt>
                <c:pt idx="7">
                  <c:v>0</c:v>
                </c:pt>
                <c:pt idx="8">
                  <c:v>0</c:v>
                </c:pt>
                <c:pt idx="9">
                  <c:v>0</c:v>
                </c:pt>
                <c:pt idx="10">
                  <c:v>0</c:v>
                </c:pt>
                <c:pt idx="11">
                  <c:v>0</c:v>
                </c:pt>
                <c:pt idx="12">
                  <c:v>127000000</c:v>
                </c:pt>
                <c:pt idx="13">
                  <c:v>0</c:v>
                </c:pt>
                <c:pt idx="14">
                  <c:v>0</c:v>
                </c:pt>
                <c:pt idx="15">
                  <c:v>0</c:v>
                </c:pt>
                <c:pt idx="16">
                  <c:v>0</c:v>
                </c:pt>
                <c:pt idx="17">
                  <c:v>0</c:v>
                </c:pt>
                <c:pt idx="18">
                  <c:v>270000</c:v>
                </c:pt>
                <c:pt idx="19">
                  <c:v>67000000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3-898B-4C11-A753-80268AE5DB0D}"/>
            </c:ext>
          </c:extLst>
        </c:ser>
        <c:ser>
          <c:idx val="5"/>
          <c:order val="4"/>
          <c:tx>
            <c:strRef>
              <c:f>TRNG_Data!$H$3</c:f>
              <c:strCache>
                <c:ptCount val="1"/>
                <c:pt idx="0">
                  <c:v>hybrid</c:v>
                </c:pt>
              </c:strCache>
            </c:strRef>
          </c:tx>
          <c:spPr>
            <a:ln w="19050">
              <a:noFill/>
            </a:ln>
          </c:spPr>
          <c:marker>
            <c:symbol val="star"/>
            <c:size val="7"/>
            <c:spPr>
              <a:noFill/>
              <a:ln w="25400">
                <a:solidFill>
                  <a:srgbClr val="C00000"/>
                </a:solidFill>
              </a:ln>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TRNG_Data!$H$4:$H$41</c:f>
              <c:numCache>
                <c:formatCode>0.000E+00</c:formatCode>
                <c:ptCount val="38"/>
                <c:pt idx="0">
                  <c:v>0</c:v>
                </c:pt>
                <c:pt idx="1">
                  <c:v>0</c:v>
                </c:pt>
                <c:pt idx="2">
                  <c:v>0</c:v>
                </c:pt>
                <c:pt idx="3">
                  <c:v>0</c:v>
                </c:pt>
                <c:pt idx="4">
                  <c:v>2000000</c:v>
                </c:pt>
                <c:pt idx="5">
                  <c:v>0</c:v>
                </c:pt>
                <c:pt idx="6">
                  <c:v>200000</c:v>
                </c:pt>
                <c:pt idx="7">
                  <c:v>0</c:v>
                </c:pt>
                <c:pt idx="8">
                  <c:v>0</c:v>
                </c:pt>
                <c:pt idx="9">
                  <c:v>0</c:v>
                </c:pt>
                <c:pt idx="10">
                  <c:v>0</c:v>
                </c:pt>
                <c:pt idx="11">
                  <c:v>0</c:v>
                </c:pt>
                <c:pt idx="12">
                  <c:v>0</c:v>
                </c:pt>
                <c:pt idx="13">
                  <c:v>162500000</c:v>
                </c:pt>
                <c:pt idx="14">
                  <c:v>0</c:v>
                </c:pt>
                <c:pt idx="15">
                  <c:v>0</c:v>
                </c:pt>
                <c:pt idx="16">
                  <c:v>0</c:v>
                </c:pt>
                <c:pt idx="17">
                  <c:v>3000000000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1-1F33-48AB-9A9C-C49B3891DB4E}"/>
            </c:ext>
          </c:extLst>
        </c:ser>
        <c:ser>
          <c:idx val="4"/>
          <c:order val="5"/>
          <c:tx>
            <c:strRef>
              <c:f>TRNG_Data!$I$3</c:f>
              <c:strCache>
                <c:ptCount val="1"/>
                <c:pt idx="0">
                  <c:v>others</c:v>
                </c:pt>
              </c:strCache>
            </c:strRef>
          </c:tx>
          <c:spPr>
            <a:ln>
              <a:noFill/>
            </a:ln>
          </c:spPr>
          <c:marker>
            <c:symbol val="plus"/>
            <c:size val="7"/>
            <c:spPr>
              <a:noFill/>
              <a:ln w="25400">
                <a:solidFill>
                  <a:schemeClr val="tx1"/>
                </a:solidFill>
              </a:ln>
            </c:spPr>
          </c:marker>
          <c:xVal>
            <c:numRef>
              <c:f>TRNG_Data!$C$4:$C$41</c:f>
              <c:numCache>
                <c:formatCode>General</c:formatCode>
                <c:ptCount val="38"/>
                <c:pt idx="0">
                  <c:v>2003</c:v>
                </c:pt>
                <c:pt idx="1">
                  <c:v>2004</c:v>
                </c:pt>
                <c:pt idx="2">
                  <c:v>2006</c:v>
                </c:pt>
                <c:pt idx="3">
                  <c:v>2006</c:v>
                </c:pt>
                <c:pt idx="4">
                  <c:v>2007</c:v>
                </c:pt>
                <c:pt idx="5">
                  <c:v>2008</c:v>
                </c:pt>
                <c:pt idx="6">
                  <c:v>2008</c:v>
                </c:pt>
                <c:pt idx="7">
                  <c:v>2008</c:v>
                </c:pt>
                <c:pt idx="8">
                  <c:v>2011</c:v>
                </c:pt>
                <c:pt idx="9">
                  <c:v>2012</c:v>
                </c:pt>
                <c:pt idx="10">
                  <c:v>2014</c:v>
                </c:pt>
                <c:pt idx="11">
                  <c:v>2014</c:v>
                </c:pt>
                <c:pt idx="12">
                  <c:v>2014</c:v>
                </c:pt>
                <c:pt idx="13">
                  <c:v>2016</c:v>
                </c:pt>
                <c:pt idx="14">
                  <c:v>2016</c:v>
                </c:pt>
                <c:pt idx="15">
                  <c:v>2016</c:v>
                </c:pt>
                <c:pt idx="16">
                  <c:v>2017</c:v>
                </c:pt>
                <c:pt idx="17">
                  <c:v>2017</c:v>
                </c:pt>
                <c:pt idx="18">
                  <c:v>2017</c:v>
                </c:pt>
                <c:pt idx="19">
                  <c:v>2017</c:v>
                </c:pt>
                <c:pt idx="20">
                  <c:v>2018</c:v>
                </c:pt>
                <c:pt idx="21">
                  <c:v>2018</c:v>
                </c:pt>
                <c:pt idx="22">
                  <c:v>2019</c:v>
                </c:pt>
                <c:pt idx="23">
                  <c:v>2020</c:v>
                </c:pt>
                <c:pt idx="24">
                  <c:v>2020</c:v>
                </c:pt>
                <c:pt idx="25">
                  <c:v>2020</c:v>
                </c:pt>
                <c:pt idx="26">
                  <c:v>2021</c:v>
                </c:pt>
                <c:pt idx="27">
                  <c:v>2021</c:v>
                </c:pt>
                <c:pt idx="28">
                  <c:v>2021</c:v>
                </c:pt>
                <c:pt idx="29">
                  <c:v>2021</c:v>
                </c:pt>
                <c:pt idx="30">
                  <c:v>2021</c:v>
                </c:pt>
                <c:pt idx="31">
                  <c:v>2021</c:v>
                </c:pt>
                <c:pt idx="32">
                  <c:v>2022</c:v>
                </c:pt>
                <c:pt idx="33">
                  <c:v>2022</c:v>
                </c:pt>
                <c:pt idx="34">
                  <c:v>2022</c:v>
                </c:pt>
                <c:pt idx="35">
                  <c:v>2022</c:v>
                </c:pt>
                <c:pt idx="36">
                  <c:v>2023</c:v>
                </c:pt>
                <c:pt idx="37">
                  <c:v>2023</c:v>
                </c:pt>
              </c:numCache>
            </c:numRef>
          </c:xVal>
          <c:yVal>
            <c:numRef>
              <c:f>TRNG_Data!$I$4:$I$41</c:f>
              <c:numCache>
                <c:formatCode>0.000E+00</c:formatCode>
                <c:ptCount val="38"/>
                <c:pt idx="0">
                  <c:v>0</c:v>
                </c:pt>
                <c:pt idx="1">
                  <c:v>0</c:v>
                </c:pt>
                <c:pt idx="2">
                  <c:v>0</c:v>
                </c:pt>
                <c:pt idx="3">
                  <c:v>0</c:v>
                </c:pt>
                <c:pt idx="4">
                  <c:v>0</c:v>
                </c:pt>
                <c:pt idx="5">
                  <c:v>0</c:v>
                </c:pt>
                <c:pt idx="6">
                  <c:v>0</c:v>
                </c:pt>
                <c:pt idx="7">
                  <c:v>0</c:v>
                </c:pt>
                <c:pt idx="8">
                  <c:v>11000</c:v>
                </c:pt>
                <c:pt idx="9">
                  <c:v>0</c:v>
                </c:pt>
                <c:pt idx="10">
                  <c:v>0</c:v>
                </c:pt>
                <c:pt idx="11">
                  <c:v>0</c:v>
                </c:pt>
                <c:pt idx="12">
                  <c:v>0</c:v>
                </c:pt>
                <c:pt idx="13">
                  <c:v>0</c:v>
                </c:pt>
                <c:pt idx="14">
                  <c:v>0</c:v>
                </c:pt>
                <c:pt idx="15">
                  <c:v>128000000</c:v>
                </c:pt>
                <c:pt idx="16">
                  <c:v>0</c:v>
                </c:pt>
                <c:pt idx="17">
                  <c:v>0</c:v>
                </c:pt>
                <c:pt idx="18">
                  <c:v>0</c:v>
                </c:pt>
                <c:pt idx="19">
                  <c:v>0</c:v>
                </c:pt>
                <c:pt idx="20">
                  <c:v>66000000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numCache>
            </c:numRef>
          </c:yVal>
          <c:smooth val="0"/>
          <c:extLst>
            <c:ext xmlns:c16="http://schemas.microsoft.com/office/drawing/2014/chart" uri="{C3380CC4-5D6E-409C-BE32-E72D297353CC}">
              <c16:uniqueId val="{00000004-898B-4C11-A753-80268AE5DB0D}"/>
            </c:ext>
          </c:extLst>
        </c:ser>
        <c:dLbls>
          <c:showLegendKey val="0"/>
          <c:showVal val="0"/>
          <c:showCatName val="0"/>
          <c:showSerName val="0"/>
          <c:showPercent val="0"/>
          <c:showBubbleSize val="0"/>
        </c:dLbls>
        <c:axId val="152336752"/>
        <c:axId val="152337144"/>
        <c:extLst/>
      </c:scatterChart>
      <c:valAx>
        <c:axId val="152336752"/>
        <c:scaling>
          <c:orientation val="minMax"/>
        </c:scaling>
        <c:delete val="0"/>
        <c:axPos val="b"/>
        <c:title>
          <c:tx>
            <c:rich>
              <a:bodyPr rot="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year</a:t>
                </a:r>
              </a:p>
            </c:rich>
          </c:tx>
          <c:overlay val="0"/>
          <c:spPr>
            <a:noFill/>
            <a:ln>
              <a:noFill/>
            </a:ln>
            <a:effectLst/>
          </c:spPr>
        </c:title>
        <c:numFmt formatCode="General" sourceLinked="1"/>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7144"/>
        <c:crossesAt val="1.0000000000000002E-3"/>
        <c:crossBetween val="midCat"/>
        <c:majorUnit val="2"/>
      </c:valAx>
      <c:valAx>
        <c:axId val="152337144"/>
        <c:scaling>
          <c:logBase val="10"/>
          <c:orientation val="minMax"/>
          <c:min val="1000"/>
        </c:scaling>
        <c:delete val="0"/>
        <c:axPos val="l"/>
        <c:majorGridlines>
          <c:spPr>
            <a:ln w="9525" cap="flat" cmpd="sng" algn="ctr">
              <a:noFill/>
              <a:round/>
            </a:ln>
            <a:effectLst/>
          </c:spPr>
        </c:majorGridlines>
        <c:title>
          <c:tx>
            <c:rich>
              <a:bodyPr rot="-5400000" spcFirstLastPara="1" vertOverflow="ellipsis" vert="horz" wrap="square" anchor="ctr" anchorCtr="1"/>
              <a:lstStyle/>
              <a:p>
                <a:pPr>
                  <a:defRPr lang="en-US" sz="1100" b="1" i="0" u="none" strike="noStrike" kern="1200" baseline="0">
                    <a:solidFill>
                      <a:sysClr val="windowText" lastClr="000000"/>
                    </a:solidFill>
                    <a:latin typeface="+mn-lt"/>
                    <a:ea typeface="+mn-ea"/>
                    <a:cs typeface="+mn-cs"/>
                  </a:defRPr>
                </a:pPr>
                <a:r>
                  <a:rPr lang="en-US" sz="1100" b="1">
                    <a:solidFill>
                      <a:sysClr val="windowText" lastClr="000000"/>
                    </a:solidFill>
                  </a:rPr>
                  <a:t>throughput (bps)</a:t>
                </a:r>
              </a:p>
            </c:rich>
          </c:tx>
          <c:overlay val="0"/>
          <c:spPr>
            <a:noFill/>
            <a:ln>
              <a:noFill/>
            </a:ln>
            <a:effectLst/>
          </c:spPr>
        </c:title>
        <c:numFmt formatCode="0E+0" sourceLinked="0"/>
        <c:majorTickMark val="none"/>
        <c:minorTickMark val="none"/>
        <c:tickLblPos val="nextTo"/>
        <c:spPr>
          <a:noFill/>
          <a:ln w="9525" cap="flat" cmpd="sng" algn="ctr">
            <a:solidFill>
              <a:schemeClr val="tx1"/>
            </a:solidFill>
            <a:round/>
          </a:ln>
          <a:effectLst/>
        </c:spPr>
        <c:txPr>
          <a:bodyPr rot="-60000000" spcFirstLastPara="1" vertOverflow="ellipsis" vert="horz" wrap="square" anchor="ctr" anchorCtr="1"/>
          <a:lstStyle/>
          <a:p>
            <a:pPr>
              <a:defRPr lang="en-US" sz="900" b="1" i="0" u="none" strike="noStrike" kern="1200" baseline="0">
                <a:solidFill>
                  <a:sysClr val="windowText" lastClr="000000"/>
                </a:solidFill>
                <a:latin typeface="+mn-lt"/>
                <a:ea typeface="+mn-ea"/>
                <a:cs typeface="+mn-cs"/>
              </a:defRPr>
            </a:pPr>
            <a:endParaRPr lang="en-US"/>
          </a:p>
        </c:txPr>
        <c:crossAx val="152336752"/>
        <c:crosses val="autoZero"/>
        <c:crossBetween val="midCat"/>
      </c:valAx>
      <c:spPr>
        <a:noFill/>
        <a:ln w="19050">
          <a:solidFill>
            <a:schemeClr val="tx1"/>
          </a:solidFill>
        </a:ln>
        <a:effectLst/>
      </c:spPr>
    </c:plotArea>
    <c:legend>
      <c:legendPos val="b"/>
      <c:layout>
        <c:manualLayout>
          <c:xMode val="edge"/>
          <c:yMode val="edge"/>
          <c:x val="0.13880039682539683"/>
          <c:y val="0.92523820710987037"/>
          <c:w val="0.79709773109917426"/>
          <c:h val="6.5780382765867534E-2"/>
        </c:manualLayout>
      </c:layout>
      <c:overlay val="0"/>
      <c:spPr>
        <a:noFill/>
        <a:ln>
          <a:noFill/>
        </a:ln>
        <a:effectLst/>
      </c:spPr>
      <c:txPr>
        <a:bodyPr rot="0" spcFirstLastPara="1" vertOverflow="ellipsis" vert="horz" wrap="square" anchor="ctr" anchorCtr="1"/>
        <a:lstStyle/>
        <a:p>
          <a:pPr>
            <a:defRPr lang="en-US" sz="9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noFill/>
    <a:ln w="9525" cap="flat" cmpd="sng" algn="ctr">
      <a:noFill/>
      <a:round/>
    </a:ln>
    <a:effectLst/>
  </c:spPr>
  <c:txPr>
    <a:bodyPr/>
    <a:lstStyle/>
    <a:p>
      <a:pPr>
        <a:defRPr/>
      </a:pPr>
      <a:endParaRPr lang="en-US"/>
    </a:p>
  </c:txPr>
  <c:printSettings>
    <c:headerFooter/>
    <c:pageMargins b="0.75000000000000189" l="0.70000000000000062" r="0.70000000000000062" t="0.75000000000000189" header="0.30000000000000032" footer="0.30000000000000032"/>
    <c:pageSetup orientation="portrait"/>
  </c:printSettings>
  <c:userShapes r:id="rId1"/>
</c:chartSpac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s>
</file>

<file path=xl/drawings/_rels/drawing9.xml.rels><?xml version="1.0" encoding="UTF-8" standalone="yes"?>
<Relationships xmlns="http://schemas.openxmlformats.org/package/2006/relationships"><Relationship Id="rId8" Type="http://schemas.openxmlformats.org/officeDocument/2006/relationships/chart" Target="../charts/chart16.xml"/><Relationship Id="rId3" Type="http://schemas.openxmlformats.org/officeDocument/2006/relationships/chart" Target="../charts/chart11.xml"/><Relationship Id="rId7" Type="http://schemas.openxmlformats.org/officeDocument/2006/relationships/chart" Target="../charts/chart15.xml"/><Relationship Id="rId2" Type="http://schemas.openxmlformats.org/officeDocument/2006/relationships/chart" Target="../charts/chart10.xml"/><Relationship Id="rId1" Type="http://schemas.openxmlformats.org/officeDocument/2006/relationships/chart" Target="../charts/chart9.xml"/><Relationship Id="rId6" Type="http://schemas.openxmlformats.org/officeDocument/2006/relationships/chart" Target="../charts/chart14.xml"/><Relationship Id="rId5" Type="http://schemas.openxmlformats.org/officeDocument/2006/relationships/chart" Target="../charts/chart13.xml"/><Relationship Id="rId4" Type="http://schemas.openxmlformats.org/officeDocument/2006/relationships/chart" Target="../charts/chart12.xml"/><Relationship Id="rId9" Type="http://schemas.openxmlformats.org/officeDocument/2006/relationships/chart" Target="../charts/chart17.xml"/></Relationships>
</file>

<file path=xl/drawings/drawing1.xml><?xml version="1.0" encoding="utf-8"?>
<xdr:wsDr xmlns:xdr="http://schemas.openxmlformats.org/drawingml/2006/spreadsheetDrawing" xmlns:a="http://schemas.openxmlformats.org/drawingml/2006/main">
  <xdr:twoCellAnchor>
    <xdr:from>
      <xdr:col>3</xdr:col>
      <xdr:colOff>36260</xdr:colOff>
      <xdr:row>73</xdr:row>
      <xdr:rowOff>140681</xdr:rowOff>
    </xdr:from>
    <xdr:to>
      <xdr:col>11</xdr:col>
      <xdr:colOff>198190</xdr:colOff>
      <xdr:row>92</xdr:row>
      <xdr:rowOff>29618</xdr:rowOff>
    </xdr:to>
    <xdr:graphicFrame macro="">
      <xdr:nvGraphicFramePr>
        <xdr:cNvPr id="15" name="Chart 14">
          <a:extLst>
            <a:ext uri="{FF2B5EF4-FFF2-40B4-BE49-F238E27FC236}">
              <a16:creationId xmlns:a16="http://schemas.microsoft.com/office/drawing/2014/main" id="{00000000-0008-0000-0400-00000F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29210</xdr:colOff>
      <xdr:row>104</xdr:row>
      <xdr:rowOff>139365</xdr:rowOff>
    </xdr:from>
    <xdr:to>
      <xdr:col>11</xdr:col>
      <xdr:colOff>191140</xdr:colOff>
      <xdr:row>121</xdr:row>
      <xdr:rowOff>181497</xdr:rowOff>
    </xdr:to>
    <xdr:graphicFrame macro="">
      <xdr:nvGraphicFramePr>
        <xdr:cNvPr id="7" name="Chart 6">
          <a:extLst>
            <a:ext uri="{FF2B5EF4-FFF2-40B4-BE49-F238E27FC236}">
              <a16:creationId xmlns:a16="http://schemas.microsoft.com/office/drawing/2014/main" id="{D33E7B4E-5888-4148-BA27-56A1BEDFD50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45720</xdr:colOff>
      <xdr:row>124</xdr:row>
      <xdr:rowOff>129540</xdr:rowOff>
    </xdr:from>
    <xdr:to>
      <xdr:col>11</xdr:col>
      <xdr:colOff>208920</xdr:colOff>
      <xdr:row>144</xdr:row>
      <xdr:rowOff>101894</xdr:rowOff>
    </xdr:to>
    <xdr:graphicFrame macro="">
      <xdr:nvGraphicFramePr>
        <xdr:cNvPr id="8" name="Chart 7">
          <a:extLst>
            <a:ext uri="{FF2B5EF4-FFF2-40B4-BE49-F238E27FC236}">
              <a16:creationId xmlns:a16="http://schemas.microsoft.com/office/drawing/2014/main" id="{06FF2887-324C-4254-91DC-1AF4C6003F2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36260</xdr:colOff>
      <xdr:row>170</xdr:row>
      <xdr:rowOff>155027</xdr:rowOff>
    </xdr:from>
    <xdr:to>
      <xdr:col>11</xdr:col>
      <xdr:colOff>198190</xdr:colOff>
      <xdr:row>191</xdr:row>
      <xdr:rowOff>15272</xdr:rowOff>
    </xdr:to>
    <xdr:graphicFrame macro="">
      <xdr:nvGraphicFramePr>
        <xdr:cNvPr id="9" name="Chart 8">
          <a:extLst>
            <a:ext uri="{FF2B5EF4-FFF2-40B4-BE49-F238E27FC236}">
              <a16:creationId xmlns:a16="http://schemas.microsoft.com/office/drawing/2014/main" id="{86969450-9904-4ECA-807D-25933B5E58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xdr:col>
      <xdr:colOff>45720</xdr:colOff>
      <xdr:row>146</xdr:row>
      <xdr:rowOff>60960</xdr:rowOff>
    </xdr:from>
    <xdr:to>
      <xdr:col>11</xdr:col>
      <xdr:colOff>208920</xdr:colOff>
      <xdr:row>166</xdr:row>
      <xdr:rowOff>155234</xdr:rowOff>
    </xdr:to>
    <xdr:graphicFrame macro="">
      <xdr:nvGraphicFramePr>
        <xdr:cNvPr id="10" name="Chart 9">
          <a:extLst>
            <a:ext uri="{FF2B5EF4-FFF2-40B4-BE49-F238E27FC236}">
              <a16:creationId xmlns:a16="http://schemas.microsoft.com/office/drawing/2014/main" id="{310A3566-8F12-4F8C-AAF9-86EAD30DC9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xdr:col>
      <xdr:colOff>607391</xdr:colOff>
      <xdr:row>23</xdr:row>
      <xdr:rowOff>0</xdr:rowOff>
    </xdr:from>
    <xdr:to>
      <xdr:col>11</xdr:col>
      <xdr:colOff>163200</xdr:colOff>
      <xdr:row>42</xdr:row>
      <xdr:rowOff>154572</xdr:rowOff>
    </xdr:to>
    <xdr:graphicFrame macro="">
      <xdr:nvGraphicFramePr>
        <xdr:cNvPr id="12" name="Chart 11">
          <a:extLst>
            <a:ext uri="{FF2B5EF4-FFF2-40B4-BE49-F238E27FC236}">
              <a16:creationId xmlns:a16="http://schemas.microsoft.com/office/drawing/2014/main" id="{BE1D1C9D-76E5-49C6-83F1-08144A60C7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3</xdr:col>
      <xdr:colOff>11044</xdr:colOff>
      <xdr:row>1</xdr:row>
      <xdr:rowOff>248478</xdr:rowOff>
    </xdr:from>
    <xdr:to>
      <xdr:col>11</xdr:col>
      <xdr:colOff>174244</xdr:colOff>
      <xdr:row>21</xdr:row>
      <xdr:rowOff>54380</xdr:rowOff>
    </xdr:to>
    <xdr:graphicFrame macro="">
      <xdr:nvGraphicFramePr>
        <xdr:cNvPr id="13" name="Chart 12">
          <a:extLst>
            <a:ext uri="{FF2B5EF4-FFF2-40B4-BE49-F238E27FC236}">
              <a16:creationId xmlns:a16="http://schemas.microsoft.com/office/drawing/2014/main" id="{DB11B0D4-CA43-4733-BB17-1A3D5AA784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xdr:col>
      <xdr:colOff>4252</xdr:colOff>
      <xdr:row>46</xdr:row>
      <xdr:rowOff>64830</xdr:rowOff>
    </xdr:from>
    <xdr:to>
      <xdr:col>11</xdr:col>
      <xdr:colOff>166182</xdr:colOff>
      <xdr:row>65</xdr:row>
      <xdr:rowOff>976</xdr:rowOff>
    </xdr:to>
    <xdr:graphicFrame macro="">
      <xdr:nvGraphicFramePr>
        <xdr:cNvPr id="17" name="Chart 16">
          <a:extLst>
            <a:ext uri="{FF2B5EF4-FFF2-40B4-BE49-F238E27FC236}">
              <a16:creationId xmlns:a16="http://schemas.microsoft.com/office/drawing/2014/main" id="{D5FC2BF7-6271-42A0-A756-557F2B0DEDB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wsDr>
</file>

<file path=xl/drawings/drawing10.xml><?xml version="1.0" encoding="utf-8"?>
<c:userShapes xmlns:c="http://schemas.openxmlformats.org/drawingml/2006/chart">
  <cdr:relSizeAnchor xmlns:cdr="http://schemas.openxmlformats.org/drawingml/2006/chartDrawing">
    <cdr:from>
      <cdr:x>0.18833</cdr:x>
      <cdr:y>0.49441</cdr:y>
    </cdr:from>
    <cdr:to>
      <cdr:x>0.94385</cdr:x>
      <cdr:y>0.60477</cdr:y>
    </cdr:to>
    <cdr:grpSp>
      <cdr:nvGrpSpPr>
        <cdr:cNvPr id="15" name="Group 14">
          <a:extLst xmlns:a="http://schemas.openxmlformats.org/drawingml/2006/main">
            <a:ext uri="{FF2B5EF4-FFF2-40B4-BE49-F238E27FC236}">
              <a16:creationId xmlns:a16="http://schemas.microsoft.com/office/drawing/2014/main" id="{C9134B25-773A-743A-0503-97FD6D236F98}"/>
            </a:ext>
          </a:extLst>
        </cdr:cNvPr>
        <cdr:cNvGrpSpPr/>
      </cdr:nvGrpSpPr>
      <cdr:grpSpPr>
        <a:xfrm xmlns:a="http://schemas.openxmlformats.org/drawingml/2006/main">
          <a:off x="896191" y="1675763"/>
          <a:ext cx="3595232" cy="374057"/>
          <a:chOff x="909249" y="1414509"/>
          <a:chExt cx="3825911" cy="368109"/>
        </a:xfrm>
      </cdr:grpSpPr>
      <cdr:sp macro="" textlink="">
        <cdr:nvSpPr>
          <cdr:cNvPr id="4" name="Down Arrow 3">
            <a:extLst xmlns:a="http://schemas.openxmlformats.org/drawingml/2006/main">
              <a:ext uri="{FF2B5EF4-FFF2-40B4-BE49-F238E27FC236}">
                <a16:creationId xmlns:a16="http://schemas.microsoft.com/office/drawing/2014/main" id="{00000000-0008-0000-0500-000004000000}"/>
              </a:ext>
            </a:extLst>
          </cdr:cNvPr>
          <cdr:cNvSpPr/>
        </cdr:nvSpPr>
        <cdr:spPr>
          <a:xfrm xmlns:a="http://schemas.openxmlformats.org/drawingml/2006/main" rot="15665244">
            <a:off x="2638150" y="-314392"/>
            <a:ext cx="368109" cy="3825911"/>
          </a:xfrm>
          <a:prstGeom xmlns:a="http://schemas.openxmlformats.org/drawingml/2006/main" prst="downArrow">
            <a:avLst/>
          </a:prstGeom>
          <a:solidFill xmlns:a="http://schemas.openxmlformats.org/drawingml/2006/main">
            <a:srgbClr val="003399">
              <a:alpha val="10000"/>
            </a:srgbClr>
          </a:solidFill>
          <a:ln xmlns:a="http://schemas.openxmlformats.org/drawingml/2006/main">
            <a:solidFill>
              <a:srgbClr val="003399">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7" name="TextBox 1">
            <a:extLst xmlns:a="http://schemas.openxmlformats.org/drawingml/2006/main">
              <a:ext uri="{FF2B5EF4-FFF2-40B4-BE49-F238E27FC236}">
                <a16:creationId xmlns:a16="http://schemas.microsoft.com/office/drawing/2014/main" id="{FBA596FF-2020-DA4D-E943-98F1CC39C1AE}"/>
              </a:ext>
            </a:extLst>
          </cdr:cNvPr>
          <cdr:cNvSpPr txBox="1"/>
        </cdr:nvSpPr>
        <cdr:spPr>
          <a:xfrm xmlns:a="http://schemas.openxmlformats.org/drawingml/2006/main" rot="21085153">
            <a:off x="1962858" y="1519316"/>
            <a:ext cx="914404"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003399"/>
                </a:solidFill>
              </a:rPr>
              <a:t>+14.4%/yr</a:t>
            </a:r>
          </a:p>
        </cdr:txBody>
      </cdr:sp>
    </cdr:grpSp>
  </cdr:relSizeAnchor>
  <cdr:relSizeAnchor xmlns:cdr="http://schemas.openxmlformats.org/drawingml/2006/chartDrawing">
    <cdr:from>
      <cdr:x>0.15756</cdr:x>
      <cdr:y>0.36191</cdr:y>
    </cdr:from>
    <cdr:to>
      <cdr:x>0.91321</cdr:x>
      <cdr:y>0.50796</cdr:y>
    </cdr:to>
    <cdr:grpSp>
      <cdr:nvGrpSpPr>
        <cdr:cNvPr id="16" name="Group 15">
          <a:extLst xmlns:a="http://schemas.openxmlformats.org/drawingml/2006/main">
            <a:ext uri="{FF2B5EF4-FFF2-40B4-BE49-F238E27FC236}">
              <a16:creationId xmlns:a16="http://schemas.microsoft.com/office/drawing/2014/main" id="{434A4EC5-9443-D17A-B6A6-E2C4A1244C4D}"/>
            </a:ext>
          </a:extLst>
        </cdr:cNvPr>
        <cdr:cNvGrpSpPr/>
      </cdr:nvGrpSpPr>
      <cdr:grpSpPr>
        <a:xfrm xmlns:a="http://schemas.openxmlformats.org/drawingml/2006/main" rot="21366664">
          <a:off x="749768" y="1226665"/>
          <a:ext cx="3595851" cy="495025"/>
          <a:chOff x="782916" y="1072713"/>
          <a:chExt cx="3826572" cy="487138"/>
        </a:xfrm>
      </cdr:grpSpPr>
      <cdr:sp macro="" textlink="">
        <cdr:nvSpPr>
          <cdr:cNvPr id="2" name="Down Arrow 1">
            <a:extLst xmlns:a="http://schemas.openxmlformats.org/drawingml/2006/main">
              <a:ext uri="{FF2B5EF4-FFF2-40B4-BE49-F238E27FC236}">
                <a16:creationId xmlns:a16="http://schemas.microsoft.com/office/drawing/2014/main" id="{00000000-0008-0000-0500-000004000000}"/>
              </a:ext>
            </a:extLst>
          </cdr:cNvPr>
          <cdr:cNvSpPr/>
        </cdr:nvSpPr>
        <cdr:spPr>
          <a:xfrm xmlns:a="http://schemas.openxmlformats.org/drawingml/2006/main" rot="15777137">
            <a:off x="2524162" y="-644971"/>
            <a:ext cx="367642" cy="3803010"/>
          </a:xfrm>
          <a:prstGeom xmlns:a="http://schemas.openxmlformats.org/drawingml/2006/main" prst="downArrow">
            <a:avLst/>
          </a:prstGeom>
          <a:solidFill xmlns:a="http://schemas.openxmlformats.org/drawingml/2006/main">
            <a:srgbClr val="00B0F0">
              <a:alpha val="10000"/>
            </a:srgbClr>
          </a:solidFill>
          <a:ln xmlns:a="http://schemas.openxmlformats.org/drawingml/2006/main">
            <a:solidFill>
              <a:srgbClr val="00B0F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8" name="TextBox 1">
            <a:extLst xmlns:a="http://schemas.openxmlformats.org/drawingml/2006/main">
              <a:ext uri="{FF2B5EF4-FFF2-40B4-BE49-F238E27FC236}">
                <a16:creationId xmlns:a16="http://schemas.microsoft.com/office/drawing/2014/main" id="{D6BFAF53-E26F-3789-7B8F-E8B4EF018859}"/>
              </a:ext>
            </a:extLst>
          </cdr:cNvPr>
          <cdr:cNvSpPr txBox="1"/>
        </cdr:nvSpPr>
        <cdr:spPr>
          <a:xfrm xmlns:a="http://schemas.openxmlformats.org/drawingml/2006/main" rot="21153658">
            <a:off x="782916" y="1305859"/>
            <a:ext cx="914404"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00B0F0"/>
                </a:solidFill>
              </a:rPr>
              <a:t>+15.7%/yr</a:t>
            </a:r>
          </a:p>
        </cdr:txBody>
      </cdr:sp>
    </cdr:grpSp>
  </cdr:relSizeAnchor>
  <cdr:relSizeAnchor xmlns:cdr="http://schemas.openxmlformats.org/drawingml/2006/chartDrawing">
    <cdr:from>
      <cdr:x>0.48848</cdr:x>
      <cdr:y>0.1264</cdr:y>
    </cdr:from>
    <cdr:to>
      <cdr:x>0.95024</cdr:x>
      <cdr:y>0.31239</cdr:y>
    </cdr:to>
    <cdr:grpSp>
      <cdr:nvGrpSpPr>
        <cdr:cNvPr id="14" name="Group 13">
          <a:extLst xmlns:a="http://schemas.openxmlformats.org/drawingml/2006/main">
            <a:ext uri="{FF2B5EF4-FFF2-40B4-BE49-F238E27FC236}">
              <a16:creationId xmlns:a16="http://schemas.microsoft.com/office/drawing/2014/main" id="{32660F16-E89A-41DA-B6FC-E583BFB0B454}"/>
            </a:ext>
          </a:extLst>
        </cdr:cNvPr>
        <cdr:cNvGrpSpPr/>
      </cdr:nvGrpSpPr>
      <cdr:grpSpPr>
        <a:xfrm xmlns:a="http://schemas.openxmlformats.org/drawingml/2006/main">
          <a:off x="2324491" y="428423"/>
          <a:ext cx="2197340" cy="630398"/>
          <a:chOff x="2473639" y="421628"/>
          <a:chExt cx="2338302" cy="620353"/>
        </a:xfrm>
      </cdr:grpSpPr>
      <cdr:sp macro="" textlink="">
        <cdr:nvSpPr>
          <cdr:cNvPr id="6" name="Down Arrow 5">
            <a:extLst xmlns:a="http://schemas.openxmlformats.org/drawingml/2006/main">
              <a:ext uri="{FF2B5EF4-FFF2-40B4-BE49-F238E27FC236}">
                <a16:creationId xmlns:a16="http://schemas.microsoft.com/office/drawing/2014/main" id="{00000000-0008-0000-0500-000004000000}"/>
              </a:ext>
            </a:extLst>
          </cdr:cNvPr>
          <cdr:cNvSpPr/>
        </cdr:nvSpPr>
        <cdr:spPr>
          <a:xfrm xmlns:a="http://schemas.openxmlformats.org/drawingml/2006/main" rot="17624949">
            <a:off x="3458736" y="-311224"/>
            <a:ext cx="368108" cy="2338302"/>
          </a:xfrm>
          <a:prstGeom xmlns:a="http://schemas.openxmlformats.org/drawingml/2006/main" prst="downArrow">
            <a:avLst/>
          </a:prstGeom>
          <a:solidFill xmlns:a="http://schemas.openxmlformats.org/drawingml/2006/main">
            <a:srgbClr val="FFC000">
              <a:alpha val="10000"/>
            </a:srgbClr>
          </a:solidFill>
          <a:ln xmlns:a="http://schemas.openxmlformats.org/drawingml/2006/main">
            <a:solidFill>
              <a:srgbClr val="FFC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9" name="TextBox 1">
            <a:extLst xmlns:a="http://schemas.openxmlformats.org/drawingml/2006/main">
              <a:ext uri="{FF2B5EF4-FFF2-40B4-BE49-F238E27FC236}">
                <a16:creationId xmlns:a16="http://schemas.microsoft.com/office/drawing/2014/main" id="{160A01E0-6A38-10ED-B069-CC70F79C8CEE}"/>
              </a:ext>
            </a:extLst>
          </cdr:cNvPr>
          <cdr:cNvSpPr txBox="1"/>
        </cdr:nvSpPr>
        <cdr:spPr>
          <a:xfrm xmlns:a="http://schemas.openxmlformats.org/drawingml/2006/main" rot="1390254">
            <a:off x="2556619" y="421628"/>
            <a:ext cx="914404"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FFC000"/>
                </a:solidFill>
              </a:rPr>
              <a:t>-37.4%/yr</a:t>
            </a:r>
          </a:p>
        </cdr:txBody>
      </cdr:sp>
    </cdr:grpSp>
  </cdr:relSizeAnchor>
  <cdr:relSizeAnchor xmlns:cdr="http://schemas.openxmlformats.org/drawingml/2006/chartDrawing">
    <cdr:from>
      <cdr:x>0.14989</cdr:x>
      <cdr:y>0.2664</cdr:y>
    </cdr:from>
    <cdr:to>
      <cdr:x>0.81553</cdr:x>
      <cdr:y>0.44211</cdr:y>
    </cdr:to>
    <cdr:grpSp>
      <cdr:nvGrpSpPr>
        <cdr:cNvPr id="17" name="Group 16">
          <a:extLst xmlns:a="http://schemas.openxmlformats.org/drawingml/2006/main">
            <a:ext uri="{FF2B5EF4-FFF2-40B4-BE49-F238E27FC236}">
              <a16:creationId xmlns:a16="http://schemas.microsoft.com/office/drawing/2014/main" id="{691B9D01-D129-1FC3-A242-CE300DB21F82}"/>
            </a:ext>
          </a:extLst>
        </cdr:cNvPr>
        <cdr:cNvGrpSpPr/>
      </cdr:nvGrpSpPr>
      <cdr:grpSpPr>
        <a:xfrm xmlns:a="http://schemas.openxmlformats.org/drawingml/2006/main">
          <a:off x="713270" y="902941"/>
          <a:ext cx="3167527" cy="595555"/>
          <a:chOff x="782917" y="947269"/>
          <a:chExt cx="3370755" cy="586081"/>
        </a:xfrm>
      </cdr:grpSpPr>
      <cdr:sp macro="" textlink="">
        <cdr:nvSpPr>
          <cdr:cNvPr id="3" name="Down Arrow 2">
            <a:extLst xmlns:a="http://schemas.openxmlformats.org/drawingml/2006/main">
              <a:ext uri="{FF2B5EF4-FFF2-40B4-BE49-F238E27FC236}">
                <a16:creationId xmlns:a16="http://schemas.microsoft.com/office/drawing/2014/main" id="{00000000-0008-0000-0500-000004000000}"/>
              </a:ext>
            </a:extLst>
          </cdr:cNvPr>
          <cdr:cNvSpPr/>
        </cdr:nvSpPr>
        <cdr:spPr>
          <a:xfrm xmlns:a="http://schemas.openxmlformats.org/drawingml/2006/main" rot="16918344">
            <a:off x="2302303" y="-318019"/>
            <a:ext cx="367643" cy="3335095"/>
          </a:xfrm>
          <a:prstGeom xmlns:a="http://schemas.openxmlformats.org/drawingml/2006/main" prst="downArrow">
            <a:avLst/>
          </a:prstGeom>
          <a:solidFill xmlns:a="http://schemas.openxmlformats.org/drawingml/2006/main">
            <a:srgbClr val="FF0000">
              <a:alpha val="10000"/>
            </a:srgbClr>
          </a:solidFill>
          <a:ln xmlns:a="http://schemas.openxmlformats.org/drawingml/2006/main">
            <a:solidFill>
              <a:srgbClr val="FF0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solidFill>
                <a:srgbClr val="FF0000"/>
              </a:solidFill>
            </a:endParaRPr>
          </a:p>
        </cdr:txBody>
      </cdr:sp>
      <cdr:sp macro="" textlink="">
        <cdr:nvSpPr>
          <cdr:cNvPr id="11" name="TextBox 1">
            <a:extLst xmlns:a="http://schemas.openxmlformats.org/drawingml/2006/main">
              <a:ext uri="{FF2B5EF4-FFF2-40B4-BE49-F238E27FC236}">
                <a16:creationId xmlns:a16="http://schemas.microsoft.com/office/drawing/2014/main" id="{32E59D4F-2FFE-D057-7CD4-031220A6FBAA}"/>
              </a:ext>
            </a:extLst>
          </cdr:cNvPr>
          <cdr:cNvSpPr txBox="1"/>
        </cdr:nvSpPr>
        <cdr:spPr>
          <a:xfrm xmlns:a="http://schemas.openxmlformats.org/drawingml/2006/main" rot="677638">
            <a:off x="782917" y="947269"/>
            <a:ext cx="914404"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FF0000"/>
                </a:solidFill>
              </a:rPr>
              <a:t>-28.2%/yr</a:t>
            </a:r>
          </a:p>
        </cdr:txBody>
      </cdr:sp>
    </cdr:grpSp>
  </cdr:relSizeAnchor>
  <cdr:relSizeAnchor xmlns:cdr="http://schemas.openxmlformats.org/drawingml/2006/chartDrawing">
    <cdr:from>
      <cdr:x>0.17639</cdr:x>
      <cdr:y>0.36053</cdr:y>
    </cdr:from>
    <cdr:to>
      <cdr:x>0.8107</cdr:x>
      <cdr:y>0.6864</cdr:y>
    </cdr:to>
    <cdr:grpSp>
      <cdr:nvGrpSpPr>
        <cdr:cNvPr id="18" name="Group 17">
          <a:extLst xmlns:a="http://schemas.openxmlformats.org/drawingml/2006/main">
            <a:ext uri="{FF2B5EF4-FFF2-40B4-BE49-F238E27FC236}">
              <a16:creationId xmlns:a16="http://schemas.microsoft.com/office/drawing/2014/main" id="{C262AA1C-2CDA-78ED-4FEE-7FBDE7C1F863}"/>
            </a:ext>
          </a:extLst>
        </cdr:cNvPr>
        <cdr:cNvGrpSpPr/>
      </cdr:nvGrpSpPr>
      <cdr:grpSpPr>
        <a:xfrm xmlns:a="http://schemas.openxmlformats.org/drawingml/2006/main">
          <a:off x="839373" y="1221988"/>
          <a:ext cx="3018440" cy="1104510"/>
          <a:chOff x="814634" y="1183024"/>
          <a:chExt cx="3212078" cy="1086932"/>
        </a:xfrm>
      </cdr:grpSpPr>
      <cdr:sp macro="" textlink="">
        <cdr:nvSpPr>
          <cdr:cNvPr id="12" name="Down Arrow 4">
            <a:extLst xmlns:a="http://schemas.openxmlformats.org/drawingml/2006/main">
              <a:ext uri="{FF2B5EF4-FFF2-40B4-BE49-F238E27FC236}">
                <a16:creationId xmlns:a16="http://schemas.microsoft.com/office/drawing/2014/main" id="{54759C48-2FDC-289F-7EBD-DBF794C8427A}"/>
              </a:ext>
            </a:extLst>
          </cdr:cNvPr>
          <cdr:cNvSpPr/>
        </cdr:nvSpPr>
        <cdr:spPr>
          <a:xfrm xmlns:a="http://schemas.openxmlformats.org/drawingml/2006/main" rot="13742245">
            <a:off x="2215053" y="-217395"/>
            <a:ext cx="411240" cy="3212078"/>
          </a:xfrm>
          <a:prstGeom xmlns:a="http://schemas.openxmlformats.org/drawingml/2006/main" prst="downArrow">
            <a:avLst/>
          </a:prstGeom>
          <a:solidFill xmlns:a="http://schemas.openxmlformats.org/drawingml/2006/main">
            <a:srgbClr val="C00000">
              <a:alpha val="10000"/>
            </a:srgbClr>
          </a:solidFill>
          <a:ln xmlns:a="http://schemas.openxmlformats.org/drawingml/2006/main">
            <a:solidFill>
              <a:srgbClr val="C00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13" name="TextBox 1">
            <a:extLst xmlns:a="http://schemas.openxmlformats.org/drawingml/2006/main">
              <a:ext uri="{FF2B5EF4-FFF2-40B4-BE49-F238E27FC236}">
                <a16:creationId xmlns:a16="http://schemas.microsoft.com/office/drawing/2014/main" id="{7E971A86-4365-58D9-8C96-7F55E3160D86}"/>
              </a:ext>
            </a:extLst>
          </cdr:cNvPr>
          <cdr:cNvSpPr txBox="1"/>
        </cdr:nvSpPr>
        <cdr:spPr>
          <a:xfrm xmlns:a="http://schemas.openxmlformats.org/drawingml/2006/main" rot="19172894">
            <a:off x="1032377" y="2015964"/>
            <a:ext cx="914404"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C00000"/>
                </a:solidFill>
              </a:rPr>
              <a:t>+116.6%/yr</a:t>
            </a:r>
          </a:p>
        </cdr:txBody>
      </cdr:sp>
    </cdr:grpSp>
  </cdr:relSizeAnchor>
</c:userShapes>
</file>

<file path=xl/drawings/drawing11.xml><?xml version="1.0" encoding="utf-8"?>
<c:userShapes xmlns:c="http://schemas.openxmlformats.org/drawingml/2006/chart">
  <cdr:relSizeAnchor xmlns:cdr="http://schemas.openxmlformats.org/drawingml/2006/chartDrawing">
    <cdr:from>
      <cdr:x>0.13686</cdr:x>
      <cdr:y>0.35254</cdr:y>
    </cdr:from>
    <cdr:to>
      <cdr:x>0.95689</cdr:x>
      <cdr:y>0.51319</cdr:y>
    </cdr:to>
    <cdr:grpSp>
      <cdr:nvGrpSpPr>
        <cdr:cNvPr id="10" name="Group 9">
          <a:extLst xmlns:a="http://schemas.openxmlformats.org/drawingml/2006/main">
            <a:ext uri="{FF2B5EF4-FFF2-40B4-BE49-F238E27FC236}">
              <a16:creationId xmlns:a16="http://schemas.microsoft.com/office/drawing/2014/main" id="{10740340-2BD1-5F3F-22CD-0BFC9123E590}"/>
            </a:ext>
          </a:extLst>
        </cdr:cNvPr>
        <cdr:cNvGrpSpPr/>
      </cdr:nvGrpSpPr>
      <cdr:grpSpPr>
        <a:xfrm xmlns:a="http://schemas.openxmlformats.org/drawingml/2006/main" rot="2009296">
          <a:off x="651265" y="1196305"/>
          <a:ext cx="3902211" cy="545148"/>
          <a:chOff x="-14289" y="-71247"/>
          <a:chExt cx="3803010" cy="558385"/>
        </a:xfrm>
      </cdr:grpSpPr>
      <cdr:sp macro="" textlink="">
        <cdr:nvSpPr>
          <cdr:cNvPr id="11" name="Down Arrow 1">
            <a:extLst xmlns:a="http://schemas.openxmlformats.org/drawingml/2006/main">
              <a:ext uri="{FF2B5EF4-FFF2-40B4-BE49-F238E27FC236}">
                <a16:creationId xmlns:a16="http://schemas.microsoft.com/office/drawing/2014/main" id="{9E360F7E-FF7C-98D1-7508-170DAE3A9506}"/>
              </a:ext>
            </a:extLst>
          </cdr:cNvPr>
          <cdr:cNvSpPr/>
        </cdr:nvSpPr>
        <cdr:spPr>
          <a:xfrm xmlns:a="http://schemas.openxmlformats.org/drawingml/2006/main" rot="15678168">
            <a:off x="1703395" y="-1788931"/>
            <a:ext cx="367642" cy="3803010"/>
          </a:xfrm>
          <a:prstGeom xmlns:a="http://schemas.openxmlformats.org/drawingml/2006/main" prst="downArrow">
            <a:avLst/>
          </a:prstGeom>
          <a:solidFill xmlns:a="http://schemas.openxmlformats.org/drawingml/2006/main">
            <a:srgbClr val="00B0F0">
              <a:alpha val="10000"/>
            </a:srgbClr>
          </a:solidFill>
          <a:ln xmlns:a="http://schemas.openxmlformats.org/drawingml/2006/main">
            <a:solidFill>
              <a:srgbClr val="00B0F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12" name="TextBox 1">
            <a:extLst xmlns:a="http://schemas.openxmlformats.org/drawingml/2006/main">
              <a:ext uri="{FF2B5EF4-FFF2-40B4-BE49-F238E27FC236}">
                <a16:creationId xmlns:a16="http://schemas.microsoft.com/office/drawing/2014/main" id="{15D14858-5A37-23F6-4A7F-8418A64000B5}"/>
              </a:ext>
            </a:extLst>
          </cdr:cNvPr>
          <cdr:cNvSpPr txBox="1"/>
        </cdr:nvSpPr>
        <cdr:spPr>
          <a:xfrm xmlns:a="http://schemas.openxmlformats.org/drawingml/2006/main" rot="21153658">
            <a:off x="0" y="233146"/>
            <a:ext cx="914404"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00B0F0"/>
                </a:solidFill>
              </a:rPr>
              <a:t>-50.9%/yr</a:t>
            </a:r>
          </a:p>
        </cdr:txBody>
      </cdr:sp>
    </cdr:grpSp>
  </cdr:relSizeAnchor>
  <cdr:relSizeAnchor xmlns:cdr="http://schemas.openxmlformats.org/drawingml/2006/chartDrawing">
    <cdr:from>
      <cdr:x>0.26538</cdr:x>
      <cdr:y>0.2895</cdr:y>
    </cdr:from>
    <cdr:to>
      <cdr:x>0.79631</cdr:x>
      <cdr:y>0.44758</cdr:y>
    </cdr:to>
    <cdr:grpSp>
      <cdr:nvGrpSpPr>
        <cdr:cNvPr id="13" name="Group 12">
          <a:extLst xmlns:a="http://schemas.openxmlformats.org/drawingml/2006/main">
            <a:ext uri="{FF2B5EF4-FFF2-40B4-BE49-F238E27FC236}">
              <a16:creationId xmlns:a16="http://schemas.microsoft.com/office/drawing/2014/main" id="{CBB81B15-00EF-ED57-C9C5-EEA7504F9B9E}"/>
            </a:ext>
          </a:extLst>
        </cdr:cNvPr>
        <cdr:cNvGrpSpPr/>
      </cdr:nvGrpSpPr>
      <cdr:grpSpPr>
        <a:xfrm xmlns:a="http://schemas.openxmlformats.org/drawingml/2006/main" rot="1429663">
          <a:off x="1262843" y="982386"/>
          <a:ext cx="2526494" cy="536427"/>
          <a:chOff x="-1" y="0"/>
          <a:chExt cx="3373046" cy="549476"/>
        </a:xfrm>
      </cdr:grpSpPr>
      <cdr:sp macro="" textlink="">
        <cdr:nvSpPr>
          <cdr:cNvPr id="14" name="Down Arrow 2">
            <a:extLst xmlns:a="http://schemas.openxmlformats.org/drawingml/2006/main">
              <a:ext uri="{FF2B5EF4-FFF2-40B4-BE49-F238E27FC236}">
                <a16:creationId xmlns:a16="http://schemas.microsoft.com/office/drawing/2014/main" id="{9B651DB8-9C69-2BD9-BA21-02BAAA0452E6}"/>
              </a:ext>
            </a:extLst>
          </cdr:cNvPr>
          <cdr:cNvSpPr/>
        </cdr:nvSpPr>
        <cdr:spPr>
          <a:xfrm xmlns:a="http://schemas.openxmlformats.org/drawingml/2006/main" rot="16918344">
            <a:off x="1521676" y="-1301893"/>
            <a:ext cx="367643" cy="3335095"/>
          </a:xfrm>
          <a:prstGeom xmlns:a="http://schemas.openxmlformats.org/drawingml/2006/main" prst="downArrow">
            <a:avLst/>
          </a:prstGeom>
          <a:solidFill xmlns:a="http://schemas.openxmlformats.org/drawingml/2006/main">
            <a:srgbClr val="FF0000">
              <a:alpha val="10000"/>
            </a:srgbClr>
          </a:solidFill>
          <a:ln xmlns:a="http://schemas.openxmlformats.org/drawingml/2006/main">
            <a:solidFill>
              <a:srgbClr val="FF0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solidFill>
                <a:srgbClr val="FF0000"/>
              </a:solidFill>
            </a:endParaRPr>
          </a:p>
        </cdr:txBody>
      </cdr:sp>
      <cdr:sp macro="" textlink="">
        <cdr:nvSpPr>
          <cdr:cNvPr id="15" name="TextBox 1">
            <a:extLst xmlns:a="http://schemas.openxmlformats.org/drawingml/2006/main">
              <a:ext uri="{FF2B5EF4-FFF2-40B4-BE49-F238E27FC236}">
                <a16:creationId xmlns:a16="http://schemas.microsoft.com/office/drawing/2014/main" id="{42519BCD-28B7-4527-412D-09E86864CE2B}"/>
              </a:ext>
            </a:extLst>
          </cdr:cNvPr>
          <cdr:cNvSpPr txBox="1"/>
        </cdr:nvSpPr>
        <cdr:spPr>
          <a:xfrm xmlns:a="http://schemas.openxmlformats.org/drawingml/2006/main" rot="677638">
            <a:off x="-1" y="0"/>
            <a:ext cx="914404"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FF0000"/>
                </a:solidFill>
              </a:rPr>
              <a:t>-76.3%/yr</a:t>
            </a:r>
          </a:p>
        </cdr:txBody>
      </cdr:sp>
    </cdr:grpSp>
  </cdr:relSizeAnchor>
  <cdr:relSizeAnchor xmlns:cdr="http://schemas.openxmlformats.org/drawingml/2006/chartDrawing">
    <cdr:from>
      <cdr:x>0.43425</cdr:x>
      <cdr:y>0</cdr:y>
    </cdr:from>
    <cdr:to>
      <cdr:x>0.60825</cdr:x>
      <cdr:y>0.80037</cdr:y>
    </cdr:to>
    <cdr:grpSp>
      <cdr:nvGrpSpPr>
        <cdr:cNvPr id="17" name="Group 16">
          <a:extLst xmlns:a="http://schemas.openxmlformats.org/drawingml/2006/main">
            <a:ext uri="{FF2B5EF4-FFF2-40B4-BE49-F238E27FC236}">
              <a16:creationId xmlns:a16="http://schemas.microsoft.com/office/drawing/2014/main" id="{4B13DD81-D601-CB39-7AAC-85373E505821}"/>
            </a:ext>
          </a:extLst>
        </cdr:cNvPr>
        <cdr:cNvGrpSpPr/>
      </cdr:nvGrpSpPr>
      <cdr:grpSpPr>
        <a:xfrm xmlns:a="http://schemas.openxmlformats.org/drawingml/2006/main" rot="4867900">
          <a:off x="1122448" y="943983"/>
          <a:ext cx="2715966" cy="828000"/>
          <a:chOff x="-291883" y="45814"/>
          <a:chExt cx="3331953" cy="881094"/>
        </a:xfrm>
      </cdr:grpSpPr>
      <cdr:sp macro="" textlink="">
        <cdr:nvSpPr>
          <cdr:cNvPr id="18" name="Down Arrow 4">
            <a:extLst xmlns:a="http://schemas.openxmlformats.org/drawingml/2006/main">
              <a:ext uri="{FF2B5EF4-FFF2-40B4-BE49-F238E27FC236}">
                <a16:creationId xmlns:a16="http://schemas.microsoft.com/office/drawing/2014/main" id="{022323CB-470C-7FA5-AC0F-E0B821146B4A}"/>
              </a:ext>
            </a:extLst>
          </cdr:cNvPr>
          <cdr:cNvSpPr/>
        </cdr:nvSpPr>
        <cdr:spPr>
          <a:xfrm xmlns:a="http://schemas.openxmlformats.org/drawingml/2006/main" rot="13742245">
            <a:off x="1168474" y="-1414543"/>
            <a:ext cx="411240" cy="3331953"/>
          </a:xfrm>
          <a:prstGeom xmlns:a="http://schemas.openxmlformats.org/drawingml/2006/main" prst="downArrow">
            <a:avLst/>
          </a:prstGeom>
          <a:solidFill xmlns:a="http://schemas.openxmlformats.org/drawingml/2006/main">
            <a:srgbClr val="C00000">
              <a:alpha val="10000"/>
            </a:srgbClr>
          </a:solidFill>
          <a:ln xmlns:a="http://schemas.openxmlformats.org/drawingml/2006/main">
            <a:solidFill>
              <a:srgbClr val="C00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19" name="TextBox 1">
            <a:extLst xmlns:a="http://schemas.openxmlformats.org/drawingml/2006/main">
              <a:ext uri="{FF2B5EF4-FFF2-40B4-BE49-F238E27FC236}">
                <a16:creationId xmlns:a16="http://schemas.microsoft.com/office/drawing/2014/main" id="{9B9FEE2E-FEB3-4140-D664-29B0EC86159C}"/>
              </a:ext>
            </a:extLst>
          </cdr:cNvPr>
          <cdr:cNvSpPr txBox="1"/>
        </cdr:nvSpPr>
        <cdr:spPr>
          <a:xfrm xmlns:a="http://schemas.openxmlformats.org/drawingml/2006/main" rot="19172894">
            <a:off x="151736" y="672916"/>
            <a:ext cx="914404"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C00000"/>
                </a:solidFill>
              </a:rPr>
              <a:t>-84.1%/yr</a:t>
            </a:r>
          </a:p>
        </cdr:txBody>
      </cdr:sp>
    </cdr:grpSp>
  </cdr:relSizeAnchor>
  <cdr:relSizeAnchor xmlns:cdr="http://schemas.openxmlformats.org/drawingml/2006/chartDrawing">
    <cdr:from>
      <cdr:x>0.56336</cdr:x>
      <cdr:y>0.00691</cdr:y>
    </cdr:from>
    <cdr:to>
      <cdr:x>0.66949</cdr:x>
      <cdr:y>0.69501</cdr:y>
    </cdr:to>
    <cdr:grpSp>
      <cdr:nvGrpSpPr>
        <cdr:cNvPr id="20" name="Group 19">
          <a:extLst xmlns:a="http://schemas.openxmlformats.org/drawingml/2006/main">
            <a:ext uri="{FF2B5EF4-FFF2-40B4-BE49-F238E27FC236}">
              <a16:creationId xmlns:a16="http://schemas.microsoft.com/office/drawing/2014/main" id="{9AAEDA08-804C-DBD1-9B12-35E12D937D3B}"/>
            </a:ext>
          </a:extLst>
        </cdr:cNvPr>
        <cdr:cNvGrpSpPr/>
      </cdr:nvGrpSpPr>
      <cdr:grpSpPr>
        <a:xfrm xmlns:a="http://schemas.openxmlformats.org/drawingml/2006/main" rot="4927430">
          <a:off x="1765837" y="938427"/>
          <a:ext cx="2334991" cy="505033"/>
          <a:chOff x="-1629744" y="-1436561"/>
          <a:chExt cx="2864567" cy="537435"/>
        </a:xfrm>
      </cdr:grpSpPr>
      <cdr:sp macro="" textlink="">
        <cdr:nvSpPr>
          <cdr:cNvPr id="21" name="Down Arrow 4">
            <a:extLst xmlns:a="http://schemas.openxmlformats.org/drawingml/2006/main">
              <a:ext uri="{FF2B5EF4-FFF2-40B4-BE49-F238E27FC236}">
                <a16:creationId xmlns:a16="http://schemas.microsoft.com/office/drawing/2014/main" id="{2C557155-51C8-4051-2893-3B45244D0690}"/>
              </a:ext>
            </a:extLst>
          </cdr:cNvPr>
          <cdr:cNvSpPr/>
        </cdr:nvSpPr>
        <cdr:spPr>
          <a:xfrm xmlns:a="http://schemas.openxmlformats.org/drawingml/2006/main" rot="13742245">
            <a:off x="-403080" y="-2663225"/>
            <a:ext cx="411240" cy="2864567"/>
          </a:xfrm>
          <a:prstGeom xmlns:a="http://schemas.openxmlformats.org/drawingml/2006/main" prst="downArrow">
            <a:avLst/>
          </a:prstGeom>
          <a:solidFill xmlns:a="http://schemas.openxmlformats.org/drawingml/2006/main">
            <a:schemeClr val="tx1">
              <a:alpha val="10000"/>
            </a:schemeClr>
          </a:solidFill>
          <a:ln xmlns:a="http://schemas.openxmlformats.org/drawingml/2006/main">
            <a:solidFill>
              <a:schemeClr val="tx1">
                <a:alpha val="50000"/>
              </a:scheme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solidFill>
                <a:srgbClr val="FF0000"/>
              </a:solidFill>
            </a:endParaRPr>
          </a:p>
        </cdr:txBody>
      </cdr:sp>
      <cdr:sp macro="" textlink="">
        <cdr:nvSpPr>
          <cdr:cNvPr id="22" name="TextBox 1">
            <a:extLst xmlns:a="http://schemas.openxmlformats.org/drawingml/2006/main">
              <a:ext uri="{FF2B5EF4-FFF2-40B4-BE49-F238E27FC236}">
                <a16:creationId xmlns:a16="http://schemas.microsoft.com/office/drawing/2014/main" id="{ADB10B79-C74E-B6D1-4BC3-01DFDB59F559}"/>
              </a:ext>
            </a:extLst>
          </cdr:cNvPr>
          <cdr:cNvSpPr txBox="1"/>
        </cdr:nvSpPr>
        <cdr:spPr>
          <a:xfrm xmlns:a="http://schemas.openxmlformats.org/drawingml/2006/main" rot="19172894">
            <a:off x="-1061834" y="-1153118"/>
            <a:ext cx="1095134"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chemeClr val="tx1"/>
                </a:solidFill>
              </a:rPr>
              <a:t>-86.7%/yr</a:t>
            </a:r>
          </a:p>
        </cdr:txBody>
      </cdr:sp>
    </cdr:grpSp>
  </cdr:relSizeAnchor>
</c:userShapes>
</file>

<file path=xl/drawings/drawing12.xml><?xml version="1.0" encoding="utf-8"?>
<c:userShapes xmlns:c="http://schemas.openxmlformats.org/drawingml/2006/chart">
  <cdr:relSizeAnchor xmlns:cdr="http://schemas.openxmlformats.org/drawingml/2006/chartDrawing">
    <cdr:from>
      <cdr:x>0.18376</cdr:x>
      <cdr:y>0.48051</cdr:y>
    </cdr:from>
    <cdr:to>
      <cdr:x>0.95404</cdr:x>
      <cdr:y>0.61733</cdr:y>
    </cdr:to>
    <cdr:grpSp>
      <cdr:nvGrpSpPr>
        <cdr:cNvPr id="10" name="Group 9">
          <a:extLst xmlns:a="http://schemas.openxmlformats.org/drawingml/2006/main">
            <a:ext uri="{FF2B5EF4-FFF2-40B4-BE49-F238E27FC236}">
              <a16:creationId xmlns:a16="http://schemas.microsoft.com/office/drawing/2014/main" id="{75E6256F-D3F6-B282-5090-945557AFE71E}"/>
            </a:ext>
          </a:extLst>
        </cdr:cNvPr>
        <cdr:cNvGrpSpPr/>
      </cdr:nvGrpSpPr>
      <cdr:grpSpPr>
        <a:xfrm xmlns:a="http://schemas.openxmlformats.org/drawingml/2006/main" rot="1057227">
          <a:off x="874444" y="1630557"/>
          <a:ext cx="3665470" cy="464284"/>
          <a:chOff x="-208650" y="112051"/>
          <a:chExt cx="3708559" cy="475589"/>
        </a:xfrm>
      </cdr:grpSpPr>
      <cdr:sp macro="" textlink="">
        <cdr:nvSpPr>
          <cdr:cNvPr id="11" name="Down Arrow 1">
            <a:extLst xmlns:a="http://schemas.openxmlformats.org/drawingml/2006/main">
              <a:ext uri="{FF2B5EF4-FFF2-40B4-BE49-F238E27FC236}">
                <a16:creationId xmlns:a16="http://schemas.microsoft.com/office/drawing/2014/main" id="{ADD134E7-6218-6EAD-25C1-D7741D67CB74}"/>
              </a:ext>
            </a:extLst>
          </cdr:cNvPr>
          <cdr:cNvSpPr/>
        </cdr:nvSpPr>
        <cdr:spPr>
          <a:xfrm xmlns:a="http://schemas.openxmlformats.org/drawingml/2006/main" rot="15777137">
            <a:off x="1487935" y="-1532282"/>
            <a:ext cx="367642" cy="3656307"/>
          </a:xfrm>
          <a:prstGeom xmlns:a="http://schemas.openxmlformats.org/drawingml/2006/main" prst="downArrow">
            <a:avLst/>
          </a:prstGeom>
          <a:solidFill xmlns:a="http://schemas.openxmlformats.org/drawingml/2006/main">
            <a:srgbClr val="00B0F0">
              <a:alpha val="10000"/>
            </a:srgbClr>
          </a:solidFill>
          <a:ln xmlns:a="http://schemas.openxmlformats.org/drawingml/2006/main">
            <a:solidFill>
              <a:srgbClr val="00B0F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12" name="TextBox 1">
            <a:extLst xmlns:a="http://schemas.openxmlformats.org/drawingml/2006/main">
              <a:ext uri="{FF2B5EF4-FFF2-40B4-BE49-F238E27FC236}">
                <a16:creationId xmlns:a16="http://schemas.microsoft.com/office/drawing/2014/main" id="{A48B320F-B0D6-A7FB-0AC0-3DFE34CBB7F4}"/>
              </a:ext>
            </a:extLst>
          </cdr:cNvPr>
          <cdr:cNvSpPr txBox="1"/>
        </cdr:nvSpPr>
        <cdr:spPr>
          <a:xfrm xmlns:a="http://schemas.openxmlformats.org/drawingml/2006/main" rot="21153658">
            <a:off x="-208650" y="333648"/>
            <a:ext cx="837442"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00B0F0"/>
                </a:solidFill>
              </a:rPr>
              <a:t>-17.3%/yr</a:t>
            </a:r>
          </a:p>
        </cdr:txBody>
      </cdr:sp>
    </cdr:grpSp>
  </cdr:relSizeAnchor>
  <cdr:relSizeAnchor xmlns:cdr="http://schemas.openxmlformats.org/drawingml/2006/chartDrawing">
    <cdr:from>
      <cdr:x>0.30195</cdr:x>
      <cdr:y>0.49743</cdr:y>
    </cdr:from>
    <cdr:to>
      <cdr:x>0.91484</cdr:x>
      <cdr:y>0.70481</cdr:y>
    </cdr:to>
    <cdr:grpSp>
      <cdr:nvGrpSpPr>
        <cdr:cNvPr id="13" name="Group 12">
          <a:extLst xmlns:a="http://schemas.openxmlformats.org/drawingml/2006/main">
            <a:ext uri="{FF2B5EF4-FFF2-40B4-BE49-F238E27FC236}">
              <a16:creationId xmlns:a16="http://schemas.microsoft.com/office/drawing/2014/main" id="{F770F311-9608-9DB4-2D97-42CFFB5CDFC9}"/>
            </a:ext>
          </a:extLst>
        </cdr:cNvPr>
        <cdr:cNvGrpSpPr/>
      </cdr:nvGrpSpPr>
      <cdr:grpSpPr>
        <a:xfrm xmlns:a="http://schemas.openxmlformats.org/drawingml/2006/main" rot="19945782">
          <a:off x="1436865" y="1687973"/>
          <a:ext cx="2916511" cy="703722"/>
          <a:chOff x="108799" y="-101158"/>
          <a:chExt cx="2224692" cy="720840"/>
        </a:xfrm>
      </cdr:grpSpPr>
      <cdr:sp macro="" textlink="">
        <cdr:nvSpPr>
          <cdr:cNvPr id="14" name="Down Arrow 5">
            <a:extLst xmlns:a="http://schemas.openxmlformats.org/drawingml/2006/main">
              <a:ext uri="{FF2B5EF4-FFF2-40B4-BE49-F238E27FC236}">
                <a16:creationId xmlns:a16="http://schemas.microsoft.com/office/drawing/2014/main" id="{EA591F30-60AE-C6C5-54B3-F3EDDC7582C7}"/>
              </a:ext>
            </a:extLst>
          </cdr:cNvPr>
          <cdr:cNvSpPr/>
        </cdr:nvSpPr>
        <cdr:spPr>
          <a:xfrm xmlns:a="http://schemas.openxmlformats.org/drawingml/2006/main" rot="17624949">
            <a:off x="1037090" y="-676718"/>
            <a:ext cx="368109" cy="2224692"/>
          </a:xfrm>
          <a:prstGeom xmlns:a="http://schemas.openxmlformats.org/drawingml/2006/main" prst="downArrow">
            <a:avLst/>
          </a:prstGeom>
          <a:solidFill xmlns:a="http://schemas.openxmlformats.org/drawingml/2006/main">
            <a:srgbClr val="FFC000">
              <a:alpha val="10000"/>
            </a:srgbClr>
          </a:solidFill>
          <a:ln xmlns:a="http://schemas.openxmlformats.org/drawingml/2006/main">
            <a:solidFill>
              <a:srgbClr val="FFC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15" name="TextBox 1">
            <a:extLst xmlns:a="http://schemas.openxmlformats.org/drawingml/2006/main">
              <a:ext uri="{FF2B5EF4-FFF2-40B4-BE49-F238E27FC236}">
                <a16:creationId xmlns:a16="http://schemas.microsoft.com/office/drawing/2014/main" id="{AF176C7F-FE15-AA2A-464D-A925D4C3803A}"/>
              </a:ext>
            </a:extLst>
          </cdr:cNvPr>
          <cdr:cNvSpPr txBox="1"/>
        </cdr:nvSpPr>
        <cdr:spPr>
          <a:xfrm xmlns:a="http://schemas.openxmlformats.org/drawingml/2006/main" rot="1390254">
            <a:off x="110286" y="-101158"/>
            <a:ext cx="914404"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FFC000"/>
                </a:solidFill>
              </a:rPr>
              <a:t>+6.6%/yr</a:t>
            </a:r>
          </a:p>
        </cdr:txBody>
      </cdr:sp>
    </cdr:grpSp>
  </cdr:relSizeAnchor>
  <cdr:relSizeAnchor xmlns:cdr="http://schemas.openxmlformats.org/drawingml/2006/chartDrawing">
    <cdr:from>
      <cdr:x>0.13509</cdr:x>
      <cdr:y>0.36382</cdr:y>
    </cdr:from>
    <cdr:to>
      <cdr:x>0.90136</cdr:x>
      <cdr:y>0.53938</cdr:y>
    </cdr:to>
    <cdr:grpSp>
      <cdr:nvGrpSpPr>
        <cdr:cNvPr id="16" name="Group 15">
          <a:extLst xmlns:a="http://schemas.openxmlformats.org/drawingml/2006/main">
            <a:ext uri="{FF2B5EF4-FFF2-40B4-BE49-F238E27FC236}">
              <a16:creationId xmlns:a16="http://schemas.microsoft.com/office/drawing/2014/main" id="{654A8AA9-E150-190D-E880-F0B206A71B6B}"/>
            </a:ext>
          </a:extLst>
        </cdr:cNvPr>
        <cdr:cNvGrpSpPr/>
      </cdr:nvGrpSpPr>
      <cdr:grpSpPr>
        <a:xfrm xmlns:a="http://schemas.openxmlformats.org/drawingml/2006/main" rot="1015868">
          <a:off x="642842" y="1234583"/>
          <a:ext cx="3646388" cy="595743"/>
          <a:chOff x="19829" y="-178835"/>
          <a:chExt cx="4225958" cy="610237"/>
        </a:xfrm>
      </cdr:grpSpPr>
      <cdr:sp macro="" textlink="">
        <cdr:nvSpPr>
          <cdr:cNvPr id="17" name="Down Arrow 2">
            <a:extLst xmlns:a="http://schemas.openxmlformats.org/drawingml/2006/main">
              <a:ext uri="{FF2B5EF4-FFF2-40B4-BE49-F238E27FC236}">
                <a16:creationId xmlns:a16="http://schemas.microsoft.com/office/drawing/2014/main" id="{4D094728-50A4-491C-E437-15FCD3128C12}"/>
              </a:ext>
            </a:extLst>
          </cdr:cNvPr>
          <cdr:cNvSpPr/>
        </cdr:nvSpPr>
        <cdr:spPr>
          <a:xfrm xmlns:a="http://schemas.openxmlformats.org/drawingml/2006/main" rot="16918344">
            <a:off x="1969880" y="-1844505"/>
            <a:ext cx="367643" cy="4184171"/>
          </a:xfrm>
          <a:prstGeom xmlns:a="http://schemas.openxmlformats.org/drawingml/2006/main" prst="downArrow">
            <a:avLst/>
          </a:prstGeom>
          <a:solidFill xmlns:a="http://schemas.openxmlformats.org/drawingml/2006/main">
            <a:srgbClr val="FF0000">
              <a:alpha val="10000"/>
            </a:srgbClr>
          </a:solidFill>
          <a:ln xmlns:a="http://schemas.openxmlformats.org/drawingml/2006/main">
            <a:solidFill>
              <a:srgbClr val="FF0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solidFill>
                <a:srgbClr val="FF0000"/>
              </a:solidFill>
            </a:endParaRPr>
          </a:p>
        </cdr:txBody>
      </cdr:sp>
      <cdr:sp macro="" textlink="">
        <cdr:nvSpPr>
          <cdr:cNvPr id="18" name="TextBox 1">
            <a:extLst xmlns:a="http://schemas.openxmlformats.org/drawingml/2006/main">
              <a:ext uri="{FF2B5EF4-FFF2-40B4-BE49-F238E27FC236}">
                <a16:creationId xmlns:a16="http://schemas.microsoft.com/office/drawing/2014/main" id="{F22ED697-252F-8839-51EF-5C6BEFD4BFDE}"/>
              </a:ext>
            </a:extLst>
          </cdr:cNvPr>
          <cdr:cNvSpPr txBox="1"/>
        </cdr:nvSpPr>
        <cdr:spPr>
          <a:xfrm xmlns:a="http://schemas.openxmlformats.org/drawingml/2006/main" rot="677638">
            <a:off x="19829" y="-178835"/>
            <a:ext cx="1147201"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FF0000"/>
                </a:solidFill>
              </a:rPr>
              <a:t>-55.6%/yr</a:t>
            </a:r>
          </a:p>
        </cdr:txBody>
      </cdr:sp>
    </cdr:grpSp>
  </cdr:relSizeAnchor>
  <cdr:relSizeAnchor xmlns:cdr="http://schemas.openxmlformats.org/drawingml/2006/chartDrawing">
    <cdr:from>
      <cdr:x>0.34205</cdr:x>
      <cdr:y>0.01356</cdr:y>
    </cdr:from>
    <cdr:to>
      <cdr:x>0.53373</cdr:x>
      <cdr:y>0.80279</cdr:y>
    </cdr:to>
    <cdr:grpSp>
      <cdr:nvGrpSpPr>
        <cdr:cNvPr id="19" name="Group 18">
          <a:extLst xmlns:a="http://schemas.openxmlformats.org/drawingml/2006/main">
            <a:ext uri="{FF2B5EF4-FFF2-40B4-BE49-F238E27FC236}">
              <a16:creationId xmlns:a16="http://schemas.microsoft.com/office/drawing/2014/main" id="{B5F02357-38D3-767E-258D-00B8159B3FA6}"/>
            </a:ext>
          </a:extLst>
        </cdr:cNvPr>
        <cdr:cNvGrpSpPr/>
      </cdr:nvGrpSpPr>
      <cdr:grpSpPr>
        <a:xfrm xmlns:a="http://schemas.openxmlformats.org/drawingml/2006/main" rot="4229946">
          <a:off x="744669" y="929031"/>
          <a:ext cx="2678165" cy="912132"/>
          <a:chOff x="-1152243" y="503636"/>
          <a:chExt cx="3285552" cy="970632"/>
        </a:xfrm>
      </cdr:grpSpPr>
      <cdr:sp macro="" textlink="">
        <cdr:nvSpPr>
          <cdr:cNvPr id="20" name="Down Arrow 4">
            <a:extLst xmlns:a="http://schemas.openxmlformats.org/drawingml/2006/main">
              <a:ext uri="{FF2B5EF4-FFF2-40B4-BE49-F238E27FC236}">
                <a16:creationId xmlns:a16="http://schemas.microsoft.com/office/drawing/2014/main" id="{CDE0BF8C-54DD-FAAD-421D-5126CA13F43C}"/>
              </a:ext>
            </a:extLst>
          </cdr:cNvPr>
          <cdr:cNvSpPr/>
        </cdr:nvSpPr>
        <cdr:spPr>
          <a:xfrm xmlns:a="http://schemas.openxmlformats.org/drawingml/2006/main" rot="13742245">
            <a:off x="284913" y="-933520"/>
            <a:ext cx="411240" cy="3285552"/>
          </a:xfrm>
          <a:prstGeom xmlns:a="http://schemas.openxmlformats.org/drawingml/2006/main" prst="downArrow">
            <a:avLst/>
          </a:prstGeom>
          <a:solidFill xmlns:a="http://schemas.openxmlformats.org/drawingml/2006/main">
            <a:srgbClr val="C00000">
              <a:alpha val="10000"/>
            </a:srgbClr>
          </a:solidFill>
          <a:ln xmlns:a="http://schemas.openxmlformats.org/drawingml/2006/main">
            <a:solidFill>
              <a:srgbClr val="C00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21" name="TextBox 1">
            <a:extLst xmlns:a="http://schemas.openxmlformats.org/drawingml/2006/main">
              <a:ext uri="{FF2B5EF4-FFF2-40B4-BE49-F238E27FC236}">
                <a16:creationId xmlns:a16="http://schemas.microsoft.com/office/drawing/2014/main" id="{9902B5F8-FB86-B4F1-2A11-F8CAA2770654}"/>
              </a:ext>
            </a:extLst>
          </cdr:cNvPr>
          <cdr:cNvSpPr txBox="1"/>
        </cdr:nvSpPr>
        <cdr:spPr>
          <a:xfrm xmlns:a="http://schemas.openxmlformats.org/drawingml/2006/main" rot="19172894">
            <a:off x="-941572" y="1220276"/>
            <a:ext cx="1095133"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C00000"/>
                </a:solidFill>
              </a:rPr>
              <a:t>-55.5%/yr</a:t>
            </a:r>
          </a:p>
        </cdr:txBody>
      </cdr:sp>
    </cdr:grpSp>
  </cdr:relSizeAnchor>
</c:userShapes>
</file>

<file path=xl/drawings/drawing13.xml><?xml version="1.0" encoding="utf-8"?>
<c:userShapes xmlns:c="http://schemas.openxmlformats.org/drawingml/2006/chart">
  <cdr:relSizeAnchor xmlns:cdr="http://schemas.openxmlformats.org/drawingml/2006/chartDrawing">
    <cdr:from>
      <cdr:x>0.18667</cdr:x>
      <cdr:y>0.49015</cdr:y>
    </cdr:from>
    <cdr:to>
      <cdr:x>0.93767</cdr:x>
      <cdr:y>0.61936</cdr:y>
    </cdr:to>
    <cdr:grpSp>
      <cdr:nvGrpSpPr>
        <cdr:cNvPr id="6" name="Group 5">
          <a:extLst xmlns:a="http://schemas.openxmlformats.org/drawingml/2006/main">
            <a:ext uri="{FF2B5EF4-FFF2-40B4-BE49-F238E27FC236}">
              <a16:creationId xmlns:a16="http://schemas.microsoft.com/office/drawing/2014/main" id="{E7E525CA-9B55-F91F-708D-04118A2BA6CC}"/>
            </a:ext>
          </a:extLst>
        </cdr:cNvPr>
        <cdr:cNvGrpSpPr/>
      </cdr:nvGrpSpPr>
      <cdr:grpSpPr>
        <a:xfrm xmlns:a="http://schemas.openxmlformats.org/drawingml/2006/main" rot="362898">
          <a:off x="901906" y="1690338"/>
          <a:ext cx="3628495" cy="445596"/>
          <a:chOff x="16327" y="100437"/>
          <a:chExt cx="3482925" cy="449813"/>
        </a:xfrm>
      </cdr:grpSpPr>
      <cdr:sp macro="" textlink="">
        <cdr:nvSpPr>
          <cdr:cNvPr id="11" name="Down Arrow 1">
            <a:extLst xmlns:a="http://schemas.openxmlformats.org/drawingml/2006/main">
              <a:ext uri="{FF2B5EF4-FFF2-40B4-BE49-F238E27FC236}">
                <a16:creationId xmlns:a16="http://schemas.microsoft.com/office/drawing/2014/main" id="{148FD7B6-F1D1-71BB-646B-9306C060E23F}"/>
              </a:ext>
            </a:extLst>
          </cdr:cNvPr>
          <cdr:cNvSpPr/>
        </cdr:nvSpPr>
        <cdr:spPr>
          <a:xfrm xmlns:a="http://schemas.openxmlformats.org/drawingml/2006/main" rot="15837102">
            <a:off x="1573969" y="-1457205"/>
            <a:ext cx="367642" cy="3482925"/>
          </a:xfrm>
          <a:prstGeom xmlns:a="http://schemas.openxmlformats.org/drawingml/2006/main" prst="downArrow">
            <a:avLst/>
          </a:prstGeom>
          <a:solidFill xmlns:a="http://schemas.openxmlformats.org/drawingml/2006/main">
            <a:srgbClr val="00B0F0">
              <a:alpha val="10000"/>
            </a:srgbClr>
          </a:solidFill>
          <a:ln xmlns:a="http://schemas.openxmlformats.org/drawingml/2006/main">
            <a:solidFill>
              <a:srgbClr val="00B0F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12" name="TextBox 1">
            <a:extLst xmlns:a="http://schemas.openxmlformats.org/drawingml/2006/main">
              <a:ext uri="{FF2B5EF4-FFF2-40B4-BE49-F238E27FC236}">
                <a16:creationId xmlns:a16="http://schemas.microsoft.com/office/drawing/2014/main" id="{E2B88CC6-413E-9515-4F61-ADB6F66A14C1}"/>
              </a:ext>
            </a:extLst>
          </cdr:cNvPr>
          <cdr:cNvSpPr txBox="1"/>
        </cdr:nvSpPr>
        <cdr:spPr>
          <a:xfrm xmlns:a="http://schemas.openxmlformats.org/drawingml/2006/main" rot="21153658">
            <a:off x="30808" y="296258"/>
            <a:ext cx="837442"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00B0F0"/>
                </a:solidFill>
              </a:rPr>
              <a:t>-0.7%/yr</a:t>
            </a:r>
          </a:p>
        </cdr:txBody>
      </cdr:sp>
    </cdr:grpSp>
  </cdr:relSizeAnchor>
  <cdr:relSizeAnchor xmlns:cdr="http://schemas.openxmlformats.org/drawingml/2006/chartDrawing">
    <cdr:from>
      <cdr:x>0.36832</cdr:x>
      <cdr:y>0.34903</cdr:y>
    </cdr:from>
    <cdr:to>
      <cdr:x>0.89008</cdr:x>
      <cdr:y>0.54254</cdr:y>
    </cdr:to>
    <cdr:grpSp>
      <cdr:nvGrpSpPr>
        <cdr:cNvPr id="13" name="Group 12">
          <a:extLst xmlns:a="http://schemas.openxmlformats.org/drawingml/2006/main">
            <a:ext uri="{FF2B5EF4-FFF2-40B4-BE49-F238E27FC236}">
              <a16:creationId xmlns:a16="http://schemas.microsoft.com/office/drawing/2014/main" id="{FDFBAD3A-5ABE-F2A0-B89C-B8EE86EACF2D}"/>
            </a:ext>
          </a:extLst>
        </cdr:cNvPr>
        <cdr:cNvGrpSpPr/>
      </cdr:nvGrpSpPr>
      <cdr:grpSpPr>
        <a:xfrm xmlns:a="http://schemas.openxmlformats.org/drawingml/2006/main" rot="20579727">
          <a:off x="1779557" y="1203670"/>
          <a:ext cx="2520911" cy="667341"/>
          <a:chOff x="-290975" y="-146281"/>
          <a:chExt cx="2642140" cy="673618"/>
        </a:xfrm>
      </cdr:grpSpPr>
      <cdr:sp macro="" textlink="">
        <cdr:nvSpPr>
          <cdr:cNvPr id="14" name="Down Arrow 5">
            <a:extLst xmlns:a="http://schemas.openxmlformats.org/drawingml/2006/main">
              <a:ext uri="{FF2B5EF4-FFF2-40B4-BE49-F238E27FC236}">
                <a16:creationId xmlns:a16="http://schemas.microsoft.com/office/drawing/2014/main" id="{FB817C72-6DE5-E5CA-155E-5B9034F18F97}"/>
              </a:ext>
            </a:extLst>
          </cdr:cNvPr>
          <cdr:cNvSpPr/>
        </cdr:nvSpPr>
        <cdr:spPr>
          <a:xfrm xmlns:a="http://schemas.openxmlformats.org/drawingml/2006/main" rot="17624949">
            <a:off x="846040" y="-977787"/>
            <a:ext cx="368109" cy="2642140"/>
          </a:xfrm>
          <a:prstGeom xmlns:a="http://schemas.openxmlformats.org/drawingml/2006/main" prst="downArrow">
            <a:avLst/>
          </a:prstGeom>
          <a:solidFill xmlns:a="http://schemas.openxmlformats.org/drawingml/2006/main">
            <a:srgbClr val="FFC000">
              <a:alpha val="10000"/>
            </a:srgbClr>
          </a:solidFill>
          <a:ln xmlns:a="http://schemas.openxmlformats.org/drawingml/2006/main">
            <a:solidFill>
              <a:srgbClr val="FFC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solidFill>
                <a:srgbClr val="FFC000"/>
              </a:solidFill>
            </a:endParaRPr>
          </a:p>
        </cdr:txBody>
      </cdr:sp>
      <cdr:sp macro="" textlink="">
        <cdr:nvSpPr>
          <cdr:cNvPr id="15" name="TextBox 1">
            <a:extLst xmlns:a="http://schemas.openxmlformats.org/drawingml/2006/main">
              <a:ext uri="{FF2B5EF4-FFF2-40B4-BE49-F238E27FC236}">
                <a16:creationId xmlns:a16="http://schemas.microsoft.com/office/drawing/2014/main" id="{10014896-0A95-5A10-D365-E04B8734182E}"/>
              </a:ext>
            </a:extLst>
          </cdr:cNvPr>
          <cdr:cNvSpPr txBox="1"/>
        </cdr:nvSpPr>
        <cdr:spPr>
          <a:xfrm xmlns:a="http://schemas.openxmlformats.org/drawingml/2006/main" rot="1390254">
            <a:off x="-264918" y="-146281"/>
            <a:ext cx="914404"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FFC000"/>
                </a:solidFill>
              </a:rPr>
              <a:t>+16.2%/yr</a:t>
            </a:r>
          </a:p>
        </cdr:txBody>
      </cdr:sp>
    </cdr:grpSp>
  </cdr:relSizeAnchor>
  <cdr:relSizeAnchor xmlns:cdr="http://schemas.openxmlformats.org/drawingml/2006/chartDrawing">
    <cdr:from>
      <cdr:x>0.44962</cdr:x>
      <cdr:y>0.09393</cdr:y>
    </cdr:from>
    <cdr:to>
      <cdr:x>0.57614</cdr:x>
      <cdr:y>0.80628</cdr:y>
    </cdr:to>
    <cdr:grpSp>
      <cdr:nvGrpSpPr>
        <cdr:cNvPr id="19" name="Group 18">
          <a:extLst xmlns:a="http://schemas.openxmlformats.org/drawingml/2006/main">
            <a:ext uri="{FF2B5EF4-FFF2-40B4-BE49-F238E27FC236}">
              <a16:creationId xmlns:a16="http://schemas.microsoft.com/office/drawing/2014/main" id="{E42A6027-FA78-3082-0153-706A5E1390DE}"/>
            </a:ext>
          </a:extLst>
        </cdr:cNvPr>
        <cdr:cNvGrpSpPr/>
      </cdr:nvGrpSpPr>
      <cdr:grpSpPr>
        <a:xfrm xmlns:a="http://schemas.openxmlformats.org/drawingml/2006/main" rot="3919838">
          <a:off x="1249696" y="1246594"/>
          <a:ext cx="2456620" cy="611288"/>
          <a:chOff x="-962314" y="649781"/>
          <a:chExt cx="2969842" cy="640712"/>
        </a:xfrm>
      </cdr:grpSpPr>
      <cdr:sp macro="" textlink="">
        <cdr:nvSpPr>
          <cdr:cNvPr id="20" name="Down Arrow 4">
            <a:extLst xmlns:a="http://schemas.openxmlformats.org/drawingml/2006/main">
              <a:ext uri="{FF2B5EF4-FFF2-40B4-BE49-F238E27FC236}">
                <a16:creationId xmlns:a16="http://schemas.microsoft.com/office/drawing/2014/main" id="{34D04071-E9E4-1242-F948-331AF4A301EC}"/>
              </a:ext>
            </a:extLst>
          </cdr:cNvPr>
          <cdr:cNvSpPr/>
        </cdr:nvSpPr>
        <cdr:spPr>
          <a:xfrm xmlns:a="http://schemas.openxmlformats.org/drawingml/2006/main" rot="13742245">
            <a:off x="316987" y="-629520"/>
            <a:ext cx="411240" cy="2969842"/>
          </a:xfrm>
          <a:prstGeom xmlns:a="http://schemas.openxmlformats.org/drawingml/2006/main" prst="downArrow">
            <a:avLst/>
          </a:prstGeom>
          <a:solidFill xmlns:a="http://schemas.openxmlformats.org/drawingml/2006/main">
            <a:srgbClr val="C00000">
              <a:alpha val="10000"/>
            </a:srgbClr>
          </a:solidFill>
          <a:ln xmlns:a="http://schemas.openxmlformats.org/drawingml/2006/main">
            <a:solidFill>
              <a:srgbClr val="C00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21" name="TextBox 1">
            <a:extLst xmlns:a="http://schemas.openxmlformats.org/drawingml/2006/main">
              <a:ext uri="{FF2B5EF4-FFF2-40B4-BE49-F238E27FC236}">
                <a16:creationId xmlns:a16="http://schemas.microsoft.com/office/drawing/2014/main" id="{8978A271-BD17-BDAF-A558-9A0A776AC692}"/>
              </a:ext>
            </a:extLst>
          </cdr:cNvPr>
          <cdr:cNvSpPr txBox="1"/>
        </cdr:nvSpPr>
        <cdr:spPr>
          <a:xfrm xmlns:a="http://schemas.openxmlformats.org/drawingml/2006/main" rot="19172894">
            <a:off x="-446978" y="1036501"/>
            <a:ext cx="1095133" cy="25399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C00000"/>
                </a:solidFill>
              </a:rPr>
              <a:t>-41.7%/yr</a:t>
            </a:r>
          </a:p>
        </cdr:txBody>
      </cdr:sp>
    </cdr:grpSp>
  </cdr:relSizeAnchor>
</c:userShapes>
</file>

<file path=xl/drawings/drawing14.xml><?xml version="1.0" encoding="utf-8"?>
<c:userShapes xmlns:c="http://schemas.openxmlformats.org/drawingml/2006/chart">
  <cdr:relSizeAnchor xmlns:cdr="http://schemas.openxmlformats.org/drawingml/2006/chartDrawing">
    <cdr:from>
      <cdr:x>0.15463</cdr:x>
      <cdr:y>0.19705</cdr:y>
    </cdr:from>
    <cdr:to>
      <cdr:x>0.65532</cdr:x>
      <cdr:y>0.80624</cdr:y>
    </cdr:to>
    <cdr:cxnSp macro="">
      <cdr:nvCxnSpPr>
        <cdr:cNvPr id="12" name="Straight Connector 11">
          <a:extLst xmlns:a="http://schemas.openxmlformats.org/drawingml/2006/main">
            <a:ext uri="{FF2B5EF4-FFF2-40B4-BE49-F238E27FC236}">
              <a16:creationId xmlns:a16="http://schemas.microsoft.com/office/drawing/2014/main" id="{3DA6C1CA-1FDC-44AE-8B83-2AD4AF6FEB97}"/>
            </a:ext>
          </a:extLst>
        </cdr:cNvPr>
        <cdr:cNvCxnSpPr/>
      </cdr:nvCxnSpPr>
      <cdr:spPr>
        <a:xfrm xmlns:a="http://schemas.openxmlformats.org/drawingml/2006/main">
          <a:off x="738101" y="643409"/>
          <a:ext cx="2390030" cy="1989075"/>
        </a:xfrm>
        <a:prstGeom xmlns:a="http://schemas.openxmlformats.org/drawingml/2006/main" prst="line">
          <a:avLst/>
        </a:prstGeom>
        <a:ln xmlns:a="http://schemas.openxmlformats.org/drawingml/2006/main" w="25400" cap="rnd">
          <a:solidFill>
            <a:schemeClr val="bg1">
              <a:lumMod val="50000"/>
            </a:schemeClr>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0.23686</cdr:x>
      <cdr:y>0.25481</cdr:y>
    </cdr:from>
    <cdr:to>
      <cdr:x>0.63633</cdr:x>
      <cdr:y>0.63608</cdr:y>
    </cdr:to>
    <cdr:sp macro="" textlink="">
      <cdr:nvSpPr>
        <cdr:cNvPr id="19" name="Freeform: Shape 18">
          <a:extLst xmlns:a="http://schemas.openxmlformats.org/drawingml/2006/main">
            <a:ext uri="{FF2B5EF4-FFF2-40B4-BE49-F238E27FC236}">
              <a16:creationId xmlns:a16="http://schemas.microsoft.com/office/drawing/2014/main" id="{09216CAB-6D8F-4B61-9E75-EA640ABAD227}"/>
            </a:ext>
          </a:extLst>
        </cdr:cNvPr>
        <cdr:cNvSpPr/>
      </cdr:nvSpPr>
      <cdr:spPr>
        <a:xfrm xmlns:a="http://schemas.openxmlformats.org/drawingml/2006/main">
          <a:off x="1128469" y="825458"/>
          <a:ext cx="1903163" cy="1235110"/>
        </a:xfrm>
        <a:custGeom xmlns:a="http://schemas.openxmlformats.org/drawingml/2006/main">
          <a:avLst/>
          <a:gdLst>
            <a:gd name="connsiteX0" fmla="*/ 83736 w 1903163"/>
            <a:gd name="connsiteY0" fmla="*/ 635000 h 1235110"/>
            <a:gd name="connsiteX1" fmla="*/ 125604 w 1903163"/>
            <a:gd name="connsiteY1" fmla="*/ 446594 h 1235110"/>
            <a:gd name="connsiteX2" fmla="*/ 139560 w 1903163"/>
            <a:gd name="connsiteY2" fmla="*/ 404726 h 1235110"/>
            <a:gd name="connsiteX3" fmla="*/ 146538 w 1903163"/>
            <a:gd name="connsiteY3" fmla="*/ 383792 h 1235110"/>
            <a:gd name="connsiteX4" fmla="*/ 174450 w 1903163"/>
            <a:gd name="connsiteY4" fmla="*/ 327967 h 1235110"/>
            <a:gd name="connsiteX5" fmla="*/ 230274 w 1903163"/>
            <a:gd name="connsiteY5" fmla="*/ 272143 h 1235110"/>
            <a:gd name="connsiteX6" fmla="*/ 251209 w 1903163"/>
            <a:gd name="connsiteY6" fmla="*/ 223297 h 1235110"/>
            <a:gd name="connsiteX7" fmla="*/ 279121 w 1903163"/>
            <a:gd name="connsiteY7" fmla="*/ 146539 h 1235110"/>
            <a:gd name="connsiteX8" fmla="*/ 307033 w 1903163"/>
            <a:gd name="connsiteY8" fmla="*/ 97693 h 1235110"/>
            <a:gd name="connsiteX9" fmla="*/ 341923 w 1903163"/>
            <a:gd name="connsiteY9" fmla="*/ 55825 h 1235110"/>
            <a:gd name="connsiteX10" fmla="*/ 376813 w 1903163"/>
            <a:gd name="connsiteY10" fmla="*/ 34891 h 1235110"/>
            <a:gd name="connsiteX11" fmla="*/ 432637 w 1903163"/>
            <a:gd name="connsiteY11" fmla="*/ 6978 h 1235110"/>
            <a:gd name="connsiteX12" fmla="*/ 516373 w 1903163"/>
            <a:gd name="connsiteY12" fmla="*/ 0 h 1235110"/>
            <a:gd name="connsiteX13" fmla="*/ 600110 w 1903163"/>
            <a:gd name="connsiteY13" fmla="*/ 6978 h 1235110"/>
            <a:gd name="connsiteX14" fmla="*/ 635000 w 1903163"/>
            <a:gd name="connsiteY14" fmla="*/ 27913 h 1235110"/>
            <a:gd name="connsiteX15" fmla="*/ 662912 w 1903163"/>
            <a:gd name="connsiteY15" fmla="*/ 41869 h 1235110"/>
            <a:gd name="connsiteX16" fmla="*/ 823406 w 1903163"/>
            <a:gd name="connsiteY16" fmla="*/ 90715 h 1235110"/>
            <a:gd name="connsiteX17" fmla="*/ 858296 w 1903163"/>
            <a:gd name="connsiteY17" fmla="*/ 104671 h 1235110"/>
            <a:gd name="connsiteX18" fmla="*/ 893187 w 1903163"/>
            <a:gd name="connsiteY18" fmla="*/ 146539 h 1235110"/>
            <a:gd name="connsiteX19" fmla="*/ 900165 w 1903163"/>
            <a:gd name="connsiteY19" fmla="*/ 167473 h 1235110"/>
            <a:gd name="connsiteX20" fmla="*/ 949011 w 1903163"/>
            <a:gd name="connsiteY20" fmla="*/ 230275 h 1235110"/>
            <a:gd name="connsiteX21" fmla="*/ 1095549 w 1903163"/>
            <a:gd name="connsiteY21" fmla="*/ 327967 h 1235110"/>
            <a:gd name="connsiteX22" fmla="*/ 1151373 w 1903163"/>
            <a:gd name="connsiteY22" fmla="*/ 348902 h 1235110"/>
            <a:gd name="connsiteX23" fmla="*/ 1235110 w 1903163"/>
            <a:gd name="connsiteY23" fmla="*/ 383792 h 1235110"/>
            <a:gd name="connsiteX24" fmla="*/ 1395604 w 1903163"/>
            <a:gd name="connsiteY24" fmla="*/ 390770 h 1235110"/>
            <a:gd name="connsiteX25" fmla="*/ 1465384 w 1903163"/>
            <a:gd name="connsiteY25" fmla="*/ 404726 h 1235110"/>
            <a:gd name="connsiteX26" fmla="*/ 1514231 w 1903163"/>
            <a:gd name="connsiteY26" fmla="*/ 418682 h 1235110"/>
            <a:gd name="connsiteX27" fmla="*/ 1632857 w 1903163"/>
            <a:gd name="connsiteY27" fmla="*/ 446594 h 1235110"/>
            <a:gd name="connsiteX28" fmla="*/ 1723571 w 1903163"/>
            <a:gd name="connsiteY28" fmla="*/ 474506 h 1235110"/>
            <a:gd name="connsiteX29" fmla="*/ 1842198 w 1903163"/>
            <a:gd name="connsiteY29" fmla="*/ 565220 h 1235110"/>
            <a:gd name="connsiteX30" fmla="*/ 1884066 w 1903163"/>
            <a:gd name="connsiteY30" fmla="*/ 621044 h 1235110"/>
            <a:gd name="connsiteX31" fmla="*/ 1877088 w 1903163"/>
            <a:gd name="connsiteY31" fmla="*/ 858297 h 1235110"/>
            <a:gd name="connsiteX32" fmla="*/ 1870110 w 1903163"/>
            <a:gd name="connsiteY32" fmla="*/ 879231 h 1235110"/>
            <a:gd name="connsiteX33" fmla="*/ 1863132 w 1903163"/>
            <a:gd name="connsiteY33" fmla="*/ 907143 h 1235110"/>
            <a:gd name="connsiteX34" fmla="*/ 1842198 w 1903163"/>
            <a:gd name="connsiteY34" fmla="*/ 962967 h 1235110"/>
            <a:gd name="connsiteX35" fmla="*/ 1835220 w 1903163"/>
            <a:gd name="connsiteY35" fmla="*/ 983902 h 1235110"/>
            <a:gd name="connsiteX36" fmla="*/ 1821263 w 1903163"/>
            <a:gd name="connsiteY36" fmla="*/ 1011814 h 1235110"/>
            <a:gd name="connsiteX37" fmla="*/ 1758461 w 1903163"/>
            <a:gd name="connsiteY37" fmla="*/ 1102528 h 1235110"/>
            <a:gd name="connsiteX38" fmla="*/ 1702637 w 1903163"/>
            <a:gd name="connsiteY38" fmla="*/ 1116484 h 1235110"/>
            <a:gd name="connsiteX39" fmla="*/ 1681703 w 1903163"/>
            <a:gd name="connsiteY39" fmla="*/ 1123462 h 1235110"/>
            <a:gd name="connsiteX40" fmla="*/ 1388626 w 1903163"/>
            <a:gd name="connsiteY40" fmla="*/ 1130440 h 1235110"/>
            <a:gd name="connsiteX41" fmla="*/ 1221154 w 1903163"/>
            <a:gd name="connsiteY41" fmla="*/ 1116484 h 1235110"/>
            <a:gd name="connsiteX42" fmla="*/ 1200220 w 1903163"/>
            <a:gd name="connsiteY42" fmla="*/ 1109506 h 1235110"/>
            <a:gd name="connsiteX43" fmla="*/ 1116483 w 1903163"/>
            <a:gd name="connsiteY43" fmla="*/ 1088572 h 1235110"/>
            <a:gd name="connsiteX44" fmla="*/ 955989 w 1903163"/>
            <a:gd name="connsiteY44" fmla="*/ 1109506 h 1235110"/>
            <a:gd name="connsiteX45" fmla="*/ 907143 w 1903163"/>
            <a:gd name="connsiteY45" fmla="*/ 1130440 h 1235110"/>
            <a:gd name="connsiteX46" fmla="*/ 837362 w 1903163"/>
            <a:gd name="connsiteY46" fmla="*/ 1165330 h 1235110"/>
            <a:gd name="connsiteX47" fmla="*/ 711758 w 1903163"/>
            <a:gd name="connsiteY47" fmla="*/ 1186264 h 1235110"/>
            <a:gd name="connsiteX48" fmla="*/ 655934 w 1903163"/>
            <a:gd name="connsiteY48" fmla="*/ 1200220 h 1235110"/>
            <a:gd name="connsiteX49" fmla="*/ 579176 w 1903163"/>
            <a:gd name="connsiteY49" fmla="*/ 1228132 h 1235110"/>
            <a:gd name="connsiteX50" fmla="*/ 488461 w 1903163"/>
            <a:gd name="connsiteY50" fmla="*/ 1235110 h 1235110"/>
            <a:gd name="connsiteX51" fmla="*/ 362857 w 1903163"/>
            <a:gd name="connsiteY51" fmla="*/ 1228132 h 1235110"/>
            <a:gd name="connsiteX52" fmla="*/ 320989 w 1903163"/>
            <a:gd name="connsiteY52" fmla="*/ 1214176 h 1235110"/>
            <a:gd name="connsiteX53" fmla="*/ 300055 w 1903163"/>
            <a:gd name="connsiteY53" fmla="*/ 1207198 h 1235110"/>
            <a:gd name="connsiteX54" fmla="*/ 265165 w 1903163"/>
            <a:gd name="connsiteY54" fmla="*/ 1193242 h 1235110"/>
            <a:gd name="connsiteX55" fmla="*/ 195384 w 1903163"/>
            <a:gd name="connsiteY55" fmla="*/ 1172308 h 1235110"/>
            <a:gd name="connsiteX56" fmla="*/ 55824 w 1903163"/>
            <a:gd name="connsiteY56" fmla="*/ 1144396 h 1235110"/>
            <a:gd name="connsiteX57" fmla="*/ 34890 w 1903163"/>
            <a:gd name="connsiteY57" fmla="*/ 1123462 h 1235110"/>
            <a:gd name="connsiteX58" fmla="*/ 6978 w 1903163"/>
            <a:gd name="connsiteY58" fmla="*/ 1067638 h 1235110"/>
            <a:gd name="connsiteX59" fmla="*/ 0 w 1903163"/>
            <a:gd name="connsiteY59" fmla="*/ 997858 h 1235110"/>
            <a:gd name="connsiteX60" fmla="*/ 6978 w 1903163"/>
            <a:gd name="connsiteY60" fmla="*/ 935055 h 1235110"/>
            <a:gd name="connsiteX61" fmla="*/ 13956 w 1903163"/>
            <a:gd name="connsiteY61" fmla="*/ 879231 h 1235110"/>
            <a:gd name="connsiteX62" fmla="*/ 20934 w 1903163"/>
            <a:gd name="connsiteY62" fmla="*/ 858297 h 1235110"/>
            <a:gd name="connsiteX63" fmla="*/ 41868 w 1903163"/>
            <a:gd name="connsiteY63" fmla="*/ 767583 h 1235110"/>
            <a:gd name="connsiteX64" fmla="*/ 76758 w 1903163"/>
            <a:gd name="connsiteY64" fmla="*/ 655934 h 1235110"/>
            <a:gd name="connsiteX65" fmla="*/ 83736 w 1903163"/>
            <a:gd name="connsiteY65" fmla="*/ 635000 h 1235110"/>
            <a:gd name="connsiteX66" fmla="*/ 125604 w 1903163"/>
            <a:gd name="connsiteY66" fmla="*/ 579176 h 1235110"/>
            <a:gd name="connsiteX67" fmla="*/ 160494 w 1903163"/>
            <a:gd name="connsiteY67" fmla="*/ 523352 h 1235110"/>
            <a:gd name="connsiteX68" fmla="*/ 181428 w 1903163"/>
            <a:gd name="connsiteY68" fmla="*/ 502418 h 1235110"/>
            <a:gd name="connsiteX69" fmla="*/ 209340 w 1903163"/>
            <a:gd name="connsiteY69" fmla="*/ 453572 h 123511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Lst>
          <a:rect l="l" t="t" r="r" b="b"/>
          <a:pathLst>
            <a:path w="1903163" h="1235110">
              <a:moveTo>
                <a:pt x="83736" y="635000"/>
              </a:moveTo>
              <a:cubicBezTo>
                <a:pt x="97692" y="572198"/>
                <a:pt x="110447" y="509117"/>
                <a:pt x="125604" y="446594"/>
              </a:cubicBezTo>
              <a:cubicBezTo>
                <a:pt x="129070" y="432297"/>
                <a:pt x="134908" y="418682"/>
                <a:pt x="139560" y="404726"/>
              </a:cubicBezTo>
              <a:lnTo>
                <a:pt x="146538" y="383792"/>
              </a:lnTo>
              <a:cubicBezTo>
                <a:pt x="154230" y="360716"/>
                <a:pt x="156324" y="349389"/>
                <a:pt x="174450" y="327967"/>
              </a:cubicBezTo>
              <a:cubicBezTo>
                <a:pt x="191448" y="307878"/>
                <a:pt x="211666" y="290751"/>
                <a:pt x="230274" y="272143"/>
              </a:cubicBezTo>
              <a:cubicBezTo>
                <a:pt x="237252" y="255861"/>
                <a:pt x="244788" y="239807"/>
                <a:pt x="251209" y="223297"/>
              </a:cubicBezTo>
              <a:cubicBezTo>
                <a:pt x="261077" y="197923"/>
                <a:pt x="268064" y="171418"/>
                <a:pt x="279121" y="146539"/>
              </a:cubicBezTo>
              <a:cubicBezTo>
                <a:pt x="286737" y="129402"/>
                <a:pt x="297385" y="113773"/>
                <a:pt x="307033" y="97693"/>
              </a:cubicBezTo>
              <a:cubicBezTo>
                <a:pt x="316704" y="81575"/>
                <a:pt x="326542" y="67360"/>
                <a:pt x="341923" y="55825"/>
              </a:cubicBezTo>
              <a:cubicBezTo>
                <a:pt x="352773" y="47687"/>
                <a:pt x="364871" y="41321"/>
                <a:pt x="376813" y="34891"/>
              </a:cubicBezTo>
              <a:cubicBezTo>
                <a:pt x="395131" y="25027"/>
                <a:pt x="412454" y="12024"/>
                <a:pt x="432637" y="6978"/>
              </a:cubicBezTo>
              <a:cubicBezTo>
                <a:pt x="459809" y="185"/>
                <a:pt x="488461" y="2326"/>
                <a:pt x="516373" y="0"/>
              </a:cubicBezTo>
              <a:cubicBezTo>
                <a:pt x="544285" y="2326"/>
                <a:pt x="572846" y="563"/>
                <a:pt x="600110" y="6978"/>
              </a:cubicBezTo>
              <a:cubicBezTo>
                <a:pt x="613312" y="10085"/>
                <a:pt x="623144" y="21326"/>
                <a:pt x="635000" y="27913"/>
              </a:cubicBezTo>
              <a:cubicBezTo>
                <a:pt x="644093" y="32965"/>
                <a:pt x="653172" y="38217"/>
                <a:pt x="662912" y="41869"/>
              </a:cubicBezTo>
              <a:cubicBezTo>
                <a:pt x="773440" y="83317"/>
                <a:pt x="716792" y="57398"/>
                <a:pt x="823406" y="90715"/>
              </a:cubicBezTo>
              <a:cubicBezTo>
                <a:pt x="835362" y="94451"/>
                <a:pt x="846666" y="100019"/>
                <a:pt x="858296" y="104671"/>
              </a:cubicBezTo>
              <a:cubicBezTo>
                <a:pt x="869926" y="118627"/>
                <a:pt x="883110" y="131423"/>
                <a:pt x="893187" y="146539"/>
              </a:cubicBezTo>
              <a:cubicBezTo>
                <a:pt x="897267" y="152659"/>
                <a:pt x="896593" y="161043"/>
                <a:pt x="900165" y="167473"/>
              </a:cubicBezTo>
              <a:cubicBezTo>
                <a:pt x="912387" y="189473"/>
                <a:pt x="928668" y="214001"/>
                <a:pt x="949011" y="230275"/>
              </a:cubicBezTo>
              <a:cubicBezTo>
                <a:pt x="975848" y="251744"/>
                <a:pt x="1084556" y="323844"/>
                <a:pt x="1095549" y="327967"/>
              </a:cubicBezTo>
              <a:cubicBezTo>
                <a:pt x="1114157" y="334945"/>
                <a:pt x="1133028" y="341258"/>
                <a:pt x="1151373" y="348902"/>
              </a:cubicBezTo>
              <a:cubicBezTo>
                <a:pt x="1180950" y="361226"/>
                <a:pt x="1200324" y="379304"/>
                <a:pt x="1235110" y="383792"/>
              </a:cubicBezTo>
              <a:cubicBezTo>
                <a:pt x="1288218" y="390645"/>
                <a:pt x="1342106" y="388444"/>
                <a:pt x="1395604" y="390770"/>
              </a:cubicBezTo>
              <a:cubicBezTo>
                <a:pt x="1418864" y="395422"/>
                <a:pt x="1442271" y="399392"/>
                <a:pt x="1465384" y="404726"/>
              </a:cubicBezTo>
              <a:cubicBezTo>
                <a:pt x="1551844" y="424678"/>
                <a:pt x="1405607" y="396957"/>
                <a:pt x="1514231" y="418682"/>
              </a:cubicBezTo>
              <a:cubicBezTo>
                <a:pt x="1597028" y="435241"/>
                <a:pt x="1514765" y="412150"/>
                <a:pt x="1632857" y="446594"/>
              </a:cubicBezTo>
              <a:cubicBezTo>
                <a:pt x="1663229" y="455452"/>
                <a:pt x="1723571" y="474506"/>
                <a:pt x="1723571" y="474506"/>
              </a:cubicBezTo>
              <a:cubicBezTo>
                <a:pt x="1759240" y="498285"/>
                <a:pt x="1818890" y="536085"/>
                <a:pt x="1842198" y="565220"/>
              </a:cubicBezTo>
              <a:cubicBezTo>
                <a:pt x="1875349" y="606659"/>
                <a:pt x="1861848" y="587718"/>
                <a:pt x="1884066" y="621044"/>
              </a:cubicBezTo>
              <a:cubicBezTo>
                <a:pt x="1904575" y="703080"/>
                <a:pt x="1916700" y="739460"/>
                <a:pt x="1877088" y="858297"/>
              </a:cubicBezTo>
              <a:cubicBezTo>
                <a:pt x="1874762" y="865275"/>
                <a:pt x="1872131" y="872159"/>
                <a:pt x="1870110" y="879231"/>
              </a:cubicBezTo>
              <a:cubicBezTo>
                <a:pt x="1867475" y="888452"/>
                <a:pt x="1865767" y="897922"/>
                <a:pt x="1863132" y="907143"/>
              </a:cubicBezTo>
              <a:cubicBezTo>
                <a:pt x="1856796" y="929318"/>
                <a:pt x="1851047" y="939370"/>
                <a:pt x="1842198" y="962967"/>
              </a:cubicBezTo>
              <a:cubicBezTo>
                <a:pt x="1839615" y="969854"/>
                <a:pt x="1838118" y="977141"/>
                <a:pt x="1835220" y="983902"/>
              </a:cubicBezTo>
              <a:cubicBezTo>
                <a:pt x="1831122" y="993463"/>
                <a:pt x="1825568" y="1002344"/>
                <a:pt x="1821263" y="1011814"/>
              </a:cubicBezTo>
              <a:cubicBezTo>
                <a:pt x="1803051" y="1051880"/>
                <a:pt x="1801160" y="1078128"/>
                <a:pt x="1758461" y="1102528"/>
              </a:cubicBezTo>
              <a:cubicBezTo>
                <a:pt x="1741807" y="1112044"/>
                <a:pt x="1721142" y="1111437"/>
                <a:pt x="1702637" y="1116484"/>
              </a:cubicBezTo>
              <a:cubicBezTo>
                <a:pt x="1695541" y="1118419"/>
                <a:pt x="1689051" y="1123135"/>
                <a:pt x="1681703" y="1123462"/>
              </a:cubicBezTo>
              <a:cubicBezTo>
                <a:pt x="1584079" y="1127801"/>
                <a:pt x="1486318" y="1128114"/>
                <a:pt x="1388626" y="1130440"/>
              </a:cubicBezTo>
              <a:cubicBezTo>
                <a:pt x="1346155" y="1127786"/>
                <a:pt x="1269776" y="1125324"/>
                <a:pt x="1221154" y="1116484"/>
              </a:cubicBezTo>
              <a:cubicBezTo>
                <a:pt x="1213917" y="1115168"/>
                <a:pt x="1207327" y="1111401"/>
                <a:pt x="1200220" y="1109506"/>
              </a:cubicBezTo>
              <a:cubicBezTo>
                <a:pt x="1172420" y="1102093"/>
                <a:pt x="1144395" y="1095550"/>
                <a:pt x="1116483" y="1088572"/>
              </a:cubicBezTo>
              <a:cubicBezTo>
                <a:pt x="1033150" y="1093780"/>
                <a:pt x="1020156" y="1086589"/>
                <a:pt x="955989" y="1109506"/>
              </a:cubicBezTo>
              <a:cubicBezTo>
                <a:pt x="939307" y="1115464"/>
                <a:pt x="922987" y="1122518"/>
                <a:pt x="907143" y="1130440"/>
              </a:cubicBezTo>
              <a:cubicBezTo>
                <a:pt x="874869" y="1146577"/>
                <a:pt x="867081" y="1158472"/>
                <a:pt x="837362" y="1165330"/>
              </a:cubicBezTo>
              <a:cubicBezTo>
                <a:pt x="666890" y="1204670"/>
                <a:pt x="856186" y="1159184"/>
                <a:pt x="711758" y="1186264"/>
              </a:cubicBezTo>
              <a:cubicBezTo>
                <a:pt x="692906" y="1189799"/>
                <a:pt x="674266" y="1194579"/>
                <a:pt x="655934" y="1200220"/>
              </a:cubicBezTo>
              <a:cubicBezTo>
                <a:pt x="631070" y="1207870"/>
                <a:pt x="605110" y="1224037"/>
                <a:pt x="579176" y="1228132"/>
              </a:cubicBezTo>
              <a:cubicBezTo>
                <a:pt x="549219" y="1232862"/>
                <a:pt x="518699" y="1232784"/>
                <a:pt x="488461" y="1235110"/>
              </a:cubicBezTo>
              <a:cubicBezTo>
                <a:pt x="446593" y="1232784"/>
                <a:pt x="404466" y="1233333"/>
                <a:pt x="362857" y="1228132"/>
              </a:cubicBezTo>
              <a:cubicBezTo>
                <a:pt x="348260" y="1226307"/>
                <a:pt x="334945" y="1218828"/>
                <a:pt x="320989" y="1214176"/>
              </a:cubicBezTo>
              <a:cubicBezTo>
                <a:pt x="314011" y="1211850"/>
                <a:pt x="306884" y="1209930"/>
                <a:pt x="300055" y="1207198"/>
              </a:cubicBezTo>
              <a:cubicBezTo>
                <a:pt x="288425" y="1202546"/>
                <a:pt x="277048" y="1197203"/>
                <a:pt x="265165" y="1193242"/>
              </a:cubicBezTo>
              <a:cubicBezTo>
                <a:pt x="242127" y="1185563"/>
                <a:pt x="219033" y="1177826"/>
                <a:pt x="195384" y="1172308"/>
              </a:cubicBezTo>
              <a:cubicBezTo>
                <a:pt x="149184" y="1161528"/>
                <a:pt x="55824" y="1144396"/>
                <a:pt x="55824" y="1144396"/>
              </a:cubicBezTo>
              <a:cubicBezTo>
                <a:pt x="48846" y="1137418"/>
                <a:pt x="40811" y="1131357"/>
                <a:pt x="34890" y="1123462"/>
              </a:cubicBezTo>
              <a:cubicBezTo>
                <a:pt x="15115" y="1097096"/>
                <a:pt x="15564" y="1093396"/>
                <a:pt x="6978" y="1067638"/>
              </a:cubicBezTo>
              <a:cubicBezTo>
                <a:pt x="4652" y="1044378"/>
                <a:pt x="0" y="1021234"/>
                <a:pt x="0" y="997858"/>
              </a:cubicBezTo>
              <a:cubicBezTo>
                <a:pt x="0" y="976795"/>
                <a:pt x="4517" y="955974"/>
                <a:pt x="6978" y="935055"/>
              </a:cubicBezTo>
              <a:cubicBezTo>
                <a:pt x="9169" y="916431"/>
                <a:pt x="10601" y="897681"/>
                <a:pt x="13956" y="879231"/>
              </a:cubicBezTo>
              <a:cubicBezTo>
                <a:pt x="15272" y="871994"/>
                <a:pt x="19150" y="865433"/>
                <a:pt x="20934" y="858297"/>
              </a:cubicBezTo>
              <a:cubicBezTo>
                <a:pt x="28461" y="828191"/>
                <a:pt x="33616" y="797498"/>
                <a:pt x="41868" y="767583"/>
              </a:cubicBezTo>
              <a:cubicBezTo>
                <a:pt x="52237" y="729996"/>
                <a:pt x="65017" y="693115"/>
                <a:pt x="76758" y="655934"/>
              </a:cubicBezTo>
              <a:cubicBezTo>
                <a:pt x="78973" y="648920"/>
                <a:pt x="79323" y="640884"/>
                <a:pt x="83736" y="635000"/>
              </a:cubicBezTo>
              <a:cubicBezTo>
                <a:pt x="97692" y="616392"/>
                <a:pt x="112364" y="598300"/>
                <a:pt x="125604" y="579176"/>
              </a:cubicBezTo>
              <a:cubicBezTo>
                <a:pt x="131175" y="571129"/>
                <a:pt x="151182" y="534526"/>
                <a:pt x="160494" y="523352"/>
              </a:cubicBezTo>
              <a:cubicBezTo>
                <a:pt x="166812" y="515771"/>
                <a:pt x="175769" y="510502"/>
                <a:pt x="181428" y="502418"/>
              </a:cubicBezTo>
              <a:cubicBezTo>
                <a:pt x="192182" y="487055"/>
                <a:pt x="209340" y="453572"/>
                <a:pt x="209340" y="453572"/>
              </a:cubicBezTo>
            </a:path>
          </a:pathLst>
        </a:custGeom>
        <a:solidFill xmlns:a="http://schemas.openxmlformats.org/drawingml/2006/main">
          <a:srgbClr val="00B0F0">
            <a:alpha val="20000"/>
          </a:srgbClr>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a:p>
      </cdr:txBody>
    </cdr:sp>
  </cdr:relSizeAnchor>
  <cdr:relSizeAnchor xmlns:cdr="http://schemas.openxmlformats.org/drawingml/2006/chartDrawing">
    <cdr:from>
      <cdr:x>0.40754</cdr:x>
      <cdr:y>0.63063</cdr:y>
    </cdr:from>
    <cdr:to>
      <cdr:x>0.59858</cdr:x>
      <cdr:y>0.72973</cdr:y>
    </cdr:to>
    <cdr:sp macro="" textlink="">
      <cdr:nvSpPr>
        <cdr:cNvPr id="23" name="TextBox 1">
          <a:extLst xmlns:a="http://schemas.openxmlformats.org/drawingml/2006/main">
            <a:ext uri="{FF2B5EF4-FFF2-40B4-BE49-F238E27FC236}">
              <a16:creationId xmlns:a16="http://schemas.microsoft.com/office/drawing/2014/main" id="{CD4D4683-648E-4589-ACC3-A56D72C3055D}"/>
            </a:ext>
          </a:extLst>
        </cdr:cNvPr>
        <cdr:cNvSpPr txBox="1"/>
      </cdr:nvSpPr>
      <cdr:spPr>
        <a:xfrm xmlns:a="http://schemas.openxmlformats.org/drawingml/2006/main" rot="2390551">
          <a:off x="1951131" y="2076138"/>
          <a:ext cx="914613" cy="32625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600" b="1">
              <a:solidFill>
                <a:schemeClr val="bg1">
                  <a:lumMod val="50000"/>
                </a:schemeClr>
              </a:solidFill>
            </a:rPr>
            <a:t>1 </a:t>
          </a:r>
          <a:r>
            <a:rPr lang="en-SG" sz="1600" b="1">
              <a:solidFill>
                <a:schemeClr val="bg1">
                  <a:lumMod val="50000"/>
                </a:schemeClr>
              </a:solidFill>
              <a:sym typeface="Symbol" panose="05050102010706020507" pitchFamily="18" charset="2"/>
            </a:rPr>
            <a:t></a:t>
          </a:r>
          <a:r>
            <a:rPr lang="en-SG" sz="1600" b="1">
              <a:solidFill>
                <a:schemeClr val="bg1">
                  <a:lumMod val="50000"/>
                </a:schemeClr>
              </a:solidFill>
            </a:rPr>
            <a:t>W</a:t>
          </a:r>
        </a:p>
      </cdr:txBody>
    </cdr:sp>
  </cdr:relSizeAnchor>
  <cdr:relSizeAnchor xmlns:cdr="http://schemas.openxmlformats.org/drawingml/2006/chartDrawing">
    <cdr:from>
      <cdr:x>0.1573</cdr:x>
      <cdr:y>0.44222</cdr:y>
    </cdr:from>
    <cdr:to>
      <cdr:x>0.44986</cdr:x>
      <cdr:y>0.79817</cdr:y>
    </cdr:to>
    <cdr:cxnSp macro="">
      <cdr:nvCxnSpPr>
        <cdr:cNvPr id="24" name="Straight Connector 23">
          <a:extLst xmlns:a="http://schemas.openxmlformats.org/drawingml/2006/main">
            <a:ext uri="{FF2B5EF4-FFF2-40B4-BE49-F238E27FC236}">
              <a16:creationId xmlns:a16="http://schemas.microsoft.com/office/drawing/2014/main" id="{327F88B2-B1B3-4A99-B90A-BE90D1EB868E}"/>
            </a:ext>
          </a:extLst>
        </cdr:cNvPr>
        <cdr:cNvCxnSpPr/>
      </cdr:nvCxnSpPr>
      <cdr:spPr>
        <a:xfrm xmlns:a="http://schemas.openxmlformats.org/drawingml/2006/main">
          <a:off x="751869" y="1449269"/>
          <a:ext cx="1398332" cy="1166516"/>
        </a:xfrm>
        <a:prstGeom xmlns:a="http://schemas.openxmlformats.org/drawingml/2006/main" prst="line">
          <a:avLst/>
        </a:prstGeom>
        <a:ln xmlns:a="http://schemas.openxmlformats.org/drawingml/2006/main" w="25400" cap="rnd">
          <a:solidFill>
            <a:schemeClr val="bg1">
              <a:lumMod val="50000"/>
            </a:schemeClr>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0.62555</cdr:x>
      <cdr:y>0.65839</cdr:y>
    </cdr:from>
    <cdr:to>
      <cdr:x>0.81659</cdr:x>
      <cdr:y>0.75749</cdr:y>
    </cdr:to>
    <cdr:sp macro="" textlink="">
      <cdr:nvSpPr>
        <cdr:cNvPr id="25" name="TextBox 1">
          <a:extLst xmlns:a="http://schemas.openxmlformats.org/drawingml/2006/main">
            <a:ext uri="{FF2B5EF4-FFF2-40B4-BE49-F238E27FC236}">
              <a16:creationId xmlns:a16="http://schemas.microsoft.com/office/drawing/2014/main" id="{63E296A7-E34B-4221-B0B3-F2A35DCB37F0}"/>
            </a:ext>
          </a:extLst>
        </cdr:cNvPr>
        <cdr:cNvSpPr txBox="1"/>
      </cdr:nvSpPr>
      <cdr:spPr>
        <a:xfrm xmlns:a="http://schemas.openxmlformats.org/drawingml/2006/main" rot="2390551">
          <a:off x="2994868" y="2167518"/>
          <a:ext cx="914612" cy="3262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600" b="1">
              <a:solidFill>
                <a:schemeClr val="bg1">
                  <a:lumMod val="50000"/>
                </a:schemeClr>
              </a:solidFill>
            </a:rPr>
            <a:t>100 </a:t>
          </a:r>
          <a:r>
            <a:rPr lang="en-SG" sz="1600" b="1">
              <a:solidFill>
                <a:schemeClr val="bg1">
                  <a:lumMod val="50000"/>
                </a:schemeClr>
              </a:solidFill>
              <a:sym typeface="Symbol" panose="05050102010706020507" pitchFamily="18" charset="2"/>
            </a:rPr>
            <a:t></a:t>
          </a:r>
          <a:r>
            <a:rPr lang="en-SG" sz="1600" b="1">
              <a:solidFill>
                <a:schemeClr val="bg1">
                  <a:lumMod val="50000"/>
                </a:schemeClr>
              </a:solidFill>
            </a:rPr>
            <a:t>W</a:t>
          </a:r>
        </a:p>
      </cdr:txBody>
    </cdr:sp>
  </cdr:relSizeAnchor>
  <cdr:relSizeAnchor xmlns:cdr="http://schemas.openxmlformats.org/drawingml/2006/chartDrawing">
    <cdr:from>
      <cdr:x>0.15807</cdr:x>
      <cdr:y>0.32238</cdr:y>
    </cdr:from>
    <cdr:to>
      <cdr:x>0.55004</cdr:x>
      <cdr:y>0.79929</cdr:y>
    </cdr:to>
    <cdr:cxnSp macro="">
      <cdr:nvCxnSpPr>
        <cdr:cNvPr id="27" name="Straight Connector 26">
          <a:extLst xmlns:a="http://schemas.openxmlformats.org/drawingml/2006/main">
            <a:ext uri="{FF2B5EF4-FFF2-40B4-BE49-F238E27FC236}">
              <a16:creationId xmlns:a16="http://schemas.microsoft.com/office/drawing/2014/main" id="{6C22468A-83F0-4F1C-B267-B2A725FC0C5B}"/>
            </a:ext>
          </a:extLst>
        </cdr:cNvPr>
        <cdr:cNvCxnSpPr/>
      </cdr:nvCxnSpPr>
      <cdr:spPr>
        <a:xfrm xmlns:a="http://schemas.openxmlformats.org/drawingml/2006/main">
          <a:off x="755539" y="1056522"/>
          <a:ext cx="1873528" cy="1562934"/>
        </a:xfrm>
        <a:prstGeom xmlns:a="http://schemas.openxmlformats.org/drawingml/2006/main" prst="line">
          <a:avLst/>
        </a:prstGeom>
        <a:ln xmlns:a="http://schemas.openxmlformats.org/drawingml/2006/main" w="25400" cap="rnd">
          <a:solidFill>
            <a:schemeClr val="bg1">
              <a:lumMod val="50000"/>
            </a:schemeClr>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0.31883</cdr:x>
      <cdr:y>0.66212</cdr:y>
    </cdr:from>
    <cdr:to>
      <cdr:x>0.50987</cdr:x>
      <cdr:y>0.76122</cdr:y>
    </cdr:to>
    <cdr:sp macro="" textlink="">
      <cdr:nvSpPr>
        <cdr:cNvPr id="28" name="TextBox 1">
          <a:extLst xmlns:a="http://schemas.openxmlformats.org/drawingml/2006/main">
            <a:ext uri="{FF2B5EF4-FFF2-40B4-BE49-F238E27FC236}">
              <a16:creationId xmlns:a16="http://schemas.microsoft.com/office/drawing/2014/main" id="{07873176-1D85-44F3-96CC-A8B1AE7D4AB0}"/>
            </a:ext>
          </a:extLst>
        </cdr:cNvPr>
        <cdr:cNvSpPr txBox="1"/>
      </cdr:nvSpPr>
      <cdr:spPr>
        <a:xfrm xmlns:a="http://schemas.openxmlformats.org/drawingml/2006/main" rot="2390551">
          <a:off x="1526427" y="2179805"/>
          <a:ext cx="914613" cy="3262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600" b="1">
              <a:solidFill>
                <a:schemeClr val="bg1">
                  <a:lumMod val="50000"/>
                </a:schemeClr>
              </a:solidFill>
            </a:rPr>
            <a:t>100</a:t>
          </a:r>
          <a:r>
            <a:rPr lang="en-SG" sz="1600" b="1" baseline="0">
              <a:solidFill>
                <a:schemeClr val="bg1">
                  <a:lumMod val="50000"/>
                </a:schemeClr>
              </a:solidFill>
            </a:rPr>
            <a:t> n</a:t>
          </a:r>
          <a:r>
            <a:rPr lang="en-SG" sz="1600" b="1">
              <a:solidFill>
                <a:schemeClr val="bg1">
                  <a:lumMod val="50000"/>
                </a:schemeClr>
              </a:solidFill>
            </a:rPr>
            <a:t>W</a:t>
          </a:r>
        </a:p>
      </cdr:txBody>
    </cdr:sp>
  </cdr:relSizeAnchor>
  <cdr:relSizeAnchor xmlns:cdr="http://schemas.openxmlformats.org/drawingml/2006/chartDrawing">
    <cdr:from>
      <cdr:x>0.50134</cdr:x>
      <cdr:y>0.63822</cdr:y>
    </cdr:from>
    <cdr:to>
      <cdr:x>0.69237</cdr:x>
      <cdr:y>0.73732</cdr:y>
    </cdr:to>
    <cdr:sp macro="" textlink="">
      <cdr:nvSpPr>
        <cdr:cNvPr id="30" name="TextBox 1">
          <a:extLst xmlns:a="http://schemas.openxmlformats.org/drawingml/2006/main">
            <a:ext uri="{FF2B5EF4-FFF2-40B4-BE49-F238E27FC236}">
              <a16:creationId xmlns:a16="http://schemas.microsoft.com/office/drawing/2014/main" id="{B4417990-AC89-446C-BB7F-E9D13699BBBF}"/>
            </a:ext>
          </a:extLst>
        </cdr:cNvPr>
        <cdr:cNvSpPr txBox="1"/>
      </cdr:nvSpPr>
      <cdr:spPr>
        <a:xfrm xmlns:a="http://schemas.openxmlformats.org/drawingml/2006/main" rot="2390551">
          <a:off x="2396262" y="2091610"/>
          <a:ext cx="913124" cy="324774"/>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600" b="1">
              <a:solidFill>
                <a:schemeClr val="bg1">
                  <a:lumMod val="50000"/>
                </a:schemeClr>
              </a:solidFill>
            </a:rPr>
            <a:t>10 </a:t>
          </a:r>
          <a:r>
            <a:rPr lang="en-SG" sz="1600" b="1">
              <a:solidFill>
                <a:schemeClr val="bg1">
                  <a:lumMod val="50000"/>
                </a:schemeClr>
              </a:solidFill>
              <a:latin typeface="Symbol" panose="05050102010706020507" pitchFamily="18" charset="2"/>
            </a:rPr>
            <a:t></a:t>
          </a:r>
          <a:r>
            <a:rPr lang="en-SG" sz="1600" b="1">
              <a:solidFill>
                <a:schemeClr val="bg1">
                  <a:lumMod val="50000"/>
                </a:schemeClr>
              </a:solidFill>
            </a:rPr>
            <a:t>W</a:t>
          </a:r>
        </a:p>
      </cdr:txBody>
    </cdr:sp>
  </cdr:relSizeAnchor>
  <cdr:relSizeAnchor xmlns:cdr="http://schemas.openxmlformats.org/drawingml/2006/chartDrawing">
    <cdr:from>
      <cdr:x>0.26416</cdr:x>
      <cdr:y>0.09063</cdr:y>
    </cdr:from>
    <cdr:to>
      <cdr:x>0.84931</cdr:x>
      <cdr:y>0.80257</cdr:y>
    </cdr:to>
    <cdr:cxnSp macro="">
      <cdr:nvCxnSpPr>
        <cdr:cNvPr id="31" name="Straight Connector 30">
          <a:extLst xmlns:a="http://schemas.openxmlformats.org/drawingml/2006/main">
            <a:ext uri="{FF2B5EF4-FFF2-40B4-BE49-F238E27FC236}">
              <a16:creationId xmlns:a16="http://schemas.microsoft.com/office/drawing/2014/main" id="{5B6FB86C-1C8A-47D6-B005-317C8F655434}"/>
            </a:ext>
          </a:extLst>
        </cdr:cNvPr>
        <cdr:cNvCxnSpPr/>
      </cdr:nvCxnSpPr>
      <cdr:spPr>
        <a:xfrm xmlns:a="http://schemas.openxmlformats.org/drawingml/2006/main">
          <a:off x="1264697" y="298357"/>
          <a:ext cx="2801425" cy="2343821"/>
        </a:xfrm>
        <a:prstGeom xmlns:a="http://schemas.openxmlformats.org/drawingml/2006/main" prst="line">
          <a:avLst/>
        </a:prstGeom>
        <a:ln xmlns:a="http://schemas.openxmlformats.org/drawingml/2006/main" w="25400" cap="rnd">
          <a:solidFill>
            <a:schemeClr val="bg1">
              <a:lumMod val="50000"/>
            </a:schemeClr>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0.36145</cdr:x>
      <cdr:y>0.08512</cdr:y>
    </cdr:from>
    <cdr:to>
      <cdr:x>0.9466</cdr:x>
      <cdr:y>0.79706</cdr:y>
    </cdr:to>
    <cdr:cxnSp macro="">
      <cdr:nvCxnSpPr>
        <cdr:cNvPr id="33" name="Straight Connector 32">
          <a:extLst xmlns:a="http://schemas.openxmlformats.org/drawingml/2006/main">
            <a:ext uri="{FF2B5EF4-FFF2-40B4-BE49-F238E27FC236}">
              <a16:creationId xmlns:a16="http://schemas.microsoft.com/office/drawing/2014/main" id="{92CF0D85-0FC0-43AA-AC7B-078B99EF540F}"/>
            </a:ext>
          </a:extLst>
        </cdr:cNvPr>
        <cdr:cNvCxnSpPr/>
      </cdr:nvCxnSpPr>
      <cdr:spPr>
        <a:xfrm xmlns:a="http://schemas.openxmlformats.org/drawingml/2006/main">
          <a:off x="1730477" y="280219"/>
          <a:ext cx="2801425" cy="2343821"/>
        </a:xfrm>
        <a:prstGeom xmlns:a="http://schemas.openxmlformats.org/drawingml/2006/main" prst="line">
          <a:avLst/>
        </a:prstGeom>
        <a:ln xmlns:a="http://schemas.openxmlformats.org/drawingml/2006/main" w="25400" cap="rnd">
          <a:solidFill>
            <a:schemeClr val="bg1">
              <a:lumMod val="50000"/>
            </a:schemeClr>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0.63528</cdr:x>
      <cdr:y>0.44599</cdr:y>
    </cdr:from>
    <cdr:to>
      <cdr:x>0.82632</cdr:x>
      <cdr:y>0.54509</cdr:y>
    </cdr:to>
    <cdr:sp macro="" textlink="">
      <cdr:nvSpPr>
        <cdr:cNvPr id="34" name="TextBox 1">
          <a:extLst xmlns:a="http://schemas.openxmlformats.org/drawingml/2006/main">
            <a:ext uri="{FF2B5EF4-FFF2-40B4-BE49-F238E27FC236}">
              <a16:creationId xmlns:a16="http://schemas.microsoft.com/office/drawing/2014/main" id="{E861A198-1AFE-433B-9754-7D4EA3688963}"/>
            </a:ext>
          </a:extLst>
        </cdr:cNvPr>
        <cdr:cNvSpPr txBox="1"/>
      </cdr:nvSpPr>
      <cdr:spPr>
        <a:xfrm xmlns:a="http://schemas.openxmlformats.org/drawingml/2006/main" rot="2390551">
          <a:off x="3041447" y="1468283"/>
          <a:ext cx="914613" cy="3262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600" b="1">
              <a:solidFill>
                <a:schemeClr val="bg1">
                  <a:lumMod val="50000"/>
                </a:schemeClr>
              </a:solidFill>
            </a:rPr>
            <a:t>10 mW</a:t>
          </a:r>
        </a:p>
      </cdr:txBody>
    </cdr:sp>
  </cdr:relSizeAnchor>
  <cdr:relSizeAnchor xmlns:cdr="http://schemas.openxmlformats.org/drawingml/2006/chartDrawing">
    <cdr:from>
      <cdr:x>0.72684</cdr:x>
      <cdr:y>0.67621</cdr:y>
    </cdr:from>
    <cdr:to>
      <cdr:x>0.91788</cdr:x>
      <cdr:y>0.77531</cdr:y>
    </cdr:to>
    <cdr:sp macro="" textlink="">
      <cdr:nvSpPr>
        <cdr:cNvPr id="35" name="TextBox 1">
          <a:extLst xmlns:a="http://schemas.openxmlformats.org/drawingml/2006/main">
            <a:ext uri="{FF2B5EF4-FFF2-40B4-BE49-F238E27FC236}">
              <a16:creationId xmlns:a16="http://schemas.microsoft.com/office/drawing/2014/main" id="{4E4E0E48-ECB3-4D17-A4D1-C4256D75CEE7}"/>
            </a:ext>
          </a:extLst>
        </cdr:cNvPr>
        <cdr:cNvSpPr txBox="1"/>
      </cdr:nvSpPr>
      <cdr:spPr>
        <a:xfrm xmlns:a="http://schemas.openxmlformats.org/drawingml/2006/main" rot="2390551">
          <a:off x="3479800" y="2226187"/>
          <a:ext cx="914613" cy="3262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600" b="1">
              <a:solidFill>
                <a:schemeClr val="bg1">
                  <a:lumMod val="50000"/>
                </a:schemeClr>
              </a:solidFill>
            </a:rPr>
            <a:t>1 mW</a:t>
          </a:r>
        </a:p>
      </cdr:txBody>
    </cdr:sp>
  </cdr:relSizeAnchor>
  <cdr:relSizeAnchor xmlns:cdr="http://schemas.openxmlformats.org/drawingml/2006/chartDrawing">
    <cdr:from>
      <cdr:x>0.15999</cdr:x>
      <cdr:y>0.08396</cdr:y>
    </cdr:from>
    <cdr:to>
      <cdr:x>0.75398</cdr:x>
      <cdr:y>0.80664</cdr:y>
    </cdr:to>
    <cdr:cxnSp macro="">
      <cdr:nvCxnSpPr>
        <cdr:cNvPr id="36" name="Straight Connector 35">
          <a:extLst xmlns:a="http://schemas.openxmlformats.org/drawingml/2006/main">
            <a:ext uri="{FF2B5EF4-FFF2-40B4-BE49-F238E27FC236}">
              <a16:creationId xmlns:a16="http://schemas.microsoft.com/office/drawing/2014/main" id="{DD5FE1F7-78C4-4890-8432-DDBEFC59CF82}"/>
            </a:ext>
          </a:extLst>
        </cdr:cNvPr>
        <cdr:cNvCxnSpPr/>
      </cdr:nvCxnSpPr>
      <cdr:spPr>
        <a:xfrm xmlns:a="http://schemas.openxmlformats.org/drawingml/2006/main">
          <a:off x="764540" y="275700"/>
          <a:ext cx="2838411" cy="2373170"/>
        </a:xfrm>
        <a:prstGeom xmlns:a="http://schemas.openxmlformats.org/drawingml/2006/main" prst="line">
          <a:avLst/>
        </a:prstGeom>
        <a:ln xmlns:a="http://schemas.openxmlformats.org/drawingml/2006/main" w="25400" cap="rnd">
          <a:solidFill>
            <a:schemeClr val="bg1">
              <a:lumMod val="50000"/>
            </a:schemeClr>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0.46098</cdr:x>
      <cdr:y>0.084</cdr:y>
    </cdr:from>
    <cdr:to>
      <cdr:x>0.94702</cdr:x>
      <cdr:y>0.67536</cdr:y>
    </cdr:to>
    <cdr:cxnSp macro="">
      <cdr:nvCxnSpPr>
        <cdr:cNvPr id="16" name="Straight Connector 15">
          <a:extLst xmlns:a="http://schemas.openxmlformats.org/drawingml/2006/main">
            <a:ext uri="{FF2B5EF4-FFF2-40B4-BE49-F238E27FC236}">
              <a16:creationId xmlns:a16="http://schemas.microsoft.com/office/drawing/2014/main" id="{5E091B66-DB17-4E90-9366-F338A6FFC519}"/>
            </a:ext>
          </a:extLst>
        </cdr:cNvPr>
        <cdr:cNvCxnSpPr/>
      </cdr:nvCxnSpPr>
      <cdr:spPr>
        <a:xfrm xmlns:a="http://schemas.openxmlformats.org/drawingml/2006/main">
          <a:off x="2206955" y="276532"/>
          <a:ext cx="2326968" cy="1946853"/>
        </a:xfrm>
        <a:prstGeom xmlns:a="http://schemas.openxmlformats.org/drawingml/2006/main" prst="line">
          <a:avLst/>
        </a:prstGeom>
        <a:ln xmlns:a="http://schemas.openxmlformats.org/drawingml/2006/main" w="25400" cap="rnd">
          <a:solidFill>
            <a:schemeClr val="bg1">
              <a:lumMod val="50000"/>
            </a:schemeClr>
          </a:solidFill>
          <a:prstDash val="sysDot"/>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0.68406</cdr:x>
      <cdr:y>0.38129</cdr:y>
    </cdr:from>
    <cdr:to>
      <cdr:x>0.8751</cdr:x>
      <cdr:y>0.48039</cdr:y>
    </cdr:to>
    <cdr:sp macro="" textlink="">
      <cdr:nvSpPr>
        <cdr:cNvPr id="20" name="TextBox 1">
          <a:extLst xmlns:a="http://schemas.openxmlformats.org/drawingml/2006/main">
            <a:ext uri="{FF2B5EF4-FFF2-40B4-BE49-F238E27FC236}">
              <a16:creationId xmlns:a16="http://schemas.microsoft.com/office/drawing/2014/main" id="{FF935648-D5DA-4738-A6DA-4E03B9F9DB01}"/>
            </a:ext>
          </a:extLst>
        </cdr:cNvPr>
        <cdr:cNvSpPr txBox="1"/>
      </cdr:nvSpPr>
      <cdr:spPr>
        <a:xfrm xmlns:a="http://schemas.openxmlformats.org/drawingml/2006/main" rot="2390551">
          <a:off x="3274963" y="1255252"/>
          <a:ext cx="914614" cy="326252"/>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600" b="1">
              <a:solidFill>
                <a:schemeClr val="bg1">
                  <a:lumMod val="50000"/>
                </a:schemeClr>
              </a:solidFill>
            </a:rPr>
            <a:t>100 mW</a:t>
          </a:r>
        </a:p>
      </cdr:txBody>
    </cdr:sp>
  </cdr:relSizeAnchor>
</c:userShapes>
</file>

<file path=xl/drawings/drawing2.xml><?xml version="1.0" encoding="utf-8"?>
<c:userShapes xmlns:c="http://schemas.openxmlformats.org/drawingml/2006/chart">
  <cdr:relSizeAnchor xmlns:cdr="http://schemas.openxmlformats.org/drawingml/2006/chartDrawing">
    <cdr:from>
      <cdr:x>0.18894</cdr:x>
      <cdr:y>0.23657</cdr:y>
    </cdr:from>
    <cdr:to>
      <cdr:x>0.86083</cdr:x>
      <cdr:y>0.36338</cdr:y>
    </cdr:to>
    <cdr:grpSp>
      <cdr:nvGrpSpPr>
        <cdr:cNvPr id="7" name="Group 6">
          <a:extLst xmlns:a="http://schemas.openxmlformats.org/drawingml/2006/main">
            <a:ext uri="{FF2B5EF4-FFF2-40B4-BE49-F238E27FC236}">
              <a16:creationId xmlns:a16="http://schemas.microsoft.com/office/drawing/2014/main" id="{886ED31E-097F-BC85-109D-DFB831FC8282}"/>
            </a:ext>
          </a:extLst>
        </cdr:cNvPr>
        <cdr:cNvGrpSpPr/>
      </cdr:nvGrpSpPr>
      <cdr:grpSpPr>
        <a:xfrm xmlns:a="http://schemas.openxmlformats.org/drawingml/2006/main" rot="1133485">
          <a:off x="953254" y="810046"/>
          <a:ext cx="3389870" cy="434214"/>
          <a:chOff x="-2042717" y="689962"/>
          <a:chExt cx="3687132" cy="460124"/>
        </a:xfrm>
      </cdr:grpSpPr>
      <cdr:sp macro="" textlink="">
        <cdr:nvSpPr>
          <cdr:cNvPr id="8" name="Down Arrow 3">
            <a:extLst xmlns:a="http://schemas.openxmlformats.org/drawingml/2006/main">
              <a:ext uri="{FF2B5EF4-FFF2-40B4-BE49-F238E27FC236}">
                <a16:creationId xmlns:a16="http://schemas.microsoft.com/office/drawing/2014/main" id="{2A39B7C0-E51D-073D-0E7F-2C403022A232}"/>
              </a:ext>
            </a:extLst>
          </cdr:cNvPr>
          <cdr:cNvSpPr/>
        </cdr:nvSpPr>
        <cdr:spPr>
          <a:xfrm xmlns:a="http://schemas.openxmlformats.org/drawingml/2006/main" rot="16505486">
            <a:off x="-372513" y="-866843"/>
            <a:ext cx="414256" cy="3619601"/>
          </a:xfrm>
          <a:prstGeom xmlns:a="http://schemas.openxmlformats.org/drawingml/2006/main" prst="downArrow">
            <a:avLst/>
          </a:prstGeom>
          <a:solidFill xmlns:a="http://schemas.openxmlformats.org/drawingml/2006/main">
            <a:srgbClr val="003399">
              <a:alpha val="10000"/>
            </a:srgbClr>
          </a:solidFill>
          <a:ln xmlns:a="http://schemas.openxmlformats.org/drawingml/2006/main">
            <a:solidFill>
              <a:srgbClr val="003399">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9" name="TextBox 1">
            <a:extLst xmlns:a="http://schemas.openxmlformats.org/drawingml/2006/main">
              <a:ext uri="{FF2B5EF4-FFF2-40B4-BE49-F238E27FC236}">
                <a16:creationId xmlns:a16="http://schemas.microsoft.com/office/drawing/2014/main" id="{70AEBEF6-462A-5BE7-1B07-5C68CBC80BE8}"/>
              </a:ext>
            </a:extLst>
          </cdr:cNvPr>
          <cdr:cNvSpPr txBox="1"/>
        </cdr:nvSpPr>
        <cdr:spPr>
          <a:xfrm xmlns:a="http://schemas.openxmlformats.org/drawingml/2006/main" rot="212035">
            <a:off x="-2042717" y="689962"/>
            <a:ext cx="995630" cy="254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003399"/>
                </a:solidFill>
              </a:rPr>
              <a:t>-37%/yr</a:t>
            </a:r>
          </a:p>
        </cdr:txBody>
      </cdr:sp>
    </cdr:grpSp>
  </cdr:relSizeAnchor>
  <cdr:relSizeAnchor xmlns:cdr="http://schemas.openxmlformats.org/drawingml/2006/chartDrawing">
    <cdr:from>
      <cdr:x>0.37593</cdr:x>
      <cdr:y>0.41768</cdr:y>
    </cdr:from>
    <cdr:to>
      <cdr:x>0.92421</cdr:x>
      <cdr:y>0.5382</cdr:y>
    </cdr:to>
    <cdr:grpSp>
      <cdr:nvGrpSpPr>
        <cdr:cNvPr id="19" name="Group 18">
          <a:extLst xmlns:a="http://schemas.openxmlformats.org/drawingml/2006/main">
            <a:ext uri="{FF2B5EF4-FFF2-40B4-BE49-F238E27FC236}">
              <a16:creationId xmlns:a16="http://schemas.microsoft.com/office/drawing/2014/main" id="{7BFFA104-E30A-5A3C-F2B4-75FD12DEF7E3}"/>
            </a:ext>
          </a:extLst>
        </cdr:cNvPr>
        <cdr:cNvGrpSpPr/>
      </cdr:nvGrpSpPr>
      <cdr:grpSpPr>
        <a:xfrm xmlns:a="http://schemas.openxmlformats.org/drawingml/2006/main" rot="2036434">
          <a:off x="1896670" y="1430190"/>
          <a:ext cx="2766224" cy="412676"/>
          <a:chOff x="61598" y="121380"/>
          <a:chExt cx="3292451" cy="437297"/>
        </a:xfrm>
      </cdr:grpSpPr>
      <cdr:sp macro="" textlink="">
        <cdr:nvSpPr>
          <cdr:cNvPr id="20" name="Down Arrow 4">
            <a:extLst xmlns:a="http://schemas.openxmlformats.org/drawingml/2006/main">
              <a:ext uri="{FF2B5EF4-FFF2-40B4-BE49-F238E27FC236}">
                <a16:creationId xmlns:a16="http://schemas.microsoft.com/office/drawing/2014/main" id="{E0748ECE-9278-7D1A-A0DD-C9901A39AC93}"/>
              </a:ext>
            </a:extLst>
          </cdr:cNvPr>
          <cdr:cNvSpPr/>
        </cdr:nvSpPr>
        <cdr:spPr>
          <a:xfrm xmlns:a="http://schemas.openxmlformats.org/drawingml/2006/main" rot="17085665">
            <a:off x="1500696" y="-1294676"/>
            <a:ext cx="414255" cy="3292451"/>
          </a:xfrm>
          <a:prstGeom xmlns:a="http://schemas.openxmlformats.org/drawingml/2006/main" prst="downArrow">
            <a:avLst/>
          </a:prstGeom>
          <a:solidFill xmlns:a="http://schemas.openxmlformats.org/drawingml/2006/main">
            <a:srgbClr val="FF0000">
              <a:alpha val="10000"/>
            </a:srgbClr>
          </a:solidFill>
          <a:ln xmlns:a="http://schemas.openxmlformats.org/drawingml/2006/main">
            <a:solidFill>
              <a:srgbClr val="FF0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21" name="TextBox 1">
            <a:extLst xmlns:a="http://schemas.openxmlformats.org/drawingml/2006/main">
              <a:ext uri="{FF2B5EF4-FFF2-40B4-BE49-F238E27FC236}">
                <a16:creationId xmlns:a16="http://schemas.microsoft.com/office/drawing/2014/main" id="{4210452C-81C4-D4EF-41BA-A4455D425D11}"/>
              </a:ext>
            </a:extLst>
          </cdr:cNvPr>
          <cdr:cNvSpPr txBox="1"/>
        </cdr:nvSpPr>
        <cdr:spPr>
          <a:xfrm xmlns:a="http://schemas.openxmlformats.org/drawingml/2006/main" rot="834374">
            <a:off x="753138" y="121380"/>
            <a:ext cx="1089508" cy="254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FF0000"/>
                </a:solidFill>
              </a:rPr>
              <a:t>-54.9%/yr</a:t>
            </a:r>
          </a:p>
        </cdr:txBody>
      </cdr:sp>
    </cdr:grpSp>
  </cdr:relSizeAnchor>
</c:userShapes>
</file>

<file path=xl/drawings/drawing3.xml><?xml version="1.0" encoding="utf-8"?>
<c:userShapes xmlns:c="http://schemas.openxmlformats.org/drawingml/2006/chart">
  <cdr:relSizeAnchor xmlns:cdr="http://schemas.openxmlformats.org/drawingml/2006/chartDrawing">
    <cdr:from>
      <cdr:x>0.36362</cdr:x>
      <cdr:y>0.15214</cdr:y>
    </cdr:from>
    <cdr:to>
      <cdr:x>0.77398</cdr:x>
      <cdr:y>0.26236</cdr:y>
    </cdr:to>
    <cdr:grpSp>
      <cdr:nvGrpSpPr>
        <cdr:cNvPr id="8" name="Group 7">
          <a:extLst xmlns:a="http://schemas.openxmlformats.org/drawingml/2006/main">
            <a:ext uri="{FF2B5EF4-FFF2-40B4-BE49-F238E27FC236}">
              <a16:creationId xmlns:a16="http://schemas.microsoft.com/office/drawing/2014/main" id="{E9F1F92E-20BD-FB49-AB22-081342A45B88}"/>
            </a:ext>
          </a:extLst>
        </cdr:cNvPr>
        <cdr:cNvGrpSpPr/>
      </cdr:nvGrpSpPr>
      <cdr:grpSpPr>
        <a:xfrm xmlns:a="http://schemas.openxmlformats.org/drawingml/2006/main" rot="1074458">
          <a:off x="1832183" y="476375"/>
          <a:ext cx="2067693" cy="345117"/>
          <a:chOff x="1203960" y="1134218"/>
          <a:chExt cx="1782684" cy="413729"/>
        </a:xfrm>
      </cdr:grpSpPr>
      <cdr:sp macro="" textlink="">
        <cdr:nvSpPr>
          <cdr:cNvPr id="2" name="Down Arrow 1">
            <a:extLst xmlns:a="http://schemas.openxmlformats.org/drawingml/2006/main">
              <a:ext uri="{FF2B5EF4-FFF2-40B4-BE49-F238E27FC236}">
                <a16:creationId xmlns:a16="http://schemas.microsoft.com/office/drawing/2014/main" id="{00000000-0008-0000-0500-000004000000}"/>
              </a:ext>
            </a:extLst>
          </cdr:cNvPr>
          <cdr:cNvSpPr/>
        </cdr:nvSpPr>
        <cdr:spPr>
          <a:xfrm xmlns:a="http://schemas.openxmlformats.org/drawingml/2006/main" rot="16200000">
            <a:off x="1929375" y="490679"/>
            <a:ext cx="413729" cy="1700808"/>
          </a:xfrm>
          <a:prstGeom xmlns:a="http://schemas.openxmlformats.org/drawingml/2006/main" prst="downArrow">
            <a:avLst/>
          </a:prstGeom>
          <a:solidFill xmlns:a="http://schemas.openxmlformats.org/drawingml/2006/main">
            <a:srgbClr val="00B0F0">
              <a:alpha val="10000"/>
            </a:srgbClr>
          </a:solidFill>
          <a:ln xmlns:a="http://schemas.openxmlformats.org/drawingml/2006/main">
            <a:solidFill>
              <a:srgbClr val="00B0F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7" name="TextBox 6">
            <a:extLst xmlns:a="http://schemas.openxmlformats.org/drawingml/2006/main">
              <a:ext uri="{FF2B5EF4-FFF2-40B4-BE49-F238E27FC236}">
                <a16:creationId xmlns:a16="http://schemas.microsoft.com/office/drawing/2014/main" id="{AB2015E6-6183-7460-7B10-948CFD171743}"/>
              </a:ext>
            </a:extLst>
          </cdr:cNvPr>
          <cdr:cNvSpPr txBox="1"/>
        </cdr:nvSpPr>
        <cdr:spPr>
          <a:xfrm xmlns:a="http://schemas.openxmlformats.org/drawingml/2006/main">
            <a:off x="1203960" y="1216660"/>
            <a:ext cx="914400" cy="25400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SG" sz="1100" b="1">
                <a:solidFill>
                  <a:srgbClr val="00B0F0"/>
                </a:solidFill>
              </a:rPr>
              <a:t>-25.7%/yr</a:t>
            </a:r>
          </a:p>
        </cdr:txBody>
      </cdr:sp>
    </cdr:grpSp>
  </cdr:relSizeAnchor>
  <cdr:relSizeAnchor xmlns:cdr="http://schemas.openxmlformats.org/drawingml/2006/chartDrawing">
    <cdr:from>
      <cdr:x>0.72094</cdr:x>
      <cdr:y>0.01871</cdr:y>
    </cdr:from>
    <cdr:to>
      <cdr:x>0.79997</cdr:x>
      <cdr:y>0.83159</cdr:y>
    </cdr:to>
    <cdr:grpSp>
      <cdr:nvGrpSpPr>
        <cdr:cNvPr id="17" name="Group 16">
          <a:extLst xmlns:a="http://schemas.openxmlformats.org/drawingml/2006/main">
            <a:ext uri="{FF2B5EF4-FFF2-40B4-BE49-F238E27FC236}">
              <a16:creationId xmlns:a16="http://schemas.microsoft.com/office/drawing/2014/main" id="{FFA05EA0-F8AA-0BAB-0B5C-DA53E18F02F6}"/>
            </a:ext>
          </a:extLst>
        </cdr:cNvPr>
        <cdr:cNvGrpSpPr/>
      </cdr:nvGrpSpPr>
      <cdr:grpSpPr>
        <a:xfrm xmlns:a="http://schemas.openxmlformats.org/drawingml/2006/main" rot="2997887">
          <a:off x="2559098" y="1132108"/>
          <a:ext cx="2545260" cy="398211"/>
          <a:chOff x="-712425" y="-28196"/>
          <a:chExt cx="4550892" cy="433795"/>
        </a:xfrm>
      </cdr:grpSpPr>
      <cdr:sp macro="" textlink="">
        <cdr:nvSpPr>
          <cdr:cNvPr id="18" name="Down Arrow 5">
            <a:extLst xmlns:a="http://schemas.openxmlformats.org/drawingml/2006/main">
              <a:ext uri="{FF2B5EF4-FFF2-40B4-BE49-F238E27FC236}">
                <a16:creationId xmlns:a16="http://schemas.microsoft.com/office/drawing/2014/main" id="{04CC6062-B610-CC9A-A06D-598ABFA0E0C5}"/>
              </a:ext>
            </a:extLst>
          </cdr:cNvPr>
          <cdr:cNvSpPr/>
        </cdr:nvSpPr>
        <cdr:spPr>
          <a:xfrm xmlns:a="http://schemas.openxmlformats.org/drawingml/2006/main" rot="16408144">
            <a:off x="1422519" y="-2010349"/>
            <a:ext cx="412791" cy="4419105"/>
          </a:xfrm>
          <a:prstGeom xmlns:a="http://schemas.openxmlformats.org/drawingml/2006/main" prst="downArrow">
            <a:avLst/>
          </a:prstGeom>
          <a:solidFill xmlns:a="http://schemas.openxmlformats.org/drawingml/2006/main">
            <a:srgbClr val="00B050">
              <a:alpha val="10000"/>
            </a:srgbClr>
          </a:solidFill>
          <a:ln xmlns:a="http://schemas.openxmlformats.org/drawingml/2006/main">
            <a:solidFill>
              <a:srgbClr val="00B05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solidFill>
                <a:srgbClr val="00B050"/>
              </a:solidFill>
            </a:endParaRPr>
          </a:p>
        </cdr:txBody>
      </cdr:sp>
      <cdr:sp macro="" textlink="">
        <cdr:nvSpPr>
          <cdr:cNvPr id="19" name="TextBox 1">
            <a:extLst xmlns:a="http://schemas.openxmlformats.org/drawingml/2006/main">
              <a:ext uri="{FF2B5EF4-FFF2-40B4-BE49-F238E27FC236}">
                <a16:creationId xmlns:a16="http://schemas.microsoft.com/office/drawing/2014/main" id="{DB53E141-1B0F-E8B5-0D0B-4C9B203B3535}"/>
              </a:ext>
            </a:extLst>
          </cdr:cNvPr>
          <cdr:cNvSpPr txBox="1"/>
        </cdr:nvSpPr>
        <cdr:spPr>
          <a:xfrm xmlns:a="http://schemas.openxmlformats.org/drawingml/2006/main" rot="212035">
            <a:off x="-712425" y="-28196"/>
            <a:ext cx="914401" cy="254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00B050"/>
                </a:solidFill>
              </a:rPr>
              <a:t>-93%/yr</a:t>
            </a:r>
          </a:p>
        </cdr:txBody>
      </cdr:sp>
    </cdr:grpSp>
  </cdr:relSizeAnchor>
</c:userShapes>
</file>

<file path=xl/drawings/drawing4.xml><?xml version="1.0" encoding="utf-8"?>
<c:userShapes xmlns:c="http://schemas.openxmlformats.org/drawingml/2006/chart">
  <cdr:relSizeAnchor xmlns:cdr="http://schemas.openxmlformats.org/drawingml/2006/chartDrawing">
    <cdr:from>
      <cdr:x>0.32385</cdr:x>
      <cdr:y>0.29137</cdr:y>
    </cdr:from>
    <cdr:to>
      <cdr:x>0.73571</cdr:x>
      <cdr:y>0.40339</cdr:y>
    </cdr:to>
    <cdr:grpSp>
      <cdr:nvGrpSpPr>
        <cdr:cNvPr id="20" name="Group 19">
          <a:extLst xmlns:a="http://schemas.openxmlformats.org/drawingml/2006/main">
            <a:ext uri="{FF2B5EF4-FFF2-40B4-BE49-F238E27FC236}">
              <a16:creationId xmlns:a16="http://schemas.microsoft.com/office/drawing/2014/main" id="{614A7334-E74A-DC84-49EB-B37B0A928399}"/>
            </a:ext>
          </a:extLst>
        </cdr:cNvPr>
        <cdr:cNvGrpSpPr/>
      </cdr:nvGrpSpPr>
      <cdr:grpSpPr>
        <a:xfrm xmlns:a="http://schemas.openxmlformats.org/drawingml/2006/main" rot="21022489">
          <a:off x="1632204" y="1066199"/>
          <a:ext cx="2075774" cy="409911"/>
          <a:chOff x="84085" y="-28962"/>
          <a:chExt cx="1700797" cy="450292"/>
        </a:xfrm>
      </cdr:grpSpPr>
      <cdr:sp macro="" textlink="">
        <cdr:nvSpPr>
          <cdr:cNvPr id="21" name="Down Arrow 1">
            <a:extLst xmlns:a="http://schemas.openxmlformats.org/drawingml/2006/main">
              <a:ext uri="{FF2B5EF4-FFF2-40B4-BE49-F238E27FC236}">
                <a16:creationId xmlns:a16="http://schemas.microsoft.com/office/drawing/2014/main" id="{FA7441E7-57BB-C3F1-452B-0C8CF6B0CF01}"/>
              </a:ext>
            </a:extLst>
          </cdr:cNvPr>
          <cdr:cNvSpPr/>
        </cdr:nvSpPr>
        <cdr:spPr>
          <a:xfrm xmlns:a="http://schemas.openxmlformats.org/drawingml/2006/main" rot="16200000">
            <a:off x="709338" y="-654215"/>
            <a:ext cx="450292" cy="1700797"/>
          </a:xfrm>
          <a:prstGeom xmlns:a="http://schemas.openxmlformats.org/drawingml/2006/main" prst="downArrow">
            <a:avLst/>
          </a:prstGeom>
          <a:solidFill xmlns:a="http://schemas.openxmlformats.org/drawingml/2006/main">
            <a:srgbClr val="00B0F0">
              <a:alpha val="10000"/>
            </a:srgbClr>
          </a:solidFill>
          <a:ln xmlns:a="http://schemas.openxmlformats.org/drawingml/2006/main">
            <a:solidFill>
              <a:srgbClr val="00B0F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22" name="TextBox 3">
            <a:extLst xmlns:a="http://schemas.openxmlformats.org/drawingml/2006/main">
              <a:ext uri="{FF2B5EF4-FFF2-40B4-BE49-F238E27FC236}">
                <a16:creationId xmlns:a16="http://schemas.microsoft.com/office/drawing/2014/main" id="{458EDE2D-CC85-08DC-41A0-84C036FDA891}"/>
              </a:ext>
            </a:extLst>
          </cdr:cNvPr>
          <cdr:cNvSpPr txBox="1"/>
        </cdr:nvSpPr>
        <cdr:spPr>
          <a:xfrm xmlns:a="http://schemas.openxmlformats.org/drawingml/2006/main">
            <a:off x="545919" y="53858"/>
            <a:ext cx="914394" cy="276447"/>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00B0F0"/>
                </a:solidFill>
              </a:rPr>
              <a:t>+9.4%/yr</a:t>
            </a:r>
          </a:p>
        </cdr:txBody>
      </cdr:sp>
    </cdr:grpSp>
  </cdr:relSizeAnchor>
</c:userShapes>
</file>

<file path=xl/drawings/drawing5.xml><?xml version="1.0" encoding="utf-8"?>
<c:userShapes xmlns:c="http://schemas.openxmlformats.org/drawingml/2006/chart">
  <cdr:relSizeAnchor xmlns:cdr="http://schemas.openxmlformats.org/drawingml/2006/chartDrawing">
    <cdr:from>
      <cdr:x>0.10583</cdr:x>
      <cdr:y>0</cdr:y>
    </cdr:from>
    <cdr:to>
      <cdr:x>0.96384</cdr:x>
      <cdr:y>0.09986</cdr:y>
    </cdr:to>
    <cdr:sp macro="" textlink="">
      <cdr:nvSpPr>
        <cdr:cNvPr id="22" name="TextBox 1">
          <a:extLst xmlns:a="http://schemas.openxmlformats.org/drawingml/2006/main">
            <a:ext uri="{FF2B5EF4-FFF2-40B4-BE49-F238E27FC236}">
              <a16:creationId xmlns:a16="http://schemas.microsoft.com/office/drawing/2014/main" id="{AE46687D-6619-4C21-62D7-61718F844C5D}"/>
            </a:ext>
          </a:extLst>
        </cdr:cNvPr>
        <cdr:cNvSpPr txBox="1"/>
      </cdr:nvSpPr>
      <cdr:spPr>
        <a:xfrm xmlns:a="http://schemas.openxmlformats.org/drawingml/2006/main">
          <a:off x="533400" y="0"/>
          <a:ext cx="4324350" cy="37719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marL="0" marR="0" lvl="0" indent="0" defTabSz="914400" rtl="0" eaLnBrk="1" fontAlgn="auto" latinLnBrk="0" hangingPunct="1">
            <a:lnSpc>
              <a:spcPct val="100000"/>
            </a:lnSpc>
            <a:spcBef>
              <a:spcPts val="0"/>
            </a:spcBef>
            <a:spcAft>
              <a:spcPts val="0"/>
            </a:spcAft>
            <a:buClrTx/>
            <a:buSzTx/>
            <a:buFontTx/>
            <a:buNone/>
            <a:tabLst/>
            <a:defRPr/>
          </a:pPr>
          <a:r>
            <a:rPr lang="en-SG" sz="1600" b="1" i="0" baseline="0">
              <a:effectLst/>
              <a:latin typeface="+mn-lt"/>
              <a:ea typeface="+mn-ea"/>
              <a:cs typeface="+mn-cs"/>
            </a:rPr>
            <a:t>strong PUF post-stability enhancement BER vs year</a:t>
          </a:r>
          <a:endParaRPr lang="en-SG" sz="1600">
            <a:effectLst/>
          </a:endParaRPr>
        </a:p>
      </cdr:txBody>
    </cdr:sp>
  </cdr:relSizeAnchor>
</c:userShapes>
</file>

<file path=xl/drawings/drawing6.xml><?xml version="1.0" encoding="utf-8"?>
<c:userShapes xmlns:c="http://schemas.openxmlformats.org/drawingml/2006/chart">
  <cdr:relSizeAnchor xmlns:cdr="http://schemas.openxmlformats.org/drawingml/2006/chartDrawing">
    <cdr:from>
      <cdr:x>0.15573</cdr:x>
      <cdr:y>0.38012</cdr:y>
    </cdr:from>
    <cdr:to>
      <cdr:x>0.94645</cdr:x>
      <cdr:y>0.80427</cdr:y>
    </cdr:to>
    <cdr:sp macro="" textlink="">
      <cdr:nvSpPr>
        <cdr:cNvPr id="2" name="Rectangle 1"/>
        <cdr:cNvSpPr/>
      </cdr:nvSpPr>
      <cdr:spPr>
        <a:xfrm xmlns:a="http://schemas.openxmlformats.org/drawingml/2006/main">
          <a:off x="790134" y="1412682"/>
          <a:ext cx="4011907" cy="1576316"/>
        </a:xfrm>
        <a:prstGeom xmlns:a="http://schemas.openxmlformats.org/drawingml/2006/main" prst="rect">
          <a:avLst/>
        </a:prstGeom>
        <a:gradFill xmlns:a="http://schemas.openxmlformats.org/drawingml/2006/main">
          <a:gsLst>
            <a:gs pos="0">
              <a:schemeClr val="bg1">
                <a:lumMod val="85000"/>
                <a:alpha val="20000"/>
              </a:schemeClr>
            </a:gs>
            <a:gs pos="100000">
              <a:schemeClr val="bg1">
                <a:lumMod val="65000"/>
                <a:alpha val="20000"/>
              </a:schemeClr>
            </a:gs>
          </a:gsLst>
          <a:lin ang="5400000" scaled="0"/>
        </a:gra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endParaRPr lang="en-US" sz="1600" b="1">
            <a:solidFill>
              <a:sysClr val="windowText" lastClr="000000"/>
            </a:solidFill>
          </a:endParaRPr>
        </a:p>
      </cdr:txBody>
    </cdr:sp>
  </cdr:relSizeAnchor>
  <cdr:relSizeAnchor xmlns:cdr="http://schemas.openxmlformats.org/drawingml/2006/chartDrawing">
    <cdr:from>
      <cdr:x>0.24765</cdr:x>
      <cdr:y>0.44667</cdr:y>
    </cdr:from>
    <cdr:to>
      <cdr:x>0.42152</cdr:x>
      <cdr:y>0.53197</cdr:y>
    </cdr:to>
    <cdr:sp macro="" textlink="">
      <cdr:nvSpPr>
        <cdr:cNvPr id="7" name="TextBox 6"/>
        <cdr:cNvSpPr txBox="1"/>
      </cdr:nvSpPr>
      <cdr:spPr>
        <a:xfrm xmlns:a="http://schemas.openxmlformats.org/drawingml/2006/main">
          <a:off x="1251898" y="1679878"/>
          <a:ext cx="878939" cy="320804"/>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US" sz="1600" b="1">
              <a:solidFill>
                <a:schemeClr val="bg1">
                  <a:lumMod val="50000"/>
                </a:schemeClr>
              </a:solidFill>
              <a:effectLst/>
              <a:latin typeface="+mn-lt"/>
              <a:ea typeface="+mn-ea"/>
              <a:cs typeface="+mn-cs"/>
            </a:rPr>
            <a:t>ECC-less</a:t>
          </a:r>
          <a:endParaRPr lang="en-SG" sz="1600">
            <a:solidFill>
              <a:schemeClr val="bg1">
                <a:lumMod val="50000"/>
              </a:schemeClr>
            </a:solidFill>
          </a:endParaRPr>
        </a:p>
      </cdr:txBody>
    </cdr:sp>
  </cdr:relSizeAnchor>
  <cdr:relSizeAnchor xmlns:cdr="http://schemas.openxmlformats.org/drawingml/2006/chartDrawing">
    <cdr:from>
      <cdr:x>0.16735</cdr:x>
      <cdr:y>0.22459</cdr:y>
    </cdr:from>
    <cdr:to>
      <cdr:x>0.82798</cdr:x>
      <cdr:y>0.34587</cdr:y>
    </cdr:to>
    <cdr:grpSp>
      <cdr:nvGrpSpPr>
        <cdr:cNvPr id="8" name="Group 7">
          <a:extLst xmlns:a="http://schemas.openxmlformats.org/drawingml/2006/main">
            <a:ext uri="{FF2B5EF4-FFF2-40B4-BE49-F238E27FC236}">
              <a16:creationId xmlns:a16="http://schemas.microsoft.com/office/drawing/2014/main" id="{6C674E5B-0AE1-5E71-8BB9-D6121B23F69B}"/>
            </a:ext>
          </a:extLst>
        </cdr:cNvPr>
        <cdr:cNvGrpSpPr/>
      </cdr:nvGrpSpPr>
      <cdr:grpSpPr>
        <a:xfrm xmlns:a="http://schemas.openxmlformats.org/drawingml/2006/main" rot="19749166">
          <a:off x="845072" y="844328"/>
          <a:ext cx="3336004" cy="455942"/>
          <a:chOff x="-466742" y="-632538"/>
          <a:chExt cx="3329580" cy="453341"/>
        </a:xfrm>
      </cdr:grpSpPr>
      <cdr:sp macro="" textlink="">
        <cdr:nvSpPr>
          <cdr:cNvPr id="9" name="Down Arrow 3">
            <a:extLst xmlns:a="http://schemas.openxmlformats.org/drawingml/2006/main">
              <a:ext uri="{FF2B5EF4-FFF2-40B4-BE49-F238E27FC236}">
                <a16:creationId xmlns:a16="http://schemas.microsoft.com/office/drawing/2014/main" id="{09C3A4AD-18EC-4847-6484-A7131BDEA3CF}"/>
              </a:ext>
            </a:extLst>
          </cdr:cNvPr>
          <cdr:cNvSpPr/>
        </cdr:nvSpPr>
        <cdr:spPr>
          <a:xfrm xmlns:a="http://schemas.openxmlformats.org/drawingml/2006/main" rot="16505486">
            <a:off x="1000261" y="-2041774"/>
            <a:ext cx="414256" cy="3310898"/>
          </a:xfrm>
          <a:prstGeom xmlns:a="http://schemas.openxmlformats.org/drawingml/2006/main" prst="downArrow">
            <a:avLst/>
          </a:prstGeom>
          <a:solidFill xmlns:a="http://schemas.openxmlformats.org/drawingml/2006/main">
            <a:srgbClr val="003399">
              <a:alpha val="10000"/>
            </a:srgbClr>
          </a:solidFill>
          <a:ln xmlns:a="http://schemas.openxmlformats.org/drawingml/2006/main">
            <a:solidFill>
              <a:srgbClr val="003399">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10" name="TextBox 1">
            <a:extLst xmlns:a="http://schemas.openxmlformats.org/drawingml/2006/main">
              <a:ext uri="{FF2B5EF4-FFF2-40B4-BE49-F238E27FC236}">
                <a16:creationId xmlns:a16="http://schemas.microsoft.com/office/drawing/2014/main" id="{B4760A9C-68E6-6028-4365-0D37279454B7}"/>
              </a:ext>
            </a:extLst>
          </cdr:cNvPr>
          <cdr:cNvSpPr txBox="1"/>
        </cdr:nvSpPr>
        <cdr:spPr>
          <a:xfrm xmlns:a="http://schemas.openxmlformats.org/drawingml/2006/main" rot="212035">
            <a:off x="-466742" y="-632538"/>
            <a:ext cx="914400" cy="254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003399"/>
                </a:solidFill>
              </a:rPr>
              <a:t>+35.6%/yr</a:t>
            </a:r>
          </a:p>
        </cdr:txBody>
      </cdr:sp>
    </cdr:grpSp>
  </cdr:relSizeAnchor>
  <cdr:relSizeAnchor xmlns:cdr="http://schemas.openxmlformats.org/drawingml/2006/chartDrawing">
    <cdr:from>
      <cdr:x>0.48881</cdr:x>
      <cdr:y>0.01816</cdr:y>
    </cdr:from>
    <cdr:to>
      <cdr:x>0.60794</cdr:x>
      <cdr:y>0.59927</cdr:y>
    </cdr:to>
    <cdr:grpSp>
      <cdr:nvGrpSpPr>
        <cdr:cNvPr id="11" name="Group 10">
          <a:extLst xmlns:a="http://schemas.openxmlformats.org/drawingml/2006/main">
            <a:ext uri="{FF2B5EF4-FFF2-40B4-BE49-F238E27FC236}">
              <a16:creationId xmlns:a16="http://schemas.microsoft.com/office/drawing/2014/main" id="{BCF0C88C-C587-0190-0721-E8F5262B5890}"/>
            </a:ext>
          </a:extLst>
        </cdr:cNvPr>
        <cdr:cNvGrpSpPr/>
      </cdr:nvGrpSpPr>
      <cdr:grpSpPr>
        <a:xfrm xmlns:a="http://schemas.openxmlformats.org/drawingml/2006/main" rot="16952685">
          <a:off x="1676828" y="859802"/>
          <a:ext cx="2184636" cy="601574"/>
          <a:chOff x="-206311" y="-289667"/>
          <a:chExt cx="2257751" cy="592174"/>
        </a:xfrm>
      </cdr:grpSpPr>
      <cdr:sp macro="" textlink="">
        <cdr:nvSpPr>
          <cdr:cNvPr id="12" name="Down Arrow 2">
            <a:extLst xmlns:a="http://schemas.openxmlformats.org/drawingml/2006/main">
              <a:ext uri="{FF2B5EF4-FFF2-40B4-BE49-F238E27FC236}">
                <a16:creationId xmlns:a16="http://schemas.microsoft.com/office/drawing/2014/main" id="{5B44BBF3-FF87-EC16-0CB4-C9C7E9EEC99F}"/>
              </a:ext>
            </a:extLst>
          </cdr:cNvPr>
          <cdr:cNvSpPr/>
        </cdr:nvSpPr>
        <cdr:spPr>
          <a:xfrm xmlns:a="http://schemas.openxmlformats.org/drawingml/2006/main" rot="18088367">
            <a:off x="716556" y="-1032378"/>
            <a:ext cx="413730" cy="2256039"/>
          </a:xfrm>
          <a:prstGeom xmlns:a="http://schemas.openxmlformats.org/drawingml/2006/main" prst="downArrow">
            <a:avLst/>
          </a:prstGeom>
          <a:solidFill xmlns:a="http://schemas.openxmlformats.org/drawingml/2006/main">
            <a:srgbClr val="FFC000">
              <a:alpha val="10000"/>
            </a:srgbClr>
          </a:solidFill>
          <a:ln xmlns:a="http://schemas.openxmlformats.org/drawingml/2006/main">
            <a:solidFill>
              <a:srgbClr val="FFC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13" name="TextBox 1">
            <a:extLst xmlns:a="http://schemas.openxmlformats.org/drawingml/2006/main">
              <a:ext uri="{FF2B5EF4-FFF2-40B4-BE49-F238E27FC236}">
                <a16:creationId xmlns:a16="http://schemas.microsoft.com/office/drawing/2014/main" id="{55831C5E-F685-65A5-6F00-D572C17794ED}"/>
              </a:ext>
            </a:extLst>
          </cdr:cNvPr>
          <cdr:cNvSpPr txBox="1"/>
        </cdr:nvSpPr>
        <cdr:spPr>
          <a:xfrm xmlns:a="http://schemas.openxmlformats.org/drawingml/2006/main" rot="1774688">
            <a:off x="-206311" y="-289667"/>
            <a:ext cx="1445707" cy="25400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FFC000"/>
                </a:solidFill>
              </a:rPr>
              <a:t>+151%/yr</a:t>
            </a:r>
          </a:p>
        </cdr:txBody>
      </cdr:sp>
    </cdr:grpSp>
  </cdr:relSizeAnchor>
  <cdr:relSizeAnchor xmlns:cdr="http://schemas.openxmlformats.org/drawingml/2006/chartDrawing">
    <cdr:from>
      <cdr:x>0.2802</cdr:x>
      <cdr:y>0.08562</cdr:y>
    </cdr:from>
    <cdr:to>
      <cdr:x>0.95714</cdr:x>
      <cdr:y>0.26502</cdr:y>
    </cdr:to>
    <cdr:grpSp>
      <cdr:nvGrpSpPr>
        <cdr:cNvPr id="14" name="Group 13">
          <a:extLst xmlns:a="http://schemas.openxmlformats.org/drawingml/2006/main">
            <a:ext uri="{FF2B5EF4-FFF2-40B4-BE49-F238E27FC236}">
              <a16:creationId xmlns:a16="http://schemas.microsoft.com/office/drawing/2014/main" id="{AB482034-89A2-D2EE-65A6-784F3B24D89B}"/>
            </a:ext>
          </a:extLst>
        </cdr:cNvPr>
        <cdr:cNvGrpSpPr/>
      </cdr:nvGrpSpPr>
      <cdr:grpSpPr>
        <a:xfrm xmlns:a="http://schemas.openxmlformats.org/drawingml/2006/main">
          <a:off x="1414935" y="321881"/>
          <a:ext cx="3418365" cy="674440"/>
          <a:chOff x="-599140" y="-660862"/>
          <a:chExt cx="3411751" cy="670594"/>
        </a:xfrm>
      </cdr:grpSpPr>
      <cdr:sp macro="" textlink="">
        <cdr:nvSpPr>
          <cdr:cNvPr id="15" name="Down Arrow 4">
            <a:extLst xmlns:a="http://schemas.openxmlformats.org/drawingml/2006/main">
              <a:ext uri="{FF2B5EF4-FFF2-40B4-BE49-F238E27FC236}">
                <a16:creationId xmlns:a16="http://schemas.microsoft.com/office/drawing/2014/main" id="{95397180-474A-A5AE-C336-45C870A56F9D}"/>
              </a:ext>
            </a:extLst>
          </cdr:cNvPr>
          <cdr:cNvSpPr/>
        </cdr:nvSpPr>
        <cdr:spPr>
          <a:xfrm xmlns:a="http://schemas.openxmlformats.org/drawingml/2006/main" rot="17085665">
            <a:off x="917320" y="-1885558"/>
            <a:ext cx="414255" cy="3376326"/>
          </a:xfrm>
          <a:prstGeom xmlns:a="http://schemas.openxmlformats.org/drawingml/2006/main" prst="downArrow">
            <a:avLst/>
          </a:prstGeom>
          <a:solidFill xmlns:a="http://schemas.openxmlformats.org/drawingml/2006/main">
            <a:srgbClr val="FF0000">
              <a:alpha val="10000"/>
            </a:srgbClr>
          </a:solidFill>
          <a:ln xmlns:a="http://schemas.openxmlformats.org/drawingml/2006/main">
            <a:solidFill>
              <a:srgbClr val="FF0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16" name="TextBox 1">
            <a:extLst xmlns:a="http://schemas.openxmlformats.org/drawingml/2006/main">
              <a:ext uri="{FF2B5EF4-FFF2-40B4-BE49-F238E27FC236}">
                <a16:creationId xmlns:a16="http://schemas.microsoft.com/office/drawing/2014/main" id="{E264FF9F-4E16-CD10-918E-DFF2E71D14EF}"/>
              </a:ext>
            </a:extLst>
          </cdr:cNvPr>
          <cdr:cNvSpPr txBox="1"/>
        </cdr:nvSpPr>
        <cdr:spPr>
          <a:xfrm xmlns:a="http://schemas.openxmlformats.org/drawingml/2006/main" rot="834374">
            <a:off x="-599140" y="-660862"/>
            <a:ext cx="914400" cy="254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FF0000"/>
                </a:solidFill>
              </a:rPr>
              <a:t>-28.2%/yr</a:t>
            </a:r>
          </a:p>
        </cdr:txBody>
      </cdr:sp>
    </cdr:grpSp>
  </cdr:relSizeAnchor>
  <cdr:relSizeAnchor xmlns:cdr="http://schemas.openxmlformats.org/drawingml/2006/chartDrawing">
    <cdr:from>
      <cdr:x>0.22751</cdr:x>
      <cdr:y>0.16538</cdr:y>
    </cdr:from>
    <cdr:to>
      <cdr:x>0.93176</cdr:x>
      <cdr:y>0.2788</cdr:y>
    </cdr:to>
    <cdr:grpSp>
      <cdr:nvGrpSpPr>
        <cdr:cNvPr id="17" name="Group 16">
          <a:extLst xmlns:a="http://schemas.openxmlformats.org/drawingml/2006/main">
            <a:ext uri="{FF2B5EF4-FFF2-40B4-BE49-F238E27FC236}">
              <a16:creationId xmlns:a16="http://schemas.microsoft.com/office/drawing/2014/main" id="{D3474AE2-435D-B353-F4FF-43A1378A70EF}"/>
            </a:ext>
          </a:extLst>
        </cdr:cNvPr>
        <cdr:cNvGrpSpPr/>
      </cdr:nvGrpSpPr>
      <cdr:grpSpPr>
        <a:xfrm xmlns:a="http://schemas.openxmlformats.org/drawingml/2006/main" rot="20689376">
          <a:off x="1148864" y="621733"/>
          <a:ext cx="3556273" cy="426393"/>
          <a:chOff x="-549397" y="-37043"/>
          <a:chExt cx="3549439" cy="423961"/>
        </a:xfrm>
      </cdr:grpSpPr>
      <cdr:sp macro="" textlink="">
        <cdr:nvSpPr>
          <cdr:cNvPr id="18" name="Down Arrow 5">
            <a:extLst xmlns:a="http://schemas.openxmlformats.org/drawingml/2006/main">
              <a:ext uri="{FF2B5EF4-FFF2-40B4-BE49-F238E27FC236}">
                <a16:creationId xmlns:a16="http://schemas.microsoft.com/office/drawing/2014/main" id="{B93304DA-F9D9-92A2-B6D2-E94C6DE65DD1}"/>
              </a:ext>
            </a:extLst>
          </cdr:cNvPr>
          <cdr:cNvSpPr/>
        </cdr:nvSpPr>
        <cdr:spPr>
          <a:xfrm xmlns:a="http://schemas.openxmlformats.org/drawingml/2006/main" rot="16408144">
            <a:off x="1048382" y="-1564742"/>
            <a:ext cx="412791" cy="3490529"/>
          </a:xfrm>
          <a:prstGeom xmlns:a="http://schemas.openxmlformats.org/drawingml/2006/main" prst="downArrow">
            <a:avLst/>
          </a:prstGeom>
          <a:solidFill xmlns:a="http://schemas.openxmlformats.org/drawingml/2006/main">
            <a:srgbClr val="00B050">
              <a:alpha val="10000"/>
            </a:srgbClr>
          </a:solidFill>
          <a:ln xmlns:a="http://schemas.openxmlformats.org/drawingml/2006/main">
            <a:solidFill>
              <a:srgbClr val="00B05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19" name="TextBox 1">
            <a:extLst xmlns:a="http://schemas.openxmlformats.org/drawingml/2006/main">
              <a:ext uri="{FF2B5EF4-FFF2-40B4-BE49-F238E27FC236}">
                <a16:creationId xmlns:a16="http://schemas.microsoft.com/office/drawing/2014/main" id="{9AFE87D1-3BDA-02D5-5C7F-F447C1E0ECA5}"/>
              </a:ext>
            </a:extLst>
          </cdr:cNvPr>
          <cdr:cNvSpPr txBox="1"/>
        </cdr:nvSpPr>
        <cdr:spPr>
          <a:xfrm xmlns:a="http://schemas.openxmlformats.org/drawingml/2006/main" rot="212035">
            <a:off x="-549397" y="-37043"/>
            <a:ext cx="914400" cy="254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00B050"/>
                </a:solidFill>
              </a:rPr>
              <a:t>+10.1%/yr</a:t>
            </a:r>
          </a:p>
        </cdr:txBody>
      </cdr:sp>
    </cdr:grpSp>
  </cdr:relSizeAnchor>
</c:userShapes>
</file>

<file path=xl/drawings/drawing7.xml><?xml version="1.0" encoding="utf-8"?>
<c:userShapes xmlns:c="http://schemas.openxmlformats.org/drawingml/2006/chart">
  <cdr:relSizeAnchor xmlns:cdr="http://schemas.openxmlformats.org/drawingml/2006/chartDrawing">
    <cdr:from>
      <cdr:x>0.15781</cdr:x>
      <cdr:y>0.34256</cdr:y>
    </cdr:from>
    <cdr:to>
      <cdr:x>0.90823</cdr:x>
      <cdr:y>0.48357</cdr:y>
    </cdr:to>
    <cdr:grpSp>
      <cdr:nvGrpSpPr>
        <cdr:cNvPr id="10" name="Group 9">
          <a:extLst xmlns:a="http://schemas.openxmlformats.org/drawingml/2006/main">
            <a:ext uri="{FF2B5EF4-FFF2-40B4-BE49-F238E27FC236}">
              <a16:creationId xmlns:a16="http://schemas.microsoft.com/office/drawing/2014/main" id="{EE3E8550-CEB4-E83C-77DC-E9CB9E60E194}"/>
            </a:ext>
          </a:extLst>
        </cdr:cNvPr>
        <cdr:cNvGrpSpPr/>
      </cdr:nvGrpSpPr>
      <cdr:grpSpPr>
        <a:xfrm xmlns:a="http://schemas.openxmlformats.org/drawingml/2006/main" rot="226601">
          <a:off x="797197" y="1288795"/>
          <a:ext cx="3790840" cy="530514"/>
          <a:chOff x="806450" y="1373446"/>
          <a:chExt cx="3782120" cy="529295"/>
        </a:xfrm>
      </cdr:grpSpPr>
      <cdr:sp macro="" textlink="">
        <cdr:nvSpPr>
          <cdr:cNvPr id="4" name="Down Arrow 3">
            <a:extLst xmlns:a="http://schemas.openxmlformats.org/drawingml/2006/main">
              <a:ext uri="{FF2B5EF4-FFF2-40B4-BE49-F238E27FC236}">
                <a16:creationId xmlns:a16="http://schemas.microsoft.com/office/drawing/2014/main" id="{00000000-0008-0000-0500-000004000000}"/>
              </a:ext>
            </a:extLst>
          </cdr:cNvPr>
          <cdr:cNvSpPr/>
        </cdr:nvSpPr>
        <cdr:spPr>
          <a:xfrm xmlns:a="http://schemas.openxmlformats.org/drawingml/2006/main" rot="16583207">
            <a:off x="2498649" y="-187180"/>
            <a:ext cx="414256" cy="3765586"/>
          </a:xfrm>
          <a:prstGeom xmlns:a="http://schemas.openxmlformats.org/drawingml/2006/main" prst="downArrow">
            <a:avLst/>
          </a:prstGeom>
          <a:solidFill xmlns:a="http://schemas.openxmlformats.org/drawingml/2006/main">
            <a:srgbClr val="003399">
              <a:alpha val="10000"/>
            </a:srgbClr>
          </a:solidFill>
          <a:ln xmlns:a="http://schemas.openxmlformats.org/drawingml/2006/main">
            <a:solidFill>
              <a:srgbClr val="003399">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9" name="TextBox 1">
            <a:extLst xmlns:a="http://schemas.openxmlformats.org/drawingml/2006/main">
              <a:ext uri="{FF2B5EF4-FFF2-40B4-BE49-F238E27FC236}">
                <a16:creationId xmlns:a16="http://schemas.microsoft.com/office/drawing/2014/main" id="{CFFB21E5-5000-3A8F-1F4F-D0228431BFA9}"/>
              </a:ext>
            </a:extLst>
          </cdr:cNvPr>
          <cdr:cNvSpPr txBox="1"/>
        </cdr:nvSpPr>
        <cdr:spPr>
          <a:xfrm xmlns:a="http://schemas.openxmlformats.org/drawingml/2006/main" rot="212035">
            <a:off x="806450" y="1373446"/>
            <a:ext cx="914400" cy="254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003399"/>
                </a:solidFill>
              </a:rPr>
              <a:t>-10.9%/yr</a:t>
            </a:r>
          </a:p>
        </cdr:txBody>
      </cdr:sp>
    </cdr:grpSp>
  </cdr:relSizeAnchor>
  <cdr:relSizeAnchor xmlns:cdr="http://schemas.openxmlformats.org/drawingml/2006/chartDrawing">
    <cdr:from>
      <cdr:x>0.48667</cdr:x>
      <cdr:y>0.24868</cdr:y>
    </cdr:from>
    <cdr:to>
      <cdr:x>0.90402</cdr:x>
      <cdr:y>0.43254</cdr:y>
    </cdr:to>
    <cdr:grpSp>
      <cdr:nvGrpSpPr>
        <cdr:cNvPr id="14" name="Group 13">
          <a:extLst xmlns:a="http://schemas.openxmlformats.org/drawingml/2006/main">
            <a:ext uri="{FF2B5EF4-FFF2-40B4-BE49-F238E27FC236}">
              <a16:creationId xmlns:a16="http://schemas.microsoft.com/office/drawing/2014/main" id="{B25650F2-225B-D652-2CF4-8EF025B4AA0F}"/>
            </a:ext>
          </a:extLst>
        </cdr:cNvPr>
        <cdr:cNvGrpSpPr/>
      </cdr:nvGrpSpPr>
      <cdr:grpSpPr>
        <a:xfrm xmlns:a="http://schemas.openxmlformats.org/drawingml/2006/main" rot="19772560">
          <a:off x="2458474" y="935595"/>
          <a:ext cx="2108296" cy="691726"/>
          <a:chOff x="2452832" y="933450"/>
          <a:chExt cx="2103417" cy="690153"/>
        </a:xfrm>
      </cdr:grpSpPr>
      <cdr:sp macro="" textlink="">
        <cdr:nvSpPr>
          <cdr:cNvPr id="3" name="Down Arrow 2">
            <a:extLst xmlns:a="http://schemas.openxmlformats.org/drawingml/2006/main">
              <a:ext uri="{FF2B5EF4-FFF2-40B4-BE49-F238E27FC236}">
                <a16:creationId xmlns:a16="http://schemas.microsoft.com/office/drawing/2014/main" id="{00000000-0008-0000-0500-000004000000}"/>
              </a:ext>
            </a:extLst>
          </cdr:cNvPr>
          <cdr:cNvSpPr/>
        </cdr:nvSpPr>
        <cdr:spPr>
          <a:xfrm xmlns:a="http://schemas.openxmlformats.org/drawingml/2006/main" rot="18088367">
            <a:off x="3297676" y="365029"/>
            <a:ext cx="413730" cy="2103417"/>
          </a:xfrm>
          <a:prstGeom xmlns:a="http://schemas.openxmlformats.org/drawingml/2006/main" prst="downArrow">
            <a:avLst/>
          </a:prstGeom>
          <a:solidFill xmlns:a="http://schemas.openxmlformats.org/drawingml/2006/main">
            <a:srgbClr val="FFC000">
              <a:alpha val="10000"/>
            </a:srgbClr>
          </a:solidFill>
          <a:ln xmlns:a="http://schemas.openxmlformats.org/drawingml/2006/main">
            <a:solidFill>
              <a:srgbClr val="FFC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13" name="TextBox 1">
            <a:extLst xmlns:a="http://schemas.openxmlformats.org/drawingml/2006/main">
              <a:ext uri="{FF2B5EF4-FFF2-40B4-BE49-F238E27FC236}">
                <a16:creationId xmlns:a16="http://schemas.microsoft.com/office/drawing/2014/main" id="{AF8D2A94-BB88-701B-7454-F43856BB4820}"/>
              </a:ext>
            </a:extLst>
          </cdr:cNvPr>
          <cdr:cNvSpPr txBox="1"/>
        </cdr:nvSpPr>
        <cdr:spPr>
          <a:xfrm xmlns:a="http://schemas.openxmlformats.org/drawingml/2006/main" rot="1774688">
            <a:off x="2495551" y="933450"/>
            <a:ext cx="914400" cy="254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FFC000"/>
                </a:solidFill>
              </a:rPr>
              <a:t>-3.3%/yr</a:t>
            </a:r>
          </a:p>
        </cdr:txBody>
      </cdr:sp>
    </cdr:grpSp>
  </cdr:relSizeAnchor>
  <cdr:relSizeAnchor xmlns:cdr="http://schemas.openxmlformats.org/drawingml/2006/chartDrawing">
    <cdr:from>
      <cdr:x>0.15026</cdr:x>
      <cdr:y>0.28737</cdr:y>
    </cdr:from>
    <cdr:to>
      <cdr:x>0.93553</cdr:x>
      <cdr:y>0.50125</cdr:y>
    </cdr:to>
    <cdr:grpSp>
      <cdr:nvGrpSpPr>
        <cdr:cNvPr id="16" name="Group 15">
          <a:extLst xmlns:a="http://schemas.openxmlformats.org/drawingml/2006/main">
            <a:ext uri="{FF2B5EF4-FFF2-40B4-BE49-F238E27FC236}">
              <a16:creationId xmlns:a16="http://schemas.microsoft.com/office/drawing/2014/main" id="{7DDF44E8-525F-8159-F839-553BE70F7ECE}"/>
            </a:ext>
          </a:extLst>
        </cdr:cNvPr>
        <cdr:cNvGrpSpPr/>
      </cdr:nvGrpSpPr>
      <cdr:grpSpPr>
        <a:xfrm xmlns:a="http://schemas.openxmlformats.org/drawingml/2006/main" rot="20732115">
          <a:off x="759057" y="1081156"/>
          <a:ext cx="3966890" cy="804669"/>
          <a:chOff x="704737" y="782709"/>
          <a:chExt cx="3957763" cy="802795"/>
        </a:xfrm>
      </cdr:grpSpPr>
      <cdr:sp macro="" textlink="">
        <cdr:nvSpPr>
          <cdr:cNvPr id="5" name="Down Arrow 4">
            <a:extLst xmlns:a="http://schemas.openxmlformats.org/drawingml/2006/main">
              <a:ext uri="{FF2B5EF4-FFF2-40B4-BE49-F238E27FC236}">
                <a16:creationId xmlns:a16="http://schemas.microsoft.com/office/drawing/2014/main" id="{00000000-0008-0000-0500-000004000000}"/>
              </a:ext>
            </a:extLst>
          </cdr:cNvPr>
          <cdr:cNvSpPr/>
        </cdr:nvSpPr>
        <cdr:spPr>
          <a:xfrm xmlns:a="http://schemas.openxmlformats.org/drawingml/2006/main" rot="17268854">
            <a:off x="2476491" y="-600505"/>
            <a:ext cx="414255" cy="3957763"/>
          </a:xfrm>
          <a:prstGeom xmlns:a="http://schemas.openxmlformats.org/drawingml/2006/main" prst="downArrow">
            <a:avLst/>
          </a:prstGeom>
          <a:solidFill xmlns:a="http://schemas.openxmlformats.org/drawingml/2006/main">
            <a:srgbClr val="FF0000">
              <a:alpha val="10000"/>
            </a:srgbClr>
          </a:solidFill>
          <a:ln xmlns:a="http://schemas.openxmlformats.org/drawingml/2006/main">
            <a:solidFill>
              <a:srgbClr val="FF0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15" name="TextBox 1">
            <a:extLst xmlns:a="http://schemas.openxmlformats.org/drawingml/2006/main">
              <a:ext uri="{FF2B5EF4-FFF2-40B4-BE49-F238E27FC236}">
                <a16:creationId xmlns:a16="http://schemas.microsoft.com/office/drawing/2014/main" id="{AF8D2A94-BB88-701B-7454-F43856BB4820}"/>
              </a:ext>
            </a:extLst>
          </cdr:cNvPr>
          <cdr:cNvSpPr txBox="1"/>
        </cdr:nvSpPr>
        <cdr:spPr>
          <a:xfrm xmlns:a="http://schemas.openxmlformats.org/drawingml/2006/main" rot="1131535">
            <a:off x="738781" y="782709"/>
            <a:ext cx="914400" cy="254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FF0000"/>
                </a:solidFill>
              </a:rPr>
              <a:t>-4.9%/yr</a:t>
            </a:r>
          </a:p>
        </cdr:txBody>
      </cdr:sp>
    </cdr:grpSp>
  </cdr:relSizeAnchor>
  <cdr:relSizeAnchor xmlns:cdr="http://schemas.openxmlformats.org/drawingml/2006/chartDrawing">
    <cdr:from>
      <cdr:x>0.38078</cdr:x>
      <cdr:y>0.27722</cdr:y>
    </cdr:from>
    <cdr:to>
      <cdr:x>0.93117</cdr:x>
      <cdr:y>0.38744</cdr:y>
    </cdr:to>
    <cdr:sp macro="" textlink="">
      <cdr:nvSpPr>
        <cdr:cNvPr id="2" name="Down Arrow 1">
          <a:extLst xmlns:a="http://schemas.openxmlformats.org/drawingml/2006/main">
            <a:ext uri="{FF2B5EF4-FFF2-40B4-BE49-F238E27FC236}">
              <a16:creationId xmlns:a16="http://schemas.microsoft.com/office/drawing/2014/main" id="{00000000-0008-0000-0500-000004000000}"/>
            </a:ext>
          </a:extLst>
        </cdr:cNvPr>
        <cdr:cNvSpPr/>
      </cdr:nvSpPr>
      <cdr:spPr>
        <a:xfrm xmlns:a="http://schemas.openxmlformats.org/drawingml/2006/main" rot="16586824">
          <a:off x="3088284" y="-124446"/>
          <a:ext cx="417460" cy="2766321"/>
        </a:xfrm>
        <a:prstGeom xmlns:a="http://schemas.openxmlformats.org/drawingml/2006/main" prst="downArrow">
          <a:avLst/>
        </a:prstGeom>
        <a:solidFill xmlns:a="http://schemas.openxmlformats.org/drawingml/2006/main">
          <a:srgbClr val="00B0F0">
            <a:alpha val="10000"/>
          </a:srgbClr>
        </a:solidFill>
        <a:ln xmlns:a="http://schemas.openxmlformats.org/drawingml/2006/main">
          <a:solidFill>
            <a:srgbClr val="00B0F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relSizeAnchor>
  <cdr:relSizeAnchor xmlns:cdr="http://schemas.openxmlformats.org/drawingml/2006/chartDrawing">
    <cdr:from>
      <cdr:x>0.37545</cdr:x>
      <cdr:y>0.26558</cdr:y>
    </cdr:from>
    <cdr:to>
      <cdr:x>0.52369</cdr:x>
      <cdr:y>0.33325</cdr:y>
    </cdr:to>
    <cdr:sp macro="" textlink="">
      <cdr:nvSpPr>
        <cdr:cNvPr id="7" name="TextBox 6">
          <a:extLst xmlns:a="http://schemas.openxmlformats.org/drawingml/2006/main">
            <a:ext uri="{FF2B5EF4-FFF2-40B4-BE49-F238E27FC236}">
              <a16:creationId xmlns:a16="http://schemas.microsoft.com/office/drawing/2014/main" id="{AB2015E6-6183-7460-7B10-948CFD171743}"/>
            </a:ext>
          </a:extLst>
        </cdr:cNvPr>
        <cdr:cNvSpPr txBox="1"/>
      </cdr:nvSpPr>
      <cdr:spPr>
        <a:xfrm xmlns:a="http://schemas.openxmlformats.org/drawingml/2006/main" rot="386824">
          <a:off x="1887087" y="1005892"/>
          <a:ext cx="745067" cy="256291"/>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SG" sz="1100" b="1">
              <a:solidFill>
                <a:srgbClr val="00B0F0"/>
              </a:solidFill>
            </a:rPr>
            <a:t>-5.6%/yr</a:t>
          </a:r>
        </a:p>
      </cdr:txBody>
    </cdr:sp>
  </cdr:relSizeAnchor>
  <cdr:relSizeAnchor xmlns:cdr="http://schemas.openxmlformats.org/drawingml/2006/chartDrawing">
    <cdr:from>
      <cdr:x>0.26322</cdr:x>
      <cdr:y>0.47993</cdr:y>
    </cdr:from>
    <cdr:to>
      <cdr:x>0.914</cdr:x>
      <cdr:y>0.58892</cdr:y>
    </cdr:to>
    <cdr:sp macro="" textlink="">
      <cdr:nvSpPr>
        <cdr:cNvPr id="18" name="Down Arrow 5">
          <a:extLst xmlns:a="http://schemas.openxmlformats.org/drawingml/2006/main">
            <a:ext uri="{FF2B5EF4-FFF2-40B4-BE49-F238E27FC236}">
              <a16:creationId xmlns:a16="http://schemas.microsoft.com/office/drawing/2014/main" id="{D47AE9CA-3D36-4D58-A5B6-34869A23826A}"/>
            </a:ext>
          </a:extLst>
        </cdr:cNvPr>
        <cdr:cNvSpPr/>
      </cdr:nvSpPr>
      <cdr:spPr>
        <a:xfrm xmlns:a="http://schemas.openxmlformats.org/drawingml/2006/main" rot="16587499">
          <a:off x="2752033" y="388685"/>
          <a:ext cx="412791" cy="3270936"/>
        </a:xfrm>
        <a:prstGeom xmlns:a="http://schemas.openxmlformats.org/drawingml/2006/main" prst="downArrow">
          <a:avLst/>
        </a:prstGeom>
        <a:solidFill xmlns:a="http://schemas.openxmlformats.org/drawingml/2006/main">
          <a:srgbClr val="00B050">
            <a:alpha val="10000"/>
          </a:srgbClr>
        </a:solidFill>
        <a:ln xmlns:a="http://schemas.openxmlformats.org/drawingml/2006/main">
          <a:solidFill>
            <a:srgbClr val="00B05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relSizeAnchor>
  <cdr:relSizeAnchor xmlns:cdr="http://schemas.openxmlformats.org/drawingml/2006/chartDrawing">
    <cdr:from>
      <cdr:x>0.25729</cdr:x>
      <cdr:y>0.46406</cdr:y>
    </cdr:from>
    <cdr:to>
      <cdr:x>0.43922</cdr:x>
      <cdr:y>0.53112</cdr:y>
    </cdr:to>
    <cdr:sp macro="" textlink="">
      <cdr:nvSpPr>
        <cdr:cNvPr id="19" name="TextBox 1">
          <a:extLst xmlns:a="http://schemas.openxmlformats.org/drawingml/2006/main">
            <a:ext uri="{FF2B5EF4-FFF2-40B4-BE49-F238E27FC236}">
              <a16:creationId xmlns:a16="http://schemas.microsoft.com/office/drawing/2014/main" id="{ADB6C5B5-65EA-42C7-858E-20B311D1C30A}"/>
            </a:ext>
          </a:extLst>
        </cdr:cNvPr>
        <cdr:cNvSpPr txBox="1"/>
      </cdr:nvSpPr>
      <cdr:spPr>
        <a:xfrm xmlns:a="http://schemas.openxmlformats.org/drawingml/2006/main" rot="391390">
          <a:off x="1293191" y="1757632"/>
          <a:ext cx="914400" cy="254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00B050"/>
              </a:solidFill>
            </a:rPr>
            <a:t>-7.5%/yr</a:t>
          </a:r>
        </a:p>
      </cdr:txBody>
    </cdr:sp>
  </cdr:relSizeAnchor>
</c:userShapes>
</file>

<file path=xl/drawings/drawing8.xml><?xml version="1.0" encoding="utf-8"?>
<c:userShapes xmlns:c="http://schemas.openxmlformats.org/drawingml/2006/chart">
  <cdr:relSizeAnchor xmlns:cdr="http://schemas.openxmlformats.org/drawingml/2006/chartDrawing">
    <cdr:from>
      <cdr:x>0.71871</cdr:x>
      <cdr:y>0.03078</cdr:y>
    </cdr:from>
    <cdr:to>
      <cdr:x>0.80651</cdr:x>
      <cdr:y>0.59293</cdr:y>
    </cdr:to>
    <cdr:grpSp>
      <cdr:nvGrpSpPr>
        <cdr:cNvPr id="10" name="Group 9">
          <a:extLst xmlns:a="http://schemas.openxmlformats.org/drawingml/2006/main">
            <a:ext uri="{FF2B5EF4-FFF2-40B4-BE49-F238E27FC236}">
              <a16:creationId xmlns:a16="http://schemas.microsoft.com/office/drawing/2014/main" id="{74F757ED-E86E-8F43-3A8B-A7FB0774240E}"/>
            </a:ext>
          </a:extLst>
        </cdr:cNvPr>
        <cdr:cNvGrpSpPr/>
      </cdr:nvGrpSpPr>
      <cdr:grpSpPr>
        <a:xfrm xmlns:a="http://schemas.openxmlformats.org/drawingml/2006/main" rot="3299412">
          <a:off x="2874618" y="858018"/>
          <a:ext cx="1945931" cy="442964"/>
          <a:chOff x="-7236" y="-32189"/>
          <a:chExt cx="2312028" cy="442520"/>
        </a:xfrm>
      </cdr:grpSpPr>
      <cdr:sp macro="" textlink="">
        <cdr:nvSpPr>
          <cdr:cNvPr id="11" name="Down Arrow 3">
            <a:extLst xmlns:a="http://schemas.openxmlformats.org/drawingml/2006/main">
              <a:ext uri="{FF2B5EF4-FFF2-40B4-BE49-F238E27FC236}">
                <a16:creationId xmlns:a16="http://schemas.microsoft.com/office/drawing/2014/main" id="{CBB69E90-4A50-1709-579A-82CD768EE113}"/>
              </a:ext>
            </a:extLst>
          </cdr:cNvPr>
          <cdr:cNvSpPr/>
        </cdr:nvSpPr>
        <cdr:spPr>
          <a:xfrm xmlns:a="http://schemas.openxmlformats.org/drawingml/2006/main" rot="16505486">
            <a:off x="950293" y="-944168"/>
            <a:ext cx="414256" cy="2294742"/>
          </a:xfrm>
          <a:prstGeom xmlns:a="http://schemas.openxmlformats.org/drawingml/2006/main" prst="downArrow">
            <a:avLst/>
          </a:prstGeom>
          <a:solidFill xmlns:a="http://schemas.openxmlformats.org/drawingml/2006/main">
            <a:srgbClr val="003399">
              <a:alpha val="10000"/>
            </a:srgbClr>
          </a:solidFill>
          <a:ln xmlns:a="http://schemas.openxmlformats.org/drawingml/2006/main">
            <a:solidFill>
              <a:srgbClr val="003399">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12" name="TextBox 1">
            <a:extLst xmlns:a="http://schemas.openxmlformats.org/drawingml/2006/main">
              <a:ext uri="{FF2B5EF4-FFF2-40B4-BE49-F238E27FC236}">
                <a16:creationId xmlns:a16="http://schemas.microsoft.com/office/drawing/2014/main" id="{350A77D9-A4D3-F97F-ACC7-F468DFF7B4DB}"/>
              </a:ext>
            </a:extLst>
          </cdr:cNvPr>
          <cdr:cNvSpPr txBox="1"/>
        </cdr:nvSpPr>
        <cdr:spPr>
          <a:xfrm xmlns:a="http://schemas.openxmlformats.org/drawingml/2006/main" rot="212035">
            <a:off x="-7236" y="-32189"/>
            <a:ext cx="914400" cy="254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003399"/>
                </a:solidFill>
              </a:rPr>
              <a:t>-74%/yr</a:t>
            </a:r>
          </a:p>
        </cdr:txBody>
      </cdr:sp>
    </cdr:grpSp>
  </cdr:relSizeAnchor>
  <cdr:relSizeAnchor xmlns:cdr="http://schemas.openxmlformats.org/drawingml/2006/chartDrawing">
    <cdr:from>
      <cdr:x>0.36021</cdr:x>
      <cdr:y>0.28948</cdr:y>
    </cdr:from>
    <cdr:to>
      <cdr:x>0.92935</cdr:x>
      <cdr:y>0.39877</cdr:y>
    </cdr:to>
    <cdr:grpSp>
      <cdr:nvGrpSpPr>
        <cdr:cNvPr id="13" name="Group 12">
          <a:extLst xmlns:a="http://schemas.openxmlformats.org/drawingml/2006/main">
            <a:ext uri="{FF2B5EF4-FFF2-40B4-BE49-F238E27FC236}">
              <a16:creationId xmlns:a16="http://schemas.microsoft.com/office/drawing/2014/main" id="{8C3BAE98-483F-94C2-BB2B-5B03E8B04613}"/>
            </a:ext>
          </a:extLst>
        </cdr:cNvPr>
        <cdr:cNvGrpSpPr/>
      </cdr:nvGrpSpPr>
      <cdr:grpSpPr>
        <a:xfrm xmlns:a="http://schemas.openxmlformats.org/drawingml/2006/main" rot="1667632">
          <a:off x="1817359" y="1002055"/>
          <a:ext cx="2871467" cy="378314"/>
          <a:chOff x="117149" y="-6383"/>
          <a:chExt cx="2868466" cy="412791"/>
        </a:xfrm>
      </cdr:grpSpPr>
      <cdr:sp macro="" textlink="">
        <cdr:nvSpPr>
          <cdr:cNvPr id="14" name="Down Arrow 5">
            <a:extLst xmlns:a="http://schemas.openxmlformats.org/drawingml/2006/main">
              <a:ext uri="{FF2B5EF4-FFF2-40B4-BE49-F238E27FC236}">
                <a16:creationId xmlns:a16="http://schemas.microsoft.com/office/drawing/2014/main" id="{48A866DE-656A-F525-6A64-390A405764E6}"/>
              </a:ext>
            </a:extLst>
          </cdr:cNvPr>
          <cdr:cNvSpPr/>
        </cdr:nvSpPr>
        <cdr:spPr>
          <a:xfrm xmlns:a="http://schemas.openxmlformats.org/drawingml/2006/main" rot="16408144">
            <a:off x="1371076" y="-1208130"/>
            <a:ext cx="412791" cy="2816286"/>
          </a:xfrm>
          <a:prstGeom xmlns:a="http://schemas.openxmlformats.org/drawingml/2006/main" prst="downArrow">
            <a:avLst/>
          </a:prstGeom>
          <a:solidFill xmlns:a="http://schemas.openxmlformats.org/drawingml/2006/main">
            <a:srgbClr val="00B050">
              <a:alpha val="10000"/>
            </a:srgbClr>
          </a:solidFill>
          <a:ln xmlns:a="http://schemas.openxmlformats.org/drawingml/2006/main">
            <a:solidFill>
              <a:srgbClr val="00B05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15" name="TextBox 1">
            <a:extLst xmlns:a="http://schemas.openxmlformats.org/drawingml/2006/main">
              <a:ext uri="{FF2B5EF4-FFF2-40B4-BE49-F238E27FC236}">
                <a16:creationId xmlns:a16="http://schemas.microsoft.com/office/drawing/2014/main" id="{A9319A98-0586-9BAD-DC36-F1C8E9034A74}"/>
              </a:ext>
            </a:extLst>
          </cdr:cNvPr>
          <cdr:cNvSpPr txBox="1"/>
        </cdr:nvSpPr>
        <cdr:spPr>
          <a:xfrm xmlns:a="http://schemas.openxmlformats.org/drawingml/2006/main" rot="212035">
            <a:off x="117149" y="4629"/>
            <a:ext cx="914400" cy="254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00B050"/>
                </a:solidFill>
              </a:rPr>
              <a:t>-47%/yr</a:t>
            </a:r>
          </a:p>
        </cdr:txBody>
      </cdr:sp>
    </cdr:grpSp>
  </cdr:relSizeAnchor>
  <cdr:relSizeAnchor xmlns:cdr="http://schemas.openxmlformats.org/drawingml/2006/chartDrawing">
    <cdr:from>
      <cdr:x>0.78497</cdr:x>
      <cdr:y>0.08437</cdr:y>
    </cdr:from>
    <cdr:to>
      <cdr:x>0.84414</cdr:x>
      <cdr:y>0.51944</cdr:y>
    </cdr:to>
    <cdr:grpSp>
      <cdr:nvGrpSpPr>
        <cdr:cNvPr id="19" name="Group 18">
          <a:extLst xmlns:a="http://schemas.openxmlformats.org/drawingml/2006/main">
            <a:ext uri="{FF2B5EF4-FFF2-40B4-BE49-F238E27FC236}">
              <a16:creationId xmlns:a16="http://schemas.microsoft.com/office/drawing/2014/main" id="{3BA5EC12-16A7-EAB5-8FEA-1F4CFB694746}"/>
            </a:ext>
          </a:extLst>
        </cdr:cNvPr>
        <cdr:cNvGrpSpPr/>
      </cdr:nvGrpSpPr>
      <cdr:grpSpPr>
        <a:xfrm xmlns:a="http://schemas.openxmlformats.org/drawingml/2006/main" rot="3075537">
          <a:off x="3356641" y="895801"/>
          <a:ext cx="1506025" cy="298528"/>
          <a:chOff x="-471252" y="341837"/>
          <a:chExt cx="2126751" cy="455480"/>
        </a:xfrm>
      </cdr:grpSpPr>
      <cdr:sp macro="" textlink="">
        <cdr:nvSpPr>
          <cdr:cNvPr id="20" name="Down Arrow 3">
            <a:extLst xmlns:a="http://schemas.openxmlformats.org/drawingml/2006/main">
              <a:ext uri="{FF2B5EF4-FFF2-40B4-BE49-F238E27FC236}">
                <a16:creationId xmlns:a16="http://schemas.microsoft.com/office/drawing/2014/main" id="{1E648F2C-591C-37B7-C11E-108A1B140A9F}"/>
              </a:ext>
            </a:extLst>
          </cdr:cNvPr>
          <cdr:cNvSpPr/>
        </cdr:nvSpPr>
        <cdr:spPr>
          <a:xfrm xmlns:a="http://schemas.openxmlformats.org/drawingml/2006/main" rot="16505486">
            <a:off x="384996" y="-473187"/>
            <a:ext cx="414256" cy="2126751"/>
          </a:xfrm>
          <a:prstGeom xmlns:a="http://schemas.openxmlformats.org/drawingml/2006/main" prst="downArrow">
            <a:avLst/>
          </a:prstGeom>
          <a:solidFill xmlns:a="http://schemas.openxmlformats.org/drawingml/2006/main">
            <a:srgbClr val="7030A0">
              <a:alpha val="10000"/>
            </a:srgbClr>
          </a:solidFill>
          <a:ln xmlns:a="http://schemas.openxmlformats.org/drawingml/2006/main">
            <a:solidFill>
              <a:srgbClr val="7030A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21" name="TextBox 1">
            <a:extLst xmlns:a="http://schemas.openxmlformats.org/drawingml/2006/main">
              <a:ext uri="{FF2B5EF4-FFF2-40B4-BE49-F238E27FC236}">
                <a16:creationId xmlns:a16="http://schemas.microsoft.com/office/drawing/2014/main" id="{86E42059-9C25-35A8-A5EE-FBABF20DB677}"/>
              </a:ext>
            </a:extLst>
          </cdr:cNvPr>
          <cdr:cNvSpPr txBox="1"/>
        </cdr:nvSpPr>
        <cdr:spPr>
          <a:xfrm xmlns:a="http://schemas.openxmlformats.org/drawingml/2006/main" rot="212035">
            <a:off x="-301361" y="341837"/>
            <a:ext cx="995630" cy="254001"/>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7030A0"/>
                </a:solidFill>
              </a:rPr>
              <a:t>-64.7%/yr</a:t>
            </a:r>
          </a:p>
        </cdr:txBody>
      </cdr:sp>
    </cdr:grpSp>
  </cdr:relSizeAnchor>
  <cdr:relSizeAnchor xmlns:cdr="http://schemas.openxmlformats.org/drawingml/2006/chartDrawing">
    <cdr:from>
      <cdr:x>0.11566</cdr:x>
      <cdr:y>0</cdr:y>
    </cdr:from>
    <cdr:to>
      <cdr:x>0.97367</cdr:x>
      <cdr:y>0.09986</cdr:y>
    </cdr:to>
    <cdr:sp macro="" textlink="">
      <cdr:nvSpPr>
        <cdr:cNvPr id="7" name="TextBox 6">
          <a:extLst xmlns:a="http://schemas.openxmlformats.org/drawingml/2006/main">
            <a:ext uri="{FF2B5EF4-FFF2-40B4-BE49-F238E27FC236}">
              <a16:creationId xmlns:a16="http://schemas.microsoft.com/office/drawing/2014/main" id="{2DF0CF63-1AA9-E25B-40B0-FE9BDAE56426}"/>
            </a:ext>
          </a:extLst>
        </cdr:cNvPr>
        <cdr:cNvSpPr txBox="1"/>
      </cdr:nvSpPr>
      <cdr:spPr>
        <a:xfrm xmlns:a="http://schemas.openxmlformats.org/drawingml/2006/main">
          <a:off x="582930" y="0"/>
          <a:ext cx="4324350" cy="37719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marL="0" marR="0" lvl="0" indent="0" defTabSz="914400" rtl="0" eaLnBrk="1" fontAlgn="auto" latinLnBrk="0" hangingPunct="1">
            <a:lnSpc>
              <a:spcPct val="100000"/>
            </a:lnSpc>
            <a:spcBef>
              <a:spcPts val="0"/>
            </a:spcBef>
            <a:spcAft>
              <a:spcPts val="0"/>
            </a:spcAft>
            <a:buClrTx/>
            <a:buSzTx/>
            <a:buFontTx/>
            <a:buNone/>
            <a:tabLst/>
            <a:defRPr/>
          </a:pPr>
          <a:r>
            <a:rPr lang="en-SG" sz="1600" b="1" i="0" baseline="0">
              <a:effectLst/>
              <a:latin typeface="+mn-lt"/>
              <a:ea typeface="+mn-ea"/>
              <a:cs typeface="+mn-cs"/>
            </a:rPr>
            <a:t>weak PUF post-stability enhancement BER vs year</a:t>
          </a:r>
          <a:endParaRPr lang="en-SG" sz="1600">
            <a:effectLst/>
          </a:endParaRPr>
        </a:p>
      </cdr:txBody>
    </cdr:sp>
  </cdr:relSizeAnchor>
  <cdr:relSizeAnchor xmlns:cdr="http://schemas.openxmlformats.org/drawingml/2006/chartDrawing">
    <cdr:from>
      <cdr:x>0.50479</cdr:x>
      <cdr:y>0.08429</cdr:y>
    </cdr:from>
    <cdr:to>
      <cdr:x>0.88269</cdr:x>
      <cdr:y>0.19496</cdr:y>
    </cdr:to>
    <cdr:grpSp>
      <cdr:nvGrpSpPr>
        <cdr:cNvPr id="3" name="Group 2">
          <a:extLst xmlns:a="http://schemas.openxmlformats.org/drawingml/2006/main">
            <a:ext uri="{FF2B5EF4-FFF2-40B4-BE49-F238E27FC236}">
              <a16:creationId xmlns:a16="http://schemas.microsoft.com/office/drawing/2014/main" id="{20D45C07-DC50-C9E9-A955-5550EE39397E}"/>
            </a:ext>
          </a:extLst>
        </cdr:cNvPr>
        <cdr:cNvGrpSpPr/>
      </cdr:nvGrpSpPr>
      <cdr:grpSpPr>
        <a:xfrm xmlns:a="http://schemas.openxmlformats.org/drawingml/2006/main">
          <a:off x="2546804" y="291776"/>
          <a:ext cx="1906610" cy="383091"/>
          <a:chOff x="2717428" y="889400"/>
          <a:chExt cx="1897933" cy="413730"/>
        </a:xfrm>
      </cdr:grpSpPr>
      <cdr:sp macro="" textlink="">
        <cdr:nvSpPr>
          <cdr:cNvPr id="17" name="Down Arrow 2">
            <a:extLst xmlns:a="http://schemas.openxmlformats.org/drawingml/2006/main">
              <a:ext uri="{FF2B5EF4-FFF2-40B4-BE49-F238E27FC236}">
                <a16:creationId xmlns:a16="http://schemas.microsoft.com/office/drawing/2014/main" id="{4CAF6A2B-B1A1-B77A-DB44-15BD7E51F0A2}"/>
              </a:ext>
            </a:extLst>
          </cdr:cNvPr>
          <cdr:cNvSpPr/>
        </cdr:nvSpPr>
        <cdr:spPr>
          <a:xfrm xmlns:a="http://schemas.openxmlformats.org/drawingml/2006/main" rot="15741940">
            <a:off x="3403420" y="243641"/>
            <a:ext cx="413730" cy="1705247"/>
          </a:xfrm>
          <a:prstGeom xmlns:a="http://schemas.openxmlformats.org/drawingml/2006/main" prst="downArrow">
            <a:avLst/>
          </a:prstGeom>
          <a:solidFill xmlns:a="http://schemas.openxmlformats.org/drawingml/2006/main">
            <a:srgbClr val="FFC000">
              <a:alpha val="10000"/>
            </a:srgbClr>
          </a:solidFill>
          <a:ln xmlns:a="http://schemas.openxmlformats.org/drawingml/2006/main">
            <a:solidFill>
              <a:srgbClr val="FFC000">
                <a:alpha val="50000"/>
              </a:srgbClr>
            </a:solid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rtlCol="0" anchor="ctr"/>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endParaRPr lang="en-SG" sz="1100"/>
          </a:p>
        </cdr:txBody>
      </cdr:sp>
      <cdr:sp macro="" textlink="">
        <cdr:nvSpPr>
          <cdr:cNvPr id="18" name="TextBox 1">
            <a:extLst xmlns:a="http://schemas.openxmlformats.org/drawingml/2006/main">
              <a:ext uri="{FF2B5EF4-FFF2-40B4-BE49-F238E27FC236}">
                <a16:creationId xmlns:a16="http://schemas.microsoft.com/office/drawing/2014/main" id="{036AEA05-2D6D-F76D-CF54-3E0CFD2A627A}"/>
              </a:ext>
            </a:extLst>
          </cdr:cNvPr>
          <cdr:cNvSpPr txBox="1"/>
        </cdr:nvSpPr>
        <cdr:spPr>
          <a:xfrm xmlns:a="http://schemas.openxmlformats.org/drawingml/2006/main" rot="21028261">
            <a:off x="2717428" y="916559"/>
            <a:ext cx="1897933" cy="254000"/>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SG" sz="1100" b="1">
                <a:solidFill>
                  <a:srgbClr val="FFC000"/>
                </a:solidFill>
              </a:rPr>
              <a:t>+15%/yr</a:t>
            </a:r>
          </a:p>
        </cdr:txBody>
      </cdr:sp>
    </cdr:grpSp>
  </cdr:relSizeAnchor>
  <cdr:relSizeAnchor xmlns:cdr="http://schemas.openxmlformats.org/drawingml/2006/chartDrawing">
    <cdr:from>
      <cdr:x>0.15729</cdr:x>
      <cdr:y>0.34635</cdr:y>
    </cdr:from>
    <cdr:to>
      <cdr:x>0.94801</cdr:x>
      <cdr:y>0.80392</cdr:y>
    </cdr:to>
    <cdr:sp macro="" textlink="">
      <cdr:nvSpPr>
        <cdr:cNvPr id="16" name="Rectangle 15">
          <a:extLst xmlns:a="http://schemas.openxmlformats.org/drawingml/2006/main">
            <a:ext uri="{FF2B5EF4-FFF2-40B4-BE49-F238E27FC236}">
              <a16:creationId xmlns:a16="http://schemas.microsoft.com/office/drawing/2014/main" id="{4D3D46EE-FB99-4707-B43D-568A61FB0D53}"/>
            </a:ext>
          </a:extLst>
        </cdr:cNvPr>
        <cdr:cNvSpPr/>
      </cdr:nvSpPr>
      <cdr:spPr>
        <a:xfrm xmlns:a="http://schemas.openxmlformats.org/drawingml/2006/main">
          <a:off x="790212" y="1298449"/>
          <a:ext cx="3972513" cy="1715408"/>
        </a:xfrm>
        <a:prstGeom xmlns:a="http://schemas.openxmlformats.org/drawingml/2006/main" prst="rect">
          <a:avLst/>
        </a:prstGeom>
        <a:gradFill xmlns:a="http://schemas.openxmlformats.org/drawingml/2006/main">
          <a:gsLst>
            <a:gs pos="0">
              <a:schemeClr val="bg1">
                <a:lumMod val="85000"/>
                <a:alpha val="20000"/>
              </a:schemeClr>
            </a:gs>
            <a:gs pos="100000">
              <a:schemeClr val="bg1">
                <a:lumMod val="65000"/>
                <a:alpha val="20000"/>
              </a:schemeClr>
            </a:gs>
          </a:gsLst>
          <a:lin ang="5400000" scaled="0"/>
        </a:gra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endParaRPr lang="en-US" sz="1600" b="1">
            <a:solidFill>
              <a:sysClr val="windowText" lastClr="000000"/>
            </a:solidFill>
          </a:endParaRPr>
        </a:p>
      </cdr:txBody>
    </cdr:sp>
  </cdr:relSizeAnchor>
  <cdr:relSizeAnchor xmlns:cdr="http://schemas.openxmlformats.org/drawingml/2006/chartDrawing">
    <cdr:from>
      <cdr:x>0.16501</cdr:x>
      <cdr:y>0.40747</cdr:y>
    </cdr:from>
    <cdr:to>
      <cdr:x>0.33888</cdr:x>
      <cdr:y>0.49364</cdr:y>
    </cdr:to>
    <cdr:sp macro="" textlink="">
      <cdr:nvSpPr>
        <cdr:cNvPr id="22" name="TextBox 2">
          <a:extLst xmlns:a="http://schemas.openxmlformats.org/drawingml/2006/main">
            <a:ext uri="{FF2B5EF4-FFF2-40B4-BE49-F238E27FC236}">
              <a16:creationId xmlns:a16="http://schemas.microsoft.com/office/drawing/2014/main" id="{BDDC401F-9E98-49D2-8921-8F6C288D95D5}"/>
            </a:ext>
          </a:extLst>
        </cdr:cNvPr>
        <cdr:cNvSpPr txBox="1"/>
      </cdr:nvSpPr>
      <cdr:spPr>
        <a:xfrm xmlns:a="http://schemas.openxmlformats.org/drawingml/2006/main">
          <a:off x="830074" y="1530690"/>
          <a:ext cx="874662" cy="323713"/>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600" b="1">
              <a:solidFill>
                <a:schemeClr val="bg1">
                  <a:lumMod val="50000"/>
                </a:schemeClr>
              </a:solidFill>
              <a:effectLst/>
              <a:latin typeface="+mn-lt"/>
              <a:ea typeface="+mn-ea"/>
              <a:cs typeface="+mn-cs"/>
            </a:rPr>
            <a:t>ECC-less</a:t>
          </a:r>
          <a:endParaRPr lang="en-SG" sz="1600">
            <a:solidFill>
              <a:schemeClr val="bg1">
                <a:lumMod val="50000"/>
              </a:schemeClr>
            </a:solidFill>
          </a:endParaRPr>
        </a:p>
      </cdr:txBody>
    </cdr:sp>
  </cdr:relSizeAnchor>
</c:userShapes>
</file>

<file path=xl/drawings/drawing9.xml><?xml version="1.0" encoding="utf-8"?>
<xdr:wsDr xmlns:xdr="http://schemas.openxmlformats.org/drawingml/2006/spreadsheetDrawing" xmlns:a="http://schemas.openxmlformats.org/drawingml/2006/main">
  <xdr:twoCellAnchor>
    <xdr:from>
      <xdr:col>1</xdr:col>
      <xdr:colOff>97971</xdr:colOff>
      <xdr:row>6</xdr:row>
      <xdr:rowOff>6083</xdr:rowOff>
    </xdr:from>
    <xdr:to>
      <xdr:col>9</xdr:col>
      <xdr:colOff>261171</xdr:colOff>
      <xdr:row>24</xdr:row>
      <xdr:rowOff>114320</xdr:rowOff>
    </xdr:to>
    <xdr:graphicFrame macro="">
      <xdr:nvGraphicFramePr>
        <xdr:cNvPr id="16" name="Chart 15">
          <a:extLst>
            <a:ext uri="{FF2B5EF4-FFF2-40B4-BE49-F238E27FC236}">
              <a16:creationId xmlns:a16="http://schemas.microsoft.com/office/drawing/2014/main" id="{00000000-0008-0000-05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97971</xdr:colOff>
      <xdr:row>30</xdr:row>
      <xdr:rowOff>1621972</xdr:rowOff>
    </xdr:from>
    <xdr:to>
      <xdr:col>9</xdr:col>
      <xdr:colOff>261171</xdr:colOff>
      <xdr:row>49</xdr:row>
      <xdr:rowOff>114320</xdr:rowOff>
    </xdr:to>
    <xdr:graphicFrame macro="">
      <xdr:nvGraphicFramePr>
        <xdr:cNvPr id="18" name="Chart 17">
          <a:extLst>
            <a:ext uri="{FF2B5EF4-FFF2-40B4-BE49-F238E27FC236}">
              <a16:creationId xmlns:a16="http://schemas.microsoft.com/office/drawing/2014/main" id="{00000000-0008-0000-05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97971</xdr:colOff>
      <xdr:row>52</xdr:row>
      <xdr:rowOff>1621972</xdr:rowOff>
    </xdr:from>
    <xdr:to>
      <xdr:col>9</xdr:col>
      <xdr:colOff>261171</xdr:colOff>
      <xdr:row>71</xdr:row>
      <xdr:rowOff>114320</xdr:rowOff>
    </xdr:to>
    <xdr:graphicFrame macro="">
      <xdr:nvGraphicFramePr>
        <xdr:cNvPr id="19" name="Chart 18">
          <a:extLst>
            <a:ext uri="{FF2B5EF4-FFF2-40B4-BE49-F238E27FC236}">
              <a16:creationId xmlns:a16="http://schemas.microsoft.com/office/drawing/2014/main" id="{00000000-0008-0000-0500-00001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32</xdr:col>
      <xdr:colOff>34363</xdr:colOff>
      <xdr:row>30</xdr:row>
      <xdr:rowOff>106829</xdr:rowOff>
    </xdr:from>
    <xdr:to>
      <xdr:col>40</xdr:col>
      <xdr:colOff>197563</xdr:colOff>
      <xdr:row>49</xdr:row>
      <xdr:rowOff>39357</xdr:rowOff>
    </xdr:to>
    <xdr:graphicFrame macro="">
      <xdr:nvGraphicFramePr>
        <xdr:cNvPr id="22" name="Chart 21">
          <a:extLst>
            <a:ext uri="{FF2B5EF4-FFF2-40B4-BE49-F238E27FC236}">
              <a16:creationId xmlns:a16="http://schemas.microsoft.com/office/drawing/2014/main" id="{00000000-0008-0000-0500-00001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63</xdr:col>
      <xdr:colOff>0</xdr:colOff>
      <xdr:row>7</xdr:row>
      <xdr:rowOff>0</xdr:rowOff>
    </xdr:from>
    <xdr:to>
      <xdr:col>70</xdr:col>
      <xdr:colOff>514618</xdr:colOff>
      <xdr:row>25</xdr:row>
      <xdr:rowOff>108237</xdr:rowOff>
    </xdr:to>
    <xdr:graphicFrame macro="">
      <xdr:nvGraphicFramePr>
        <xdr:cNvPr id="6" name="Chart 5">
          <a:extLst>
            <a:ext uri="{FF2B5EF4-FFF2-40B4-BE49-F238E27FC236}">
              <a16:creationId xmlns:a16="http://schemas.microsoft.com/office/drawing/2014/main" id="{A23EF611-B46B-4FD3-9BD3-8E07D3C1B75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73</xdr:col>
      <xdr:colOff>537883</xdr:colOff>
      <xdr:row>6</xdr:row>
      <xdr:rowOff>149412</xdr:rowOff>
    </xdr:from>
    <xdr:to>
      <xdr:col>81</xdr:col>
      <xdr:colOff>439912</xdr:colOff>
      <xdr:row>25</xdr:row>
      <xdr:rowOff>78355</xdr:rowOff>
    </xdr:to>
    <xdr:graphicFrame macro="">
      <xdr:nvGraphicFramePr>
        <xdr:cNvPr id="7" name="Chart 6">
          <a:extLst>
            <a:ext uri="{FF2B5EF4-FFF2-40B4-BE49-F238E27FC236}">
              <a16:creationId xmlns:a16="http://schemas.microsoft.com/office/drawing/2014/main" id="{35BF4577-E6BB-49FA-AB28-590076F0A8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63</xdr:col>
      <xdr:colOff>29883</xdr:colOff>
      <xdr:row>53</xdr:row>
      <xdr:rowOff>74706</xdr:rowOff>
    </xdr:from>
    <xdr:to>
      <xdr:col>70</xdr:col>
      <xdr:colOff>544501</xdr:colOff>
      <xdr:row>71</xdr:row>
      <xdr:rowOff>48473</xdr:rowOff>
    </xdr:to>
    <xdr:graphicFrame macro="">
      <xdr:nvGraphicFramePr>
        <xdr:cNvPr id="8" name="Chart 7">
          <a:extLst>
            <a:ext uri="{FF2B5EF4-FFF2-40B4-BE49-F238E27FC236}">
              <a16:creationId xmlns:a16="http://schemas.microsoft.com/office/drawing/2014/main" id="{6D828891-58D8-4AD4-A270-6FF42917E31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74</xdr:col>
      <xdr:colOff>0</xdr:colOff>
      <xdr:row>53</xdr:row>
      <xdr:rowOff>0</xdr:rowOff>
    </xdr:from>
    <xdr:to>
      <xdr:col>81</xdr:col>
      <xdr:colOff>514617</xdr:colOff>
      <xdr:row>70</xdr:row>
      <xdr:rowOff>160531</xdr:rowOff>
    </xdr:to>
    <xdr:graphicFrame macro="">
      <xdr:nvGraphicFramePr>
        <xdr:cNvPr id="9" name="Chart 8">
          <a:extLst>
            <a:ext uri="{FF2B5EF4-FFF2-40B4-BE49-F238E27FC236}">
              <a16:creationId xmlns:a16="http://schemas.microsoft.com/office/drawing/2014/main" id="{7AE67B49-D506-4BA1-8AF5-5089BF860B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84</xdr:col>
      <xdr:colOff>0</xdr:colOff>
      <xdr:row>53</xdr:row>
      <xdr:rowOff>0</xdr:rowOff>
    </xdr:from>
    <xdr:to>
      <xdr:col>91</xdr:col>
      <xdr:colOff>514618</xdr:colOff>
      <xdr:row>70</xdr:row>
      <xdr:rowOff>160531</xdr:rowOff>
    </xdr:to>
    <xdr:graphicFrame macro="">
      <xdr:nvGraphicFramePr>
        <xdr:cNvPr id="10" name="Chart 9">
          <a:extLst>
            <a:ext uri="{FF2B5EF4-FFF2-40B4-BE49-F238E27FC236}">
              <a16:creationId xmlns:a16="http://schemas.microsoft.com/office/drawing/2014/main" id="{768B0C55-02E1-47A7-AAB7-B3DD666460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64</xdr:col>
      <xdr:colOff>407229</xdr:colOff>
      <xdr:row>11</xdr:row>
      <xdr:rowOff>178992</xdr:rowOff>
    </xdr:from>
    <xdr:to>
      <xdr:col>69</xdr:col>
      <xdr:colOff>407228</xdr:colOff>
      <xdr:row>19</xdr:row>
      <xdr:rowOff>82825</xdr:rowOff>
    </xdr:to>
    <xdr:sp macro="" textlink="">
      <xdr:nvSpPr>
        <xdr:cNvPr id="12" name="Freeform: Shape 11">
          <a:extLst>
            <a:ext uri="{FF2B5EF4-FFF2-40B4-BE49-F238E27FC236}">
              <a16:creationId xmlns:a16="http://schemas.microsoft.com/office/drawing/2014/main" id="{2AC46760-43E2-4187-9CB7-ED715C6DD5C1}"/>
            </a:ext>
          </a:extLst>
        </xdr:cNvPr>
        <xdr:cNvSpPr/>
      </xdr:nvSpPr>
      <xdr:spPr>
        <a:xfrm>
          <a:off x="35332229" y="2339697"/>
          <a:ext cx="3047147" cy="1335779"/>
        </a:xfrm>
        <a:custGeom>
          <a:avLst/>
          <a:gdLst>
            <a:gd name="connsiteX0" fmla="*/ 531467 w 3036956"/>
            <a:gd name="connsiteY0" fmla="*/ 1148325 h 1445118"/>
            <a:gd name="connsiteX1" fmla="*/ 338206 w 3036956"/>
            <a:gd name="connsiteY1" fmla="*/ 1162129 h 1445118"/>
            <a:gd name="connsiteX2" fmla="*/ 310597 w 3036956"/>
            <a:gd name="connsiteY2" fmla="*/ 1169031 h 1445118"/>
            <a:gd name="connsiteX3" fmla="*/ 165652 w 3036956"/>
            <a:gd name="connsiteY3" fmla="*/ 1141422 h 1445118"/>
            <a:gd name="connsiteX4" fmla="*/ 89728 w 3036956"/>
            <a:gd name="connsiteY4" fmla="*/ 1093107 h 1445118"/>
            <a:gd name="connsiteX5" fmla="*/ 55217 w 3036956"/>
            <a:gd name="connsiteY5" fmla="*/ 1010281 h 1445118"/>
            <a:gd name="connsiteX6" fmla="*/ 48315 w 3036956"/>
            <a:gd name="connsiteY6" fmla="*/ 989575 h 1445118"/>
            <a:gd name="connsiteX7" fmla="*/ 34510 w 3036956"/>
            <a:gd name="connsiteY7" fmla="*/ 927455 h 1445118"/>
            <a:gd name="connsiteX8" fmla="*/ 34510 w 3036956"/>
            <a:gd name="connsiteY8" fmla="*/ 575444 h 1445118"/>
            <a:gd name="connsiteX9" fmla="*/ 20706 w 3036956"/>
            <a:gd name="connsiteY9" fmla="*/ 492618 h 1445118"/>
            <a:gd name="connsiteX10" fmla="*/ 0 w 3036956"/>
            <a:gd name="connsiteY10" fmla="*/ 333868 h 1445118"/>
            <a:gd name="connsiteX11" fmla="*/ 6902 w 3036956"/>
            <a:gd name="connsiteY11" fmla="*/ 223433 h 1445118"/>
            <a:gd name="connsiteX12" fmla="*/ 13804 w 3036956"/>
            <a:gd name="connsiteY12" fmla="*/ 182020 h 1445118"/>
            <a:gd name="connsiteX13" fmla="*/ 48315 w 3036956"/>
            <a:gd name="connsiteY13" fmla="*/ 119901 h 1445118"/>
            <a:gd name="connsiteX14" fmla="*/ 110434 w 3036956"/>
            <a:gd name="connsiteY14" fmla="*/ 64683 h 1445118"/>
            <a:gd name="connsiteX15" fmla="*/ 144945 w 3036956"/>
            <a:gd name="connsiteY15" fmla="*/ 50879 h 1445118"/>
            <a:gd name="connsiteX16" fmla="*/ 186358 w 3036956"/>
            <a:gd name="connsiteY16" fmla="*/ 37075 h 1445118"/>
            <a:gd name="connsiteX17" fmla="*/ 276087 w 3036956"/>
            <a:gd name="connsiteY17" fmla="*/ 23270 h 1445118"/>
            <a:gd name="connsiteX18" fmla="*/ 338206 w 3036956"/>
            <a:gd name="connsiteY18" fmla="*/ 16368 h 1445118"/>
            <a:gd name="connsiteX19" fmla="*/ 386521 w 3036956"/>
            <a:gd name="connsiteY19" fmla="*/ 9466 h 1445118"/>
            <a:gd name="connsiteX20" fmla="*/ 531467 w 3036956"/>
            <a:gd name="connsiteY20" fmla="*/ 9466 h 1445118"/>
            <a:gd name="connsiteX21" fmla="*/ 683315 w 3036956"/>
            <a:gd name="connsiteY21" fmla="*/ 2564 h 1445118"/>
            <a:gd name="connsiteX22" fmla="*/ 800652 w 3036956"/>
            <a:gd name="connsiteY22" fmla="*/ 9466 h 1445118"/>
            <a:gd name="connsiteX23" fmla="*/ 904184 w 3036956"/>
            <a:gd name="connsiteY23" fmla="*/ 30172 h 1445118"/>
            <a:gd name="connsiteX24" fmla="*/ 966304 w 3036956"/>
            <a:gd name="connsiteY24" fmla="*/ 78488 h 1445118"/>
            <a:gd name="connsiteX25" fmla="*/ 973206 w 3036956"/>
            <a:gd name="connsiteY25" fmla="*/ 112999 h 1445118"/>
            <a:gd name="connsiteX26" fmla="*/ 980108 w 3036956"/>
            <a:gd name="connsiteY26" fmla="*/ 168216 h 1445118"/>
            <a:gd name="connsiteX27" fmla="*/ 980108 w 3036956"/>
            <a:gd name="connsiteY27" fmla="*/ 313162 h 1445118"/>
            <a:gd name="connsiteX28" fmla="*/ 1007717 w 3036956"/>
            <a:gd name="connsiteY28" fmla="*/ 354575 h 1445118"/>
            <a:gd name="connsiteX29" fmla="*/ 1125054 w 3036956"/>
            <a:gd name="connsiteY29" fmla="*/ 465009 h 1445118"/>
            <a:gd name="connsiteX30" fmla="*/ 1159565 w 3036956"/>
            <a:gd name="connsiteY30" fmla="*/ 499520 h 1445118"/>
            <a:gd name="connsiteX31" fmla="*/ 1200978 w 3036956"/>
            <a:gd name="connsiteY31" fmla="*/ 534031 h 1445118"/>
            <a:gd name="connsiteX32" fmla="*/ 1228587 w 3036956"/>
            <a:gd name="connsiteY32" fmla="*/ 561640 h 1445118"/>
            <a:gd name="connsiteX33" fmla="*/ 1249293 w 3036956"/>
            <a:gd name="connsiteY33" fmla="*/ 575444 h 1445118"/>
            <a:gd name="connsiteX34" fmla="*/ 1270000 w 3036956"/>
            <a:gd name="connsiteY34" fmla="*/ 603053 h 1445118"/>
            <a:gd name="connsiteX35" fmla="*/ 1290706 w 3036956"/>
            <a:gd name="connsiteY35" fmla="*/ 609955 h 1445118"/>
            <a:gd name="connsiteX36" fmla="*/ 1352826 w 3036956"/>
            <a:gd name="connsiteY36" fmla="*/ 644466 h 1445118"/>
            <a:gd name="connsiteX37" fmla="*/ 1414945 w 3036956"/>
            <a:gd name="connsiteY37" fmla="*/ 658270 h 1445118"/>
            <a:gd name="connsiteX38" fmla="*/ 1483967 w 3036956"/>
            <a:gd name="connsiteY38" fmla="*/ 678977 h 1445118"/>
            <a:gd name="connsiteX39" fmla="*/ 1525380 w 3036956"/>
            <a:gd name="connsiteY39" fmla="*/ 706586 h 1445118"/>
            <a:gd name="connsiteX40" fmla="*/ 1559891 w 3036956"/>
            <a:gd name="connsiteY40" fmla="*/ 720390 h 1445118"/>
            <a:gd name="connsiteX41" fmla="*/ 1608206 w 3036956"/>
            <a:gd name="connsiteY41" fmla="*/ 734194 h 1445118"/>
            <a:gd name="connsiteX42" fmla="*/ 1704837 w 3036956"/>
            <a:gd name="connsiteY42" fmla="*/ 754901 h 1445118"/>
            <a:gd name="connsiteX43" fmla="*/ 1787663 w 3036956"/>
            <a:gd name="connsiteY43" fmla="*/ 775607 h 1445118"/>
            <a:gd name="connsiteX44" fmla="*/ 1953315 w 3036956"/>
            <a:gd name="connsiteY44" fmla="*/ 734194 h 1445118"/>
            <a:gd name="connsiteX45" fmla="*/ 2008532 w 3036956"/>
            <a:gd name="connsiteY45" fmla="*/ 692781 h 1445118"/>
            <a:gd name="connsiteX46" fmla="*/ 2077554 w 3036956"/>
            <a:gd name="connsiteY46" fmla="*/ 623759 h 1445118"/>
            <a:gd name="connsiteX47" fmla="*/ 2146576 w 3036956"/>
            <a:gd name="connsiteY47" fmla="*/ 561640 h 1445118"/>
            <a:gd name="connsiteX48" fmla="*/ 2208695 w 3036956"/>
            <a:gd name="connsiteY48" fmla="*/ 534031 h 1445118"/>
            <a:gd name="connsiteX49" fmla="*/ 2298424 w 3036956"/>
            <a:gd name="connsiteY49" fmla="*/ 527129 h 1445118"/>
            <a:gd name="connsiteX50" fmla="*/ 2429565 w 3036956"/>
            <a:gd name="connsiteY50" fmla="*/ 540933 h 1445118"/>
            <a:gd name="connsiteX51" fmla="*/ 2560706 w 3036956"/>
            <a:gd name="connsiteY51" fmla="*/ 568542 h 1445118"/>
            <a:gd name="connsiteX52" fmla="*/ 2629728 w 3036956"/>
            <a:gd name="connsiteY52" fmla="*/ 589249 h 1445118"/>
            <a:gd name="connsiteX53" fmla="*/ 2650434 w 3036956"/>
            <a:gd name="connsiteY53" fmla="*/ 596151 h 1445118"/>
            <a:gd name="connsiteX54" fmla="*/ 2726358 w 3036956"/>
            <a:gd name="connsiteY54" fmla="*/ 616857 h 1445118"/>
            <a:gd name="connsiteX55" fmla="*/ 2747065 w 3036956"/>
            <a:gd name="connsiteY55" fmla="*/ 623759 h 1445118"/>
            <a:gd name="connsiteX56" fmla="*/ 2871304 w 3036956"/>
            <a:gd name="connsiteY56" fmla="*/ 672075 h 1445118"/>
            <a:gd name="connsiteX57" fmla="*/ 2892010 w 3036956"/>
            <a:gd name="connsiteY57" fmla="*/ 685879 h 1445118"/>
            <a:gd name="connsiteX58" fmla="*/ 2940326 w 3036956"/>
            <a:gd name="connsiteY58" fmla="*/ 713488 h 1445118"/>
            <a:gd name="connsiteX59" fmla="*/ 3023152 w 3036956"/>
            <a:gd name="connsiteY59" fmla="*/ 830825 h 1445118"/>
            <a:gd name="connsiteX60" fmla="*/ 3036956 w 3036956"/>
            <a:gd name="connsiteY60" fmla="*/ 872238 h 1445118"/>
            <a:gd name="connsiteX61" fmla="*/ 3030054 w 3036956"/>
            <a:gd name="connsiteY61" fmla="*/ 1079303 h 1445118"/>
            <a:gd name="connsiteX62" fmla="*/ 3023152 w 3036956"/>
            <a:gd name="connsiteY62" fmla="*/ 1141422 h 1445118"/>
            <a:gd name="connsiteX63" fmla="*/ 2961032 w 3036956"/>
            <a:gd name="connsiteY63" fmla="*/ 1293270 h 1445118"/>
            <a:gd name="connsiteX64" fmla="*/ 2926521 w 3036956"/>
            <a:gd name="connsiteY64" fmla="*/ 1362292 h 1445118"/>
            <a:gd name="connsiteX65" fmla="*/ 2919619 w 3036956"/>
            <a:gd name="connsiteY65" fmla="*/ 1382999 h 1445118"/>
            <a:gd name="connsiteX66" fmla="*/ 2767771 w 3036956"/>
            <a:gd name="connsiteY66" fmla="*/ 1445118 h 1445118"/>
            <a:gd name="connsiteX67" fmla="*/ 2705652 w 3036956"/>
            <a:gd name="connsiteY67" fmla="*/ 1424412 h 1445118"/>
            <a:gd name="connsiteX68" fmla="*/ 2643532 w 3036956"/>
            <a:gd name="connsiteY68" fmla="*/ 1403705 h 1445118"/>
            <a:gd name="connsiteX69" fmla="*/ 2429565 w 3036956"/>
            <a:gd name="connsiteY69" fmla="*/ 1348488 h 1445118"/>
            <a:gd name="connsiteX70" fmla="*/ 2367445 w 3036956"/>
            <a:gd name="connsiteY70" fmla="*/ 1313977 h 1445118"/>
            <a:gd name="connsiteX71" fmla="*/ 2284619 w 3036956"/>
            <a:gd name="connsiteY71" fmla="*/ 1286368 h 1445118"/>
            <a:gd name="connsiteX72" fmla="*/ 2208695 w 3036956"/>
            <a:gd name="connsiteY72" fmla="*/ 1258759 h 1445118"/>
            <a:gd name="connsiteX73" fmla="*/ 2187989 w 3036956"/>
            <a:gd name="connsiteY73" fmla="*/ 1244955 h 1445118"/>
            <a:gd name="connsiteX74" fmla="*/ 2105163 w 3036956"/>
            <a:gd name="connsiteY74" fmla="*/ 1182836 h 1445118"/>
            <a:gd name="connsiteX75" fmla="*/ 1946413 w 3036956"/>
            <a:gd name="connsiteY75" fmla="*/ 1120716 h 1445118"/>
            <a:gd name="connsiteX76" fmla="*/ 1801467 w 3036956"/>
            <a:gd name="connsiteY76" fmla="*/ 989575 h 1445118"/>
            <a:gd name="connsiteX77" fmla="*/ 1704837 w 3036956"/>
            <a:gd name="connsiteY77" fmla="*/ 920553 h 1445118"/>
            <a:gd name="connsiteX78" fmla="*/ 1684130 w 3036956"/>
            <a:gd name="connsiteY78" fmla="*/ 913651 h 1445118"/>
            <a:gd name="connsiteX79" fmla="*/ 1573695 w 3036956"/>
            <a:gd name="connsiteY79" fmla="*/ 886042 h 1445118"/>
            <a:gd name="connsiteX80" fmla="*/ 1546087 w 3036956"/>
            <a:gd name="connsiteY80" fmla="*/ 879140 h 1445118"/>
            <a:gd name="connsiteX81" fmla="*/ 1421847 w 3036956"/>
            <a:gd name="connsiteY81" fmla="*/ 899846 h 1445118"/>
            <a:gd name="connsiteX82" fmla="*/ 1263097 w 3036956"/>
            <a:gd name="connsiteY82" fmla="*/ 913651 h 1445118"/>
            <a:gd name="connsiteX83" fmla="*/ 1235489 w 3036956"/>
            <a:gd name="connsiteY83" fmla="*/ 920553 h 1445118"/>
            <a:gd name="connsiteX84" fmla="*/ 1214782 w 3036956"/>
            <a:gd name="connsiteY84" fmla="*/ 927455 h 1445118"/>
            <a:gd name="connsiteX85" fmla="*/ 1173369 w 3036956"/>
            <a:gd name="connsiteY85" fmla="*/ 934357 h 1445118"/>
            <a:gd name="connsiteX86" fmla="*/ 1076739 w 3036956"/>
            <a:gd name="connsiteY86" fmla="*/ 948162 h 1445118"/>
            <a:gd name="connsiteX87" fmla="*/ 952500 w 3036956"/>
            <a:gd name="connsiteY87" fmla="*/ 968868 h 1445118"/>
            <a:gd name="connsiteX88" fmla="*/ 904184 w 3036956"/>
            <a:gd name="connsiteY88" fmla="*/ 996477 h 1445118"/>
            <a:gd name="connsiteX89" fmla="*/ 848967 w 3036956"/>
            <a:gd name="connsiteY89" fmla="*/ 1024086 h 1445118"/>
            <a:gd name="connsiteX90" fmla="*/ 807554 w 3036956"/>
            <a:gd name="connsiteY90" fmla="*/ 1051694 h 1445118"/>
            <a:gd name="connsiteX91" fmla="*/ 731630 w 3036956"/>
            <a:gd name="connsiteY91" fmla="*/ 1079303 h 1445118"/>
            <a:gd name="connsiteX92" fmla="*/ 710924 w 3036956"/>
            <a:gd name="connsiteY92" fmla="*/ 1086205 h 1445118"/>
            <a:gd name="connsiteX93" fmla="*/ 600489 w 3036956"/>
            <a:gd name="connsiteY93" fmla="*/ 1134520 h 1445118"/>
            <a:gd name="connsiteX94" fmla="*/ 476250 w 3036956"/>
            <a:gd name="connsiteY94" fmla="*/ 1155227 h 1445118"/>
            <a:gd name="connsiteX95" fmla="*/ 455543 w 3036956"/>
            <a:gd name="connsiteY95" fmla="*/ 1162129 h 1445118"/>
            <a:gd name="connsiteX96" fmla="*/ 400326 w 3036956"/>
            <a:gd name="connsiteY96" fmla="*/ 1169031 h 1445118"/>
            <a:gd name="connsiteX97" fmla="*/ 365815 w 3036956"/>
            <a:gd name="connsiteY97" fmla="*/ 1189738 h 144511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 ang="0">
              <a:pos x="connsiteX76" y="connsiteY76"/>
            </a:cxn>
            <a:cxn ang="0">
              <a:pos x="connsiteX77" y="connsiteY77"/>
            </a:cxn>
            <a:cxn ang="0">
              <a:pos x="connsiteX78" y="connsiteY78"/>
            </a:cxn>
            <a:cxn ang="0">
              <a:pos x="connsiteX79" y="connsiteY79"/>
            </a:cxn>
            <a:cxn ang="0">
              <a:pos x="connsiteX80" y="connsiteY80"/>
            </a:cxn>
            <a:cxn ang="0">
              <a:pos x="connsiteX81" y="connsiteY81"/>
            </a:cxn>
            <a:cxn ang="0">
              <a:pos x="connsiteX82" y="connsiteY82"/>
            </a:cxn>
            <a:cxn ang="0">
              <a:pos x="connsiteX83" y="connsiteY83"/>
            </a:cxn>
            <a:cxn ang="0">
              <a:pos x="connsiteX84" y="connsiteY84"/>
            </a:cxn>
            <a:cxn ang="0">
              <a:pos x="connsiteX85" y="connsiteY85"/>
            </a:cxn>
            <a:cxn ang="0">
              <a:pos x="connsiteX86" y="connsiteY86"/>
            </a:cxn>
            <a:cxn ang="0">
              <a:pos x="connsiteX87" y="connsiteY87"/>
            </a:cxn>
            <a:cxn ang="0">
              <a:pos x="connsiteX88" y="connsiteY88"/>
            </a:cxn>
            <a:cxn ang="0">
              <a:pos x="connsiteX89" y="connsiteY89"/>
            </a:cxn>
            <a:cxn ang="0">
              <a:pos x="connsiteX90" y="connsiteY90"/>
            </a:cxn>
            <a:cxn ang="0">
              <a:pos x="connsiteX91" y="connsiteY91"/>
            </a:cxn>
            <a:cxn ang="0">
              <a:pos x="connsiteX92" y="connsiteY92"/>
            </a:cxn>
            <a:cxn ang="0">
              <a:pos x="connsiteX93" y="connsiteY93"/>
            </a:cxn>
            <a:cxn ang="0">
              <a:pos x="connsiteX94" y="connsiteY94"/>
            </a:cxn>
            <a:cxn ang="0">
              <a:pos x="connsiteX95" y="connsiteY95"/>
            </a:cxn>
            <a:cxn ang="0">
              <a:pos x="connsiteX96" y="connsiteY96"/>
            </a:cxn>
            <a:cxn ang="0">
              <a:pos x="connsiteX97" y="connsiteY97"/>
            </a:cxn>
          </a:cxnLst>
          <a:rect l="l" t="t" r="r" b="b"/>
          <a:pathLst>
            <a:path w="3036956" h="1445118">
              <a:moveTo>
                <a:pt x="531467" y="1148325"/>
              </a:moveTo>
              <a:cubicBezTo>
                <a:pt x="467047" y="1152926"/>
                <a:pt x="402509" y="1156101"/>
                <a:pt x="338206" y="1162129"/>
              </a:cubicBezTo>
              <a:cubicBezTo>
                <a:pt x="328761" y="1163014"/>
                <a:pt x="320083" y="1169031"/>
                <a:pt x="310597" y="1169031"/>
              </a:cubicBezTo>
              <a:cubicBezTo>
                <a:pt x="271327" y="1169031"/>
                <a:pt x="196660" y="1148578"/>
                <a:pt x="165652" y="1141422"/>
              </a:cubicBezTo>
              <a:cubicBezTo>
                <a:pt x="164632" y="1140839"/>
                <a:pt x="96650" y="1104643"/>
                <a:pt x="89728" y="1093107"/>
              </a:cubicBezTo>
              <a:cubicBezTo>
                <a:pt x="74340" y="1067460"/>
                <a:pt x="66325" y="1038051"/>
                <a:pt x="55217" y="1010281"/>
              </a:cubicBezTo>
              <a:cubicBezTo>
                <a:pt x="52515" y="1003526"/>
                <a:pt x="50080" y="996633"/>
                <a:pt x="48315" y="989575"/>
              </a:cubicBezTo>
              <a:cubicBezTo>
                <a:pt x="43170" y="968997"/>
                <a:pt x="39112" y="948162"/>
                <a:pt x="34510" y="927455"/>
              </a:cubicBezTo>
              <a:cubicBezTo>
                <a:pt x="44215" y="772195"/>
                <a:pt x="47324" y="776185"/>
                <a:pt x="34510" y="575444"/>
              </a:cubicBezTo>
              <a:cubicBezTo>
                <a:pt x="32727" y="547511"/>
                <a:pt x="24664" y="520326"/>
                <a:pt x="20706" y="492618"/>
              </a:cubicBezTo>
              <a:cubicBezTo>
                <a:pt x="13159" y="439789"/>
                <a:pt x="0" y="333868"/>
                <a:pt x="0" y="333868"/>
              </a:cubicBezTo>
              <a:cubicBezTo>
                <a:pt x="2301" y="297056"/>
                <a:pt x="3563" y="260165"/>
                <a:pt x="6902" y="223433"/>
              </a:cubicBezTo>
              <a:cubicBezTo>
                <a:pt x="8169" y="209496"/>
                <a:pt x="8606" y="195014"/>
                <a:pt x="13804" y="182020"/>
              </a:cubicBezTo>
              <a:cubicBezTo>
                <a:pt x="22601" y="160027"/>
                <a:pt x="34307" y="139002"/>
                <a:pt x="48315" y="119901"/>
              </a:cubicBezTo>
              <a:cubicBezTo>
                <a:pt x="58902" y="105465"/>
                <a:pt x="89076" y="75362"/>
                <a:pt x="110434" y="64683"/>
              </a:cubicBezTo>
              <a:cubicBezTo>
                <a:pt x="121516" y="59142"/>
                <a:pt x="133301" y="55113"/>
                <a:pt x="144945" y="50879"/>
              </a:cubicBezTo>
              <a:cubicBezTo>
                <a:pt x="158620" y="45906"/>
                <a:pt x="172119" y="40073"/>
                <a:pt x="186358" y="37075"/>
              </a:cubicBezTo>
              <a:cubicBezTo>
                <a:pt x="215970" y="30841"/>
                <a:pt x="246103" y="27359"/>
                <a:pt x="276087" y="23270"/>
              </a:cubicBezTo>
              <a:cubicBezTo>
                <a:pt x="296730" y="20455"/>
                <a:pt x="317533" y="18952"/>
                <a:pt x="338206" y="16368"/>
              </a:cubicBezTo>
              <a:cubicBezTo>
                <a:pt x="354349" y="14350"/>
                <a:pt x="370416" y="11767"/>
                <a:pt x="386521" y="9466"/>
              </a:cubicBezTo>
              <a:cubicBezTo>
                <a:pt x="450421" y="-11833"/>
                <a:pt x="378046" y="9466"/>
                <a:pt x="531467" y="9466"/>
              </a:cubicBezTo>
              <a:cubicBezTo>
                <a:pt x="582135" y="9466"/>
                <a:pt x="632699" y="4865"/>
                <a:pt x="683315" y="2564"/>
              </a:cubicBezTo>
              <a:cubicBezTo>
                <a:pt x="722427" y="4865"/>
                <a:pt x="761695" y="5292"/>
                <a:pt x="800652" y="9466"/>
              </a:cubicBezTo>
              <a:cubicBezTo>
                <a:pt x="841345" y="13826"/>
                <a:pt x="868055" y="21140"/>
                <a:pt x="904184" y="30172"/>
              </a:cubicBezTo>
              <a:cubicBezTo>
                <a:pt x="955074" y="55617"/>
                <a:pt x="956726" y="40174"/>
                <a:pt x="966304" y="78488"/>
              </a:cubicBezTo>
              <a:cubicBezTo>
                <a:pt x="969149" y="89869"/>
                <a:pt x="971422" y="101404"/>
                <a:pt x="973206" y="112999"/>
              </a:cubicBezTo>
              <a:cubicBezTo>
                <a:pt x="976026" y="131332"/>
                <a:pt x="977807" y="149810"/>
                <a:pt x="980108" y="168216"/>
              </a:cubicBezTo>
              <a:cubicBezTo>
                <a:pt x="975320" y="216102"/>
                <a:pt x="966011" y="265232"/>
                <a:pt x="980108" y="313162"/>
              </a:cubicBezTo>
              <a:cubicBezTo>
                <a:pt x="984789" y="329079"/>
                <a:pt x="995985" y="342844"/>
                <a:pt x="1007717" y="354575"/>
              </a:cubicBezTo>
              <a:cubicBezTo>
                <a:pt x="1171757" y="518612"/>
                <a:pt x="999869" y="350256"/>
                <a:pt x="1125054" y="465009"/>
              </a:cubicBezTo>
              <a:cubicBezTo>
                <a:pt x="1137046" y="476002"/>
                <a:pt x="1147067" y="489105"/>
                <a:pt x="1159565" y="499520"/>
              </a:cubicBezTo>
              <a:cubicBezTo>
                <a:pt x="1173369" y="511024"/>
                <a:pt x="1187622" y="522010"/>
                <a:pt x="1200978" y="534031"/>
              </a:cubicBezTo>
              <a:cubicBezTo>
                <a:pt x="1210652" y="542738"/>
                <a:pt x="1217758" y="554421"/>
                <a:pt x="1228587" y="561640"/>
              </a:cubicBezTo>
              <a:cubicBezTo>
                <a:pt x="1235489" y="566241"/>
                <a:pt x="1243427" y="569578"/>
                <a:pt x="1249293" y="575444"/>
              </a:cubicBezTo>
              <a:cubicBezTo>
                <a:pt x="1257427" y="583578"/>
                <a:pt x="1261163" y="595688"/>
                <a:pt x="1270000" y="603053"/>
              </a:cubicBezTo>
              <a:cubicBezTo>
                <a:pt x="1275589" y="607711"/>
                <a:pt x="1284199" y="606701"/>
                <a:pt x="1290706" y="609955"/>
              </a:cubicBezTo>
              <a:cubicBezTo>
                <a:pt x="1311893" y="620548"/>
                <a:pt x="1330749" y="635881"/>
                <a:pt x="1352826" y="644466"/>
              </a:cubicBezTo>
              <a:cubicBezTo>
                <a:pt x="1372595" y="652154"/>
                <a:pt x="1394432" y="652872"/>
                <a:pt x="1414945" y="658270"/>
              </a:cubicBezTo>
              <a:cubicBezTo>
                <a:pt x="1438175" y="664383"/>
                <a:pt x="1460960" y="672075"/>
                <a:pt x="1483967" y="678977"/>
              </a:cubicBezTo>
              <a:cubicBezTo>
                <a:pt x="1497771" y="688180"/>
                <a:pt x="1510815" y="698641"/>
                <a:pt x="1525380" y="706586"/>
              </a:cubicBezTo>
              <a:cubicBezTo>
                <a:pt x="1536257" y="712519"/>
                <a:pt x="1548290" y="716040"/>
                <a:pt x="1559891" y="720390"/>
              </a:cubicBezTo>
              <a:cubicBezTo>
                <a:pt x="1576663" y="726679"/>
                <a:pt x="1590402" y="730238"/>
                <a:pt x="1608206" y="734194"/>
              </a:cubicBezTo>
              <a:lnTo>
                <a:pt x="1704837" y="754901"/>
              </a:lnTo>
              <a:cubicBezTo>
                <a:pt x="1732567" y="761300"/>
                <a:pt x="1787663" y="775607"/>
                <a:pt x="1787663" y="775607"/>
              </a:cubicBezTo>
              <a:cubicBezTo>
                <a:pt x="1891789" y="761724"/>
                <a:pt x="1873612" y="774046"/>
                <a:pt x="1953315" y="734194"/>
              </a:cubicBezTo>
              <a:cubicBezTo>
                <a:pt x="1966499" y="727602"/>
                <a:pt x="2002671" y="698251"/>
                <a:pt x="2008532" y="692781"/>
              </a:cubicBezTo>
              <a:cubicBezTo>
                <a:pt x="2032319" y="670580"/>
                <a:pt x="2054547" y="646766"/>
                <a:pt x="2077554" y="623759"/>
              </a:cubicBezTo>
              <a:cubicBezTo>
                <a:pt x="2096145" y="605168"/>
                <a:pt x="2125159" y="574490"/>
                <a:pt x="2146576" y="561640"/>
              </a:cubicBezTo>
              <a:cubicBezTo>
                <a:pt x="2166006" y="549982"/>
                <a:pt x="2186599" y="539053"/>
                <a:pt x="2208695" y="534031"/>
              </a:cubicBezTo>
              <a:cubicBezTo>
                <a:pt x="2237947" y="527383"/>
                <a:pt x="2268514" y="529430"/>
                <a:pt x="2298424" y="527129"/>
              </a:cubicBezTo>
              <a:cubicBezTo>
                <a:pt x="2342138" y="531730"/>
                <a:pt x="2386078" y="534538"/>
                <a:pt x="2429565" y="540933"/>
              </a:cubicBezTo>
              <a:cubicBezTo>
                <a:pt x="2440285" y="542509"/>
                <a:pt x="2526477" y="558762"/>
                <a:pt x="2560706" y="568542"/>
              </a:cubicBezTo>
              <a:cubicBezTo>
                <a:pt x="2583802" y="575141"/>
                <a:pt x="2606770" y="582185"/>
                <a:pt x="2629728" y="589249"/>
              </a:cubicBezTo>
              <a:cubicBezTo>
                <a:pt x="2636682" y="591389"/>
                <a:pt x="2643439" y="594152"/>
                <a:pt x="2650434" y="596151"/>
              </a:cubicBezTo>
              <a:cubicBezTo>
                <a:pt x="2675657" y="603357"/>
                <a:pt x="2701135" y="609651"/>
                <a:pt x="2726358" y="616857"/>
              </a:cubicBezTo>
              <a:cubicBezTo>
                <a:pt x="2733354" y="618856"/>
                <a:pt x="2740266" y="621169"/>
                <a:pt x="2747065" y="623759"/>
              </a:cubicBezTo>
              <a:cubicBezTo>
                <a:pt x="2788588" y="639578"/>
                <a:pt x="2830462" y="654571"/>
                <a:pt x="2871304" y="672075"/>
              </a:cubicBezTo>
              <a:cubicBezTo>
                <a:pt x="2878928" y="675343"/>
                <a:pt x="2884897" y="681611"/>
                <a:pt x="2892010" y="685879"/>
              </a:cubicBezTo>
              <a:cubicBezTo>
                <a:pt x="2907916" y="695423"/>
                <a:pt x="2924221" y="704285"/>
                <a:pt x="2940326" y="713488"/>
              </a:cubicBezTo>
              <a:cubicBezTo>
                <a:pt x="2976643" y="758884"/>
                <a:pt x="3000119" y="780920"/>
                <a:pt x="3023152" y="830825"/>
              </a:cubicBezTo>
              <a:cubicBezTo>
                <a:pt x="3029250" y="844037"/>
                <a:pt x="3032355" y="858434"/>
                <a:pt x="3036956" y="872238"/>
              </a:cubicBezTo>
              <a:cubicBezTo>
                <a:pt x="3034655" y="941260"/>
                <a:pt x="3033591" y="1010334"/>
                <a:pt x="3030054" y="1079303"/>
              </a:cubicBezTo>
              <a:cubicBezTo>
                <a:pt x="3028987" y="1100109"/>
                <a:pt x="3028205" y="1121210"/>
                <a:pt x="3023152" y="1141422"/>
              </a:cubicBezTo>
              <a:cubicBezTo>
                <a:pt x="3010890" y="1190468"/>
                <a:pt x="2981035" y="1247547"/>
                <a:pt x="2961032" y="1293270"/>
              </a:cubicBezTo>
              <a:cubicBezTo>
                <a:pt x="2898972" y="1435122"/>
                <a:pt x="3000459" y="1214417"/>
                <a:pt x="2926521" y="1362292"/>
              </a:cubicBezTo>
              <a:cubicBezTo>
                <a:pt x="2923267" y="1368800"/>
                <a:pt x="2925340" y="1378504"/>
                <a:pt x="2919619" y="1382999"/>
              </a:cubicBezTo>
              <a:cubicBezTo>
                <a:pt x="2839284" y="1446120"/>
                <a:pt x="2848697" y="1436127"/>
                <a:pt x="2767771" y="1445118"/>
              </a:cubicBezTo>
              <a:lnTo>
                <a:pt x="2705652" y="1424412"/>
              </a:lnTo>
              <a:cubicBezTo>
                <a:pt x="2684945" y="1417510"/>
                <a:pt x="2664861" y="1408342"/>
                <a:pt x="2643532" y="1403705"/>
              </a:cubicBezTo>
              <a:cubicBezTo>
                <a:pt x="2575740" y="1388968"/>
                <a:pt x="2495497" y="1379514"/>
                <a:pt x="2429565" y="1348488"/>
              </a:cubicBezTo>
              <a:cubicBezTo>
                <a:pt x="2408132" y="1338402"/>
                <a:pt x="2389091" y="1323598"/>
                <a:pt x="2367445" y="1313977"/>
              </a:cubicBezTo>
              <a:cubicBezTo>
                <a:pt x="2352356" y="1307271"/>
                <a:pt x="2308055" y="1294738"/>
                <a:pt x="2284619" y="1286368"/>
              </a:cubicBezTo>
              <a:cubicBezTo>
                <a:pt x="2259258" y="1277311"/>
                <a:pt x="2231102" y="1273697"/>
                <a:pt x="2208695" y="1258759"/>
              </a:cubicBezTo>
              <a:cubicBezTo>
                <a:pt x="2201793" y="1254158"/>
                <a:pt x="2194466" y="1250137"/>
                <a:pt x="2187989" y="1244955"/>
              </a:cubicBezTo>
              <a:cubicBezTo>
                <a:pt x="2146117" y="1211457"/>
                <a:pt x="2147346" y="1203927"/>
                <a:pt x="2105163" y="1182836"/>
              </a:cubicBezTo>
              <a:cubicBezTo>
                <a:pt x="1970366" y="1115438"/>
                <a:pt x="2126905" y="1201938"/>
                <a:pt x="1946413" y="1120716"/>
              </a:cubicBezTo>
              <a:cubicBezTo>
                <a:pt x="1894294" y="1097262"/>
                <a:pt x="1828766" y="1012974"/>
                <a:pt x="1801467" y="989575"/>
              </a:cubicBezTo>
              <a:cubicBezTo>
                <a:pt x="1754332" y="949174"/>
                <a:pt x="1758221" y="947245"/>
                <a:pt x="1704837" y="920553"/>
              </a:cubicBezTo>
              <a:cubicBezTo>
                <a:pt x="1698329" y="917299"/>
                <a:pt x="1691166" y="915503"/>
                <a:pt x="1684130" y="913651"/>
              </a:cubicBezTo>
              <a:cubicBezTo>
                <a:pt x="1647435" y="903994"/>
                <a:pt x="1610507" y="895245"/>
                <a:pt x="1573695" y="886042"/>
              </a:cubicBezTo>
              <a:lnTo>
                <a:pt x="1546087" y="879140"/>
              </a:lnTo>
              <a:cubicBezTo>
                <a:pt x="1379902" y="902880"/>
                <a:pt x="1659880" y="862261"/>
                <a:pt x="1421847" y="899846"/>
              </a:cubicBezTo>
              <a:cubicBezTo>
                <a:pt x="1364581" y="908888"/>
                <a:pt x="1324962" y="909527"/>
                <a:pt x="1263097" y="913651"/>
              </a:cubicBezTo>
              <a:cubicBezTo>
                <a:pt x="1253894" y="915952"/>
                <a:pt x="1244610" y="917947"/>
                <a:pt x="1235489" y="920553"/>
              </a:cubicBezTo>
              <a:cubicBezTo>
                <a:pt x="1228493" y="922552"/>
                <a:pt x="1221884" y="925877"/>
                <a:pt x="1214782" y="927455"/>
              </a:cubicBezTo>
              <a:cubicBezTo>
                <a:pt x="1201120" y="930491"/>
                <a:pt x="1187173" y="932056"/>
                <a:pt x="1173369" y="934357"/>
              </a:cubicBezTo>
              <a:cubicBezTo>
                <a:pt x="1125309" y="950377"/>
                <a:pt x="1171247" y="936821"/>
                <a:pt x="1076739" y="948162"/>
              </a:cubicBezTo>
              <a:cubicBezTo>
                <a:pt x="989353" y="958648"/>
                <a:pt x="1006241" y="955433"/>
                <a:pt x="952500" y="968868"/>
              </a:cubicBezTo>
              <a:cubicBezTo>
                <a:pt x="927499" y="993867"/>
                <a:pt x="949372" y="975620"/>
                <a:pt x="904184" y="996477"/>
              </a:cubicBezTo>
              <a:cubicBezTo>
                <a:pt x="885500" y="1005101"/>
                <a:pt x="866834" y="1013876"/>
                <a:pt x="848967" y="1024086"/>
              </a:cubicBezTo>
              <a:cubicBezTo>
                <a:pt x="834562" y="1032317"/>
                <a:pt x="823293" y="1046448"/>
                <a:pt x="807554" y="1051694"/>
              </a:cubicBezTo>
              <a:cubicBezTo>
                <a:pt x="759594" y="1067680"/>
                <a:pt x="816908" y="1048292"/>
                <a:pt x="731630" y="1079303"/>
              </a:cubicBezTo>
              <a:cubicBezTo>
                <a:pt x="724793" y="1081789"/>
                <a:pt x="717547" y="1083194"/>
                <a:pt x="710924" y="1086205"/>
              </a:cubicBezTo>
              <a:cubicBezTo>
                <a:pt x="666399" y="1106444"/>
                <a:pt x="647966" y="1122026"/>
                <a:pt x="600489" y="1134520"/>
              </a:cubicBezTo>
              <a:cubicBezTo>
                <a:pt x="570709" y="1142357"/>
                <a:pt x="510723" y="1150302"/>
                <a:pt x="476250" y="1155227"/>
              </a:cubicBezTo>
              <a:cubicBezTo>
                <a:pt x="469348" y="1157528"/>
                <a:pt x="462701" y="1160828"/>
                <a:pt x="455543" y="1162129"/>
              </a:cubicBezTo>
              <a:cubicBezTo>
                <a:pt x="437293" y="1165447"/>
                <a:pt x="418055" y="1163576"/>
                <a:pt x="400326" y="1169031"/>
              </a:cubicBezTo>
              <a:cubicBezTo>
                <a:pt x="387504" y="1172976"/>
                <a:pt x="365815" y="1189738"/>
                <a:pt x="365815" y="1189738"/>
              </a:cubicBezTo>
            </a:path>
          </a:pathLst>
        </a:custGeom>
        <a:solidFill>
          <a:srgbClr val="00B0F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64</xdr:col>
      <xdr:colOff>510755</xdr:colOff>
      <xdr:row>9</xdr:row>
      <xdr:rowOff>27609</xdr:rowOff>
    </xdr:from>
    <xdr:to>
      <xdr:col>69</xdr:col>
      <xdr:colOff>563200</xdr:colOff>
      <xdr:row>17</xdr:row>
      <xdr:rowOff>110435</xdr:rowOff>
    </xdr:to>
    <xdr:sp macro="" textlink="">
      <xdr:nvSpPr>
        <xdr:cNvPr id="13" name="Freeform: Shape 12">
          <a:extLst>
            <a:ext uri="{FF2B5EF4-FFF2-40B4-BE49-F238E27FC236}">
              <a16:creationId xmlns:a16="http://schemas.microsoft.com/office/drawing/2014/main" id="{563FDE66-6D71-43EB-81EC-F609CCD1B768}"/>
            </a:ext>
          </a:extLst>
        </xdr:cNvPr>
        <xdr:cNvSpPr/>
      </xdr:nvSpPr>
      <xdr:spPr>
        <a:xfrm>
          <a:off x="24337059" y="1925707"/>
          <a:ext cx="3089402" cy="1518478"/>
        </a:xfrm>
        <a:custGeom>
          <a:avLst/>
          <a:gdLst>
            <a:gd name="connsiteX0" fmla="*/ 144952 w 3089402"/>
            <a:gd name="connsiteY0" fmla="*/ 648804 h 1518478"/>
            <a:gd name="connsiteX1" fmla="*/ 34517 w 3089402"/>
            <a:gd name="connsiteY1" fmla="*/ 807554 h 1518478"/>
            <a:gd name="connsiteX2" fmla="*/ 13811 w 3089402"/>
            <a:gd name="connsiteY2" fmla="*/ 952500 h 1518478"/>
            <a:gd name="connsiteX3" fmla="*/ 6908 w 3089402"/>
            <a:gd name="connsiteY3" fmla="*/ 973206 h 1518478"/>
            <a:gd name="connsiteX4" fmla="*/ 6 w 3089402"/>
            <a:gd name="connsiteY4" fmla="*/ 1014619 h 1518478"/>
            <a:gd name="connsiteX5" fmla="*/ 13811 w 3089402"/>
            <a:gd name="connsiteY5" fmla="*/ 1228586 h 1518478"/>
            <a:gd name="connsiteX6" fmla="*/ 34517 w 3089402"/>
            <a:gd name="connsiteY6" fmla="*/ 1359728 h 1518478"/>
            <a:gd name="connsiteX7" fmla="*/ 89734 w 3089402"/>
            <a:gd name="connsiteY7" fmla="*/ 1470163 h 1518478"/>
            <a:gd name="connsiteX8" fmla="*/ 220876 w 3089402"/>
            <a:gd name="connsiteY8" fmla="*/ 1518478 h 1518478"/>
            <a:gd name="connsiteX9" fmla="*/ 255387 w 3089402"/>
            <a:gd name="connsiteY9" fmla="*/ 1511576 h 1518478"/>
            <a:gd name="connsiteX10" fmla="*/ 352017 w 3089402"/>
            <a:gd name="connsiteY10" fmla="*/ 1401141 h 1518478"/>
            <a:gd name="connsiteX11" fmla="*/ 407234 w 3089402"/>
            <a:gd name="connsiteY11" fmla="*/ 1325217 h 1518478"/>
            <a:gd name="connsiteX12" fmla="*/ 400332 w 3089402"/>
            <a:gd name="connsiteY12" fmla="*/ 1270000 h 1518478"/>
            <a:gd name="connsiteX13" fmla="*/ 393430 w 3089402"/>
            <a:gd name="connsiteY13" fmla="*/ 1228586 h 1518478"/>
            <a:gd name="connsiteX14" fmla="*/ 400332 w 3089402"/>
            <a:gd name="connsiteY14" fmla="*/ 1145760 h 1518478"/>
            <a:gd name="connsiteX15" fmla="*/ 455550 w 3089402"/>
            <a:gd name="connsiteY15" fmla="*/ 1062934 h 1518478"/>
            <a:gd name="connsiteX16" fmla="*/ 517669 w 3089402"/>
            <a:gd name="connsiteY16" fmla="*/ 1007717 h 1518478"/>
            <a:gd name="connsiteX17" fmla="*/ 559082 w 3089402"/>
            <a:gd name="connsiteY17" fmla="*/ 993913 h 1518478"/>
            <a:gd name="connsiteX18" fmla="*/ 621202 w 3089402"/>
            <a:gd name="connsiteY18" fmla="*/ 973206 h 1518478"/>
            <a:gd name="connsiteX19" fmla="*/ 704028 w 3089402"/>
            <a:gd name="connsiteY19" fmla="*/ 966304 h 1518478"/>
            <a:gd name="connsiteX20" fmla="*/ 766148 w 3089402"/>
            <a:gd name="connsiteY20" fmla="*/ 952500 h 1518478"/>
            <a:gd name="connsiteX21" fmla="*/ 848974 w 3089402"/>
            <a:gd name="connsiteY21" fmla="*/ 938695 h 1518478"/>
            <a:gd name="connsiteX22" fmla="*/ 890387 w 3089402"/>
            <a:gd name="connsiteY22" fmla="*/ 924891 h 1518478"/>
            <a:gd name="connsiteX23" fmla="*/ 945604 w 3089402"/>
            <a:gd name="connsiteY23" fmla="*/ 904184 h 1518478"/>
            <a:gd name="connsiteX24" fmla="*/ 1021528 w 3089402"/>
            <a:gd name="connsiteY24" fmla="*/ 897282 h 1518478"/>
            <a:gd name="connsiteX25" fmla="*/ 1076745 w 3089402"/>
            <a:gd name="connsiteY25" fmla="*/ 890380 h 1518478"/>
            <a:gd name="connsiteX26" fmla="*/ 1097452 w 3089402"/>
            <a:gd name="connsiteY26" fmla="*/ 876576 h 1518478"/>
            <a:gd name="connsiteX27" fmla="*/ 1145767 w 3089402"/>
            <a:gd name="connsiteY27" fmla="*/ 855869 h 1518478"/>
            <a:gd name="connsiteX28" fmla="*/ 1214789 w 3089402"/>
            <a:gd name="connsiteY28" fmla="*/ 814456 h 1518478"/>
            <a:gd name="connsiteX29" fmla="*/ 1318321 w 3089402"/>
            <a:gd name="connsiteY29" fmla="*/ 779945 h 1518478"/>
            <a:gd name="connsiteX30" fmla="*/ 1497778 w 3089402"/>
            <a:gd name="connsiteY30" fmla="*/ 717826 h 1518478"/>
            <a:gd name="connsiteX31" fmla="*/ 1739354 w 3089402"/>
            <a:gd name="connsiteY31" fmla="*/ 697119 h 1518478"/>
            <a:gd name="connsiteX32" fmla="*/ 1898104 w 3089402"/>
            <a:gd name="connsiteY32" fmla="*/ 683315 h 1518478"/>
            <a:gd name="connsiteX33" fmla="*/ 1980930 w 3089402"/>
            <a:gd name="connsiteY33" fmla="*/ 676413 h 1518478"/>
            <a:gd name="connsiteX34" fmla="*/ 2263919 w 3089402"/>
            <a:gd name="connsiteY34" fmla="*/ 621195 h 1518478"/>
            <a:gd name="connsiteX35" fmla="*/ 2332941 w 3089402"/>
            <a:gd name="connsiteY35" fmla="*/ 593586 h 1518478"/>
            <a:gd name="connsiteX36" fmla="*/ 2353648 w 3089402"/>
            <a:gd name="connsiteY36" fmla="*/ 586684 h 1518478"/>
            <a:gd name="connsiteX37" fmla="*/ 2512398 w 3089402"/>
            <a:gd name="connsiteY37" fmla="*/ 545271 h 1518478"/>
            <a:gd name="connsiteX38" fmla="*/ 2615930 w 3089402"/>
            <a:gd name="connsiteY38" fmla="*/ 490054 h 1518478"/>
            <a:gd name="connsiteX39" fmla="*/ 2636637 w 3089402"/>
            <a:gd name="connsiteY39" fmla="*/ 483152 h 1518478"/>
            <a:gd name="connsiteX40" fmla="*/ 2740169 w 3089402"/>
            <a:gd name="connsiteY40" fmla="*/ 455543 h 1518478"/>
            <a:gd name="connsiteX41" fmla="*/ 2871311 w 3089402"/>
            <a:gd name="connsiteY41" fmla="*/ 421032 h 1518478"/>
            <a:gd name="connsiteX42" fmla="*/ 2933430 w 3089402"/>
            <a:gd name="connsiteY42" fmla="*/ 365815 h 1518478"/>
            <a:gd name="connsiteX43" fmla="*/ 3030061 w 3089402"/>
            <a:gd name="connsiteY43" fmla="*/ 303695 h 1518478"/>
            <a:gd name="connsiteX44" fmla="*/ 3050767 w 3089402"/>
            <a:gd name="connsiteY44" fmla="*/ 289891 h 1518478"/>
            <a:gd name="connsiteX45" fmla="*/ 3064571 w 3089402"/>
            <a:gd name="connsiteY45" fmla="*/ 269184 h 1518478"/>
            <a:gd name="connsiteX46" fmla="*/ 3078376 w 3089402"/>
            <a:gd name="connsiteY46" fmla="*/ 138043 h 1518478"/>
            <a:gd name="connsiteX47" fmla="*/ 2988648 w 3089402"/>
            <a:gd name="connsiteY47" fmla="*/ 75923 h 1518478"/>
            <a:gd name="connsiteX48" fmla="*/ 2926528 w 3089402"/>
            <a:gd name="connsiteY48" fmla="*/ 34510 h 1518478"/>
            <a:gd name="connsiteX49" fmla="*/ 2850604 w 3089402"/>
            <a:gd name="connsiteY49" fmla="*/ 6902 h 1518478"/>
            <a:gd name="connsiteX50" fmla="*/ 2629734 w 3089402"/>
            <a:gd name="connsiteY50" fmla="*/ 13804 h 1518478"/>
            <a:gd name="connsiteX51" fmla="*/ 2526202 w 3089402"/>
            <a:gd name="connsiteY51" fmla="*/ 27608 h 1518478"/>
            <a:gd name="connsiteX52" fmla="*/ 2353648 w 3089402"/>
            <a:gd name="connsiteY52" fmla="*/ 13804 h 1518478"/>
            <a:gd name="connsiteX53" fmla="*/ 2125876 w 3089402"/>
            <a:gd name="connsiteY53" fmla="*/ 0 h 1518478"/>
            <a:gd name="connsiteX54" fmla="*/ 1987832 w 3089402"/>
            <a:gd name="connsiteY54" fmla="*/ 6902 h 1518478"/>
            <a:gd name="connsiteX55" fmla="*/ 1739354 w 3089402"/>
            <a:gd name="connsiteY55" fmla="*/ 20706 h 1518478"/>
            <a:gd name="connsiteX56" fmla="*/ 1408050 w 3089402"/>
            <a:gd name="connsiteY56" fmla="*/ 27608 h 1518478"/>
            <a:gd name="connsiteX57" fmla="*/ 1145767 w 3089402"/>
            <a:gd name="connsiteY57" fmla="*/ 34510 h 1518478"/>
            <a:gd name="connsiteX58" fmla="*/ 1049137 w 3089402"/>
            <a:gd name="connsiteY58" fmla="*/ 48315 h 1518478"/>
            <a:gd name="connsiteX59" fmla="*/ 1021528 w 3089402"/>
            <a:gd name="connsiteY59" fmla="*/ 41413 h 1518478"/>
            <a:gd name="connsiteX60" fmla="*/ 911093 w 3089402"/>
            <a:gd name="connsiteY60" fmla="*/ 34510 h 1518478"/>
            <a:gd name="connsiteX61" fmla="*/ 676419 w 3089402"/>
            <a:gd name="connsiteY61" fmla="*/ 41413 h 1518478"/>
            <a:gd name="connsiteX62" fmla="*/ 655713 w 3089402"/>
            <a:gd name="connsiteY62" fmla="*/ 48315 h 1518478"/>
            <a:gd name="connsiteX63" fmla="*/ 628104 w 3089402"/>
            <a:gd name="connsiteY63" fmla="*/ 62119 h 1518478"/>
            <a:gd name="connsiteX64" fmla="*/ 600495 w 3089402"/>
            <a:gd name="connsiteY64" fmla="*/ 117336 h 1518478"/>
            <a:gd name="connsiteX65" fmla="*/ 593593 w 3089402"/>
            <a:gd name="connsiteY65" fmla="*/ 165652 h 1518478"/>
            <a:gd name="connsiteX66" fmla="*/ 607398 w 3089402"/>
            <a:gd name="connsiteY66" fmla="*/ 289891 h 1518478"/>
            <a:gd name="connsiteX67" fmla="*/ 614300 w 3089402"/>
            <a:gd name="connsiteY67" fmla="*/ 317500 h 1518478"/>
            <a:gd name="connsiteX68" fmla="*/ 621202 w 3089402"/>
            <a:gd name="connsiteY68" fmla="*/ 352010 h 1518478"/>
            <a:gd name="connsiteX69" fmla="*/ 641908 w 3089402"/>
            <a:gd name="connsiteY69" fmla="*/ 393423 h 1518478"/>
            <a:gd name="connsiteX70" fmla="*/ 655713 w 3089402"/>
            <a:gd name="connsiteY70" fmla="*/ 448641 h 1518478"/>
            <a:gd name="connsiteX71" fmla="*/ 635006 w 3089402"/>
            <a:gd name="connsiteY71" fmla="*/ 476250 h 1518478"/>
            <a:gd name="connsiteX72" fmla="*/ 579789 w 3089402"/>
            <a:gd name="connsiteY72" fmla="*/ 531467 h 1518478"/>
            <a:gd name="connsiteX73" fmla="*/ 517669 w 3089402"/>
            <a:gd name="connsiteY73" fmla="*/ 614293 h 1518478"/>
            <a:gd name="connsiteX74" fmla="*/ 448648 w 3089402"/>
            <a:gd name="connsiteY74" fmla="*/ 628097 h 1518478"/>
            <a:gd name="connsiteX75" fmla="*/ 296800 w 3089402"/>
            <a:gd name="connsiteY75" fmla="*/ 641902 h 1518478"/>
            <a:gd name="connsiteX76" fmla="*/ 269191 w 3089402"/>
            <a:gd name="connsiteY76" fmla="*/ 648804 h 1518478"/>
            <a:gd name="connsiteX77" fmla="*/ 227778 w 3089402"/>
            <a:gd name="connsiteY77" fmla="*/ 655706 h 1518478"/>
            <a:gd name="connsiteX78" fmla="*/ 158756 w 3089402"/>
            <a:gd name="connsiteY78" fmla="*/ 676413 h 1518478"/>
            <a:gd name="connsiteX79" fmla="*/ 89734 w 3089402"/>
            <a:gd name="connsiteY79" fmla="*/ 690217 h 151847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 ang="0">
              <a:pos x="connsiteX76" y="connsiteY76"/>
            </a:cxn>
            <a:cxn ang="0">
              <a:pos x="connsiteX77" y="connsiteY77"/>
            </a:cxn>
            <a:cxn ang="0">
              <a:pos x="connsiteX78" y="connsiteY78"/>
            </a:cxn>
            <a:cxn ang="0">
              <a:pos x="connsiteX79" y="connsiteY79"/>
            </a:cxn>
          </a:cxnLst>
          <a:rect l="l" t="t" r="r" b="b"/>
          <a:pathLst>
            <a:path w="3089402" h="1518478">
              <a:moveTo>
                <a:pt x="144952" y="648804"/>
              </a:moveTo>
              <a:cubicBezTo>
                <a:pt x="108140" y="701721"/>
                <a:pt x="60072" y="748374"/>
                <a:pt x="34517" y="807554"/>
              </a:cubicBezTo>
              <a:cubicBezTo>
                <a:pt x="15169" y="852361"/>
                <a:pt x="29247" y="906199"/>
                <a:pt x="13811" y="952500"/>
              </a:cubicBezTo>
              <a:lnTo>
                <a:pt x="6908" y="973206"/>
              </a:lnTo>
              <a:cubicBezTo>
                <a:pt x="4607" y="987010"/>
                <a:pt x="6" y="1000624"/>
                <a:pt x="6" y="1014619"/>
              </a:cubicBezTo>
              <a:cubicBezTo>
                <a:pt x="6" y="1276141"/>
                <a:pt x="-743" y="1112162"/>
                <a:pt x="13811" y="1228586"/>
              </a:cubicBezTo>
              <a:cubicBezTo>
                <a:pt x="23446" y="1305661"/>
                <a:pt x="15126" y="1287011"/>
                <a:pt x="34517" y="1359728"/>
              </a:cubicBezTo>
              <a:cubicBezTo>
                <a:pt x="43754" y="1394367"/>
                <a:pt x="64901" y="1448089"/>
                <a:pt x="89734" y="1470163"/>
              </a:cubicBezTo>
              <a:cubicBezTo>
                <a:pt x="136351" y="1511600"/>
                <a:pt x="168757" y="1511033"/>
                <a:pt x="220876" y="1518478"/>
              </a:cubicBezTo>
              <a:cubicBezTo>
                <a:pt x="232380" y="1516177"/>
                <a:pt x="245254" y="1517487"/>
                <a:pt x="255387" y="1511576"/>
              </a:cubicBezTo>
              <a:cubicBezTo>
                <a:pt x="308660" y="1480500"/>
                <a:pt x="313205" y="1449655"/>
                <a:pt x="352017" y="1401141"/>
              </a:cubicBezTo>
              <a:cubicBezTo>
                <a:pt x="389990" y="1353675"/>
                <a:pt x="371454" y="1378888"/>
                <a:pt x="407234" y="1325217"/>
              </a:cubicBezTo>
              <a:cubicBezTo>
                <a:pt x="404933" y="1306811"/>
                <a:pt x="402955" y="1288362"/>
                <a:pt x="400332" y="1270000"/>
              </a:cubicBezTo>
              <a:cubicBezTo>
                <a:pt x="398353" y="1256146"/>
                <a:pt x="393430" y="1242581"/>
                <a:pt x="393430" y="1228586"/>
              </a:cubicBezTo>
              <a:cubicBezTo>
                <a:pt x="393430" y="1200882"/>
                <a:pt x="394899" y="1172926"/>
                <a:pt x="400332" y="1145760"/>
              </a:cubicBezTo>
              <a:cubicBezTo>
                <a:pt x="413106" y="1081892"/>
                <a:pt x="415511" y="1098969"/>
                <a:pt x="455550" y="1062934"/>
              </a:cubicBezTo>
              <a:cubicBezTo>
                <a:pt x="472949" y="1047275"/>
                <a:pt x="494897" y="1019103"/>
                <a:pt x="517669" y="1007717"/>
              </a:cubicBezTo>
              <a:cubicBezTo>
                <a:pt x="530684" y="1001210"/>
                <a:pt x="545278" y="998514"/>
                <a:pt x="559082" y="993913"/>
              </a:cubicBezTo>
              <a:lnTo>
                <a:pt x="621202" y="973206"/>
              </a:lnTo>
              <a:lnTo>
                <a:pt x="704028" y="966304"/>
              </a:lnTo>
              <a:cubicBezTo>
                <a:pt x="724735" y="961703"/>
                <a:pt x="745259" y="956186"/>
                <a:pt x="766148" y="952500"/>
              </a:cubicBezTo>
              <a:cubicBezTo>
                <a:pt x="821606" y="942713"/>
                <a:pt x="808060" y="950969"/>
                <a:pt x="848974" y="938695"/>
              </a:cubicBezTo>
              <a:cubicBezTo>
                <a:pt x="862911" y="934514"/>
                <a:pt x="876877" y="930295"/>
                <a:pt x="890387" y="924891"/>
              </a:cubicBezTo>
              <a:cubicBezTo>
                <a:pt x="890708" y="924763"/>
                <a:pt x="937187" y="905386"/>
                <a:pt x="945604" y="904184"/>
              </a:cubicBezTo>
              <a:cubicBezTo>
                <a:pt x="970761" y="900590"/>
                <a:pt x="996255" y="899942"/>
                <a:pt x="1021528" y="897282"/>
              </a:cubicBezTo>
              <a:cubicBezTo>
                <a:pt x="1039975" y="895340"/>
                <a:pt x="1058339" y="892681"/>
                <a:pt x="1076745" y="890380"/>
              </a:cubicBezTo>
              <a:cubicBezTo>
                <a:pt x="1083647" y="885779"/>
                <a:pt x="1090032" y="880286"/>
                <a:pt x="1097452" y="876576"/>
              </a:cubicBezTo>
              <a:cubicBezTo>
                <a:pt x="1174879" y="837862"/>
                <a:pt x="1045238" y="913313"/>
                <a:pt x="1145767" y="855869"/>
              </a:cubicBezTo>
              <a:cubicBezTo>
                <a:pt x="1169063" y="842557"/>
                <a:pt x="1190230" y="825262"/>
                <a:pt x="1214789" y="814456"/>
              </a:cubicBezTo>
              <a:cubicBezTo>
                <a:pt x="1248086" y="799805"/>
                <a:pt x="1284417" y="793130"/>
                <a:pt x="1318321" y="779945"/>
              </a:cubicBezTo>
              <a:cubicBezTo>
                <a:pt x="1347285" y="768682"/>
                <a:pt x="1447683" y="723651"/>
                <a:pt x="1497778" y="717826"/>
              </a:cubicBezTo>
              <a:cubicBezTo>
                <a:pt x="1578058" y="708491"/>
                <a:pt x="1658832" y="704061"/>
                <a:pt x="1739354" y="697119"/>
              </a:cubicBezTo>
              <a:lnTo>
                <a:pt x="1898104" y="683315"/>
              </a:lnTo>
              <a:lnTo>
                <a:pt x="1980930" y="676413"/>
              </a:lnTo>
              <a:cubicBezTo>
                <a:pt x="2161473" y="628901"/>
                <a:pt x="2067284" y="648010"/>
                <a:pt x="2263919" y="621195"/>
              </a:cubicBezTo>
              <a:lnTo>
                <a:pt x="2332941" y="593586"/>
              </a:lnTo>
              <a:cubicBezTo>
                <a:pt x="2339732" y="590974"/>
                <a:pt x="2346623" y="588575"/>
                <a:pt x="2353648" y="586684"/>
              </a:cubicBezTo>
              <a:lnTo>
                <a:pt x="2512398" y="545271"/>
              </a:lnTo>
              <a:cubicBezTo>
                <a:pt x="2554745" y="517040"/>
                <a:pt x="2540727" y="525148"/>
                <a:pt x="2615930" y="490054"/>
              </a:cubicBezTo>
              <a:cubicBezTo>
                <a:pt x="2622523" y="486977"/>
                <a:pt x="2629627" y="485099"/>
                <a:pt x="2636637" y="483152"/>
              </a:cubicBezTo>
              <a:cubicBezTo>
                <a:pt x="2671051" y="473593"/>
                <a:pt x="2705585" y="464468"/>
                <a:pt x="2740169" y="455543"/>
              </a:cubicBezTo>
              <a:cubicBezTo>
                <a:pt x="2870256" y="421972"/>
                <a:pt x="2812192" y="440737"/>
                <a:pt x="2871311" y="421032"/>
              </a:cubicBezTo>
              <a:cubicBezTo>
                <a:pt x="2892017" y="402626"/>
                <a:pt x="2911151" y="382282"/>
                <a:pt x="2933430" y="365815"/>
              </a:cubicBezTo>
              <a:cubicBezTo>
                <a:pt x="2964223" y="343055"/>
                <a:pt x="2997912" y="324497"/>
                <a:pt x="3030061" y="303695"/>
              </a:cubicBezTo>
              <a:cubicBezTo>
                <a:pt x="3037025" y="299189"/>
                <a:pt x="3050767" y="289891"/>
                <a:pt x="3050767" y="289891"/>
              </a:cubicBezTo>
              <a:cubicBezTo>
                <a:pt x="3055368" y="282989"/>
                <a:pt x="3060861" y="276604"/>
                <a:pt x="3064571" y="269184"/>
              </a:cubicBezTo>
              <a:cubicBezTo>
                <a:pt x="3088347" y="221631"/>
                <a:pt x="3099136" y="196863"/>
                <a:pt x="3078376" y="138043"/>
              </a:cubicBezTo>
              <a:cubicBezTo>
                <a:pt x="3066585" y="104636"/>
                <a:pt x="3011271" y="91005"/>
                <a:pt x="2988648" y="75923"/>
              </a:cubicBezTo>
              <a:cubicBezTo>
                <a:pt x="2967941" y="62119"/>
                <a:pt x="2950137" y="42379"/>
                <a:pt x="2926528" y="34510"/>
              </a:cubicBezTo>
              <a:cubicBezTo>
                <a:pt x="2887172" y="21392"/>
                <a:pt x="2912633" y="30163"/>
                <a:pt x="2850604" y="6902"/>
              </a:cubicBezTo>
              <a:cubicBezTo>
                <a:pt x="2776981" y="9203"/>
                <a:pt x="2703244" y="9112"/>
                <a:pt x="2629734" y="13804"/>
              </a:cubicBezTo>
              <a:cubicBezTo>
                <a:pt x="2594989" y="16022"/>
                <a:pt x="2561018" y="27608"/>
                <a:pt x="2526202" y="27608"/>
              </a:cubicBezTo>
              <a:cubicBezTo>
                <a:pt x="2468500" y="27608"/>
                <a:pt x="2411213" y="17774"/>
                <a:pt x="2353648" y="13804"/>
              </a:cubicBezTo>
              <a:lnTo>
                <a:pt x="2125876" y="0"/>
              </a:lnTo>
              <a:lnTo>
                <a:pt x="1987832" y="6902"/>
              </a:lnTo>
              <a:lnTo>
                <a:pt x="1739354" y="20706"/>
              </a:lnTo>
              <a:cubicBezTo>
                <a:pt x="1628966" y="24648"/>
                <a:pt x="1518479" y="25040"/>
                <a:pt x="1408050" y="27608"/>
              </a:cubicBezTo>
              <a:lnTo>
                <a:pt x="1145767" y="34510"/>
              </a:lnTo>
              <a:cubicBezTo>
                <a:pt x="1113557" y="39112"/>
                <a:pt x="1081624" y="46510"/>
                <a:pt x="1049137" y="48315"/>
              </a:cubicBezTo>
              <a:cubicBezTo>
                <a:pt x="1039665" y="48841"/>
                <a:pt x="1030967" y="42357"/>
                <a:pt x="1021528" y="41413"/>
              </a:cubicBezTo>
              <a:cubicBezTo>
                <a:pt x="984828" y="37743"/>
                <a:pt x="947905" y="36811"/>
                <a:pt x="911093" y="34510"/>
              </a:cubicBezTo>
              <a:cubicBezTo>
                <a:pt x="810294" y="17711"/>
                <a:pt x="863703" y="23288"/>
                <a:pt x="676419" y="41413"/>
              </a:cubicBezTo>
              <a:cubicBezTo>
                <a:pt x="669177" y="42114"/>
                <a:pt x="662400" y="45449"/>
                <a:pt x="655713" y="48315"/>
              </a:cubicBezTo>
              <a:cubicBezTo>
                <a:pt x="646256" y="52368"/>
                <a:pt x="637307" y="57518"/>
                <a:pt x="628104" y="62119"/>
              </a:cubicBezTo>
              <a:cubicBezTo>
                <a:pt x="614212" y="82958"/>
                <a:pt x="607248" y="90324"/>
                <a:pt x="600495" y="117336"/>
              </a:cubicBezTo>
              <a:cubicBezTo>
                <a:pt x="596549" y="133119"/>
                <a:pt x="595894" y="149547"/>
                <a:pt x="593593" y="165652"/>
              </a:cubicBezTo>
              <a:cubicBezTo>
                <a:pt x="597498" y="208609"/>
                <a:pt x="599762" y="247896"/>
                <a:pt x="607398" y="289891"/>
              </a:cubicBezTo>
              <a:cubicBezTo>
                <a:pt x="609095" y="299224"/>
                <a:pt x="612242" y="308240"/>
                <a:pt x="614300" y="317500"/>
              </a:cubicBezTo>
              <a:cubicBezTo>
                <a:pt x="616845" y="328952"/>
                <a:pt x="617193" y="340985"/>
                <a:pt x="621202" y="352010"/>
              </a:cubicBezTo>
              <a:cubicBezTo>
                <a:pt x="626476" y="366514"/>
                <a:pt x="635640" y="379320"/>
                <a:pt x="641908" y="393423"/>
              </a:cubicBezTo>
              <a:cubicBezTo>
                <a:pt x="649628" y="410793"/>
                <a:pt x="652049" y="430322"/>
                <a:pt x="655713" y="448641"/>
              </a:cubicBezTo>
              <a:cubicBezTo>
                <a:pt x="648811" y="457844"/>
                <a:pt x="642779" y="467770"/>
                <a:pt x="635006" y="476250"/>
              </a:cubicBezTo>
              <a:cubicBezTo>
                <a:pt x="617417" y="495438"/>
                <a:pt x="593585" y="509394"/>
                <a:pt x="579789" y="531467"/>
              </a:cubicBezTo>
              <a:cubicBezTo>
                <a:pt x="576085" y="537394"/>
                <a:pt x="538017" y="607510"/>
                <a:pt x="517669" y="614293"/>
              </a:cubicBezTo>
              <a:cubicBezTo>
                <a:pt x="484430" y="625373"/>
                <a:pt x="497678" y="622328"/>
                <a:pt x="448648" y="628097"/>
              </a:cubicBezTo>
              <a:cubicBezTo>
                <a:pt x="401705" y="633620"/>
                <a:pt x="343183" y="638037"/>
                <a:pt x="296800" y="641902"/>
              </a:cubicBezTo>
              <a:cubicBezTo>
                <a:pt x="287597" y="644203"/>
                <a:pt x="278493" y="646944"/>
                <a:pt x="269191" y="648804"/>
              </a:cubicBezTo>
              <a:cubicBezTo>
                <a:pt x="255468" y="651549"/>
                <a:pt x="241355" y="652312"/>
                <a:pt x="227778" y="655706"/>
              </a:cubicBezTo>
              <a:cubicBezTo>
                <a:pt x="190974" y="664907"/>
                <a:pt x="191610" y="670937"/>
                <a:pt x="158756" y="676413"/>
              </a:cubicBezTo>
              <a:cubicBezTo>
                <a:pt x="90891" y="687724"/>
                <a:pt x="122222" y="673974"/>
                <a:pt x="89734" y="690217"/>
              </a:cubicBezTo>
            </a:path>
          </a:pathLst>
        </a:custGeom>
        <a:solidFill>
          <a:srgbClr val="FFC00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64</xdr:col>
      <xdr:colOff>193261</xdr:colOff>
      <xdr:row>11</xdr:row>
      <xdr:rowOff>103532</xdr:rowOff>
    </xdr:from>
    <xdr:to>
      <xdr:col>70</xdr:col>
      <xdr:colOff>69022</xdr:colOff>
      <xdr:row>19</xdr:row>
      <xdr:rowOff>82826</xdr:rowOff>
    </xdr:to>
    <xdr:sp macro="" textlink="">
      <xdr:nvSpPr>
        <xdr:cNvPr id="14" name="Freeform: Shape 13">
          <a:extLst>
            <a:ext uri="{FF2B5EF4-FFF2-40B4-BE49-F238E27FC236}">
              <a16:creationId xmlns:a16="http://schemas.microsoft.com/office/drawing/2014/main" id="{7F2828FE-523E-4AF4-A46A-8614E3984485}"/>
            </a:ext>
          </a:extLst>
        </xdr:cNvPr>
        <xdr:cNvSpPr/>
      </xdr:nvSpPr>
      <xdr:spPr>
        <a:xfrm>
          <a:off x="35118261" y="2264237"/>
          <a:ext cx="3532338" cy="1411240"/>
        </a:xfrm>
        <a:custGeom>
          <a:avLst/>
          <a:gdLst>
            <a:gd name="connsiteX0" fmla="*/ 1014620 w 3520109"/>
            <a:gd name="connsiteY0" fmla="*/ 1414946 h 1414946"/>
            <a:gd name="connsiteX1" fmla="*/ 835163 w 3520109"/>
            <a:gd name="connsiteY1" fmla="*/ 1339022 h 1414946"/>
            <a:gd name="connsiteX2" fmla="*/ 814457 w 3520109"/>
            <a:gd name="connsiteY2" fmla="*/ 1318316 h 1414946"/>
            <a:gd name="connsiteX3" fmla="*/ 724728 w 3520109"/>
            <a:gd name="connsiteY3" fmla="*/ 1242392 h 1414946"/>
            <a:gd name="connsiteX4" fmla="*/ 648805 w 3520109"/>
            <a:gd name="connsiteY4" fmla="*/ 1200979 h 1414946"/>
            <a:gd name="connsiteX5" fmla="*/ 579783 w 3520109"/>
            <a:gd name="connsiteY5" fmla="*/ 1138859 h 1414946"/>
            <a:gd name="connsiteX6" fmla="*/ 469348 w 3520109"/>
            <a:gd name="connsiteY6" fmla="*/ 987011 h 1414946"/>
            <a:gd name="connsiteX7" fmla="*/ 379620 w 3520109"/>
            <a:gd name="connsiteY7" fmla="*/ 890381 h 1414946"/>
            <a:gd name="connsiteX8" fmla="*/ 352011 w 3520109"/>
            <a:gd name="connsiteY8" fmla="*/ 855870 h 1414946"/>
            <a:gd name="connsiteX9" fmla="*/ 338207 w 3520109"/>
            <a:gd name="connsiteY9" fmla="*/ 828261 h 1414946"/>
            <a:gd name="connsiteX10" fmla="*/ 289892 w 3520109"/>
            <a:gd name="connsiteY10" fmla="*/ 745435 h 1414946"/>
            <a:gd name="connsiteX11" fmla="*/ 234674 w 3520109"/>
            <a:gd name="connsiteY11" fmla="*/ 641903 h 1414946"/>
            <a:gd name="connsiteX12" fmla="*/ 200163 w 3520109"/>
            <a:gd name="connsiteY12" fmla="*/ 621196 h 1414946"/>
            <a:gd name="connsiteX13" fmla="*/ 138044 w 3520109"/>
            <a:gd name="connsiteY13" fmla="*/ 586685 h 1414946"/>
            <a:gd name="connsiteX14" fmla="*/ 62120 w 3520109"/>
            <a:gd name="connsiteY14" fmla="*/ 510761 h 1414946"/>
            <a:gd name="connsiteX15" fmla="*/ 0 w 3520109"/>
            <a:gd name="connsiteY15" fmla="*/ 296794 h 1414946"/>
            <a:gd name="connsiteX16" fmla="*/ 13805 w 3520109"/>
            <a:gd name="connsiteY16" fmla="*/ 96631 h 1414946"/>
            <a:gd name="connsiteX17" fmla="*/ 27609 w 3520109"/>
            <a:gd name="connsiteY17" fmla="*/ 41414 h 1414946"/>
            <a:gd name="connsiteX18" fmla="*/ 82826 w 3520109"/>
            <a:gd name="connsiteY18" fmla="*/ 0 h 1414946"/>
            <a:gd name="connsiteX19" fmla="*/ 200163 w 3520109"/>
            <a:gd name="connsiteY19" fmla="*/ 27609 h 1414946"/>
            <a:gd name="connsiteX20" fmla="*/ 248478 w 3520109"/>
            <a:gd name="connsiteY20" fmla="*/ 55218 h 1414946"/>
            <a:gd name="connsiteX21" fmla="*/ 310598 w 3520109"/>
            <a:gd name="connsiteY21" fmla="*/ 110435 h 1414946"/>
            <a:gd name="connsiteX22" fmla="*/ 331305 w 3520109"/>
            <a:gd name="connsiteY22" fmla="*/ 124240 h 1414946"/>
            <a:gd name="connsiteX23" fmla="*/ 476250 w 3520109"/>
            <a:gd name="connsiteY23" fmla="*/ 186359 h 1414946"/>
            <a:gd name="connsiteX24" fmla="*/ 503859 w 3520109"/>
            <a:gd name="connsiteY24" fmla="*/ 200164 h 1414946"/>
            <a:gd name="connsiteX25" fmla="*/ 572881 w 3520109"/>
            <a:gd name="connsiteY25" fmla="*/ 227772 h 1414946"/>
            <a:gd name="connsiteX26" fmla="*/ 655707 w 3520109"/>
            <a:gd name="connsiteY26" fmla="*/ 248479 h 1414946"/>
            <a:gd name="connsiteX27" fmla="*/ 676413 w 3520109"/>
            <a:gd name="connsiteY27" fmla="*/ 255381 h 1414946"/>
            <a:gd name="connsiteX28" fmla="*/ 835163 w 3520109"/>
            <a:gd name="connsiteY28" fmla="*/ 276087 h 1414946"/>
            <a:gd name="connsiteX29" fmla="*/ 945598 w 3520109"/>
            <a:gd name="connsiteY29" fmla="*/ 289892 h 1414946"/>
            <a:gd name="connsiteX30" fmla="*/ 1345924 w 3520109"/>
            <a:gd name="connsiteY30" fmla="*/ 303696 h 1414946"/>
            <a:gd name="connsiteX31" fmla="*/ 1449457 w 3520109"/>
            <a:gd name="connsiteY31" fmla="*/ 310598 h 1414946"/>
            <a:gd name="connsiteX32" fmla="*/ 1628913 w 3520109"/>
            <a:gd name="connsiteY32" fmla="*/ 324403 h 1414946"/>
            <a:gd name="connsiteX33" fmla="*/ 1677228 w 3520109"/>
            <a:gd name="connsiteY33" fmla="*/ 331305 h 1414946"/>
            <a:gd name="connsiteX34" fmla="*/ 1739348 w 3520109"/>
            <a:gd name="connsiteY34" fmla="*/ 338207 h 1414946"/>
            <a:gd name="connsiteX35" fmla="*/ 1960218 w 3520109"/>
            <a:gd name="connsiteY35" fmla="*/ 324403 h 1414946"/>
            <a:gd name="connsiteX36" fmla="*/ 1980924 w 3520109"/>
            <a:gd name="connsiteY36" fmla="*/ 317500 h 1414946"/>
            <a:gd name="connsiteX37" fmla="*/ 2167283 w 3520109"/>
            <a:gd name="connsiteY37" fmla="*/ 303696 h 1414946"/>
            <a:gd name="connsiteX38" fmla="*/ 2250109 w 3520109"/>
            <a:gd name="connsiteY38" fmla="*/ 296794 h 1414946"/>
            <a:gd name="connsiteX39" fmla="*/ 2436468 w 3520109"/>
            <a:gd name="connsiteY39" fmla="*/ 269185 h 1414946"/>
            <a:gd name="connsiteX40" fmla="*/ 2574511 w 3520109"/>
            <a:gd name="connsiteY40" fmla="*/ 276087 h 1414946"/>
            <a:gd name="connsiteX41" fmla="*/ 2705652 w 3520109"/>
            <a:gd name="connsiteY41" fmla="*/ 289892 h 1414946"/>
            <a:gd name="connsiteX42" fmla="*/ 2747065 w 3520109"/>
            <a:gd name="connsiteY42" fmla="*/ 296794 h 1414946"/>
            <a:gd name="connsiteX43" fmla="*/ 2843696 w 3520109"/>
            <a:gd name="connsiteY43" fmla="*/ 303696 h 1414946"/>
            <a:gd name="connsiteX44" fmla="*/ 2995544 w 3520109"/>
            <a:gd name="connsiteY44" fmla="*/ 331305 h 1414946"/>
            <a:gd name="connsiteX45" fmla="*/ 3168098 w 3520109"/>
            <a:gd name="connsiteY45" fmla="*/ 338207 h 1414946"/>
            <a:gd name="connsiteX46" fmla="*/ 3375163 w 3520109"/>
            <a:gd name="connsiteY46" fmla="*/ 345109 h 1414946"/>
            <a:gd name="connsiteX47" fmla="*/ 3464892 w 3520109"/>
            <a:gd name="connsiteY47" fmla="*/ 372718 h 1414946"/>
            <a:gd name="connsiteX48" fmla="*/ 3520109 w 3520109"/>
            <a:gd name="connsiteY48" fmla="*/ 490055 h 1414946"/>
            <a:gd name="connsiteX49" fmla="*/ 3513207 w 3520109"/>
            <a:gd name="connsiteY49" fmla="*/ 552174 h 1414946"/>
            <a:gd name="connsiteX50" fmla="*/ 3499402 w 3520109"/>
            <a:gd name="connsiteY50" fmla="*/ 565979 h 1414946"/>
            <a:gd name="connsiteX51" fmla="*/ 3451087 w 3520109"/>
            <a:gd name="connsiteY51" fmla="*/ 593587 h 1414946"/>
            <a:gd name="connsiteX52" fmla="*/ 3347555 w 3520109"/>
            <a:gd name="connsiteY52" fmla="*/ 607392 h 1414946"/>
            <a:gd name="connsiteX53" fmla="*/ 2995544 w 3520109"/>
            <a:gd name="connsiteY53" fmla="*/ 648805 h 1414946"/>
            <a:gd name="connsiteX54" fmla="*/ 2892011 w 3520109"/>
            <a:gd name="connsiteY54" fmla="*/ 676414 h 1414946"/>
            <a:gd name="connsiteX55" fmla="*/ 2864402 w 3520109"/>
            <a:gd name="connsiteY55" fmla="*/ 690218 h 1414946"/>
            <a:gd name="connsiteX56" fmla="*/ 2678044 w 3520109"/>
            <a:gd name="connsiteY56" fmla="*/ 731631 h 1414946"/>
            <a:gd name="connsiteX57" fmla="*/ 2477881 w 3520109"/>
            <a:gd name="connsiteY57" fmla="*/ 800653 h 1414946"/>
            <a:gd name="connsiteX58" fmla="*/ 2367446 w 3520109"/>
            <a:gd name="connsiteY58" fmla="*/ 828261 h 1414946"/>
            <a:gd name="connsiteX59" fmla="*/ 2187989 w 3520109"/>
            <a:gd name="connsiteY59" fmla="*/ 883479 h 1414946"/>
            <a:gd name="connsiteX60" fmla="*/ 2153478 w 3520109"/>
            <a:gd name="connsiteY60" fmla="*/ 890381 h 1414946"/>
            <a:gd name="connsiteX61" fmla="*/ 2043044 w 3520109"/>
            <a:gd name="connsiteY61" fmla="*/ 931794 h 1414946"/>
            <a:gd name="connsiteX62" fmla="*/ 1946413 w 3520109"/>
            <a:gd name="connsiteY62" fmla="*/ 987011 h 1414946"/>
            <a:gd name="connsiteX63" fmla="*/ 1808370 w 3520109"/>
            <a:gd name="connsiteY63" fmla="*/ 1062935 h 1414946"/>
            <a:gd name="connsiteX64" fmla="*/ 1787663 w 3520109"/>
            <a:gd name="connsiteY64" fmla="*/ 1069837 h 1414946"/>
            <a:gd name="connsiteX65" fmla="*/ 1704837 w 3520109"/>
            <a:gd name="connsiteY65" fmla="*/ 1131957 h 1414946"/>
            <a:gd name="connsiteX66" fmla="*/ 1684131 w 3520109"/>
            <a:gd name="connsiteY66" fmla="*/ 1145761 h 1414946"/>
            <a:gd name="connsiteX67" fmla="*/ 1566794 w 3520109"/>
            <a:gd name="connsiteY67" fmla="*/ 1166468 h 1414946"/>
            <a:gd name="connsiteX68" fmla="*/ 1546087 w 3520109"/>
            <a:gd name="connsiteY68" fmla="*/ 1173370 h 1414946"/>
            <a:gd name="connsiteX69" fmla="*/ 1470163 w 3520109"/>
            <a:gd name="connsiteY69" fmla="*/ 1207881 h 1414946"/>
            <a:gd name="connsiteX70" fmla="*/ 1304511 w 3520109"/>
            <a:gd name="connsiteY70" fmla="*/ 1290707 h 1414946"/>
            <a:gd name="connsiteX71" fmla="*/ 1249294 w 3520109"/>
            <a:gd name="connsiteY71" fmla="*/ 1318316 h 1414946"/>
            <a:gd name="connsiteX72" fmla="*/ 1207881 w 3520109"/>
            <a:gd name="connsiteY72" fmla="*/ 1352827 h 1414946"/>
            <a:gd name="connsiteX73" fmla="*/ 1194076 w 3520109"/>
            <a:gd name="connsiteY73" fmla="*/ 1366631 h 1414946"/>
            <a:gd name="connsiteX74" fmla="*/ 1173370 w 3520109"/>
            <a:gd name="connsiteY74" fmla="*/ 1380435 h 1414946"/>
            <a:gd name="connsiteX75" fmla="*/ 1159565 w 3520109"/>
            <a:gd name="connsiteY75" fmla="*/ 1394240 h 1414946"/>
            <a:gd name="connsiteX76" fmla="*/ 1083642 w 3520109"/>
            <a:gd name="connsiteY76" fmla="*/ 1408044 h 1414946"/>
            <a:gd name="connsiteX77" fmla="*/ 959402 w 3520109"/>
            <a:gd name="connsiteY77" fmla="*/ 1394240 h 1414946"/>
            <a:gd name="connsiteX78" fmla="*/ 924892 w 3520109"/>
            <a:gd name="connsiteY78" fmla="*/ 1380435 h 141494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 ang="0">
              <a:pos x="connsiteX76" y="connsiteY76"/>
            </a:cxn>
            <a:cxn ang="0">
              <a:pos x="connsiteX77" y="connsiteY77"/>
            </a:cxn>
            <a:cxn ang="0">
              <a:pos x="connsiteX78" y="connsiteY78"/>
            </a:cxn>
          </a:cxnLst>
          <a:rect l="l" t="t" r="r" b="b"/>
          <a:pathLst>
            <a:path w="3520109" h="1414946">
              <a:moveTo>
                <a:pt x="1014620" y="1414946"/>
              </a:moveTo>
              <a:cubicBezTo>
                <a:pt x="954801" y="1389638"/>
                <a:pt x="893656" y="1367260"/>
                <a:pt x="835163" y="1339022"/>
              </a:cubicBezTo>
              <a:cubicBezTo>
                <a:pt x="826373" y="1334778"/>
                <a:pt x="821803" y="1324744"/>
                <a:pt x="814457" y="1318316"/>
              </a:cubicBezTo>
              <a:cubicBezTo>
                <a:pt x="784971" y="1292516"/>
                <a:pt x="755136" y="1267099"/>
                <a:pt x="724728" y="1242392"/>
              </a:cubicBezTo>
              <a:cubicBezTo>
                <a:pt x="685833" y="1210790"/>
                <a:pt x="714090" y="1248129"/>
                <a:pt x="648805" y="1200979"/>
              </a:cubicBezTo>
              <a:cubicBezTo>
                <a:pt x="623712" y="1182856"/>
                <a:pt x="602600" y="1159775"/>
                <a:pt x="579783" y="1138859"/>
              </a:cubicBezTo>
              <a:cubicBezTo>
                <a:pt x="528555" y="1091901"/>
                <a:pt x="549899" y="1073758"/>
                <a:pt x="469348" y="987011"/>
              </a:cubicBezTo>
              <a:cubicBezTo>
                <a:pt x="439439" y="954801"/>
                <a:pt x="407079" y="924704"/>
                <a:pt x="379620" y="890381"/>
              </a:cubicBezTo>
              <a:cubicBezTo>
                <a:pt x="370417" y="878877"/>
                <a:pt x="360183" y="868128"/>
                <a:pt x="352011" y="855870"/>
              </a:cubicBezTo>
              <a:cubicBezTo>
                <a:pt x="346304" y="847309"/>
                <a:pt x="343251" y="837229"/>
                <a:pt x="338207" y="828261"/>
              </a:cubicBezTo>
              <a:cubicBezTo>
                <a:pt x="322537" y="800403"/>
                <a:pt x="304933" y="773637"/>
                <a:pt x="289892" y="745435"/>
              </a:cubicBezTo>
              <a:cubicBezTo>
                <a:pt x="251058" y="672623"/>
                <a:pt x="382524" y="826716"/>
                <a:pt x="234674" y="641903"/>
              </a:cubicBezTo>
              <a:cubicBezTo>
                <a:pt x="226293" y="631427"/>
                <a:pt x="211481" y="628399"/>
                <a:pt x="200163" y="621196"/>
              </a:cubicBezTo>
              <a:cubicBezTo>
                <a:pt x="147950" y="587969"/>
                <a:pt x="176571" y="599527"/>
                <a:pt x="138044" y="586685"/>
              </a:cubicBezTo>
              <a:cubicBezTo>
                <a:pt x="112736" y="561377"/>
                <a:pt x="79667" y="541955"/>
                <a:pt x="62120" y="510761"/>
              </a:cubicBezTo>
              <a:cubicBezTo>
                <a:pt x="27528" y="449263"/>
                <a:pt x="14053" y="367056"/>
                <a:pt x="0" y="296794"/>
              </a:cubicBezTo>
              <a:cubicBezTo>
                <a:pt x="4602" y="230073"/>
                <a:pt x="6617" y="163123"/>
                <a:pt x="13805" y="96631"/>
              </a:cubicBezTo>
              <a:cubicBezTo>
                <a:pt x="15844" y="77769"/>
                <a:pt x="18614" y="58118"/>
                <a:pt x="27609" y="41414"/>
              </a:cubicBezTo>
              <a:cubicBezTo>
                <a:pt x="44958" y="9195"/>
                <a:pt x="56662" y="8723"/>
                <a:pt x="82826" y="0"/>
              </a:cubicBezTo>
              <a:cubicBezTo>
                <a:pt x="121938" y="9203"/>
                <a:pt x="164225" y="9639"/>
                <a:pt x="200163" y="27609"/>
              </a:cubicBezTo>
              <a:cubicBezTo>
                <a:pt x="217039" y="36047"/>
                <a:pt x="233845" y="43024"/>
                <a:pt x="248478" y="55218"/>
              </a:cubicBezTo>
              <a:cubicBezTo>
                <a:pt x="269761" y="72954"/>
                <a:pt x="289315" y="92699"/>
                <a:pt x="310598" y="110435"/>
              </a:cubicBezTo>
              <a:cubicBezTo>
                <a:pt x="316971" y="115746"/>
                <a:pt x="323764" y="120784"/>
                <a:pt x="331305" y="124240"/>
              </a:cubicBezTo>
              <a:cubicBezTo>
                <a:pt x="379090" y="146142"/>
                <a:pt x="428136" y="165189"/>
                <a:pt x="476250" y="186359"/>
              </a:cubicBezTo>
              <a:cubicBezTo>
                <a:pt x="485668" y="190503"/>
                <a:pt x="494492" y="195906"/>
                <a:pt x="503859" y="200164"/>
              </a:cubicBezTo>
              <a:cubicBezTo>
                <a:pt x="519363" y="207211"/>
                <a:pt x="551953" y="222191"/>
                <a:pt x="572881" y="227772"/>
              </a:cubicBezTo>
              <a:cubicBezTo>
                <a:pt x="600378" y="235105"/>
                <a:pt x="628210" y="241146"/>
                <a:pt x="655707" y="248479"/>
              </a:cubicBezTo>
              <a:cubicBezTo>
                <a:pt x="662737" y="250354"/>
                <a:pt x="669222" y="254275"/>
                <a:pt x="676413" y="255381"/>
              </a:cubicBezTo>
              <a:cubicBezTo>
                <a:pt x="729157" y="263495"/>
                <a:pt x="782231" y="269301"/>
                <a:pt x="835163" y="276087"/>
              </a:cubicBezTo>
              <a:cubicBezTo>
                <a:pt x="871960" y="280805"/>
                <a:pt x="908519" y="288696"/>
                <a:pt x="945598" y="289892"/>
              </a:cubicBezTo>
              <a:lnTo>
                <a:pt x="1345924" y="303696"/>
              </a:lnTo>
              <a:cubicBezTo>
                <a:pt x="1380472" y="305341"/>
                <a:pt x="1414946" y="308297"/>
                <a:pt x="1449457" y="310598"/>
              </a:cubicBezTo>
              <a:cubicBezTo>
                <a:pt x="1522394" y="334910"/>
                <a:pt x="1448459" y="312372"/>
                <a:pt x="1628913" y="324403"/>
              </a:cubicBezTo>
              <a:cubicBezTo>
                <a:pt x="1645145" y="325485"/>
                <a:pt x="1661085" y="329287"/>
                <a:pt x="1677228" y="331305"/>
              </a:cubicBezTo>
              <a:cubicBezTo>
                <a:pt x="1697901" y="333889"/>
                <a:pt x="1718641" y="335906"/>
                <a:pt x="1739348" y="338207"/>
              </a:cubicBezTo>
              <a:cubicBezTo>
                <a:pt x="1812971" y="333606"/>
                <a:pt x="1886721" y="330703"/>
                <a:pt x="1960218" y="324403"/>
              </a:cubicBezTo>
              <a:cubicBezTo>
                <a:pt x="1967467" y="323782"/>
                <a:pt x="1973685" y="318224"/>
                <a:pt x="1980924" y="317500"/>
              </a:cubicBezTo>
              <a:cubicBezTo>
                <a:pt x="2042905" y="311302"/>
                <a:pt x="2105208" y="308869"/>
                <a:pt x="2167283" y="303696"/>
              </a:cubicBezTo>
              <a:cubicBezTo>
                <a:pt x="2194892" y="301395"/>
                <a:pt x="2222630" y="300317"/>
                <a:pt x="2250109" y="296794"/>
              </a:cubicBezTo>
              <a:cubicBezTo>
                <a:pt x="2312397" y="288808"/>
                <a:pt x="2436468" y="269185"/>
                <a:pt x="2436468" y="269185"/>
              </a:cubicBezTo>
              <a:cubicBezTo>
                <a:pt x="2482482" y="271486"/>
                <a:pt x="2528575" y="272553"/>
                <a:pt x="2574511" y="276087"/>
              </a:cubicBezTo>
              <a:cubicBezTo>
                <a:pt x="2618337" y="279458"/>
                <a:pt x="2662010" y="284655"/>
                <a:pt x="2705652" y="289892"/>
              </a:cubicBezTo>
              <a:cubicBezTo>
                <a:pt x="2719547" y="291559"/>
                <a:pt x="2733140" y="295402"/>
                <a:pt x="2747065" y="296794"/>
              </a:cubicBezTo>
              <a:cubicBezTo>
                <a:pt x="2779197" y="300007"/>
                <a:pt x="2811486" y="301395"/>
                <a:pt x="2843696" y="303696"/>
              </a:cubicBezTo>
              <a:cubicBezTo>
                <a:pt x="2897873" y="317240"/>
                <a:pt x="2924629" y="324708"/>
                <a:pt x="2995544" y="331305"/>
              </a:cubicBezTo>
              <a:cubicBezTo>
                <a:pt x="3052861" y="336637"/>
                <a:pt x="3110572" y="336115"/>
                <a:pt x="3168098" y="338207"/>
              </a:cubicBezTo>
              <a:lnTo>
                <a:pt x="3375163" y="345109"/>
              </a:lnTo>
              <a:cubicBezTo>
                <a:pt x="3405073" y="354312"/>
                <a:pt x="3437537" y="357520"/>
                <a:pt x="3464892" y="372718"/>
              </a:cubicBezTo>
              <a:cubicBezTo>
                <a:pt x="3505567" y="395316"/>
                <a:pt x="3510189" y="453683"/>
                <a:pt x="3520109" y="490055"/>
              </a:cubicBezTo>
              <a:cubicBezTo>
                <a:pt x="3517808" y="510761"/>
                <a:pt x="3518689" y="532074"/>
                <a:pt x="3513207" y="552174"/>
              </a:cubicBezTo>
              <a:cubicBezTo>
                <a:pt x="3511495" y="558452"/>
                <a:pt x="3504817" y="562369"/>
                <a:pt x="3499402" y="565979"/>
              </a:cubicBezTo>
              <a:cubicBezTo>
                <a:pt x="3483968" y="576268"/>
                <a:pt x="3467973" y="585911"/>
                <a:pt x="3451087" y="593587"/>
              </a:cubicBezTo>
              <a:cubicBezTo>
                <a:pt x="3427993" y="604084"/>
                <a:pt x="3354788" y="606515"/>
                <a:pt x="3347555" y="607392"/>
              </a:cubicBezTo>
              <a:cubicBezTo>
                <a:pt x="2942998" y="656428"/>
                <a:pt x="3491075" y="597542"/>
                <a:pt x="2995544" y="648805"/>
              </a:cubicBezTo>
              <a:cubicBezTo>
                <a:pt x="2961033" y="658008"/>
                <a:pt x="2923957" y="660441"/>
                <a:pt x="2892011" y="676414"/>
              </a:cubicBezTo>
              <a:cubicBezTo>
                <a:pt x="2882808" y="681015"/>
                <a:pt x="2874365" y="687647"/>
                <a:pt x="2864402" y="690218"/>
              </a:cubicBezTo>
              <a:cubicBezTo>
                <a:pt x="2802786" y="706119"/>
                <a:pt x="2740163" y="717827"/>
                <a:pt x="2678044" y="731631"/>
              </a:cubicBezTo>
              <a:cubicBezTo>
                <a:pt x="2596171" y="772566"/>
                <a:pt x="2661691" y="741571"/>
                <a:pt x="2477881" y="800653"/>
              </a:cubicBezTo>
              <a:cubicBezTo>
                <a:pt x="2421521" y="818769"/>
                <a:pt x="2491823" y="799559"/>
                <a:pt x="2367446" y="828261"/>
              </a:cubicBezTo>
              <a:cubicBezTo>
                <a:pt x="2301897" y="871962"/>
                <a:pt x="2350415" y="842873"/>
                <a:pt x="2187989" y="883479"/>
              </a:cubicBezTo>
              <a:cubicBezTo>
                <a:pt x="2176608" y="886324"/>
                <a:pt x="2164607" y="886671"/>
                <a:pt x="2153478" y="890381"/>
              </a:cubicBezTo>
              <a:cubicBezTo>
                <a:pt x="2116181" y="902813"/>
                <a:pt x="2078208" y="914212"/>
                <a:pt x="2043044" y="931794"/>
              </a:cubicBezTo>
              <a:cubicBezTo>
                <a:pt x="1904820" y="1000906"/>
                <a:pt x="2022018" y="968111"/>
                <a:pt x="1946413" y="987011"/>
              </a:cubicBezTo>
              <a:cubicBezTo>
                <a:pt x="1900399" y="1012319"/>
                <a:pt x="1854929" y="1038643"/>
                <a:pt x="1808370" y="1062935"/>
              </a:cubicBezTo>
              <a:cubicBezTo>
                <a:pt x="1801920" y="1066300"/>
                <a:pt x="1793717" y="1065801"/>
                <a:pt x="1787663" y="1069837"/>
              </a:cubicBezTo>
              <a:cubicBezTo>
                <a:pt x="1758948" y="1088980"/>
                <a:pt x="1732667" y="1111548"/>
                <a:pt x="1704837" y="1131957"/>
              </a:cubicBezTo>
              <a:cubicBezTo>
                <a:pt x="1698148" y="1136862"/>
                <a:pt x="1692178" y="1143749"/>
                <a:pt x="1684131" y="1145761"/>
              </a:cubicBezTo>
              <a:cubicBezTo>
                <a:pt x="1645600" y="1155394"/>
                <a:pt x="1605739" y="1158679"/>
                <a:pt x="1566794" y="1166468"/>
              </a:cubicBezTo>
              <a:cubicBezTo>
                <a:pt x="1559660" y="1167895"/>
                <a:pt x="1552774" y="1170504"/>
                <a:pt x="1546087" y="1173370"/>
              </a:cubicBezTo>
              <a:cubicBezTo>
                <a:pt x="1520535" y="1184321"/>
                <a:pt x="1495169" y="1195735"/>
                <a:pt x="1470163" y="1207881"/>
              </a:cubicBezTo>
              <a:cubicBezTo>
                <a:pt x="1414632" y="1234853"/>
                <a:pt x="1359728" y="1263098"/>
                <a:pt x="1304511" y="1290707"/>
              </a:cubicBezTo>
              <a:cubicBezTo>
                <a:pt x="1286105" y="1299910"/>
                <a:pt x="1263846" y="1303766"/>
                <a:pt x="1249294" y="1318316"/>
              </a:cubicBezTo>
              <a:cubicBezTo>
                <a:pt x="1218072" y="1349535"/>
                <a:pt x="1257103" y="1311808"/>
                <a:pt x="1207881" y="1352827"/>
              </a:cubicBezTo>
              <a:cubicBezTo>
                <a:pt x="1202882" y="1356993"/>
                <a:pt x="1199158" y="1362566"/>
                <a:pt x="1194076" y="1366631"/>
              </a:cubicBezTo>
              <a:cubicBezTo>
                <a:pt x="1187598" y="1371813"/>
                <a:pt x="1179847" y="1375253"/>
                <a:pt x="1173370" y="1380435"/>
              </a:cubicBezTo>
              <a:cubicBezTo>
                <a:pt x="1168288" y="1384500"/>
                <a:pt x="1165386" y="1391330"/>
                <a:pt x="1159565" y="1394240"/>
              </a:cubicBezTo>
              <a:cubicBezTo>
                <a:pt x="1146548" y="1400749"/>
                <a:pt x="1089256" y="1407242"/>
                <a:pt x="1083642" y="1408044"/>
              </a:cubicBezTo>
              <a:cubicBezTo>
                <a:pt x="1019527" y="1386673"/>
                <a:pt x="1120564" y="1418415"/>
                <a:pt x="959402" y="1394240"/>
              </a:cubicBezTo>
              <a:cubicBezTo>
                <a:pt x="947149" y="1392402"/>
                <a:pt x="924892" y="1380435"/>
                <a:pt x="924892" y="1380435"/>
              </a:cubicBezTo>
            </a:path>
          </a:pathLst>
        </a:custGeom>
        <a:solidFill>
          <a:srgbClr val="FF000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64</xdr:col>
      <xdr:colOff>543719</xdr:colOff>
      <xdr:row>8</xdr:row>
      <xdr:rowOff>130969</xdr:rowOff>
    </xdr:from>
    <xdr:to>
      <xdr:col>70</xdr:col>
      <xdr:colOff>230479</xdr:colOff>
      <xdr:row>19</xdr:row>
      <xdr:rowOff>156739</xdr:rowOff>
    </xdr:to>
    <xdr:sp macro="" textlink="">
      <xdr:nvSpPr>
        <xdr:cNvPr id="15" name="Freeform: Shape 14">
          <a:extLst>
            <a:ext uri="{FF2B5EF4-FFF2-40B4-BE49-F238E27FC236}">
              <a16:creationId xmlns:a16="http://schemas.microsoft.com/office/drawing/2014/main" id="{B62B81B9-1C7B-4E0D-A72D-CFEC7066CADD}"/>
            </a:ext>
          </a:extLst>
        </xdr:cNvPr>
        <xdr:cNvSpPr/>
      </xdr:nvSpPr>
      <xdr:spPr>
        <a:xfrm>
          <a:off x="24499094" y="1833563"/>
          <a:ext cx="3353885" cy="1990301"/>
        </a:xfrm>
        <a:custGeom>
          <a:avLst/>
          <a:gdLst>
            <a:gd name="connsiteX0" fmla="*/ 0 w 3353885"/>
            <a:gd name="connsiteY0" fmla="*/ 150812 h 1990301"/>
            <a:gd name="connsiteX1" fmla="*/ 15875 w 3353885"/>
            <a:gd name="connsiteY1" fmla="*/ 261937 h 1990301"/>
            <a:gd name="connsiteX2" fmla="*/ 19844 w 3353885"/>
            <a:gd name="connsiteY2" fmla="*/ 273843 h 1990301"/>
            <a:gd name="connsiteX3" fmla="*/ 107156 w 3353885"/>
            <a:gd name="connsiteY3" fmla="*/ 373062 h 1990301"/>
            <a:gd name="connsiteX4" fmla="*/ 150812 w 3353885"/>
            <a:gd name="connsiteY4" fmla="*/ 420687 h 1990301"/>
            <a:gd name="connsiteX5" fmla="*/ 162719 w 3353885"/>
            <a:gd name="connsiteY5" fmla="*/ 432593 h 1990301"/>
            <a:gd name="connsiteX6" fmla="*/ 186531 w 3353885"/>
            <a:gd name="connsiteY6" fmla="*/ 460375 h 1990301"/>
            <a:gd name="connsiteX7" fmla="*/ 242094 w 3353885"/>
            <a:gd name="connsiteY7" fmla="*/ 496093 h 1990301"/>
            <a:gd name="connsiteX8" fmla="*/ 301625 w 3353885"/>
            <a:gd name="connsiteY8" fmla="*/ 543718 h 1990301"/>
            <a:gd name="connsiteX9" fmla="*/ 305594 w 3353885"/>
            <a:gd name="connsiteY9" fmla="*/ 555625 h 1990301"/>
            <a:gd name="connsiteX10" fmla="*/ 381000 w 3353885"/>
            <a:gd name="connsiteY10" fmla="*/ 619125 h 1990301"/>
            <a:gd name="connsiteX11" fmla="*/ 448469 w 3353885"/>
            <a:gd name="connsiteY11" fmla="*/ 642937 h 1990301"/>
            <a:gd name="connsiteX12" fmla="*/ 492125 w 3353885"/>
            <a:gd name="connsiteY12" fmla="*/ 686593 h 1990301"/>
            <a:gd name="connsiteX13" fmla="*/ 496094 w 3353885"/>
            <a:gd name="connsiteY13" fmla="*/ 698500 h 1990301"/>
            <a:gd name="connsiteX14" fmla="*/ 547687 w 3353885"/>
            <a:gd name="connsiteY14" fmla="*/ 762000 h 1990301"/>
            <a:gd name="connsiteX15" fmla="*/ 615156 w 3353885"/>
            <a:gd name="connsiteY15" fmla="*/ 797718 h 1990301"/>
            <a:gd name="connsiteX16" fmla="*/ 662781 w 3353885"/>
            <a:gd name="connsiteY16" fmla="*/ 885031 h 1990301"/>
            <a:gd name="connsiteX17" fmla="*/ 678656 w 3353885"/>
            <a:gd name="connsiteY17" fmla="*/ 924718 h 1990301"/>
            <a:gd name="connsiteX18" fmla="*/ 718344 w 3353885"/>
            <a:gd name="connsiteY18" fmla="*/ 956468 h 1990301"/>
            <a:gd name="connsiteX19" fmla="*/ 730250 w 3353885"/>
            <a:gd name="connsiteY19" fmla="*/ 964406 h 1990301"/>
            <a:gd name="connsiteX20" fmla="*/ 797719 w 3353885"/>
            <a:gd name="connsiteY20" fmla="*/ 1000125 h 1990301"/>
            <a:gd name="connsiteX21" fmla="*/ 845344 w 3353885"/>
            <a:gd name="connsiteY21" fmla="*/ 1059656 h 1990301"/>
            <a:gd name="connsiteX22" fmla="*/ 928687 w 3353885"/>
            <a:gd name="connsiteY22" fmla="*/ 1107281 h 1990301"/>
            <a:gd name="connsiteX23" fmla="*/ 952500 w 3353885"/>
            <a:gd name="connsiteY23" fmla="*/ 1115218 h 1990301"/>
            <a:gd name="connsiteX24" fmla="*/ 1107281 w 3353885"/>
            <a:gd name="connsiteY24" fmla="*/ 1210468 h 1990301"/>
            <a:gd name="connsiteX25" fmla="*/ 1198562 w 3353885"/>
            <a:gd name="connsiteY25" fmla="*/ 1273968 h 1990301"/>
            <a:gd name="connsiteX26" fmla="*/ 1293812 w 3353885"/>
            <a:gd name="connsiteY26" fmla="*/ 1313656 h 1990301"/>
            <a:gd name="connsiteX27" fmla="*/ 1305719 w 3353885"/>
            <a:gd name="connsiteY27" fmla="*/ 1321593 h 1990301"/>
            <a:gd name="connsiteX28" fmla="*/ 1353344 w 3353885"/>
            <a:gd name="connsiteY28" fmla="*/ 1369218 h 1990301"/>
            <a:gd name="connsiteX29" fmla="*/ 1488281 w 3353885"/>
            <a:gd name="connsiteY29" fmla="*/ 1448593 h 1990301"/>
            <a:gd name="connsiteX30" fmla="*/ 1524000 w 3353885"/>
            <a:gd name="connsiteY30" fmla="*/ 1464468 h 1990301"/>
            <a:gd name="connsiteX31" fmla="*/ 1627187 w 3353885"/>
            <a:gd name="connsiteY31" fmla="*/ 1496218 h 1990301"/>
            <a:gd name="connsiteX32" fmla="*/ 1706562 w 3353885"/>
            <a:gd name="connsiteY32" fmla="*/ 1543843 h 1990301"/>
            <a:gd name="connsiteX33" fmla="*/ 1734344 w 3353885"/>
            <a:gd name="connsiteY33" fmla="*/ 1555750 h 1990301"/>
            <a:gd name="connsiteX34" fmla="*/ 1837531 w 3353885"/>
            <a:gd name="connsiteY34" fmla="*/ 1595437 h 1990301"/>
            <a:gd name="connsiteX35" fmla="*/ 1893094 w 3353885"/>
            <a:gd name="connsiteY35" fmla="*/ 1615281 h 1990301"/>
            <a:gd name="connsiteX36" fmla="*/ 2004219 w 3353885"/>
            <a:gd name="connsiteY36" fmla="*/ 1658937 h 1990301"/>
            <a:gd name="connsiteX37" fmla="*/ 2115344 w 3353885"/>
            <a:gd name="connsiteY37" fmla="*/ 1730375 h 1990301"/>
            <a:gd name="connsiteX38" fmla="*/ 2135187 w 3353885"/>
            <a:gd name="connsiteY38" fmla="*/ 1742281 h 1990301"/>
            <a:gd name="connsiteX39" fmla="*/ 2178844 w 3353885"/>
            <a:gd name="connsiteY39" fmla="*/ 1770062 h 1990301"/>
            <a:gd name="connsiteX40" fmla="*/ 2190750 w 3353885"/>
            <a:gd name="connsiteY40" fmla="*/ 1778000 h 1990301"/>
            <a:gd name="connsiteX41" fmla="*/ 2282031 w 3353885"/>
            <a:gd name="connsiteY41" fmla="*/ 1805781 h 1990301"/>
            <a:gd name="connsiteX42" fmla="*/ 2297906 w 3353885"/>
            <a:gd name="connsiteY42" fmla="*/ 1813718 h 1990301"/>
            <a:gd name="connsiteX43" fmla="*/ 2373312 w 3353885"/>
            <a:gd name="connsiteY43" fmla="*/ 1857375 h 1990301"/>
            <a:gd name="connsiteX44" fmla="*/ 2448719 w 3353885"/>
            <a:gd name="connsiteY44" fmla="*/ 1893093 h 1990301"/>
            <a:gd name="connsiteX45" fmla="*/ 2464594 w 3353885"/>
            <a:gd name="connsiteY45" fmla="*/ 1901031 h 1990301"/>
            <a:gd name="connsiteX46" fmla="*/ 2528094 w 3353885"/>
            <a:gd name="connsiteY46" fmla="*/ 1924843 h 1990301"/>
            <a:gd name="connsiteX47" fmla="*/ 2540000 w 3353885"/>
            <a:gd name="connsiteY47" fmla="*/ 1928812 h 1990301"/>
            <a:gd name="connsiteX48" fmla="*/ 2635250 w 3353885"/>
            <a:gd name="connsiteY48" fmla="*/ 1944687 h 1990301"/>
            <a:gd name="connsiteX49" fmla="*/ 2682875 w 3353885"/>
            <a:gd name="connsiteY49" fmla="*/ 1956593 h 1990301"/>
            <a:gd name="connsiteX50" fmla="*/ 2694781 w 3353885"/>
            <a:gd name="connsiteY50" fmla="*/ 1960562 h 1990301"/>
            <a:gd name="connsiteX51" fmla="*/ 2801937 w 3353885"/>
            <a:gd name="connsiteY51" fmla="*/ 1972468 h 1990301"/>
            <a:gd name="connsiteX52" fmla="*/ 2817812 w 3353885"/>
            <a:gd name="connsiteY52" fmla="*/ 1976437 h 1990301"/>
            <a:gd name="connsiteX53" fmla="*/ 2940844 w 3353885"/>
            <a:gd name="connsiteY53" fmla="*/ 1984375 h 1990301"/>
            <a:gd name="connsiteX54" fmla="*/ 3020219 w 3353885"/>
            <a:gd name="connsiteY54" fmla="*/ 1984375 h 1990301"/>
            <a:gd name="connsiteX55" fmla="*/ 3103562 w 3353885"/>
            <a:gd name="connsiteY55" fmla="*/ 1980406 h 1990301"/>
            <a:gd name="connsiteX56" fmla="*/ 3159125 w 3353885"/>
            <a:gd name="connsiteY56" fmla="*/ 1968500 h 1990301"/>
            <a:gd name="connsiteX57" fmla="*/ 3171031 w 3353885"/>
            <a:gd name="connsiteY57" fmla="*/ 1964531 h 1990301"/>
            <a:gd name="connsiteX58" fmla="*/ 3278187 w 3353885"/>
            <a:gd name="connsiteY58" fmla="*/ 1885156 h 1990301"/>
            <a:gd name="connsiteX59" fmla="*/ 3294062 w 3353885"/>
            <a:gd name="connsiteY59" fmla="*/ 1873250 h 1990301"/>
            <a:gd name="connsiteX60" fmla="*/ 3333750 w 3353885"/>
            <a:gd name="connsiteY60" fmla="*/ 1821656 h 1990301"/>
            <a:gd name="connsiteX61" fmla="*/ 3345656 w 3353885"/>
            <a:gd name="connsiteY61" fmla="*/ 1785937 h 1990301"/>
            <a:gd name="connsiteX62" fmla="*/ 3353594 w 3353885"/>
            <a:gd name="connsiteY62" fmla="*/ 1766093 h 1990301"/>
            <a:gd name="connsiteX63" fmla="*/ 3349625 w 3353885"/>
            <a:gd name="connsiteY63" fmla="*/ 1535906 h 1990301"/>
            <a:gd name="connsiteX64" fmla="*/ 3341687 w 3353885"/>
            <a:gd name="connsiteY64" fmla="*/ 1377156 h 1990301"/>
            <a:gd name="connsiteX65" fmla="*/ 3333750 w 3353885"/>
            <a:gd name="connsiteY65" fmla="*/ 1321593 h 1990301"/>
            <a:gd name="connsiteX66" fmla="*/ 3321844 w 3353885"/>
            <a:gd name="connsiteY66" fmla="*/ 1301750 h 1990301"/>
            <a:gd name="connsiteX67" fmla="*/ 3242469 w 3353885"/>
            <a:gd name="connsiteY67" fmla="*/ 1270000 h 1990301"/>
            <a:gd name="connsiteX68" fmla="*/ 3159125 w 3353885"/>
            <a:gd name="connsiteY68" fmla="*/ 1301750 h 1990301"/>
            <a:gd name="connsiteX69" fmla="*/ 3147219 w 3353885"/>
            <a:gd name="connsiteY69" fmla="*/ 1305718 h 1990301"/>
            <a:gd name="connsiteX70" fmla="*/ 3115469 w 3353885"/>
            <a:gd name="connsiteY70" fmla="*/ 1321593 h 1990301"/>
            <a:gd name="connsiteX71" fmla="*/ 3103562 w 3353885"/>
            <a:gd name="connsiteY71" fmla="*/ 1325562 h 1990301"/>
            <a:gd name="connsiteX72" fmla="*/ 3020219 w 3353885"/>
            <a:gd name="connsiteY72" fmla="*/ 1357312 h 1990301"/>
            <a:gd name="connsiteX73" fmla="*/ 2901156 w 3353885"/>
            <a:gd name="connsiteY73" fmla="*/ 1341437 h 1990301"/>
            <a:gd name="connsiteX74" fmla="*/ 2889250 w 3353885"/>
            <a:gd name="connsiteY74" fmla="*/ 1337468 h 1990301"/>
            <a:gd name="connsiteX75" fmla="*/ 2837656 w 3353885"/>
            <a:gd name="connsiteY75" fmla="*/ 1325562 h 1990301"/>
            <a:gd name="connsiteX76" fmla="*/ 2825750 w 3353885"/>
            <a:gd name="connsiteY76" fmla="*/ 1321593 h 1990301"/>
            <a:gd name="connsiteX77" fmla="*/ 2782094 w 3353885"/>
            <a:gd name="connsiteY77" fmla="*/ 1309687 h 1990301"/>
            <a:gd name="connsiteX78" fmla="*/ 2762250 w 3353885"/>
            <a:gd name="connsiteY78" fmla="*/ 1305718 h 1990301"/>
            <a:gd name="connsiteX79" fmla="*/ 2686844 w 3353885"/>
            <a:gd name="connsiteY79" fmla="*/ 1293812 h 1990301"/>
            <a:gd name="connsiteX80" fmla="*/ 2595562 w 3353885"/>
            <a:gd name="connsiteY80" fmla="*/ 1277937 h 1990301"/>
            <a:gd name="connsiteX81" fmla="*/ 2563812 w 3353885"/>
            <a:gd name="connsiteY81" fmla="*/ 1273968 h 1990301"/>
            <a:gd name="connsiteX82" fmla="*/ 2516187 w 3353885"/>
            <a:gd name="connsiteY82" fmla="*/ 1262062 h 1990301"/>
            <a:gd name="connsiteX83" fmla="*/ 2504281 w 3353885"/>
            <a:gd name="connsiteY83" fmla="*/ 1258093 h 1990301"/>
            <a:gd name="connsiteX84" fmla="*/ 2389187 w 3353885"/>
            <a:gd name="connsiteY84" fmla="*/ 1230312 h 1990301"/>
            <a:gd name="connsiteX85" fmla="*/ 2373312 w 3353885"/>
            <a:gd name="connsiteY85" fmla="*/ 1222375 h 1990301"/>
            <a:gd name="connsiteX86" fmla="*/ 2222500 w 3353885"/>
            <a:gd name="connsiteY86" fmla="*/ 1178718 h 1990301"/>
            <a:gd name="connsiteX87" fmla="*/ 2174875 w 3353885"/>
            <a:gd name="connsiteY87" fmla="*/ 1166812 h 1990301"/>
            <a:gd name="connsiteX88" fmla="*/ 2155031 w 3353885"/>
            <a:gd name="connsiteY88" fmla="*/ 1158875 h 1990301"/>
            <a:gd name="connsiteX89" fmla="*/ 2139156 w 3353885"/>
            <a:gd name="connsiteY89" fmla="*/ 1154906 h 1990301"/>
            <a:gd name="connsiteX90" fmla="*/ 2028031 w 3353885"/>
            <a:gd name="connsiteY90" fmla="*/ 1131093 h 1990301"/>
            <a:gd name="connsiteX91" fmla="*/ 1996281 w 3353885"/>
            <a:gd name="connsiteY91" fmla="*/ 1123156 h 1990301"/>
            <a:gd name="connsiteX92" fmla="*/ 1893094 w 3353885"/>
            <a:gd name="connsiteY92" fmla="*/ 1099343 h 1990301"/>
            <a:gd name="connsiteX93" fmla="*/ 1873250 w 3353885"/>
            <a:gd name="connsiteY93" fmla="*/ 1095375 h 1990301"/>
            <a:gd name="connsiteX94" fmla="*/ 1774031 w 3353885"/>
            <a:gd name="connsiteY94" fmla="*/ 1071562 h 1990301"/>
            <a:gd name="connsiteX95" fmla="*/ 1662906 w 3353885"/>
            <a:gd name="connsiteY95" fmla="*/ 1031875 h 1990301"/>
            <a:gd name="connsiteX96" fmla="*/ 1647031 w 3353885"/>
            <a:gd name="connsiteY96" fmla="*/ 1023937 h 1990301"/>
            <a:gd name="connsiteX97" fmla="*/ 1516062 w 3353885"/>
            <a:gd name="connsiteY97" fmla="*/ 988218 h 1990301"/>
            <a:gd name="connsiteX98" fmla="*/ 1424781 w 3353885"/>
            <a:gd name="connsiteY98" fmla="*/ 968375 h 1990301"/>
            <a:gd name="connsiteX99" fmla="*/ 1341437 w 3353885"/>
            <a:gd name="connsiteY99" fmla="*/ 952500 h 1990301"/>
            <a:gd name="connsiteX100" fmla="*/ 1178719 w 3353885"/>
            <a:gd name="connsiteY100" fmla="*/ 881062 h 1990301"/>
            <a:gd name="connsiteX101" fmla="*/ 1119187 w 3353885"/>
            <a:gd name="connsiteY101" fmla="*/ 837406 h 1990301"/>
            <a:gd name="connsiteX102" fmla="*/ 1027906 w 3353885"/>
            <a:gd name="connsiteY102" fmla="*/ 797718 h 1990301"/>
            <a:gd name="connsiteX103" fmla="*/ 988219 w 3353885"/>
            <a:gd name="connsiteY103" fmla="*/ 769937 h 1990301"/>
            <a:gd name="connsiteX104" fmla="*/ 928687 w 3353885"/>
            <a:gd name="connsiteY104" fmla="*/ 738187 h 1990301"/>
            <a:gd name="connsiteX105" fmla="*/ 873125 w 3353885"/>
            <a:gd name="connsiteY105" fmla="*/ 682625 h 1990301"/>
            <a:gd name="connsiteX106" fmla="*/ 837406 w 3353885"/>
            <a:gd name="connsiteY106" fmla="*/ 631031 h 1990301"/>
            <a:gd name="connsiteX107" fmla="*/ 793750 w 3353885"/>
            <a:gd name="connsiteY107" fmla="*/ 591343 h 1990301"/>
            <a:gd name="connsiteX108" fmla="*/ 781844 w 3353885"/>
            <a:gd name="connsiteY108" fmla="*/ 587375 h 1990301"/>
            <a:gd name="connsiteX109" fmla="*/ 730250 w 3353885"/>
            <a:gd name="connsiteY109" fmla="*/ 555625 h 1990301"/>
            <a:gd name="connsiteX110" fmla="*/ 722312 w 3353885"/>
            <a:gd name="connsiteY110" fmla="*/ 543718 h 1990301"/>
            <a:gd name="connsiteX111" fmla="*/ 682625 w 3353885"/>
            <a:gd name="connsiteY111" fmla="*/ 492125 h 1990301"/>
            <a:gd name="connsiteX112" fmla="*/ 678656 w 3353885"/>
            <a:gd name="connsiteY112" fmla="*/ 480218 h 1990301"/>
            <a:gd name="connsiteX113" fmla="*/ 635000 w 3353885"/>
            <a:gd name="connsiteY113" fmla="*/ 424656 h 1990301"/>
            <a:gd name="connsiteX114" fmla="*/ 571500 w 3353885"/>
            <a:gd name="connsiteY114" fmla="*/ 381000 h 1990301"/>
            <a:gd name="connsiteX115" fmla="*/ 515937 w 3353885"/>
            <a:gd name="connsiteY115" fmla="*/ 301625 h 1990301"/>
            <a:gd name="connsiteX116" fmla="*/ 472281 w 3353885"/>
            <a:gd name="connsiteY116" fmla="*/ 226218 h 1990301"/>
            <a:gd name="connsiteX117" fmla="*/ 464344 w 3353885"/>
            <a:gd name="connsiteY117" fmla="*/ 214312 h 1990301"/>
            <a:gd name="connsiteX118" fmla="*/ 404812 w 3353885"/>
            <a:gd name="connsiteY118" fmla="*/ 154781 h 1990301"/>
            <a:gd name="connsiteX119" fmla="*/ 357187 w 3353885"/>
            <a:gd name="connsiteY119" fmla="*/ 123031 h 1990301"/>
            <a:gd name="connsiteX120" fmla="*/ 277812 w 3353885"/>
            <a:gd name="connsiteY120" fmla="*/ 63500 h 1990301"/>
            <a:gd name="connsiteX121" fmla="*/ 242094 w 3353885"/>
            <a:gd name="connsiteY121" fmla="*/ 47625 h 1990301"/>
            <a:gd name="connsiteX122" fmla="*/ 170656 w 3353885"/>
            <a:gd name="connsiteY122" fmla="*/ 0 h 1990301"/>
            <a:gd name="connsiteX123" fmla="*/ 146844 w 3353885"/>
            <a:gd name="connsiteY123" fmla="*/ 3968 h 1990301"/>
            <a:gd name="connsiteX124" fmla="*/ 91281 w 3353885"/>
            <a:gd name="connsiteY124" fmla="*/ 11906 h 1990301"/>
            <a:gd name="connsiteX125" fmla="*/ 79375 w 3353885"/>
            <a:gd name="connsiteY125" fmla="*/ 15875 h 1990301"/>
            <a:gd name="connsiteX126" fmla="*/ 35719 w 3353885"/>
            <a:gd name="connsiteY126" fmla="*/ 39687 h 1990301"/>
            <a:gd name="connsiteX127" fmla="*/ 11906 w 3353885"/>
            <a:gd name="connsiteY127" fmla="*/ 130968 h 1990301"/>
            <a:gd name="connsiteX128" fmla="*/ 7937 w 3353885"/>
            <a:gd name="connsiteY128" fmla="*/ 186531 h 1990301"/>
            <a:gd name="connsiteX129" fmla="*/ 3969 w 3353885"/>
            <a:gd name="connsiteY129" fmla="*/ 202406 h 199030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 ang="0">
              <a:pos x="connsiteX76" y="connsiteY76"/>
            </a:cxn>
            <a:cxn ang="0">
              <a:pos x="connsiteX77" y="connsiteY77"/>
            </a:cxn>
            <a:cxn ang="0">
              <a:pos x="connsiteX78" y="connsiteY78"/>
            </a:cxn>
            <a:cxn ang="0">
              <a:pos x="connsiteX79" y="connsiteY79"/>
            </a:cxn>
            <a:cxn ang="0">
              <a:pos x="connsiteX80" y="connsiteY80"/>
            </a:cxn>
            <a:cxn ang="0">
              <a:pos x="connsiteX81" y="connsiteY81"/>
            </a:cxn>
            <a:cxn ang="0">
              <a:pos x="connsiteX82" y="connsiteY82"/>
            </a:cxn>
            <a:cxn ang="0">
              <a:pos x="connsiteX83" y="connsiteY83"/>
            </a:cxn>
            <a:cxn ang="0">
              <a:pos x="connsiteX84" y="connsiteY84"/>
            </a:cxn>
            <a:cxn ang="0">
              <a:pos x="connsiteX85" y="connsiteY85"/>
            </a:cxn>
            <a:cxn ang="0">
              <a:pos x="connsiteX86" y="connsiteY86"/>
            </a:cxn>
            <a:cxn ang="0">
              <a:pos x="connsiteX87" y="connsiteY87"/>
            </a:cxn>
            <a:cxn ang="0">
              <a:pos x="connsiteX88" y="connsiteY88"/>
            </a:cxn>
            <a:cxn ang="0">
              <a:pos x="connsiteX89" y="connsiteY89"/>
            </a:cxn>
            <a:cxn ang="0">
              <a:pos x="connsiteX90" y="connsiteY90"/>
            </a:cxn>
            <a:cxn ang="0">
              <a:pos x="connsiteX91" y="connsiteY91"/>
            </a:cxn>
            <a:cxn ang="0">
              <a:pos x="connsiteX92" y="connsiteY92"/>
            </a:cxn>
            <a:cxn ang="0">
              <a:pos x="connsiteX93" y="connsiteY93"/>
            </a:cxn>
            <a:cxn ang="0">
              <a:pos x="connsiteX94" y="connsiteY94"/>
            </a:cxn>
            <a:cxn ang="0">
              <a:pos x="connsiteX95" y="connsiteY95"/>
            </a:cxn>
            <a:cxn ang="0">
              <a:pos x="connsiteX96" y="connsiteY96"/>
            </a:cxn>
            <a:cxn ang="0">
              <a:pos x="connsiteX97" y="connsiteY97"/>
            </a:cxn>
            <a:cxn ang="0">
              <a:pos x="connsiteX98" y="connsiteY98"/>
            </a:cxn>
            <a:cxn ang="0">
              <a:pos x="connsiteX99" y="connsiteY99"/>
            </a:cxn>
            <a:cxn ang="0">
              <a:pos x="connsiteX100" y="connsiteY100"/>
            </a:cxn>
            <a:cxn ang="0">
              <a:pos x="connsiteX101" y="connsiteY101"/>
            </a:cxn>
            <a:cxn ang="0">
              <a:pos x="connsiteX102" y="connsiteY102"/>
            </a:cxn>
            <a:cxn ang="0">
              <a:pos x="connsiteX103" y="connsiteY103"/>
            </a:cxn>
            <a:cxn ang="0">
              <a:pos x="connsiteX104" y="connsiteY104"/>
            </a:cxn>
            <a:cxn ang="0">
              <a:pos x="connsiteX105" y="connsiteY105"/>
            </a:cxn>
            <a:cxn ang="0">
              <a:pos x="connsiteX106" y="connsiteY106"/>
            </a:cxn>
            <a:cxn ang="0">
              <a:pos x="connsiteX107" y="connsiteY107"/>
            </a:cxn>
            <a:cxn ang="0">
              <a:pos x="connsiteX108" y="connsiteY108"/>
            </a:cxn>
            <a:cxn ang="0">
              <a:pos x="connsiteX109" y="connsiteY109"/>
            </a:cxn>
            <a:cxn ang="0">
              <a:pos x="connsiteX110" y="connsiteY110"/>
            </a:cxn>
            <a:cxn ang="0">
              <a:pos x="connsiteX111" y="connsiteY111"/>
            </a:cxn>
            <a:cxn ang="0">
              <a:pos x="connsiteX112" y="connsiteY112"/>
            </a:cxn>
            <a:cxn ang="0">
              <a:pos x="connsiteX113" y="connsiteY113"/>
            </a:cxn>
            <a:cxn ang="0">
              <a:pos x="connsiteX114" y="connsiteY114"/>
            </a:cxn>
            <a:cxn ang="0">
              <a:pos x="connsiteX115" y="connsiteY115"/>
            </a:cxn>
            <a:cxn ang="0">
              <a:pos x="connsiteX116" y="connsiteY116"/>
            </a:cxn>
            <a:cxn ang="0">
              <a:pos x="connsiteX117" y="connsiteY117"/>
            </a:cxn>
            <a:cxn ang="0">
              <a:pos x="connsiteX118" y="connsiteY118"/>
            </a:cxn>
            <a:cxn ang="0">
              <a:pos x="connsiteX119" y="connsiteY119"/>
            </a:cxn>
            <a:cxn ang="0">
              <a:pos x="connsiteX120" y="connsiteY120"/>
            </a:cxn>
            <a:cxn ang="0">
              <a:pos x="connsiteX121" y="connsiteY121"/>
            </a:cxn>
            <a:cxn ang="0">
              <a:pos x="connsiteX122" y="connsiteY122"/>
            </a:cxn>
            <a:cxn ang="0">
              <a:pos x="connsiteX123" y="connsiteY123"/>
            </a:cxn>
            <a:cxn ang="0">
              <a:pos x="connsiteX124" y="connsiteY124"/>
            </a:cxn>
            <a:cxn ang="0">
              <a:pos x="connsiteX125" y="connsiteY125"/>
            </a:cxn>
            <a:cxn ang="0">
              <a:pos x="connsiteX126" y="connsiteY126"/>
            </a:cxn>
            <a:cxn ang="0">
              <a:pos x="connsiteX127" y="connsiteY127"/>
            </a:cxn>
            <a:cxn ang="0">
              <a:pos x="connsiteX128" y="connsiteY128"/>
            </a:cxn>
            <a:cxn ang="0">
              <a:pos x="connsiteX129" y="connsiteY129"/>
            </a:cxn>
          </a:cxnLst>
          <a:rect l="l" t="t" r="r" b="b"/>
          <a:pathLst>
            <a:path w="3353885" h="1990301">
              <a:moveTo>
                <a:pt x="0" y="150812"/>
              </a:moveTo>
              <a:cubicBezTo>
                <a:pt x="5292" y="187854"/>
                <a:pt x="9917" y="224997"/>
                <a:pt x="15875" y="261937"/>
              </a:cubicBezTo>
              <a:cubicBezTo>
                <a:pt x="16541" y="266067"/>
                <a:pt x="17652" y="270280"/>
                <a:pt x="19844" y="273843"/>
              </a:cubicBezTo>
              <a:cubicBezTo>
                <a:pt x="51704" y="325616"/>
                <a:pt x="57085" y="321065"/>
                <a:pt x="107156" y="373062"/>
              </a:cubicBezTo>
              <a:cubicBezTo>
                <a:pt x="122094" y="388574"/>
                <a:pt x="136118" y="404943"/>
                <a:pt x="150812" y="420687"/>
              </a:cubicBezTo>
              <a:cubicBezTo>
                <a:pt x="154642" y="424790"/>
                <a:pt x="159066" y="428331"/>
                <a:pt x="162719" y="432593"/>
              </a:cubicBezTo>
              <a:cubicBezTo>
                <a:pt x="170656" y="441854"/>
                <a:pt x="177007" y="452756"/>
                <a:pt x="186531" y="460375"/>
              </a:cubicBezTo>
              <a:cubicBezTo>
                <a:pt x="203724" y="474129"/>
                <a:pt x="224901" y="482339"/>
                <a:pt x="242094" y="496093"/>
              </a:cubicBezTo>
              <a:lnTo>
                <a:pt x="301625" y="543718"/>
              </a:lnTo>
              <a:cubicBezTo>
                <a:pt x="302948" y="547687"/>
                <a:pt x="302945" y="552387"/>
                <a:pt x="305594" y="555625"/>
              </a:cubicBezTo>
              <a:cubicBezTo>
                <a:pt x="321787" y="575417"/>
                <a:pt x="359239" y="608244"/>
                <a:pt x="381000" y="619125"/>
              </a:cubicBezTo>
              <a:cubicBezTo>
                <a:pt x="402331" y="629791"/>
                <a:pt x="448469" y="642937"/>
                <a:pt x="448469" y="642937"/>
              </a:cubicBezTo>
              <a:cubicBezTo>
                <a:pt x="463021" y="657489"/>
                <a:pt x="478732" y="670968"/>
                <a:pt x="492125" y="686593"/>
              </a:cubicBezTo>
              <a:cubicBezTo>
                <a:pt x="494848" y="689770"/>
                <a:pt x="494111" y="694816"/>
                <a:pt x="496094" y="698500"/>
              </a:cubicBezTo>
              <a:cubicBezTo>
                <a:pt x="512117" y="728257"/>
                <a:pt x="519312" y="744265"/>
                <a:pt x="547687" y="762000"/>
              </a:cubicBezTo>
              <a:cubicBezTo>
                <a:pt x="569266" y="775487"/>
                <a:pt x="615156" y="797718"/>
                <a:pt x="615156" y="797718"/>
              </a:cubicBezTo>
              <a:cubicBezTo>
                <a:pt x="637442" y="831148"/>
                <a:pt x="629253" y="817974"/>
                <a:pt x="662781" y="885031"/>
              </a:cubicBezTo>
              <a:cubicBezTo>
                <a:pt x="670545" y="900559"/>
                <a:pt x="663636" y="907387"/>
                <a:pt x="678656" y="924718"/>
              </a:cubicBezTo>
              <a:cubicBezTo>
                <a:pt x="689752" y="937521"/>
                <a:pt x="704916" y="946138"/>
                <a:pt x="718344" y="956468"/>
              </a:cubicBezTo>
              <a:cubicBezTo>
                <a:pt x="722125" y="959376"/>
                <a:pt x="726071" y="962107"/>
                <a:pt x="730250" y="964406"/>
              </a:cubicBezTo>
              <a:cubicBezTo>
                <a:pt x="752547" y="976670"/>
                <a:pt x="775229" y="988219"/>
                <a:pt x="797719" y="1000125"/>
              </a:cubicBezTo>
              <a:cubicBezTo>
                <a:pt x="813594" y="1019969"/>
                <a:pt x="823280" y="1047048"/>
                <a:pt x="845344" y="1059656"/>
              </a:cubicBezTo>
              <a:cubicBezTo>
                <a:pt x="873125" y="1075531"/>
                <a:pt x="900282" y="1092552"/>
                <a:pt x="928687" y="1107281"/>
              </a:cubicBezTo>
              <a:cubicBezTo>
                <a:pt x="936115" y="1111132"/>
                <a:pt x="945259" y="1111026"/>
                <a:pt x="952500" y="1115218"/>
              </a:cubicBezTo>
              <a:cubicBezTo>
                <a:pt x="1052370" y="1173039"/>
                <a:pt x="1006646" y="1144837"/>
                <a:pt x="1107281" y="1210468"/>
              </a:cubicBezTo>
              <a:cubicBezTo>
                <a:pt x="1138327" y="1230716"/>
                <a:pt x="1165410" y="1257391"/>
                <a:pt x="1198562" y="1273968"/>
              </a:cubicBezTo>
              <a:cubicBezTo>
                <a:pt x="1260598" y="1304987"/>
                <a:pt x="1169851" y="1260531"/>
                <a:pt x="1293812" y="1313656"/>
              </a:cubicBezTo>
              <a:cubicBezTo>
                <a:pt x="1298196" y="1315535"/>
                <a:pt x="1302232" y="1318338"/>
                <a:pt x="1305719" y="1321593"/>
              </a:cubicBezTo>
              <a:cubicBezTo>
                <a:pt x="1322132" y="1336911"/>
                <a:pt x="1335549" y="1355529"/>
                <a:pt x="1353344" y="1369218"/>
              </a:cubicBezTo>
              <a:cubicBezTo>
                <a:pt x="1427042" y="1425910"/>
                <a:pt x="1388587" y="1402070"/>
                <a:pt x="1488281" y="1448593"/>
              </a:cubicBezTo>
              <a:cubicBezTo>
                <a:pt x="1500088" y="1454103"/>
                <a:pt x="1511547" y="1460636"/>
                <a:pt x="1524000" y="1464468"/>
              </a:cubicBezTo>
              <a:cubicBezTo>
                <a:pt x="1558396" y="1475051"/>
                <a:pt x="1595000" y="1480123"/>
                <a:pt x="1627187" y="1496218"/>
              </a:cubicBezTo>
              <a:cubicBezTo>
                <a:pt x="1669447" y="1517349"/>
                <a:pt x="1620916" y="1492455"/>
                <a:pt x="1706562" y="1543843"/>
              </a:cubicBezTo>
              <a:cubicBezTo>
                <a:pt x="1722454" y="1553378"/>
                <a:pt x="1719458" y="1550104"/>
                <a:pt x="1734344" y="1555750"/>
              </a:cubicBezTo>
              <a:lnTo>
                <a:pt x="1837531" y="1595437"/>
              </a:lnTo>
              <a:cubicBezTo>
                <a:pt x="1855946" y="1602342"/>
                <a:pt x="1874548" y="1608735"/>
                <a:pt x="1893094" y="1615281"/>
              </a:cubicBezTo>
              <a:cubicBezTo>
                <a:pt x="1932693" y="1629257"/>
                <a:pt x="1960752" y="1635464"/>
                <a:pt x="2004219" y="1658937"/>
              </a:cubicBezTo>
              <a:cubicBezTo>
                <a:pt x="2042966" y="1679861"/>
                <a:pt x="2078193" y="1706733"/>
                <a:pt x="2115344" y="1730375"/>
              </a:cubicBezTo>
              <a:cubicBezTo>
                <a:pt x="2121852" y="1734516"/>
                <a:pt x="2128646" y="1738193"/>
                <a:pt x="2135187" y="1742281"/>
              </a:cubicBezTo>
              <a:cubicBezTo>
                <a:pt x="2149814" y="1751423"/>
                <a:pt x="2164335" y="1760735"/>
                <a:pt x="2178844" y="1770062"/>
              </a:cubicBezTo>
              <a:cubicBezTo>
                <a:pt x="2182856" y="1772641"/>
                <a:pt x="2186187" y="1776611"/>
                <a:pt x="2190750" y="1778000"/>
              </a:cubicBezTo>
              <a:cubicBezTo>
                <a:pt x="2221177" y="1787260"/>
                <a:pt x="2251858" y="1795724"/>
                <a:pt x="2282031" y="1805781"/>
              </a:cubicBezTo>
              <a:cubicBezTo>
                <a:pt x="2287644" y="1807652"/>
                <a:pt x="2292756" y="1810807"/>
                <a:pt x="2297906" y="1813718"/>
              </a:cubicBezTo>
              <a:cubicBezTo>
                <a:pt x="2323191" y="1828009"/>
                <a:pt x="2347610" y="1843848"/>
                <a:pt x="2373312" y="1857375"/>
              </a:cubicBezTo>
              <a:cubicBezTo>
                <a:pt x="2397924" y="1870329"/>
                <a:pt x="2423628" y="1881093"/>
                <a:pt x="2448719" y="1893093"/>
              </a:cubicBezTo>
              <a:cubicBezTo>
                <a:pt x="2454056" y="1895646"/>
                <a:pt x="2459054" y="1898954"/>
                <a:pt x="2464594" y="1901031"/>
              </a:cubicBezTo>
              <a:lnTo>
                <a:pt x="2528094" y="1924843"/>
              </a:lnTo>
              <a:cubicBezTo>
                <a:pt x="2532019" y="1926289"/>
                <a:pt x="2535887" y="1928050"/>
                <a:pt x="2540000" y="1928812"/>
              </a:cubicBezTo>
              <a:cubicBezTo>
                <a:pt x="2571650" y="1934673"/>
                <a:pt x="2603500" y="1939395"/>
                <a:pt x="2635250" y="1944687"/>
              </a:cubicBezTo>
              <a:cubicBezTo>
                <a:pt x="2663277" y="1954030"/>
                <a:pt x="2629805" y="1943326"/>
                <a:pt x="2682875" y="1956593"/>
              </a:cubicBezTo>
              <a:cubicBezTo>
                <a:pt x="2686933" y="1957608"/>
                <a:pt x="2690634" y="1960009"/>
                <a:pt x="2694781" y="1960562"/>
              </a:cubicBezTo>
              <a:cubicBezTo>
                <a:pt x="2730404" y="1965312"/>
                <a:pt x="2766218" y="1968499"/>
                <a:pt x="2801937" y="1972468"/>
              </a:cubicBezTo>
              <a:cubicBezTo>
                <a:pt x="2807229" y="1973791"/>
                <a:pt x="2812377" y="1975971"/>
                <a:pt x="2817812" y="1976437"/>
              </a:cubicBezTo>
              <a:cubicBezTo>
                <a:pt x="2858758" y="1979947"/>
                <a:pt x="2940844" y="1984375"/>
                <a:pt x="2940844" y="1984375"/>
              </a:cubicBezTo>
              <a:cubicBezTo>
                <a:pt x="2974336" y="1995537"/>
                <a:pt x="2947426" y="1988206"/>
                <a:pt x="3020219" y="1984375"/>
              </a:cubicBezTo>
              <a:lnTo>
                <a:pt x="3103562" y="1980406"/>
              </a:lnTo>
              <a:cubicBezTo>
                <a:pt x="3122359" y="1976646"/>
                <a:pt x="3140339" y="1973196"/>
                <a:pt x="3159125" y="1968500"/>
              </a:cubicBezTo>
              <a:cubicBezTo>
                <a:pt x="3163183" y="1967485"/>
                <a:pt x="3167425" y="1966652"/>
                <a:pt x="3171031" y="1964531"/>
              </a:cubicBezTo>
              <a:cubicBezTo>
                <a:pt x="3234678" y="1927091"/>
                <a:pt x="3220904" y="1932330"/>
                <a:pt x="3278187" y="1885156"/>
              </a:cubicBezTo>
              <a:cubicBezTo>
                <a:pt x="3283293" y="1880951"/>
                <a:pt x="3289706" y="1878228"/>
                <a:pt x="3294062" y="1873250"/>
              </a:cubicBezTo>
              <a:cubicBezTo>
                <a:pt x="3308350" y="1856921"/>
                <a:pt x="3320521" y="1838854"/>
                <a:pt x="3333750" y="1821656"/>
              </a:cubicBezTo>
              <a:cubicBezTo>
                <a:pt x="3337719" y="1809750"/>
                <a:pt x="3341435" y="1797756"/>
                <a:pt x="3345656" y="1785937"/>
              </a:cubicBezTo>
              <a:cubicBezTo>
                <a:pt x="3348052" y="1779228"/>
                <a:pt x="3353481" y="1773216"/>
                <a:pt x="3353594" y="1766093"/>
              </a:cubicBezTo>
              <a:cubicBezTo>
                <a:pt x="3354812" y="1689362"/>
                <a:pt x="3351973" y="1612610"/>
                <a:pt x="3349625" y="1535906"/>
              </a:cubicBezTo>
              <a:cubicBezTo>
                <a:pt x="3348004" y="1482948"/>
                <a:pt x="3344798" y="1430047"/>
                <a:pt x="3341687" y="1377156"/>
              </a:cubicBezTo>
              <a:cubicBezTo>
                <a:pt x="3341078" y="1366810"/>
                <a:pt x="3341269" y="1336632"/>
                <a:pt x="3333750" y="1321593"/>
              </a:cubicBezTo>
              <a:cubicBezTo>
                <a:pt x="3330300" y="1314694"/>
                <a:pt x="3328064" y="1306312"/>
                <a:pt x="3321844" y="1301750"/>
              </a:cubicBezTo>
              <a:cubicBezTo>
                <a:pt x="3292161" y="1279983"/>
                <a:pt x="3274413" y="1277985"/>
                <a:pt x="3242469" y="1270000"/>
              </a:cubicBezTo>
              <a:cubicBezTo>
                <a:pt x="3179791" y="1276267"/>
                <a:pt x="3221557" y="1266074"/>
                <a:pt x="3159125" y="1301750"/>
              </a:cubicBezTo>
              <a:cubicBezTo>
                <a:pt x="3155493" y="1303825"/>
                <a:pt x="3151027" y="1303987"/>
                <a:pt x="3147219" y="1305718"/>
              </a:cubicBezTo>
              <a:cubicBezTo>
                <a:pt x="3136447" y="1310614"/>
                <a:pt x="3126241" y="1316697"/>
                <a:pt x="3115469" y="1321593"/>
              </a:cubicBezTo>
              <a:cubicBezTo>
                <a:pt x="3111660" y="1323324"/>
                <a:pt x="3107446" y="1324008"/>
                <a:pt x="3103562" y="1325562"/>
              </a:cubicBezTo>
              <a:cubicBezTo>
                <a:pt x="3029549" y="1355167"/>
                <a:pt x="3083055" y="1336367"/>
                <a:pt x="3020219" y="1357312"/>
              </a:cubicBezTo>
              <a:cubicBezTo>
                <a:pt x="2974030" y="1352180"/>
                <a:pt x="2955547" y="1350502"/>
                <a:pt x="2901156" y="1341437"/>
              </a:cubicBezTo>
              <a:cubicBezTo>
                <a:pt x="2897030" y="1340749"/>
                <a:pt x="2893308" y="1338483"/>
                <a:pt x="2889250" y="1337468"/>
              </a:cubicBezTo>
              <a:cubicBezTo>
                <a:pt x="2872127" y="1333187"/>
                <a:pt x="2854779" y="1329843"/>
                <a:pt x="2837656" y="1325562"/>
              </a:cubicBezTo>
              <a:cubicBezTo>
                <a:pt x="2833598" y="1324547"/>
                <a:pt x="2829772" y="1322742"/>
                <a:pt x="2825750" y="1321593"/>
              </a:cubicBezTo>
              <a:cubicBezTo>
                <a:pt x="2811247" y="1317449"/>
                <a:pt x="2796727" y="1313345"/>
                <a:pt x="2782094" y="1309687"/>
              </a:cubicBezTo>
              <a:cubicBezTo>
                <a:pt x="2775550" y="1308051"/>
                <a:pt x="2768904" y="1306827"/>
                <a:pt x="2762250" y="1305718"/>
              </a:cubicBezTo>
              <a:lnTo>
                <a:pt x="2686844" y="1293812"/>
              </a:lnTo>
              <a:cubicBezTo>
                <a:pt x="2650045" y="1281546"/>
                <a:pt x="2675944" y="1289420"/>
                <a:pt x="2595562" y="1277937"/>
              </a:cubicBezTo>
              <a:cubicBezTo>
                <a:pt x="2585003" y="1276429"/>
                <a:pt x="2574271" y="1276060"/>
                <a:pt x="2563812" y="1273968"/>
              </a:cubicBezTo>
              <a:cubicBezTo>
                <a:pt x="2547766" y="1270759"/>
                <a:pt x="2531998" y="1266278"/>
                <a:pt x="2516187" y="1262062"/>
              </a:cubicBezTo>
              <a:cubicBezTo>
                <a:pt x="2512145" y="1260984"/>
                <a:pt x="2508339" y="1259108"/>
                <a:pt x="2504281" y="1258093"/>
              </a:cubicBezTo>
              <a:lnTo>
                <a:pt x="2389187" y="1230312"/>
              </a:lnTo>
              <a:cubicBezTo>
                <a:pt x="2383895" y="1227666"/>
                <a:pt x="2378925" y="1224246"/>
                <a:pt x="2373312" y="1222375"/>
              </a:cubicBezTo>
              <a:cubicBezTo>
                <a:pt x="2291067" y="1194960"/>
                <a:pt x="2288403" y="1195194"/>
                <a:pt x="2222500" y="1178718"/>
              </a:cubicBezTo>
              <a:cubicBezTo>
                <a:pt x="2206625" y="1174749"/>
                <a:pt x="2190068" y="1172889"/>
                <a:pt x="2174875" y="1166812"/>
              </a:cubicBezTo>
              <a:cubicBezTo>
                <a:pt x="2168260" y="1164166"/>
                <a:pt x="2161790" y="1161128"/>
                <a:pt x="2155031" y="1158875"/>
              </a:cubicBezTo>
              <a:cubicBezTo>
                <a:pt x="2149856" y="1157150"/>
                <a:pt x="2144485" y="1156072"/>
                <a:pt x="2139156" y="1154906"/>
              </a:cubicBezTo>
              <a:lnTo>
                <a:pt x="2028031" y="1131093"/>
              </a:lnTo>
              <a:cubicBezTo>
                <a:pt x="2017382" y="1128727"/>
                <a:pt x="2006900" y="1125655"/>
                <a:pt x="1996281" y="1123156"/>
              </a:cubicBezTo>
              <a:cubicBezTo>
                <a:pt x="1961920" y="1115071"/>
                <a:pt x="1927708" y="1106264"/>
                <a:pt x="1893094" y="1099343"/>
              </a:cubicBezTo>
              <a:cubicBezTo>
                <a:pt x="1886479" y="1098020"/>
                <a:pt x="1879777" y="1097078"/>
                <a:pt x="1873250" y="1095375"/>
              </a:cubicBezTo>
              <a:cubicBezTo>
                <a:pt x="1781264" y="1071379"/>
                <a:pt x="1830644" y="1079650"/>
                <a:pt x="1774031" y="1071562"/>
              </a:cubicBezTo>
              <a:lnTo>
                <a:pt x="1662906" y="1031875"/>
              </a:lnTo>
              <a:cubicBezTo>
                <a:pt x="1657366" y="1029798"/>
                <a:pt x="1652702" y="1025623"/>
                <a:pt x="1647031" y="1023937"/>
              </a:cubicBezTo>
              <a:cubicBezTo>
                <a:pt x="1603657" y="1011042"/>
                <a:pt x="1560280" y="997830"/>
                <a:pt x="1516062" y="988218"/>
              </a:cubicBezTo>
              <a:cubicBezTo>
                <a:pt x="1485635" y="981604"/>
                <a:pt x="1455342" y="974338"/>
                <a:pt x="1424781" y="968375"/>
              </a:cubicBezTo>
              <a:cubicBezTo>
                <a:pt x="1383883" y="960395"/>
                <a:pt x="1370239" y="963301"/>
                <a:pt x="1341437" y="952500"/>
              </a:cubicBezTo>
              <a:cubicBezTo>
                <a:pt x="1280717" y="929731"/>
                <a:pt x="1234666" y="914630"/>
                <a:pt x="1178719" y="881062"/>
              </a:cubicBezTo>
              <a:cubicBezTo>
                <a:pt x="1157618" y="868401"/>
                <a:pt x="1141627" y="847504"/>
                <a:pt x="1119187" y="837406"/>
              </a:cubicBezTo>
              <a:cubicBezTo>
                <a:pt x="1035997" y="799970"/>
                <a:pt x="1067337" y="810863"/>
                <a:pt x="1027906" y="797718"/>
              </a:cubicBezTo>
              <a:cubicBezTo>
                <a:pt x="1014677" y="788458"/>
                <a:pt x="1002066" y="778245"/>
                <a:pt x="988219" y="769937"/>
              </a:cubicBezTo>
              <a:cubicBezTo>
                <a:pt x="968934" y="758366"/>
                <a:pt x="944590" y="754090"/>
                <a:pt x="928687" y="738187"/>
              </a:cubicBezTo>
              <a:cubicBezTo>
                <a:pt x="910166" y="719666"/>
                <a:pt x="890110" y="702564"/>
                <a:pt x="873125" y="682625"/>
              </a:cubicBezTo>
              <a:cubicBezTo>
                <a:pt x="859561" y="666702"/>
                <a:pt x="854810" y="642634"/>
                <a:pt x="837406" y="631031"/>
              </a:cubicBezTo>
              <a:cubicBezTo>
                <a:pt x="799608" y="605830"/>
                <a:pt x="871042" y="654581"/>
                <a:pt x="793750" y="591343"/>
              </a:cubicBezTo>
              <a:cubicBezTo>
                <a:pt x="790512" y="588694"/>
                <a:pt x="785490" y="589426"/>
                <a:pt x="781844" y="587375"/>
              </a:cubicBezTo>
              <a:cubicBezTo>
                <a:pt x="764244" y="577475"/>
                <a:pt x="747448" y="566208"/>
                <a:pt x="730250" y="555625"/>
              </a:cubicBezTo>
              <a:cubicBezTo>
                <a:pt x="727604" y="551656"/>
                <a:pt x="725174" y="547534"/>
                <a:pt x="722312" y="543718"/>
              </a:cubicBezTo>
              <a:cubicBezTo>
                <a:pt x="709294" y="526360"/>
                <a:pt x="694917" y="510004"/>
                <a:pt x="682625" y="492125"/>
              </a:cubicBezTo>
              <a:cubicBezTo>
                <a:pt x="680255" y="488677"/>
                <a:pt x="680659" y="483891"/>
                <a:pt x="678656" y="480218"/>
              </a:cubicBezTo>
              <a:cubicBezTo>
                <a:pt x="668012" y="460704"/>
                <a:pt x="654011" y="437726"/>
                <a:pt x="635000" y="424656"/>
              </a:cubicBezTo>
              <a:cubicBezTo>
                <a:pt x="613833" y="410104"/>
                <a:pt x="586912" y="401549"/>
                <a:pt x="571500" y="381000"/>
              </a:cubicBezTo>
              <a:cubicBezTo>
                <a:pt x="552635" y="355846"/>
                <a:pt x="530517" y="326808"/>
                <a:pt x="515937" y="301625"/>
              </a:cubicBezTo>
              <a:cubicBezTo>
                <a:pt x="501385" y="276489"/>
                <a:pt x="488391" y="250385"/>
                <a:pt x="472281" y="226218"/>
              </a:cubicBezTo>
              <a:cubicBezTo>
                <a:pt x="469635" y="222249"/>
                <a:pt x="467619" y="217780"/>
                <a:pt x="464344" y="214312"/>
              </a:cubicBezTo>
              <a:cubicBezTo>
                <a:pt x="445075" y="193910"/>
                <a:pt x="426175" y="172979"/>
                <a:pt x="404812" y="154781"/>
              </a:cubicBezTo>
              <a:cubicBezTo>
                <a:pt x="390288" y="142409"/>
                <a:pt x="371673" y="135448"/>
                <a:pt x="357187" y="123031"/>
              </a:cubicBezTo>
              <a:cubicBezTo>
                <a:pt x="335102" y="104100"/>
                <a:pt x="302430" y="74442"/>
                <a:pt x="277812" y="63500"/>
              </a:cubicBezTo>
              <a:cubicBezTo>
                <a:pt x="265906" y="58208"/>
                <a:pt x="253172" y="54483"/>
                <a:pt x="242094" y="47625"/>
              </a:cubicBezTo>
              <a:cubicBezTo>
                <a:pt x="127189" y="-23508"/>
                <a:pt x="239132" y="34236"/>
                <a:pt x="170656" y="0"/>
              </a:cubicBezTo>
              <a:lnTo>
                <a:pt x="146844" y="3968"/>
              </a:lnTo>
              <a:cubicBezTo>
                <a:pt x="128342" y="6743"/>
                <a:pt x="109705" y="8654"/>
                <a:pt x="91281" y="11906"/>
              </a:cubicBezTo>
              <a:cubicBezTo>
                <a:pt x="87161" y="12633"/>
                <a:pt x="83117" y="14004"/>
                <a:pt x="79375" y="15875"/>
              </a:cubicBezTo>
              <a:cubicBezTo>
                <a:pt x="64549" y="23288"/>
                <a:pt x="50271" y="31750"/>
                <a:pt x="35719" y="39687"/>
              </a:cubicBezTo>
              <a:cubicBezTo>
                <a:pt x="12814" y="99241"/>
                <a:pt x="16474" y="76156"/>
                <a:pt x="11906" y="130968"/>
              </a:cubicBezTo>
              <a:cubicBezTo>
                <a:pt x="10364" y="149472"/>
                <a:pt x="9987" y="168076"/>
                <a:pt x="7937" y="186531"/>
              </a:cubicBezTo>
              <a:cubicBezTo>
                <a:pt x="7335" y="191952"/>
                <a:pt x="3969" y="202406"/>
                <a:pt x="3969" y="202406"/>
              </a:cubicBezTo>
            </a:path>
          </a:pathLst>
        </a:custGeom>
        <a:solidFill>
          <a:srgbClr val="C0000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76</xdr:col>
      <xdr:colOff>558242</xdr:colOff>
      <xdr:row>8</xdr:row>
      <xdr:rowOff>153517</xdr:rowOff>
    </xdr:from>
    <xdr:to>
      <xdr:col>79</xdr:col>
      <xdr:colOff>593132</xdr:colOff>
      <xdr:row>20</xdr:row>
      <xdr:rowOff>6978</xdr:rowOff>
    </xdr:to>
    <xdr:sp macro="" textlink="">
      <xdr:nvSpPr>
        <xdr:cNvPr id="21" name="Freeform: Shape 20">
          <a:extLst>
            <a:ext uri="{FF2B5EF4-FFF2-40B4-BE49-F238E27FC236}">
              <a16:creationId xmlns:a16="http://schemas.microsoft.com/office/drawing/2014/main" id="{EE849880-DE15-4039-9898-DF1818DE3AC7}"/>
            </a:ext>
          </a:extLst>
        </xdr:cNvPr>
        <xdr:cNvSpPr/>
      </xdr:nvSpPr>
      <xdr:spPr>
        <a:xfrm>
          <a:off x="31659286" y="1849176"/>
          <a:ext cx="1856154" cy="1946868"/>
        </a:xfrm>
        <a:custGeom>
          <a:avLst/>
          <a:gdLst>
            <a:gd name="connsiteX0" fmla="*/ 0 w 1856154"/>
            <a:gd name="connsiteY0" fmla="*/ 502417 h 1946868"/>
            <a:gd name="connsiteX1" fmla="*/ 20934 w 1856154"/>
            <a:gd name="connsiteY1" fmla="*/ 307033 h 1946868"/>
            <a:gd name="connsiteX2" fmla="*/ 34890 w 1856154"/>
            <a:gd name="connsiteY2" fmla="*/ 265165 h 1946868"/>
            <a:gd name="connsiteX3" fmla="*/ 55824 w 1856154"/>
            <a:gd name="connsiteY3" fmla="*/ 230275 h 1946868"/>
            <a:gd name="connsiteX4" fmla="*/ 69780 w 1856154"/>
            <a:gd name="connsiteY4" fmla="*/ 181428 h 1946868"/>
            <a:gd name="connsiteX5" fmla="*/ 83736 w 1856154"/>
            <a:gd name="connsiteY5" fmla="*/ 146538 h 1946868"/>
            <a:gd name="connsiteX6" fmla="*/ 111648 w 1856154"/>
            <a:gd name="connsiteY6" fmla="*/ 76758 h 1946868"/>
            <a:gd name="connsiteX7" fmla="*/ 132582 w 1856154"/>
            <a:gd name="connsiteY7" fmla="*/ 34890 h 1946868"/>
            <a:gd name="connsiteX8" fmla="*/ 160494 w 1856154"/>
            <a:gd name="connsiteY8" fmla="*/ 27912 h 1946868"/>
            <a:gd name="connsiteX9" fmla="*/ 230274 w 1856154"/>
            <a:gd name="connsiteY9" fmla="*/ 0 h 1946868"/>
            <a:gd name="connsiteX10" fmla="*/ 348901 w 1856154"/>
            <a:gd name="connsiteY10" fmla="*/ 6978 h 1946868"/>
            <a:gd name="connsiteX11" fmla="*/ 425659 w 1856154"/>
            <a:gd name="connsiteY11" fmla="*/ 69780 h 1946868"/>
            <a:gd name="connsiteX12" fmla="*/ 453571 w 1856154"/>
            <a:gd name="connsiteY12" fmla="*/ 125604 h 1946868"/>
            <a:gd name="connsiteX13" fmla="*/ 502417 w 1856154"/>
            <a:gd name="connsiteY13" fmla="*/ 188406 h 1946868"/>
            <a:gd name="connsiteX14" fmla="*/ 648956 w 1856154"/>
            <a:gd name="connsiteY14" fmla="*/ 314011 h 1946868"/>
            <a:gd name="connsiteX15" fmla="*/ 683846 w 1856154"/>
            <a:gd name="connsiteY15" fmla="*/ 383791 h 1946868"/>
            <a:gd name="connsiteX16" fmla="*/ 690824 w 1856154"/>
            <a:gd name="connsiteY16" fmla="*/ 404725 h 1946868"/>
            <a:gd name="connsiteX17" fmla="*/ 711758 w 1856154"/>
            <a:gd name="connsiteY17" fmla="*/ 439615 h 1946868"/>
            <a:gd name="connsiteX18" fmla="*/ 753626 w 1856154"/>
            <a:gd name="connsiteY18" fmla="*/ 495439 h 1946868"/>
            <a:gd name="connsiteX19" fmla="*/ 767582 w 1856154"/>
            <a:gd name="connsiteY19" fmla="*/ 516373 h 1946868"/>
            <a:gd name="connsiteX20" fmla="*/ 886209 w 1856154"/>
            <a:gd name="connsiteY20" fmla="*/ 628022 h 1946868"/>
            <a:gd name="connsiteX21" fmla="*/ 962967 w 1856154"/>
            <a:gd name="connsiteY21" fmla="*/ 725714 h 1946868"/>
            <a:gd name="connsiteX22" fmla="*/ 1004835 w 1856154"/>
            <a:gd name="connsiteY22" fmla="*/ 753626 h 1946868"/>
            <a:gd name="connsiteX23" fmla="*/ 1116483 w 1856154"/>
            <a:gd name="connsiteY23" fmla="*/ 802472 h 1946868"/>
            <a:gd name="connsiteX24" fmla="*/ 1214176 w 1856154"/>
            <a:gd name="connsiteY24" fmla="*/ 844340 h 1946868"/>
            <a:gd name="connsiteX25" fmla="*/ 1332802 w 1856154"/>
            <a:gd name="connsiteY25" fmla="*/ 914121 h 1946868"/>
            <a:gd name="connsiteX26" fmla="*/ 1409560 w 1856154"/>
            <a:gd name="connsiteY26" fmla="*/ 976923 h 1946868"/>
            <a:gd name="connsiteX27" fmla="*/ 1500274 w 1856154"/>
            <a:gd name="connsiteY27" fmla="*/ 1032747 h 1946868"/>
            <a:gd name="connsiteX28" fmla="*/ 1549121 w 1856154"/>
            <a:gd name="connsiteY28" fmla="*/ 1060659 h 1946868"/>
            <a:gd name="connsiteX29" fmla="*/ 1611923 w 1856154"/>
            <a:gd name="connsiteY29" fmla="*/ 1095549 h 1946868"/>
            <a:gd name="connsiteX30" fmla="*/ 1674725 w 1856154"/>
            <a:gd name="connsiteY30" fmla="*/ 1137417 h 1946868"/>
            <a:gd name="connsiteX31" fmla="*/ 1758461 w 1856154"/>
            <a:gd name="connsiteY31" fmla="*/ 1179286 h 1946868"/>
            <a:gd name="connsiteX32" fmla="*/ 1807307 w 1856154"/>
            <a:gd name="connsiteY32" fmla="*/ 1228132 h 1946868"/>
            <a:gd name="connsiteX33" fmla="*/ 1814285 w 1856154"/>
            <a:gd name="connsiteY33" fmla="*/ 1249066 h 1946868"/>
            <a:gd name="connsiteX34" fmla="*/ 1835219 w 1856154"/>
            <a:gd name="connsiteY34" fmla="*/ 1297912 h 1946868"/>
            <a:gd name="connsiteX35" fmla="*/ 1856154 w 1856154"/>
            <a:gd name="connsiteY35" fmla="*/ 1430494 h 1946868"/>
            <a:gd name="connsiteX36" fmla="*/ 1828241 w 1856154"/>
            <a:gd name="connsiteY36" fmla="*/ 1751483 h 1946868"/>
            <a:gd name="connsiteX37" fmla="*/ 1786373 w 1856154"/>
            <a:gd name="connsiteY37" fmla="*/ 1856154 h 1946868"/>
            <a:gd name="connsiteX38" fmla="*/ 1779395 w 1856154"/>
            <a:gd name="connsiteY38" fmla="*/ 1877088 h 1946868"/>
            <a:gd name="connsiteX39" fmla="*/ 1695659 w 1856154"/>
            <a:gd name="connsiteY39" fmla="*/ 1932912 h 1946868"/>
            <a:gd name="connsiteX40" fmla="*/ 1604945 w 1856154"/>
            <a:gd name="connsiteY40" fmla="*/ 1946868 h 1946868"/>
            <a:gd name="connsiteX41" fmla="*/ 1472362 w 1856154"/>
            <a:gd name="connsiteY41" fmla="*/ 1905000 h 1946868"/>
            <a:gd name="connsiteX42" fmla="*/ 1444450 w 1856154"/>
            <a:gd name="connsiteY42" fmla="*/ 1898022 h 1946868"/>
            <a:gd name="connsiteX43" fmla="*/ 1311868 w 1856154"/>
            <a:gd name="connsiteY43" fmla="*/ 1842198 h 1946868"/>
            <a:gd name="connsiteX44" fmla="*/ 1276978 w 1856154"/>
            <a:gd name="connsiteY44" fmla="*/ 1814286 h 1946868"/>
            <a:gd name="connsiteX45" fmla="*/ 1200219 w 1856154"/>
            <a:gd name="connsiteY45" fmla="*/ 1737527 h 1946868"/>
            <a:gd name="connsiteX46" fmla="*/ 1053681 w 1856154"/>
            <a:gd name="connsiteY46" fmla="*/ 1660769 h 1946868"/>
            <a:gd name="connsiteX47" fmla="*/ 997857 w 1856154"/>
            <a:gd name="connsiteY47" fmla="*/ 1604945 h 1946868"/>
            <a:gd name="connsiteX48" fmla="*/ 942033 w 1856154"/>
            <a:gd name="connsiteY48" fmla="*/ 1507253 h 1946868"/>
            <a:gd name="connsiteX49" fmla="*/ 928077 w 1856154"/>
            <a:gd name="connsiteY49" fmla="*/ 1486319 h 1946868"/>
            <a:gd name="connsiteX50" fmla="*/ 830384 w 1856154"/>
            <a:gd name="connsiteY50" fmla="*/ 1437472 h 1946868"/>
            <a:gd name="connsiteX51" fmla="*/ 718736 w 1856154"/>
            <a:gd name="connsiteY51" fmla="*/ 1325824 h 1946868"/>
            <a:gd name="connsiteX52" fmla="*/ 711758 w 1856154"/>
            <a:gd name="connsiteY52" fmla="*/ 1304890 h 1946868"/>
            <a:gd name="connsiteX53" fmla="*/ 628022 w 1856154"/>
            <a:gd name="connsiteY53" fmla="*/ 1165329 h 1946868"/>
            <a:gd name="connsiteX54" fmla="*/ 614066 w 1856154"/>
            <a:gd name="connsiteY54" fmla="*/ 1144395 h 1946868"/>
            <a:gd name="connsiteX55" fmla="*/ 544285 w 1856154"/>
            <a:gd name="connsiteY55" fmla="*/ 1102527 h 1946868"/>
            <a:gd name="connsiteX56" fmla="*/ 467527 w 1856154"/>
            <a:gd name="connsiteY56" fmla="*/ 1039725 h 1946868"/>
            <a:gd name="connsiteX57" fmla="*/ 446593 w 1856154"/>
            <a:gd name="connsiteY57" fmla="*/ 1025769 h 1946868"/>
            <a:gd name="connsiteX58" fmla="*/ 411703 w 1856154"/>
            <a:gd name="connsiteY58" fmla="*/ 962967 h 1946868"/>
            <a:gd name="connsiteX59" fmla="*/ 355879 w 1856154"/>
            <a:gd name="connsiteY59" fmla="*/ 879231 h 1946868"/>
            <a:gd name="connsiteX60" fmla="*/ 327967 w 1856154"/>
            <a:gd name="connsiteY60" fmla="*/ 858297 h 1946868"/>
            <a:gd name="connsiteX61" fmla="*/ 314011 w 1856154"/>
            <a:gd name="connsiteY61" fmla="*/ 844340 h 1946868"/>
            <a:gd name="connsiteX62" fmla="*/ 230274 w 1856154"/>
            <a:gd name="connsiteY62" fmla="*/ 802472 h 1946868"/>
            <a:gd name="connsiteX63" fmla="*/ 174450 w 1856154"/>
            <a:gd name="connsiteY63" fmla="*/ 760604 h 1946868"/>
            <a:gd name="connsiteX64" fmla="*/ 146538 w 1856154"/>
            <a:gd name="connsiteY64" fmla="*/ 746648 h 1946868"/>
            <a:gd name="connsiteX65" fmla="*/ 111648 w 1856154"/>
            <a:gd name="connsiteY65" fmla="*/ 725714 h 1946868"/>
            <a:gd name="connsiteX66" fmla="*/ 83736 w 1856154"/>
            <a:gd name="connsiteY66" fmla="*/ 676868 h 1946868"/>
            <a:gd name="connsiteX67" fmla="*/ 69780 w 1856154"/>
            <a:gd name="connsiteY67" fmla="*/ 655934 h 1946868"/>
            <a:gd name="connsiteX68" fmla="*/ 55824 w 1856154"/>
            <a:gd name="connsiteY68" fmla="*/ 614066 h 1946868"/>
            <a:gd name="connsiteX69" fmla="*/ 48846 w 1856154"/>
            <a:gd name="connsiteY69" fmla="*/ 579176 h 1946868"/>
            <a:gd name="connsiteX70" fmla="*/ 34890 w 1856154"/>
            <a:gd name="connsiteY70" fmla="*/ 537308 h 1946868"/>
            <a:gd name="connsiteX71" fmla="*/ 41868 w 1856154"/>
            <a:gd name="connsiteY71" fmla="*/ 488461 h 1946868"/>
            <a:gd name="connsiteX72" fmla="*/ 48846 w 1856154"/>
            <a:gd name="connsiteY72" fmla="*/ 453571 h 1946868"/>
            <a:gd name="connsiteX73" fmla="*/ 62802 w 1856154"/>
            <a:gd name="connsiteY73" fmla="*/ 355879 h 194686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Lst>
          <a:rect l="l" t="t" r="r" b="b"/>
          <a:pathLst>
            <a:path w="1856154" h="1946868">
              <a:moveTo>
                <a:pt x="0" y="502417"/>
              </a:moveTo>
              <a:cubicBezTo>
                <a:pt x="6978" y="437289"/>
                <a:pt x="11404" y="371837"/>
                <a:pt x="20934" y="307033"/>
              </a:cubicBezTo>
              <a:cubicBezTo>
                <a:pt x="23074" y="292479"/>
                <a:pt x="27321" y="277780"/>
                <a:pt x="34890" y="265165"/>
              </a:cubicBezTo>
              <a:lnTo>
                <a:pt x="55824" y="230275"/>
              </a:lnTo>
              <a:cubicBezTo>
                <a:pt x="60476" y="213993"/>
                <a:pt x="64425" y="197493"/>
                <a:pt x="69780" y="181428"/>
              </a:cubicBezTo>
              <a:cubicBezTo>
                <a:pt x="73741" y="169545"/>
                <a:pt x="79338" y="158266"/>
                <a:pt x="83736" y="146538"/>
              </a:cubicBezTo>
              <a:cubicBezTo>
                <a:pt x="101404" y="99424"/>
                <a:pt x="75563" y="154942"/>
                <a:pt x="111648" y="76758"/>
              </a:cubicBezTo>
              <a:cubicBezTo>
                <a:pt x="118187" y="62591"/>
                <a:pt x="121549" y="45923"/>
                <a:pt x="132582" y="34890"/>
              </a:cubicBezTo>
              <a:cubicBezTo>
                <a:pt x="139363" y="28109"/>
                <a:pt x="151462" y="31138"/>
                <a:pt x="160494" y="27912"/>
              </a:cubicBezTo>
              <a:cubicBezTo>
                <a:pt x="184086" y="19486"/>
                <a:pt x="207014" y="9304"/>
                <a:pt x="230274" y="0"/>
              </a:cubicBezTo>
              <a:cubicBezTo>
                <a:pt x="269816" y="2326"/>
                <a:pt x="309654" y="1626"/>
                <a:pt x="348901" y="6978"/>
              </a:cubicBezTo>
              <a:cubicBezTo>
                <a:pt x="385965" y="12032"/>
                <a:pt x="406005" y="40299"/>
                <a:pt x="425659" y="69780"/>
              </a:cubicBezTo>
              <a:cubicBezTo>
                <a:pt x="437199" y="87090"/>
                <a:pt x="442269" y="108137"/>
                <a:pt x="453571" y="125604"/>
              </a:cubicBezTo>
              <a:cubicBezTo>
                <a:pt x="467978" y="147870"/>
                <a:pt x="482704" y="170665"/>
                <a:pt x="502417" y="188406"/>
              </a:cubicBezTo>
              <a:cubicBezTo>
                <a:pt x="668559" y="337934"/>
                <a:pt x="528793" y="169816"/>
                <a:pt x="648956" y="314011"/>
              </a:cubicBezTo>
              <a:cubicBezTo>
                <a:pt x="665779" y="334198"/>
                <a:pt x="674308" y="359946"/>
                <a:pt x="683846" y="383791"/>
              </a:cubicBezTo>
              <a:cubicBezTo>
                <a:pt x="686578" y="390620"/>
                <a:pt x="687535" y="398146"/>
                <a:pt x="690824" y="404725"/>
              </a:cubicBezTo>
              <a:cubicBezTo>
                <a:pt x="696889" y="416856"/>
                <a:pt x="704038" y="428464"/>
                <a:pt x="711758" y="439615"/>
              </a:cubicBezTo>
              <a:cubicBezTo>
                <a:pt x="724998" y="458739"/>
                <a:pt x="739945" y="476628"/>
                <a:pt x="753626" y="495439"/>
              </a:cubicBezTo>
              <a:cubicBezTo>
                <a:pt x="758559" y="502221"/>
                <a:pt x="761652" y="510443"/>
                <a:pt x="767582" y="516373"/>
              </a:cubicBezTo>
              <a:cubicBezTo>
                <a:pt x="805979" y="554770"/>
                <a:pt x="856088" y="582840"/>
                <a:pt x="886209" y="628022"/>
              </a:cubicBezTo>
              <a:cubicBezTo>
                <a:pt x="910823" y="664943"/>
                <a:pt x="925127" y="687874"/>
                <a:pt x="962967" y="725714"/>
              </a:cubicBezTo>
              <a:cubicBezTo>
                <a:pt x="974827" y="737574"/>
                <a:pt x="989992" y="745814"/>
                <a:pt x="1004835" y="753626"/>
              </a:cubicBezTo>
              <a:cubicBezTo>
                <a:pt x="1209982" y="861598"/>
                <a:pt x="1040156" y="771043"/>
                <a:pt x="1116483" y="802472"/>
              </a:cubicBezTo>
              <a:cubicBezTo>
                <a:pt x="1149243" y="815961"/>
                <a:pt x="1181923" y="829679"/>
                <a:pt x="1214176" y="844340"/>
              </a:cubicBezTo>
              <a:cubicBezTo>
                <a:pt x="1261764" y="865971"/>
                <a:pt x="1289863" y="881917"/>
                <a:pt x="1332802" y="914121"/>
              </a:cubicBezTo>
              <a:cubicBezTo>
                <a:pt x="1359249" y="933956"/>
                <a:pt x="1383113" y="957088"/>
                <a:pt x="1409560" y="976923"/>
              </a:cubicBezTo>
              <a:cubicBezTo>
                <a:pt x="1478998" y="1029002"/>
                <a:pt x="1450693" y="1005703"/>
                <a:pt x="1500274" y="1032747"/>
              </a:cubicBezTo>
              <a:cubicBezTo>
                <a:pt x="1516737" y="1041727"/>
                <a:pt x="1532658" y="1051679"/>
                <a:pt x="1549121" y="1060659"/>
              </a:cubicBezTo>
              <a:cubicBezTo>
                <a:pt x="1593063" y="1084627"/>
                <a:pt x="1563029" y="1064117"/>
                <a:pt x="1611923" y="1095549"/>
              </a:cubicBezTo>
              <a:cubicBezTo>
                <a:pt x="1633087" y="1109154"/>
                <a:pt x="1652880" y="1124934"/>
                <a:pt x="1674725" y="1137417"/>
              </a:cubicBezTo>
              <a:cubicBezTo>
                <a:pt x="1701820" y="1152900"/>
                <a:pt x="1736395" y="1157220"/>
                <a:pt x="1758461" y="1179286"/>
              </a:cubicBezTo>
              <a:lnTo>
                <a:pt x="1807307" y="1228132"/>
              </a:lnTo>
              <a:cubicBezTo>
                <a:pt x="1809633" y="1235110"/>
                <a:pt x="1811553" y="1242237"/>
                <a:pt x="1814285" y="1249066"/>
              </a:cubicBezTo>
              <a:cubicBezTo>
                <a:pt x="1820864" y="1265513"/>
                <a:pt x="1830711" y="1280781"/>
                <a:pt x="1835219" y="1297912"/>
              </a:cubicBezTo>
              <a:cubicBezTo>
                <a:pt x="1840428" y="1317704"/>
                <a:pt x="1851831" y="1400231"/>
                <a:pt x="1856154" y="1430494"/>
              </a:cubicBezTo>
              <a:cubicBezTo>
                <a:pt x="1852592" y="1498166"/>
                <a:pt x="1861195" y="1656740"/>
                <a:pt x="1828241" y="1751483"/>
              </a:cubicBezTo>
              <a:cubicBezTo>
                <a:pt x="1815896" y="1786975"/>
                <a:pt x="1799993" y="1821131"/>
                <a:pt x="1786373" y="1856154"/>
              </a:cubicBezTo>
              <a:cubicBezTo>
                <a:pt x="1783707" y="1863009"/>
                <a:pt x="1785010" y="1872337"/>
                <a:pt x="1779395" y="1877088"/>
              </a:cubicBezTo>
              <a:cubicBezTo>
                <a:pt x="1753786" y="1898757"/>
                <a:pt x="1726806" y="1920453"/>
                <a:pt x="1695659" y="1932912"/>
              </a:cubicBezTo>
              <a:cubicBezTo>
                <a:pt x="1667253" y="1944274"/>
                <a:pt x="1635183" y="1942216"/>
                <a:pt x="1604945" y="1946868"/>
              </a:cubicBezTo>
              <a:cubicBezTo>
                <a:pt x="1500147" y="1935224"/>
                <a:pt x="1580921" y="1951525"/>
                <a:pt x="1472362" y="1905000"/>
              </a:cubicBezTo>
              <a:cubicBezTo>
                <a:pt x="1463547" y="1901222"/>
                <a:pt x="1453502" y="1901190"/>
                <a:pt x="1444450" y="1898022"/>
              </a:cubicBezTo>
              <a:cubicBezTo>
                <a:pt x="1385741" y="1877474"/>
                <a:pt x="1353046" y="1873082"/>
                <a:pt x="1311868" y="1842198"/>
              </a:cubicBezTo>
              <a:cubicBezTo>
                <a:pt x="1299953" y="1833262"/>
                <a:pt x="1287843" y="1824472"/>
                <a:pt x="1276978" y="1814286"/>
              </a:cubicBezTo>
              <a:cubicBezTo>
                <a:pt x="1250580" y="1789538"/>
                <a:pt x="1234547" y="1748970"/>
                <a:pt x="1200219" y="1737527"/>
              </a:cubicBezTo>
              <a:cubicBezTo>
                <a:pt x="1141572" y="1717978"/>
                <a:pt x="1135416" y="1717355"/>
                <a:pt x="1053681" y="1660769"/>
              </a:cubicBezTo>
              <a:cubicBezTo>
                <a:pt x="1032044" y="1645790"/>
                <a:pt x="1010913" y="1627793"/>
                <a:pt x="997857" y="1604945"/>
              </a:cubicBezTo>
              <a:cubicBezTo>
                <a:pt x="979249" y="1572381"/>
                <a:pt x="961049" y="1539580"/>
                <a:pt x="942033" y="1507253"/>
              </a:cubicBezTo>
              <a:cubicBezTo>
                <a:pt x="937781" y="1500024"/>
                <a:pt x="934972" y="1491093"/>
                <a:pt x="928077" y="1486319"/>
              </a:cubicBezTo>
              <a:cubicBezTo>
                <a:pt x="878903" y="1452275"/>
                <a:pt x="870376" y="1450803"/>
                <a:pt x="830384" y="1437472"/>
              </a:cubicBezTo>
              <a:cubicBezTo>
                <a:pt x="778887" y="1394558"/>
                <a:pt x="768502" y="1389162"/>
                <a:pt x="718736" y="1325824"/>
              </a:cubicBezTo>
              <a:cubicBezTo>
                <a:pt x="714192" y="1320040"/>
                <a:pt x="714890" y="1311545"/>
                <a:pt x="711758" y="1304890"/>
              </a:cubicBezTo>
              <a:cubicBezTo>
                <a:pt x="651362" y="1176549"/>
                <a:pt x="687928" y="1242353"/>
                <a:pt x="628022" y="1165329"/>
              </a:cubicBezTo>
              <a:cubicBezTo>
                <a:pt x="622873" y="1158709"/>
                <a:pt x="620775" y="1149427"/>
                <a:pt x="614066" y="1144395"/>
              </a:cubicBezTo>
              <a:cubicBezTo>
                <a:pt x="592365" y="1128120"/>
                <a:pt x="566358" y="1118294"/>
                <a:pt x="544285" y="1102527"/>
              </a:cubicBezTo>
              <a:cubicBezTo>
                <a:pt x="517384" y="1083312"/>
                <a:pt x="493522" y="1060149"/>
                <a:pt x="467527" y="1039725"/>
              </a:cubicBezTo>
              <a:cubicBezTo>
                <a:pt x="460933" y="1034544"/>
                <a:pt x="453571" y="1030421"/>
                <a:pt x="446593" y="1025769"/>
              </a:cubicBezTo>
              <a:cubicBezTo>
                <a:pt x="400874" y="934331"/>
                <a:pt x="445620" y="1019495"/>
                <a:pt x="411703" y="962967"/>
              </a:cubicBezTo>
              <a:cubicBezTo>
                <a:pt x="390699" y="927961"/>
                <a:pt x="384150" y="907502"/>
                <a:pt x="355879" y="879231"/>
              </a:cubicBezTo>
              <a:cubicBezTo>
                <a:pt x="347655" y="871007"/>
                <a:pt x="336901" y="865742"/>
                <a:pt x="327967" y="858297"/>
              </a:cubicBezTo>
              <a:cubicBezTo>
                <a:pt x="322913" y="854085"/>
                <a:pt x="319723" y="847604"/>
                <a:pt x="314011" y="844340"/>
              </a:cubicBezTo>
              <a:cubicBezTo>
                <a:pt x="286916" y="828857"/>
                <a:pt x="255239" y="821196"/>
                <a:pt x="230274" y="802472"/>
              </a:cubicBezTo>
              <a:cubicBezTo>
                <a:pt x="211666" y="788516"/>
                <a:pt x="193803" y="773506"/>
                <a:pt x="174450" y="760604"/>
              </a:cubicBezTo>
              <a:cubicBezTo>
                <a:pt x="165795" y="754834"/>
                <a:pt x="155631" y="751700"/>
                <a:pt x="146538" y="746648"/>
              </a:cubicBezTo>
              <a:cubicBezTo>
                <a:pt x="134682" y="740061"/>
                <a:pt x="123278" y="732692"/>
                <a:pt x="111648" y="725714"/>
              </a:cubicBezTo>
              <a:cubicBezTo>
                <a:pt x="102344" y="709432"/>
                <a:pt x="93384" y="692948"/>
                <a:pt x="83736" y="676868"/>
              </a:cubicBezTo>
              <a:cubicBezTo>
                <a:pt x="79421" y="669677"/>
                <a:pt x="73186" y="663598"/>
                <a:pt x="69780" y="655934"/>
              </a:cubicBezTo>
              <a:cubicBezTo>
                <a:pt x="63805" y="642491"/>
                <a:pt x="59695" y="628259"/>
                <a:pt x="55824" y="614066"/>
              </a:cubicBezTo>
              <a:cubicBezTo>
                <a:pt x="52703" y="602624"/>
                <a:pt x="51967" y="590618"/>
                <a:pt x="48846" y="579176"/>
              </a:cubicBezTo>
              <a:cubicBezTo>
                <a:pt x="44975" y="564983"/>
                <a:pt x="34890" y="537308"/>
                <a:pt x="34890" y="537308"/>
              </a:cubicBezTo>
              <a:cubicBezTo>
                <a:pt x="37216" y="521026"/>
                <a:pt x="39164" y="504685"/>
                <a:pt x="41868" y="488461"/>
              </a:cubicBezTo>
              <a:cubicBezTo>
                <a:pt x="43818" y="476762"/>
                <a:pt x="46996" y="465286"/>
                <a:pt x="48846" y="453571"/>
              </a:cubicBezTo>
              <a:cubicBezTo>
                <a:pt x="53976" y="421079"/>
                <a:pt x="62802" y="355879"/>
                <a:pt x="62802" y="355879"/>
              </a:cubicBezTo>
            </a:path>
          </a:pathLst>
        </a:custGeom>
        <a:solidFill>
          <a:srgbClr val="C0000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76</xdr:col>
      <xdr:colOff>327866</xdr:colOff>
      <xdr:row>10</xdr:row>
      <xdr:rowOff>146539</xdr:rowOff>
    </xdr:from>
    <xdr:to>
      <xdr:col>79</xdr:col>
      <xdr:colOff>149161</xdr:colOff>
      <xdr:row>18</xdr:row>
      <xdr:rowOff>153516</xdr:rowOff>
    </xdr:to>
    <xdr:sp macro="" textlink="">
      <xdr:nvSpPr>
        <xdr:cNvPr id="23" name="Freeform: Shape 22">
          <a:extLst>
            <a:ext uri="{FF2B5EF4-FFF2-40B4-BE49-F238E27FC236}">
              <a16:creationId xmlns:a16="http://schemas.microsoft.com/office/drawing/2014/main" id="{E30C4074-CB53-4B67-AE1F-D78ADF39FBBC}"/>
            </a:ext>
          </a:extLst>
        </xdr:cNvPr>
        <xdr:cNvSpPr/>
      </xdr:nvSpPr>
      <xdr:spPr>
        <a:xfrm>
          <a:off x="42566020" y="2128250"/>
          <a:ext cx="1649584" cy="1438924"/>
        </a:xfrm>
        <a:custGeom>
          <a:avLst/>
          <a:gdLst>
            <a:gd name="connsiteX0" fmla="*/ 376914 w 1493398"/>
            <a:gd name="connsiteY0" fmla="*/ 1402582 h 1402582"/>
            <a:gd name="connsiteX1" fmla="*/ 593233 w 1493398"/>
            <a:gd name="connsiteY1" fmla="*/ 1395604 h 1402582"/>
            <a:gd name="connsiteX2" fmla="*/ 621145 w 1493398"/>
            <a:gd name="connsiteY2" fmla="*/ 1381648 h 1402582"/>
            <a:gd name="connsiteX3" fmla="*/ 697903 w 1493398"/>
            <a:gd name="connsiteY3" fmla="*/ 1360714 h 1402582"/>
            <a:gd name="connsiteX4" fmla="*/ 802574 w 1493398"/>
            <a:gd name="connsiteY4" fmla="*/ 1346758 h 1402582"/>
            <a:gd name="connsiteX5" fmla="*/ 851420 w 1493398"/>
            <a:gd name="connsiteY5" fmla="*/ 1332802 h 1402582"/>
            <a:gd name="connsiteX6" fmla="*/ 928178 w 1493398"/>
            <a:gd name="connsiteY6" fmla="*/ 1318846 h 1402582"/>
            <a:gd name="connsiteX7" fmla="*/ 963068 w 1493398"/>
            <a:gd name="connsiteY7" fmla="*/ 1304890 h 1402582"/>
            <a:gd name="connsiteX8" fmla="*/ 984002 w 1493398"/>
            <a:gd name="connsiteY8" fmla="*/ 1297912 h 1402582"/>
            <a:gd name="connsiteX9" fmla="*/ 1053782 w 1493398"/>
            <a:gd name="connsiteY9" fmla="*/ 1270000 h 1402582"/>
            <a:gd name="connsiteX10" fmla="*/ 1074716 w 1493398"/>
            <a:gd name="connsiteY10" fmla="*/ 1263022 h 1402582"/>
            <a:gd name="connsiteX11" fmla="*/ 1165431 w 1493398"/>
            <a:gd name="connsiteY11" fmla="*/ 1214176 h 1402582"/>
            <a:gd name="connsiteX12" fmla="*/ 1200321 w 1493398"/>
            <a:gd name="connsiteY12" fmla="*/ 1172308 h 1402582"/>
            <a:gd name="connsiteX13" fmla="*/ 1242189 w 1493398"/>
            <a:gd name="connsiteY13" fmla="*/ 1095549 h 1402582"/>
            <a:gd name="connsiteX14" fmla="*/ 1284057 w 1493398"/>
            <a:gd name="connsiteY14" fmla="*/ 1053681 h 1402582"/>
            <a:gd name="connsiteX15" fmla="*/ 1318947 w 1493398"/>
            <a:gd name="connsiteY15" fmla="*/ 1025769 h 1402582"/>
            <a:gd name="connsiteX16" fmla="*/ 1402683 w 1493398"/>
            <a:gd name="connsiteY16" fmla="*/ 886209 h 1402582"/>
            <a:gd name="connsiteX17" fmla="*/ 1416639 w 1493398"/>
            <a:gd name="connsiteY17" fmla="*/ 865275 h 1402582"/>
            <a:gd name="connsiteX18" fmla="*/ 1430595 w 1493398"/>
            <a:gd name="connsiteY18" fmla="*/ 837363 h 1402582"/>
            <a:gd name="connsiteX19" fmla="*/ 1458508 w 1493398"/>
            <a:gd name="connsiteY19" fmla="*/ 788516 h 1402582"/>
            <a:gd name="connsiteX20" fmla="*/ 1472464 w 1493398"/>
            <a:gd name="connsiteY20" fmla="*/ 767582 h 1402582"/>
            <a:gd name="connsiteX21" fmla="*/ 1486420 w 1493398"/>
            <a:gd name="connsiteY21" fmla="*/ 725714 h 1402582"/>
            <a:gd name="connsiteX22" fmla="*/ 1493398 w 1493398"/>
            <a:gd name="connsiteY22" fmla="*/ 662912 h 1402582"/>
            <a:gd name="connsiteX23" fmla="*/ 1493398 w 1493398"/>
            <a:gd name="connsiteY23" fmla="*/ 502417 h 1402582"/>
            <a:gd name="connsiteX24" fmla="*/ 1486420 w 1493398"/>
            <a:gd name="connsiteY24" fmla="*/ 355879 h 1402582"/>
            <a:gd name="connsiteX25" fmla="*/ 1479442 w 1493398"/>
            <a:gd name="connsiteY25" fmla="*/ 258187 h 1402582"/>
            <a:gd name="connsiteX26" fmla="*/ 1472464 w 1493398"/>
            <a:gd name="connsiteY26" fmla="*/ 195385 h 1402582"/>
            <a:gd name="connsiteX27" fmla="*/ 1437574 w 1493398"/>
            <a:gd name="connsiteY27" fmla="*/ 125604 h 1402582"/>
            <a:gd name="connsiteX28" fmla="*/ 1423617 w 1493398"/>
            <a:gd name="connsiteY28" fmla="*/ 111648 h 1402582"/>
            <a:gd name="connsiteX29" fmla="*/ 1360815 w 1493398"/>
            <a:gd name="connsiteY29" fmla="*/ 83736 h 1402582"/>
            <a:gd name="connsiteX30" fmla="*/ 1325925 w 1493398"/>
            <a:gd name="connsiteY30" fmla="*/ 62802 h 1402582"/>
            <a:gd name="connsiteX31" fmla="*/ 1200321 w 1493398"/>
            <a:gd name="connsiteY31" fmla="*/ 27912 h 1402582"/>
            <a:gd name="connsiteX32" fmla="*/ 1053782 w 1493398"/>
            <a:gd name="connsiteY32" fmla="*/ 0 h 1402582"/>
            <a:gd name="connsiteX33" fmla="*/ 949112 w 1493398"/>
            <a:gd name="connsiteY33" fmla="*/ 20934 h 1402582"/>
            <a:gd name="connsiteX34" fmla="*/ 879332 w 1493398"/>
            <a:gd name="connsiteY34" fmla="*/ 62802 h 1402582"/>
            <a:gd name="connsiteX35" fmla="*/ 802574 w 1493398"/>
            <a:gd name="connsiteY35" fmla="*/ 83736 h 1402582"/>
            <a:gd name="connsiteX36" fmla="*/ 781639 w 1493398"/>
            <a:gd name="connsiteY36" fmla="*/ 90714 h 1402582"/>
            <a:gd name="connsiteX37" fmla="*/ 697903 w 1493398"/>
            <a:gd name="connsiteY37" fmla="*/ 97692 h 1402582"/>
            <a:gd name="connsiteX38" fmla="*/ 635101 w 1493398"/>
            <a:gd name="connsiteY38" fmla="*/ 111648 h 1402582"/>
            <a:gd name="connsiteX39" fmla="*/ 523453 w 1493398"/>
            <a:gd name="connsiteY39" fmla="*/ 153516 h 1402582"/>
            <a:gd name="connsiteX40" fmla="*/ 404826 w 1493398"/>
            <a:gd name="connsiteY40" fmla="*/ 160494 h 1402582"/>
            <a:gd name="connsiteX41" fmla="*/ 321090 w 1493398"/>
            <a:gd name="connsiteY41" fmla="*/ 174450 h 1402582"/>
            <a:gd name="connsiteX42" fmla="*/ 293178 w 1493398"/>
            <a:gd name="connsiteY42" fmla="*/ 181428 h 1402582"/>
            <a:gd name="connsiteX43" fmla="*/ 244332 w 1493398"/>
            <a:gd name="connsiteY43" fmla="*/ 195385 h 1402582"/>
            <a:gd name="connsiteX44" fmla="*/ 195486 w 1493398"/>
            <a:gd name="connsiteY44" fmla="*/ 202363 h 1402582"/>
            <a:gd name="connsiteX45" fmla="*/ 83837 w 1493398"/>
            <a:gd name="connsiteY45" fmla="*/ 279121 h 1402582"/>
            <a:gd name="connsiteX46" fmla="*/ 62903 w 1493398"/>
            <a:gd name="connsiteY46" fmla="*/ 307033 h 1402582"/>
            <a:gd name="connsiteX47" fmla="*/ 21035 w 1493398"/>
            <a:gd name="connsiteY47" fmla="*/ 411703 h 1402582"/>
            <a:gd name="connsiteX48" fmla="*/ 7079 w 1493398"/>
            <a:gd name="connsiteY48" fmla="*/ 439615 h 1402582"/>
            <a:gd name="connsiteX49" fmla="*/ 7079 w 1493398"/>
            <a:gd name="connsiteY49" fmla="*/ 635000 h 1402582"/>
            <a:gd name="connsiteX50" fmla="*/ 14057 w 1493398"/>
            <a:gd name="connsiteY50" fmla="*/ 655934 h 1402582"/>
            <a:gd name="connsiteX51" fmla="*/ 34991 w 1493398"/>
            <a:gd name="connsiteY51" fmla="*/ 739670 h 1402582"/>
            <a:gd name="connsiteX52" fmla="*/ 62903 w 1493398"/>
            <a:gd name="connsiteY52" fmla="*/ 774560 h 1402582"/>
            <a:gd name="connsiteX53" fmla="*/ 111749 w 1493398"/>
            <a:gd name="connsiteY53" fmla="*/ 879231 h 1402582"/>
            <a:gd name="connsiteX54" fmla="*/ 125705 w 1493398"/>
            <a:gd name="connsiteY54" fmla="*/ 969945 h 1402582"/>
            <a:gd name="connsiteX55" fmla="*/ 125705 w 1493398"/>
            <a:gd name="connsiteY55" fmla="*/ 1137417 h 1402582"/>
            <a:gd name="connsiteX56" fmla="*/ 181530 w 1493398"/>
            <a:gd name="connsiteY56" fmla="*/ 1263022 h 1402582"/>
            <a:gd name="connsiteX57" fmla="*/ 237354 w 1493398"/>
            <a:gd name="connsiteY57" fmla="*/ 1311868 h 1402582"/>
            <a:gd name="connsiteX58" fmla="*/ 286200 w 1493398"/>
            <a:gd name="connsiteY58" fmla="*/ 1360714 h 1402582"/>
            <a:gd name="connsiteX59" fmla="*/ 314112 w 1493398"/>
            <a:gd name="connsiteY59" fmla="*/ 1374670 h 1402582"/>
            <a:gd name="connsiteX60" fmla="*/ 369936 w 1493398"/>
            <a:gd name="connsiteY60" fmla="*/ 1388626 h 1402582"/>
            <a:gd name="connsiteX61" fmla="*/ 439716 w 1493398"/>
            <a:gd name="connsiteY61" fmla="*/ 1381648 h 1402582"/>
            <a:gd name="connsiteX62" fmla="*/ 523453 w 1493398"/>
            <a:gd name="connsiteY62" fmla="*/ 1388626 h 140258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Lst>
          <a:rect l="l" t="t" r="r" b="b"/>
          <a:pathLst>
            <a:path w="1493398" h="1402582">
              <a:moveTo>
                <a:pt x="376914" y="1402582"/>
              </a:moveTo>
              <a:cubicBezTo>
                <a:pt x="449020" y="1400256"/>
                <a:pt x="521353" y="1401765"/>
                <a:pt x="593233" y="1395604"/>
              </a:cubicBezTo>
              <a:cubicBezTo>
                <a:pt x="603597" y="1394716"/>
                <a:pt x="611277" y="1384937"/>
                <a:pt x="621145" y="1381648"/>
              </a:cubicBezTo>
              <a:cubicBezTo>
                <a:pt x="646305" y="1373261"/>
                <a:pt x="671860" y="1365722"/>
                <a:pt x="697903" y="1360714"/>
              </a:cubicBezTo>
              <a:cubicBezTo>
                <a:pt x="732469" y="1354067"/>
                <a:pt x="767684" y="1351410"/>
                <a:pt x="802574" y="1346758"/>
              </a:cubicBezTo>
              <a:cubicBezTo>
                <a:pt x="818856" y="1342106"/>
                <a:pt x="834992" y="1336909"/>
                <a:pt x="851420" y="1332802"/>
              </a:cubicBezTo>
              <a:cubicBezTo>
                <a:pt x="870926" y="1327926"/>
                <a:pt x="909514" y="1321957"/>
                <a:pt x="928178" y="1318846"/>
              </a:cubicBezTo>
              <a:cubicBezTo>
                <a:pt x="939808" y="1314194"/>
                <a:pt x="951340" y="1309288"/>
                <a:pt x="963068" y="1304890"/>
              </a:cubicBezTo>
              <a:cubicBezTo>
                <a:pt x="969955" y="1302307"/>
                <a:pt x="977137" y="1300552"/>
                <a:pt x="984002" y="1297912"/>
              </a:cubicBezTo>
              <a:cubicBezTo>
                <a:pt x="1007384" y="1288919"/>
                <a:pt x="1030400" y="1278993"/>
                <a:pt x="1053782" y="1270000"/>
              </a:cubicBezTo>
              <a:cubicBezTo>
                <a:pt x="1060647" y="1267360"/>
                <a:pt x="1068137" y="1266311"/>
                <a:pt x="1074716" y="1263022"/>
              </a:cubicBezTo>
              <a:cubicBezTo>
                <a:pt x="1105434" y="1247663"/>
                <a:pt x="1135193" y="1230458"/>
                <a:pt x="1165431" y="1214176"/>
              </a:cubicBezTo>
              <a:cubicBezTo>
                <a:pt x="1177061" y="1200220"/>
                <a:pt x="1190568" y="1187635"/>
                <a:pt x="1200321" y="1172308"/>
              </a:cubicBezTo>
              <a:cubicBezTo>
                <a:pt x="1249943" y="1094330"/>
                <a:pt x="1167912" y="1184682"/>
                <a:pt x="1242189" y="1095549"/>
              </a:cubicBezTo>
              <a:cubicBezTo>
                <a:pt x="1254824" y="1080387"/>
                <a:pt x="1269453" y="1066957"/>
                <a:pt x="1284057" y="1053681"/>
              </a:cubicBezTo>
              <a:cubicBezTo>
                <a:pt x="1295077" y="1043662"/>
                <a:pt x="1308883" y="1036748"/>
                <a:pt x="1318947" y="1025769"/>
              </a:cubicBezTo>
              <a:cubicBezTo>
                <a:pt x="1367016" y="973330"/>
                <a:pt x="1367214" y="952714"/>
                <a:pt x="1402683" y="886209"/>
              </a:cubicBezTo>
              <a:cubicBezTo>
                <a:pt x="1406630" y="878809"/>
                <a:pt x="1412478" y="872557"/>
                <a:pt x="1416639" y="865275"/>
              </a:cubicBezTo>
              <a:cubicBezTo>
                <a:pt x="1421800" y="856243"/>
                <a:pt x="1425614" y="846495"/>
                <a:pt x="1430595" y="837363"/>
              </a:cubicBezTo>
              <a:cubicBezTo>
                <a:pt x="1439575" y="820900"/>
                <a:pt x="1448859" y="804597"/>
                <a:pt x="1458508" y="788516"/>
              </a:cubicBezTo>
              <a:cubicBezTo>
                <a:pt x="1462823" y="781325"/>
                <a:pt x="1469058" y="775246"/>
                <a:pt x="1472464" y="767582"/>
              </a:cubicBezTo>
              <a:cubicBezTo>
                <a:pt x="1478439" y="754139"/>
                <a:pt x="1481768" y="739670"/>
                <a:pt x="1486420" y="725714"/>
              </a:cubicBezTo>
              <a:cubicBezTo>
                <a:pt x="1488746" y="704780"/>
                <a:pt x="1493398" y="683975"/>
                <a:pt x="1493398" y="662912"/>
              </a:cubicBezTo>
              <a:cubicBezTo>
                <a:pt x="1493398" y="473726"/>
                <a:pt x="1477672" y="628231"/>
                <a:pt x="1493398" y="502417"/>
              </a:cubicBezTo>
              <a:cubicBezTo>
                <a:pt x="1491072" y="453571"/>
                <a:pt x="1489210" y="404701"/>
                <a:pt x="1486420" y="355879"/>
              </a:cubicBezTo>
              <a:cubicBezTo>
                <a:pt x="1484557" y="323285"/>
                <a:pt x="1482270" y="290711"/>
                <a:pt x="1479442" y="258187"/>
              </a:cubicBezTo>
              <a:cubicBezTo>
                <a:pt x="1477617" y="237203"/>
                <a:pt x="1476595" y="216039"/>
                <a:pt x="1472464" y="195385"/>
              </a:cubicBezTo>
              <a:cubicBezTo>
                <a:pt x="1465432" y="160225"/>
                <a:pt x="1458953" y="151259"/>
                <a:pt x="1437574" y="125604"/>
              </a:cubicBezTo>
              <a:cubicBezTo>
                <a:pt x="1433362" y="120550"/>
                <a:pt x="1429196" y="115135"/>
                <a:pt x="1423617" y="111648"/>
              </a:cubicBezTo>
              <a:cubicBezTo>
                <a:pt x="1322530" y="48470"/>
                <a:pt x="1421367" y="114012"/>
                <a:pt x="1360815" y="83736"/>
              </a:cubicBezTo>
              <a:cubicBezTo>
                <a:pt x="1348684" y="77671"/>
                <a:pt x="1338466" y="67966"/>
                <a:pt x="1325925" y="62802"/>
              </a:cubicBezTo>
              <a:cubicBezTo>
                <a:pt x="1241547" y="28058"/>
                <a:pt x="1265065" y="40861"/>
                <a:pt x="1200321" y="27912"/>
              </a:cubicBezTo>
              <a:cubicBezTo>
                <a:pt x="1049615" y="-2229"/>
                <a:pt x="1238215" y="30738"/>
                <a:pt x="1053782" y="0"/>
              </a:cubicBezTo>
              <a:cubicBezTo>
                <a:pt x="1029273" y="4085"/>
                <a:pt x="967353" y="13637"/>
                <a:pt x="949112" y="20934"/>
              </a:cubicBezTo>
              <a:cubicBezTo>
                <a:pt x="869489" y="52783"/>
                <a:pt x="940293" y="42482"/>
                <a:pt x="879332" y="62802"/>
              </a:cubicBezTo>
              <a:cubicBezTo>
                <a:pt x="854172" y="71189"/>
                <a:pt x="828074" y="76450"/>
                <a:pt x="802574" y="83736"/>
              </a:cubicBezTo>
              <a:cubicBezTo>
                <a:pt x="795501" y="85757"/>
                <a:pt x="788930" y="89742"/>
                <a:pt x="781639" y="90714"/>
              </a:cubicBezTo>
              <a:cubicBezTo>
                <a:pt x="753876" y="94416"/>
                <a:pt x="725815" y="95366"/>
                <a:pt x="697903" y="97692"/>
              </a:cubicBezTo>
              <a:cubicBezTo>
                <a:pt x="676969" y="102344"/>
                <a:pt x="655597" y="105341"/>
                <a:pt x="635101" y="111648"/>
              </a:cubicBezTo>
              <a:cubicBezTo>
                <a:pt x="575474" y="129995"/>
                <a:pt x="632329" y="147112"/>
                <a:pt x="523453" y="153516"/>
              </a:cubicBezTo>
              <a:lnTo>
                <a:pt x="404826" y="160494"/>
              </a:lnTo>
              <a:cubicBezTo>
                <a:pt x="376914" y="165146"/>
                <a:pt x="348542" y="167587"/>
                <a:pt x="321090" y="174450"/>
              </a:cubicBezTo>
              <a:cubicBezTo>
                <a:pt x="311786" y="176776"/>
                <a:pt x="302430" y="178905"/>
                <a:pt x="293178" y="181428"/>
              </a:cubicBezTo>
              <a:cubicBezTo>
                <a:pt x="276841" y="185884"/>
                <a:pt x="260890" y="191837"/>
                <a:pt x="244332" y="195385"/>
              </a:cubicBezTo>
              <a:cubicBezTo>
                <a:pt x="228250" y="198831"/>
                <a:pt x="211768" y="200037"/>
                <a:pt x="195486" y="202363"/>
              </a:cubicBezTo>
              <a:cubicBezTo>
                <a:pt x="137996" y="234301"/>
                <a:pt x="129321" y="233637"/>
                <a:pt x="83837" y="279121"/>
              </a:cubicBezTo>
              <a:cubicBezTo>
                <a:pt x="75613" y="287345"/>
                <a:pt x="68417" y="296793"/>
                <a:pt x="62903" y="307033"/>
              </a:cubicBezTo>
              <a:cubicBezTo>
                <a:pt x="24047" y="379194"/>
                <a:pt x="45426" y="350725"/>
                <a:pt x="21035" y="411703"/>
              </a:cubicBezTo>
              <a:cubicBezTo>
                <a:pt x="17172" y="421361"/>
                <a:pt x="11731" y="430311"/>
                <a:pt x="7079" y="439615"/>
              </a:cubicBezTo>
              <a:cubicBezTo>
                <a:pt x="49" y="538031"/>
                <a:pt x="-4499" y="536584"/>
                <a:pt x="7079" y="635000"/>
              </a:cubicBezTo>
              <a:cubicBezTo>
                <a:pt x="7938" y="642305"/>
                <a:pt x="12273" y="648798"/>
                <a:pt x="14057" y="655934"/>
              </a:cubicBezTo>
              <a:cubicBezTo>
                <a:pt x="20463" y="681557"/>
                <a:pt x="23335" y="716359"/>
                <a:pt x="34991" y="739670"/>
              </a:cubicBezTo>
              <a:cubicBezTo>
                <a:pt x="41652" y="752991"/>
                <a:pt x="54907" y="761995"/>
                <a:pt x="62903" y="774560"/>
              </a:cubicBezTo>
              <a:cubicBezTo>
                <a:pt x="74391" y="792613"/>
                <a:pt x="106410" y="867219"/>
                <a:pt x="111749" y="879231"/>
              </a:cubicBezTo>
              <a:cubicBezTo>
                <a:pt x="116401" y="909469"/>
                <a:pt x="124573" y="939372"/>
                <a:pt x="125705" y="969945"/>
              </a:cubicBezTo>
              <a:cubicBezTo>
                <a:pt x="130342" y="1095131"/>
                <a:pt x="105970" y="1032161"/>
                <a:pt x="125705" y="1137417"/>
              </a:cubicBezTo>
              <a:cubicBezTo>
                <a:pt x="131857" y="1170226"/>
                <a:pt x="170570" y="1248148"/>
                <a:pt x="181530" y="1263022"/>
              </a:cubicBezTo>
              <a:cubicBezTo>
                <a:pt x="196197" y="1282928"/>
                <a:pt x="219278" y="1294997"/>
                <a:pt x="237354" y="1311868"/>
              </a:cubicBezTo>
              <a:cubicBezTo>
                <a:pt x="254187" y="1327579"/>
                <a:pt x="265605" y="1350416"/>
                <a:pt x="286200" y="1360714"/>
              </a:cubicBezTo>
              <a:cubicBezTo>
                <a:pt x="295504" y="1365366"/>
                <a:pt x="304551" y="1370572"/>
                <a:pt x="314112" y="1374670"/>
              </a:cubicBezTo>
              <a:cubicBezTo>
                <a:pt x="332887" y="1382716"/>
                <a:pt x="349457" y="1384530"/>
                <a:pt x="369936" y="1388626"/>
              </a:cubicBezTo>
              <a:cubicBezTo>
                <a:pt x="393196" y="1386300"/>
                <a:pt x="416340" y="1381648"/>
                <a:pt x="439716" y="1381648"/>
              </a:cubicBezTo>
              <a:cubicBezTo>
                <a:pt x="467725" y="1381648"/>
                <a:pt x="523453" y="1388626"/>
                <a:pt x="523453" y="1388626"/>
              </a:cubicBezTo>
            </a:path>
          </a:pathLst>
        </a:custGeom>
        <a:solidFill>
          <a:srgbClr val="00B0F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76</xdr:col>
      <xdr:colOff>76758</xdr:colOff>
      <xdr:row>9</xdr:row>
      <xdr:rowOff>49755</xdr:rowOff>
    </xdr:from>
    <xdr:to>
      <xdr:col>79</xdr:col>
      <xdr:colOff>210441</xdr:colOff>
      <xdr:row>16</xdr:row>
      <xdr:rowOff>167472</xdr:rowOff>
    </xdr:to>
    <xdr:sp macro="" textlink="">
      <xdr:nvSpPr>
        <xdr:cNvPr id="24" name="Freeform: Shape 23">
          <a:extLst>
            <a:ext uri="{FF2B5EF4-FFF2-40B4-BE49-F238E27FC236}">
              <a16:creationId xmlns:a16="http://schemas.microsoft.com/office/drawing/2014/main" id="{2FBD4B1E-C0AA-4218-A562-01A4D241DD4A}"/>
            </a:ext>
          </a:extLst>
        </xdr:cNvPr>
        <xdr:cNvSpPr/>
      </xdr:nvSpPr>
      <xdr:spPr>
        <a:xfrm>
          <a:off x="31177802" y="1919865"/>
          <a:ext cx="1954947" cy="1338871"/>
        </a:xfrm>
        <a:custGeom>
          <a:avLst/>
          <a:gdLst>
            <a:gd name="connsiteX0" fmla="*/ 0 w 1954947"/>
            <a:gd name="connsiteY0" fmla="*/ 766673 h 1338871"/>
            <a:gd name="connsiteX1" fmla="*/ 90714 w 1954947"/>
            <a:gd name="connsiteY1" fmla="*/ 592223 h 1338871"/>
            <a:gd name="connsiteX2" fmla="*/ 118627 w 1954947"/>
            <a:gd name="connsiteY2" fmla="*/ 550355 h 1338871"/>
            <a:gd name="connsiteX3" fmla="*/ 160495 w 1954947"/>
            <a:gd name="connsiteY3" fmla="*/ 515465 h 1338871"/>
            <a:gd name="connsiteX4" fmla="*/ 286099 w 1954947"/>
            <a:gd name="connsiteY4" fmla="*/ 445684 h 1338871"/>
            <a:gd name="connsiteX5" fmla="*/ 320989 w 1954947"/>
            <a:gd name="connsiteY5" fmla="*/ 403816 h 1338871"/>
            <a:gd name="connsiteX6" fmla="*/ 404725 w 1954947"/>
            <a:gd name="connsiteY6" fmla="*/ 361948 h 1338871"/>
            <a:gd name="connsiteX7" fmla="*/ 453572 w 1954947"/>
            <a:gd name="connsiteY7" fmla="*/ 347992 h 1338871"/>
            <a:gd name="connsiteX8" fmla="*/ 481484 w 1954947"/>
            <a:gd name="connsiteY8" fmla="*/ 334036 h 1338871"/>
            <a:gd name="connsiteX9" fmla="*/ 537308 w 1954947"/>
            <a:gd name="connsiteY9" fmla="*/ 264256 h 1338871"/>
            <a:gd name="connsiteX10" fmla="*/ 593132 w 1954947"/>
            <a:gd name="connsiteY10" fmla="*/ 173542 h 1338871"/>
            <a:gd name="connsiteX11" fmla="*/ 628022 w 1954947"/>
            <a:gd name="connsiteY11" fmla="*/ 145630 h 1338871"/>
            <a:gd name="connsiteX12" fmla="*/ 704780 w 1954947"/>
            <a:gd name="connsiteY12" fmla="*/ 103761 h 1338871"/>
            <a:gd name="connsiteX13" fmla="*/ 795495 w 1954947"/>
            <a:gd name="connsiteY13" fmla="*/ 75849 h 1338871"/>
            <a:gd name="connsiteX14" fmla="*/ 872253 w 1954947"/>
            <a:gd name="connsiteY14" fmla="*/ 33981 h 1338871"/>
            <a:gd name="connsiteX15" fmla="*/ 997857 w 1954947"/>
            <a:gd name="connsiteY15" fmla="*/ 13047 h 1338871"/>
            <a:gd name="connsiteX16" fmla="*/ 1130440 w 1954947"/>
            <a:gd name="connsiteY16" fmla="*/ 13047 h 1338871"/>
            <a:gd name="connsiteX17" fmla="*/ 1186264 w 1954947"/>
            <a:gd name="connsiteY17" fmla="*/ 40959 h 1338871"/>
            <a:gd name="connsiteX18" fmla="*/ 1249066 w 1954947"/>
            <a:gd name="connsiteY18" fmla="*/ 68871 h 1338871"/>
            <a:gd name="connsiteX19" fmla="*/ 1367693 w 1954947"/>
            <a:gd name="connsiteY19" fmla="*/ 145630 h 1338871"/>
            <a:gd name="connsiteX20" fmla="*/ 1388627 w 1954947"/>
            <a:gd name="connsiteY20" fmla="*/ 180520 h 1338871"/>
            <a:gd name="connsiteX21" fmla="*/ 1402583 w 1954947"/>
            <a:gd name="connsiteY21" fmla="*/ 201454 h 1338871"/>
            <a:gd name="connsiteX22" fmla="*/ 1444451 w 1954947"/>
            <a:gd name="connsiteY22" fmla="*/ 354970 h 1338871"/>
            <a:gd name="connsiteX23" fmla="*/ 1472363 w 1954947"/>
            <a:gd name="connsiteY23" fmla="*/ 396838 h 1338871"/>
            <a:gd name="connsiteX24" fmla="*/ 1507253 w 1954947"/>
            <a:gd name="connsiteY24" fmla="*/ 417772 h 1338871"/>
            <a:gd name="connsiteX25" fmla="*/ 1577033 w 1954947"/>
            <a:gd name="connsiteY25" fmla="*/ 452662 h 1338871"/>
            <a:gd name="connsiteX26" fmla="*/ 1604945 w 1954947"/>
            <a:gd name="connsiteY26" fmla="*/ 466619 h 1338871"/>
            <a:gd name="connsiteX27" fmla="*/ 1646813 w 1954947"/>
            <a:gd name="connsiteY27" fmla="*/ 473597 h 1338871"/>
            <a:gd name="connsiteX28" fmla="*/ 1716594 w 1954947"/>
            <a:gd name="connsiteY28" fmla="*/ 501509 h 1338871"/>
            <a:gd name="connsiteX29" fmla="*/ 1765440 w 1954947"/>
            <a:gd name="connsiteY29" fmla="*/ 550355 h 1338871"/>
            <a:gd name="connsiteX30" fmla="*/ 1800330 w 1954947"/>
            <a:gd name="connsiteY30" fmla="*/ 592223 h 1338871"/>
            <a:gd name="connsiteX31" fmla="*/ 1814286 w 1954947"/>
            <a:gd name="connsiteY31" fmla="*/ 613157 h 1338871"/>
            <a:gd name="connsiteX32" fmla="*/ 1884066 w 1954947"/>
            <a:gd name="connsiteY32" fmla="*/ 668981 h 1338871"/>
            <a:gd name="connsiteX33" fmla="*/ 1905000 w 1954947"/>
            <a:gd name="connsiteY33" fmla="*/ 682937 h 1338871"/>
            <a:gd name="connsiteX34" fmla="*/ 1946868 w 1954947"/>
            <a:gd name="connsiteY34" fmla="*/ 724805 h 1338871"/>
            <a:gd name="connsiteX35" fmla="*/ 1953846 w 1954947"/>
            <a:gd name="connsiteY35" fmla="*/ 759695 h 1338871"/>
            <a:gd name="connsiteX36" fmla="*/ 1856154 w 1954947"/>
            <a:gd name="connsiteY36" fmla="*/ 906234 h 1338871"/>
            <a:gd name="connsiteX37" fmla="*/ 1800330 w 1954947"/>
            <a:gd name="connsiteY37" fmla="*/ 976014 h 1338871"/>
            <a:gd name="connsiteX38" fmla="*/ 1765440 w 1954947"/>
            <a:gd name="connsiteY38" fmla="*/ 1010904 h 1338871"/>
            <a:gd name="connsiteX39" fmla="*/ 1723572 w 1954947"/>
            <a:gd name="connsiteY39" fmla="*/ 1059750 h 1338871"/>
            <a:gd name="connsiteX40" fmla="*/ 1611923 w 1954947"/>
            <a:gd name="connsiteY40" fmla="*/ 1094640 h 1338871"/>
            <a:gd name="connsiteX41" fmla="*/ 1493297 w 1954947"/>
            <a:gd name="connsiteY41" fmla="*/ 1122553 h 1338871"/>
            <a:gd name="connsiteX42" fmla="*/ 1451429 w 1954947"/>
            <a:gd name="connsiteY42" fmla="*/ 1150465 h 1338871"/>
            <a:gd name="connsiteX43" fmla="*/ 1381649 w 1954947"/>
            <a:gd name="connsiteY43" fmla="*/ 1241179 h 1338871"/>
            <a:gd name="connsiteX44" fmla="*/ 1360714 w 1954947"/>
            <a:gd name="connsiteY44" fmla="*/ 1262113 h 1338871"/>
            <a:gd name="connsiteX45" fmla="*/ 1325824 w 1954947"/>
            <a:gd name="connsiteY45" fmla="*/ 1283047 h 1338871"/>
            <a:gd name="connsiteX46" fmla="*/ 1242088 w 1954947"/>
            <a:gd name="connsiteY46" fmla="*/ 1310959 h 1338871"/>
            <a:gd name="connsiteX47" fmla="*/ 1172308 w 1954947"/>
            <a:gd name="connsiteY47" fmla="*/ 1338871 h 1338871"/>
            <a:gd name="connsiteX48" fmla="*/ 844341 w 1954947"/>
            <a:gd name="connsiteY48" fmla="*/ 1331893 h 1338871"/>
            <a:gd name="connsiteX49" fmla="*/ 725714 w 1954947"/>
            <a:gd name="connsiteY49" fmla="*/ 1290025 h 1338871"/>
            <a:gd name="connsiteX50" fmla="*/ 600110 w 1954947"/>
            <a:gd name="connsiteY50" fmla="*/ 1234201 h 1338871"/>
            <a:gd name="connsiteX51" fmla="*/ 558242 w 1954947"/>
            <a:gd name="connsiteY51" fmla="*/ 1171399 h 1338871"/>
            <a:gd name="connsiteX52" fmla="*/ 516374 w 1954947"/>
            <a:gd name="connsiteY52" fmla="*/ 1094640 h 1338871"/>
            <a:gd name="connsiteX53" fmla="*/ 495440 w 1954947"/>
            <a:gd name="connsiteY53" fmla="*/ 1080684 h 1338871"/>
            <a:gd name="connsiteX54" fmla="*/ 439616 w 1954947"/>
            <a:gd name="connsiteY54" fmla="*/ 1059750 h 1338871"/>
            <a:gd name="connsiteX55" fmla="*/ 369835 w 1954947"/>
            <a:gd name="connsiteY55" fmla="*/ 1031838 h 1338871"/>
            <a:gd name="connsiteX56" fmla="*/ 307033 w 1954947"/>
            <a:gd name="connsiteY56" fmla="*/ 1010904 h 1338871"/>
            <a:gd name="connsiteX57" fmla="*/ 265165 w 1954947"/>
            <a:gd name="connsiteY57" fmla="*/ 996948 h 1338871"/>
            <a:gd name="connsiteX58" fmla="*/ 216319 w 1954947"/>
            <a:gd name="connsiteY58" fmla="*/ 969036 h 1338871"/>
            <a:gd name="connsiteX59" fmla="*/ 146539 w 1954947"/>
            <a:gd name="connsiteY59" fmla="*/ 941124 h 1338871"/>
            <a:gd name="connsiteX60" fmla="*/ 118627 w 1954947"/>
            <a:gd name="connsiteY60" fmla="*/ 920190 h 1338871"/>
            <a:gd name="connsiteX61" fmla="*/ 62802 w 1954947"/>
            <a:gd name="connsiteY61" fmla="*/ 892278 h 1338871"/>
            <a:gd name="connsiteX62" fmla="*/ 48846 w 1954947"/>
            <a:gd name="connsiteY62" fmla="*/ 871344 h 1338871"/>
            <a:gd name="connsiteX63" fmla="*/ 27912 w 1954947"/>
            <a:gd name="connsiteY63" fmla="*/ 857388 h 1338871"/>
            <a:gd name="connsiteX64" fmla="*/ 6978 w 1954947"/>
            <a:gd name="connsiteY64" fmla="*/ 794586 h 1338871"/>
            <a:gd name="connsiteX65" fmla="*/ 13956 w 1954947"/>
            <a:gd name="connsiteY65" fmla="*/ 696893 h 1338871"/>
            <a:gd name="connsiteX66" fmla="*/ 20934 w 1954947"/>
            <a:gd name="connsiteY66" fmla="*/ 655025 h 1338871"/>
            <a:gd name="connsiteX67" fmla="*/ 27912 w 1954947"/>
            <a:gd name="connsiteY67" fmla="*/ 634091 h 133887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Lst>
          <a:rect l="l" t="t" r="r" b="b"/>
          <a:pathLst>
            <a:path w="1954947" h="1338871">
              <a:moveTo>
                <a:pt x="0" y="766673"/>
              </a:moveTo>
              <a:cubicBezTo>
                <a:pt x="30238" y="708523"/>
                <a:pt x="59199" y="649691"/>
                <a:pt x="90714" y="592223"/>
              </a:cubicBezTo>
              <a:cubicBezTo>
                <a:pt x="98779" y="577516"/>
                <a:pt x="105741" y="561093"/>
                <a:pt x="118627" y="550355"/>
              </a:cubicBezTo>
              <a:cubicBezTo>
                <a:pt x="132583" y="538725"/>
                <a:pt x="145263" y="525366"/>
                <a:pt x="160495" y="515465"/>
              </a:cubicBezTo>
              <a:cubicBezTo>
                <a:pt x="211321" y="482428"/>
                <a:pt x="240144" y="468661"/>
                <a:pt x="286099" y="445684"/>
              </a:cubicBezTo>
              <a:cubicBezTo>
                <a:pt x="297729" y="431728"/>
                <a:pt x="306704" y="415040"/>
                <a:pt x="320989" y="403816"/>
              </a:cubicBezTo>
              <a:cubicBezTo>
                <a:pt x="347660" y="382860"/>
                <a:pt x="374145" y="371122"/>
                <a:pt x="404725" y="361948"/>
              </a:cubicBezTo>
              <a:cubicBezTo>
                <a:pt x="420945" y="357082"/>
                <a:pt x="437658" y="353779"/>
                <a:pt x="453572" y="347992"/>
              </a:cubicBezTo>
              <a:cubicBezTo>
                <a:pt x="463348" y="344437"/>
                <a:pt x="472180" y="338688"/>
                <a:pt x="481484" y="334036"/>
              </a:cubicBezTo>
              <a:cubicBezTo>
                <a:pt x="500092" y="310776"/>
                <a:pt x="520488" y="288840"/>
                <a:pt x="537308" y="264256"/>
              </a:cubicBezTo>
              <a:cubicBezTo>
                <a:pt x="555074" y="238291"/>
                <a:pt x="568889" y="197785"/>
                <a:pt x="593132" y="173542"/>
              </a:cubicBezTo>
              <a:cubicBezTo>
                <a:pt x="603663" y="163011"/>
                <a:pt x="616107" y="154566"/>
                <a:pt x="628022" y="145630"/>
              </a:cubicBezTo>
              <a:cubicBezTo>
                <a:pt x="649399" y="129597"/>
                <a:pt x="683295" y="111946"/>
                <a:pt x="704780" y="103761"/>
              </a:cubicBezTo>
              <a:cubicBezTo>
                <a:pt x="734345" y="92498"/>
                <a:pt x="766009" y="87316"/>
                <a:pt x="795495" y="75849"/>
              </a:cubicBezTo>
              <a:cubicBezTo>
                <a:pt x="953556" y="14381"/>
                <a:pt x="691945" y="98377"/>
                <a:pt x="872253" y="33981"/>
              </a:cubicBezTo>
              <a:cubicBezTo>
                <a:pt x="918046" y="17626"/>
                <a:pt x="948855" y="17947"/>
                <a:pt x="997857" y="13047"/>
              </a:cubicBezTo>
              <a:cubicBezTo>
                <a:pt x="1047847" y="-3616"/>
                <a:pt x="1043486" y="-5068"/>
                <a:pt x="1130440" y="13047"/>
              </a:cubicBezTo>
              <a:cubicBezTo>
                <a:pt x="1150807" y="17290"/>
                <a:pt x="1167374" y="32241"/>
                <a:pt x="1186264" y="40959"/>
              </a:cubicBezTo>
              <a:cubicBezTo>
                <a:pt x="1237968" y="64822"/>
                <a:pt x="1204008" y="44294"/>
                <a:pt x="1249066" y="68871"/>
              </a:cubicBezTo>
              <a:cubicBezTo>
                <a:pt x="1310212" y="102223"/>
                <a:pt x="1301251" y="99120"/>
                <a:pt x="1367693" y="145630"/>
              </a:cubicBezTo>
              <a:cubicBezTo>
                <a:pt x="1374671" y="157260"/>
                <a:pt x="1381439" y="169019"/>
                <a:pt x="1388627" y="180520"/>
              </a:cubicBezTo>
              <a:cubicBezTo>
                <a:pt x="1393072" y="187632"/>
                <a:pt x="1400027" y="193466"/>
                <a:pt x="1402583" y="201454"/>
              </a:cubicBezTo>
              <a:cubicBezTo>
                <a:pt x="1418749" y="251971"/>
                <a:pt x="1415029" y="310837"/>
                <a:pt x="1444451" y="354970"/>
              </a:cubicBezTo>
              <a:cubicBezTo>
                <a:pt x="1453755" y="368926"/>
                <a:pt x="1460503" y="384978"/>
                <a:pt x="1472363" y="396838"/>
              </a:cubicBezTo>
              <a:cubicBezTo>
                <a:pt x="1481953" y="406428"/>
                <a:pt x="1495752" y="410584"/>
                <a:pt x="1507253" y="417772"/>
              </a:cubicBezTo>
              <a:cubicBezTo>
                <a:pt x="1555729" y="448070"/>
                <a:pt x="1493435" y="414662"/>
                <a:pt x="1577033" y="452662"/>
              </a:cubicBezTo>
              <a:cubicBezTo>
                <a:pt x="1586503" y="456967"/>
                <a:pt x="1594981" y="463630"/>
                <a:pt x="1604945" y="466619"/>
              </a:cubicBezTo>
              <a:cubicBezTo>
                <a:pt x="1618497" y="470685"/>
                <a:pt x="1633001" y="470528"/>
                <a:pt x="1646813" y="473597"/>
              </a:cubicBezTo>
              <a:cubicBezTo>
                <a:pt x="1664230" y="477468"/>
                <a:pt x="1709929" y="498653"/>
                <a:pt x="1716594" y="501509"/>
              </a:cubicBezTo>
              <a:cubicBezTo>
                <a:pt x="1732876" y="517791"/>
                <a:pt x="1749822" y="533435"/>
                <a:pt x="1765440" y="550355"/>
              </a:cubicBezTo>
              <a:cubicBezTo>
                <a:pt x="1777762" y="563704"/>
                <a:pt x="1789177" y="577883"/>
                <a:pt x="1800330" y="592223"/>
              </a:cubicBezTo>
              <a:cubicBezTo>
                <a:pt x="1805479" y="598843"/>
                <a:pt x="1808104" y="607490"/>
                <a:pt x="1814286" y="613157"/>
              </a:cubicBezTo>
              <a:cubicBezTo>
                <a:pt x="1836244" y="633285"/>
                <a:pt x="1860456" y="650819"/>
                <a:pt x="1884066" y="668981"/>
              </a:cubicBezTo>
              <a:cubicBezTo>
                <a:pt x="1890713" y="674094"/>
                <a:pt x="1898732" y="677365"/>
                <a:pt x="1905000" y="682937"/>
              </a:cubicBezTo>
              <a:cubicBezTo>
                <a:pt x="1919751" y="696049"/>
                <a:pt x="1932912" y="710849"/>
                <a:pt x="1946868" y="724805"/>
              </a:cubicBezTo>
              <a:cubicBezTo>
                <a:pt x="1949194" y="736435"/>
                <a:pt x="1958010" y="748590"/>
                <a:pt x="1953846" y="759695"/>
              </a:cubicBezTo>
              <a:cubicBezTo>
                <a:pt x="1946268" y="779904"/>
                <a:pt x="1869487" y="886975"/>
                <a:pt x="1856154" y="906234"/>
              </a:cubicBezTo>
              <a:cubicBezTo>
                <a:pt x="1830206" y="943714"/>
                <a:pt x="1847902" y="924117"/>
                <a:pt x="1800330" y="976014"/>
              </a:cubicBezTo>
              <a:cubicBezTo>
                <a:pt x="1789216" y="988138"/>
                <a:pt x="1776554" y="998780"/>
                <a:pt x="1765440" y="1010904"/>
              </a:cubicBezTo>
              <a:cubicBezTo>
                <a:pt x="1750949" y="1026712"/>
                <a:pt x="1742398" y="1049481"/>
                <a:pt x="1723572" y="1059750"/>
              </a:cubicBezTo>
              <a:cubicBezTo>
                <a:pt x="1689342" y="1078421"/>
                <a:pt x="1649750" y="1085183"/>
                <a:pt x="1611923" y="1094640"/>
              </a:cubicBezTo>
              <a:cubicBezTo>
                <a:pt x="1535295" y="1113798"/>
                <a:pt x="1574823" y="1104436"/>
                <a:pt x="1493297" y="1122553"/>
              </a:cubicBezTo>
              <a:cubicBezTo>
                <a:pt x="1479341" y="1131857"/>
                <a:pt x="1462925" y="1138251"/>
                <a:pt x="1451429" y="1150465"/>
              </a:cubicBezTo>
              <a:cubicBezTo>
                <a:pt x="1425283" y="1178245"/>
                <a:pt x="1408625" y="1214204"/>
                <a:pt x="1381649" y="1241179"/>
              </a:cubicBezTo>
              <a:cubicBezTo>
                <a:pt x="1374671" y="1248157"/>
                <a:pt x="1368609" y="1256192"/>
                <a:pt x="1360714" y="1262113"/>
              </a:cubicBezTo>
              <a:cubicBezTo>
                <a:pt x="1349864" y="1270251"/>
                <a:pt x="1337955" y="1276982"/>
                <a:pt x="1325824" y="1283047"/>
              </a:cubicBezTo>
              <a:cubicBezTo>
                <a:pt x="1229239" y="1331340"/>
                <a:pt x="1319012" y="1285318"/>
                <a:pt x="1242088" y="1310959"/>
              </a:cubicBezTo>
              <a:cubicBezTo>
                <a:pt x="1218322" y="1318881"/>
                <a:pt x="1172308" y="1338871"/>
                <a:pt x="1172308" y="1338871"/>
              </a:cubicBezTo>
              <a:lnTo>
                <a:pt x="844341" y="1331893"/>
              </a:lnTo>
              <a:cubicBezTo>
                <a:pt x="802657" y="1327334"/>
                <a:pt x="765356" y="1303695"/>
                <a:pt x="725714" y="1290025"/>
              </a:cubicBezTo>
              <a:cubicBezTo>
                <a:pt x="622507" y="1254437"/>
                <a:pt x="668487" y="1279786"/>
                <a:pt x="600110" y="1234201"/>
              </a:cubicBezTo>
              <a:cubicBezTo>
                <a:pt x="586154" y="1213267"/>
                <a:pt x="570919" y="1193131"/>
                <a:pt x="558242" y="1171399"/>
              </a:cubicBezTo>
              <a:cubicBezTo>
                <a:pt x="515585" y="1098273"/>
                <a:pt x="640902" y="1250302"/>
                <a:pt x="516374" y="1094640"/>
              </a:cubicBezTo>
              <a:cubicBezTo>
                <a:pt x="511135" y="1088091"/>
                <a:pt x="502941" y="1084435"/>
                <a:pt x="495440" y="1080684"/>
              </a:cubicBezTo>
              <a:cubicBezTo>
                <a:pt x="465041" y="1065485"/>
                <a:pt x="465786" y="1069815"/>
                <a:pt x="439616" y="1059750"/>
              </a:cubicBezTo>
              <a:cubicBezTo>
                <a:pt x="416234" y="1050757"/>
                <a:pt x="393342" y="1040499"/>
                <a:pt x="369835" y="1031838"/>
              </a:cubicBezTo>
              <a:cubicBezTo>
                <a:pt x="349129" y="1024210"/>
                <a:pt x="327967" y="1017882"/>
                <a:pt x="307033" y="1010904"/>
              </a:cubicBezTo>
              <a:cubicBezTo>
                <a:pt x="293077" y="1006252"/>
                <a:pt x="277405" y="1005108"/>
                <a:pt x="265165" y="996948"/>
              </a:cubicBezTo>
              <a:cubicBezTo>
                <a:pt x="244141" y="982932"/>
                <a:pt x="241108" y="979660"/>
                <a:pt x="216319" y="969036"/>
              </a:cubicBezTo>
              <a:cubicBezTo>
                <a:pt x="193293" y="959168"/>
                <a:pt x="168946" y="952327"/>
                <a:pt x="146539" y="941124"/>
              </a:cubicBezTo>
              <a:cubicBezTo>
                <a:pt x="136137" y="935923"/>
                <a:pt x="128673" y="926050"/>
                <a:pt x="118627" y="920190"/>
              </a:cubicBezTo>
              <a:cubicBezTo>
                <a:pt x="100656" y="909707"/>
                <a:pt x="81410" y="901582"/>
                <a:pt x="62802" y="892278"/>
              </a:cubicBezTo>
              <a:cubicBezTo>
                <a:pt x="58150" y="885300"/>
                <a:pt x="54776" y="877274"/>
                <a:pt x="48846" y="871344"/>
              </a:cubicBezTo>
              <a:cubicBezTo>
                <a:pt x="42916" y="865414"/>
                <a:pt x="31928" y="864750"/>
                <a:pt x="27912" y="857388"/>
              </a:cubicBezTo>
              <a:cubicBezTo>
                <a:pt x="17345" y="838016"/>
                <a:pt x="13956" y="815520"/>
                <a:pt x="6978" y="794586"/>
              </a:cubicBezTo>
              <a:cubicBezTo>
                <a:pt x="9304" y="762022"/>
                <a:pt x="10707" y="729378"/>
                <a:pt x="13956" y="696893"/>
              </a:cubicBezTo>
              <a:cubicBezTo>
                <a:pt x="15364" y="682815"/>
                <a:pt x="17865" y="668837"/>
                <a:pt x="20934" y="655025"/>
              </a:cubicBezTo>
              <a:cubicBezTo>
                <a:pt x="22530" y="647845"/>
                <a:pt x="27912" y="634091"/>
                <a:pt x="27912" y="634091"/>
              </a:cubicBezTo>
            </a:path>
          </a:pathLst>
        </a:custGeom>
        <a:solidFill>
          <a:srgbClr val="FFC00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75</xdr:col>
      <xdr:colOff>564911</xdr:colOff>
      <xdr:row>11</xdr:row>
      <xdr:rowOff>167340</xdr:rowOff>
    </xdr:from>
    <xdr:to>
      <xdr:col>80</xdr:col>
      <xdr:colOff>202637</xdr:colOff>
      <xdr:row>19</xdr:row>
      <xdr:rowOff>55825</xdr:rowOff>
    </xdr:to>
    <xdr:sp macro="" textlink="">
      <xdr:nvSpPr>
        <xdr:cNvPr id="25" name="Freeform: Shape 24">
          <a:extLst>
            <a:ext uri="{FF2B5EF4-FFF2-40B4-BE49-F238E27FC236}">
              <a16:creationId xmlns:a16="http://schemas.microsoft.com/office/drawing/2014/main" id="{E3D2A91F-BF47-496E-9A58-303116B35F60}"/>
            </a:ext>
          </a:extLst>
        </xdr:cNvPr>
        <xdr:cNvSpPr/>
      </xdr:nvSpPr>
      <xdr:spPr>
        <a:xfrm>
          <a:off x="31058867" y="2386351"/>
          <a:ext cx="2673166" cy="1284089"/>
        </a:xfrm>
        <a:custGeom>
          <a:avLst/>
          <a:gdLst>
            <a:gd name="connsiteX0" fmla="*/ 49155 w 2673166"/>
            <a:gd name="connsiteY0" fmla="*/ 251341 h 1284089"/>
            <a:gd name="connsiteX1" fmla="*/ 309 w 2673166"/>
            <a:gd name="connsiteY1" fmla="*/ 62935 h 1284089"/>
            <a:gd name="connsiteX2" fmla="*/ 7287 w 2673166"/>
            <a:gd name="connsiteY2" fmla="*/ 42001 h 1284089"/>
            <a:gd name="connsiteX3" fmla="*/ 28221 w 2673166"/>
            <a:gd name="connsiteY3" fmla="*/ 28045 h 1284089"/>
            <a:gd name="connsiteX4" fmla="*/ 49155 w 2673166"/>
            <a:gd name="connsiteY4" fmla="*/ 21067 h 1284089"/>
            <a:gd name="connsiteX5" fmla="*/ 104979 w 2673166"/>
            <a:gd name="connsiteY5" fmla="*/ 14089 h 1284089"/>
            <a:gd name="connsiteX6" fmla="*/ 181737 w 2673166"/>
            <a:gd name="connsiteY6" fmla="*/ 7111 h 1284089"/>
            <a:gd name="connsiteX7" fmla="*/ 405034 w 2673166"/>
            <a:gd name="connsiteY7" fmla="*/ 133 h 1284089"/>
            <a:gd name="connsiteX8" fmla="*/ 579485 w 2673166"/>
            <a:gd name="connsiteY8" fmla="*/ 7111 h 1284089"/>
            <a:gd name="connsiteX9" fmla="*/ 753935 w 2673166"/>
            <a:gd name="connsiteY9" fmla="*/ 42001 h 1284089"/>
            <a:gd name="connsiteX10" fmla="*/ 914430 w 2673166"/>
            <a:gd name="connsiteY10" fmla="*/ 76891 h 1284089"/>
            <a:gd name="connsiteX11" fmla="*/ 1005144 w 2673166"/>
            <a:gd name="connsiteY11" fmla="*/ 118759 h 1284089"/>
            <a:gd name="connsiteX12" fmla="*/ 1040034 w 2673166"/>
            <a:gd name="connsiteY12" fmla="*/ 125737 h 1284089"/>
            <a:gd name="connsiteX13" fmla="*/ 1535474 w 2673166"/>
            <a:gd name="connsiteY13" fmla="*/ 139693 h 1284089"/>
            <a:gd name="connsiteX14" fmla="*/ 1633166 w 2673166"/>
            <a:gd name="connsiteY14" fmla="*/ 132715 h 1284089"/>
            <a:gd name="connsiteX15" fmla="*/ 1730858 w 2673166"/>
            <a:gd name="connsiteY15" fmla="*/ 146671 h 1284089"/>
            <a:gd name="connsiteX16" fmla="*/ 1870419 w 2673166"/>
            <a:gd name="connsiteY16" fmla="*/ 174583 h 1284089"/>
            <a:gd name="connsiteX17" fmla="*/ 1982067 w 2673166"/>
            <a:gd name="connsiteY17" fmla="*/ 195517 h 1284089"/>
            <a:gd name="connsiteX18" fmla="*/ 2009979 w 2673166"/>
            <a:gd name="connsiteY18" fmla="*/ 202495 h 1284089"/>
            <a:gd name="connsiteX19" fmla="*/ 2114649 w 2673166"/>
            <a:gd name="connsiteY19" fmla="*/ 223429 h 1284089"/>
            <a:gd name="connsiteX20" fmla="*/ 2135584 w 2673166"/>
            <a:gd name="connsiteY20" fmla="*/ 230407 h 1284089"/>
            <a:gd name="connsiteX21" fmla="*/ 2212342 w 2673166"/>
            <a:gd name="connsiteY21" fmla="*/ 237385 h 1284089"/>
            <a:gd name="connsiteX22" fmla="*/ 2344924 w 2673166"/>
            <a:gd name="connsiteY22" fmla="*/ 251341 h 1284089"/>
            <a:gd name="connsiteX23" fmla="*/ 2568221 w 2673166"/>
            <a:gd name="connsiteY23" fmla="*/ 272275 h 1284089"/>
            <a:gd name="connsiteX24" fmla="*/ 2665913 w 2673166"/>
            <a:gd name="connsiteY24" fmla="*/ 321122 h 1284089"/>
            <a:gd name="connsiteX25" fmla="*/ 2644979 w 2673166"/>
            <a:gd name="connsiteY25" fmla="*/ 495572 h 1284089"/>
            <a:gd name="connsiteX26" fmla="*/ 2554265 w 2673166"/>
            <a:gd name="connsiteY26" fmla="*/ 621176 h 1284089"/>
            <a:gd name="connsiteX27" fmla="*/ 2540309 w 2673166"/>
            <a:gd name="connsiteY27" fmla="*/ 649089 h 1284089"/>
            <a:gd name="connsiteX28" fmla="*/ 2477507 w 2673166"/>
            <a:gd name="connsiteY28" fmla="*/ 851451 h 1284089"/>
            <a:gd name="connsiteX29" fmla="*/ 2442617 w 2673166"/>
            <a:gd name="connsiteY29" fmla="*/ 928209 h 1284089"/>
            <a:gd name="connsiteX30" fmla="*/ 2421682 w 2673166"/>
            <a:gd name="connsiteY30" fmla="*/ 1032880 h 1284089"/>
            <a:gd name="connsiteX31" fmla="*/ 2414704 w 2673166"/>
            <a:gd name="connsiteY31" fmla="*/ 1053814 h 1284089"/>
            <a:gd name="connsiteX32" fmla="*/ 2379814 w 2673166"/>
            <a:gd name="connsiteY32" fmla="*/ 1137550 h 1284089"/>
            <a:gd name="connsiteX33" fmla="*/ 2351902 w 2673166"/>
            <a:gd name="connsiteY33" fmla="*/ 1179418 h 1284089"/>
            <a:gd name="connsiteX34" fmla="*/ 2240254 w 2673166"/>
            <a:gd name="connsiteY34" fmla="*/ 1284089 h 1284089"/>
            <a:gd name="connsiteX35" fmla="*/ 2212342 w 2673166"/>
            <a:gd name="connsiteY35" fmla="*/ 1263154 h 1284089"/>
            <a:gd name="connsiteX36" fmla="*/ 2037891 w 2673166"/>
            <a:gd name="connsiteY36" fmla="*/ 1207330 h 1284089"/>
            <a:gd name="connsiteX37" fmla="*/ 1842507 w 2673166"/>
            <a:gd name="connsiteY37" fmla="*/ 1158484 h 1284089"/>
            <a:gd name="connsiteX38" fmla="*/ 1654100 w 2673166"/>
            <a:gd name="connsiteY38" fmla="*/ 1109638 h 1284089"/>
            <a:gd name="connsiteX39" fmla="*/ 1584320 w 2673166"/>
            <a:gd name="connsiteY39" fmla="*/ 1081726 h 1284089"/>
            <a:gd name="connsiteX40" fmla="*/ 1563386 w 2673166"/>
            <a:gd name="connsiteY40" fmla="*/ 1074748 h 1284089"/>
            <a:gd name="connsiteX41" fmla="*/ 1430803 w 2673166"/>
            <a:gd name="connsiteY41" fmla="*/ 997990 h 1284089"/>
            <a:gd name="connsiteX42" fmla="*/ 1263331 w 2673166"/>
            <a:gd name="connsiteY42" fmla="*/ 921231 h 1284089"/>
            <a:gd name="connsiteX43" fmla="*/ 1235419 w 2673166"/>
            <a:gd name="connsiteY43" fmla="*/ 907275 h 1284089"/>
            <a:gd name="connsiteX44" fmla="*/ 1144704 w 2673166"/>
            <a:gd name="connsiteY44" fmla="*/ 886341 h 1284089"/>
            <a:gd name="connsiteX45" fmla="*/ 1116792 w 2673166"/>
            <a:gd name="connsiteY45" fmla="*/ 872385 h 1284089"/>
            <a:gd name="connsiteX46" fmla="*/ 998166 w 2673166"/>
            <a:gd name="connsiteY46" fmla="*/ 823539 h 1284089"/>
            <a:gd name="connsiteX47" fmla="*/ 858606 w 2673166"/>
            <a:gd name="connsiteY47" fmla="*/ 739803 h 1284089"/>
            <a:gd name="connsiteX48" fmla="*/ 837671 w 2673166"/>
            <a:gd name="connsiteY48" fmla="*/ 725847 h 1284089"/>
            <a:gd name="connsiteX49" fmla="*/ 753935 w 2673166"/>
            <a:gd name="connsiteY49" fmla="*/ 663045 h 1284089"/>
            <a:gd name="connsiteX50" fmla="*/ 733001 w 2673166"/>
            <a:gd name="connsiteY50" fmla="*/ 649089 h 1284089"/>
            <a:gd name="connsiteX51" fmla="*/ 656243 w 2673166"/>
            <a:gd name="connsiteY51" fmla="*/ 579308 h 1284089"/>
            <a:gd name="connsiteX52" fmla="*/ 635309 w 2673166"/>
            <a:gd name="connsiteY52" fmla="*/ 572330 h 1284089"/>
            <a:gd name="connsiteX53" fmla="*/ 537617 w 2673166"/>
            <a:gd name="connsiteY53" fmla="*/ 523484 h 1284089"/>
            <a:gd name="connsiteX54" fmla="*/ 516682 w 2673166"/>
            <a:gd name="connsiteY54" fmla="*/ 516506 h 1284089"/>
            <a:gd name="connsiteX55" fmla="*/ 467836 w 2673166"/>
            <a:gd name="connsiteY55" fmla="*/ 495572 h 1284089"/>
            <a:gd name="connsiteX56" fmla="*/ 412012 w 2673166"/>
            <a:gd name="connsiteY56" fmla="*/ 453704 h 1284089"/>
            <a:gd name="connsiteX57" fmla="*/ 377122 w 2673166"/>
            <a:gd name="connsiteY57" fmla="*/ 418814 h 1284089"/>
            <a:gd name="connsiteX58" fmla="*/ 335254 w 2673166"/>
            <a:gd name="connsiteY58" fmla="*/ 369968 h 1284089"/>
            <a:gd name="connsiteX59" fmla="*/ 272452 w 2673166"/>
            <a:gd name="connsiteY59" fmla="*/ 328100 h 1284089"/>
            <a:gd name="connsiteX60" fmla="*/ 181737 w 2673166"/>
            <a:gd name="connsiteY60" fmla="*/ 286231 h 1284089"/>
            <a:gd name="connsiteX61" fmla="*/ 153825 w 2673166"/>
            <a:gd name="connsiteY61" fmla="*/ 265297 h 1284089"/>
            <a:gd name="connsiteX62" fmla="*/ 125913 w 2673166"/>
            <a:gd name="connsiteY62" fmla="*/ 251341 h 1284089"/>
            <a:gd name="connsiteX63" fmla="*/ 56133 w 2673166"/>
            <a:gd name="connsiteY63" fmla="*/ 181561 h 1284089"/>
            <a:gd name="connsiteX64" fmla="*/ 42177 w 2673166"/>
            <a:gd name="connsiteY64" fmla="*/ 181561 h 128408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Lst>
          <a:rect l="l" t="t" r="r" b="b"/>
          <a:pathLst>
            <a:path w="2673166" h="1284089">
              <a:moveTo>
                <a:pt x="49155" y="251341"/>
              </a:moveTo>
              <a:cubicBezTo>
                <a:pt x="32873" y="188539"/>
                <a:pt x="13033" y="126553"/>
                <a:pt x="309" y="62935"/>
              </a:cubicBezTo>
              <a:cubicBezTo>
                <a:pt x="-1134" y="55722"/>
                <a:pt x="2692" y="47745"/>
                <a:pt x="7287" y="42001"/>
              </a:cubicBezTo>
              <a:cubicBezTo>
                <a:pt x="12526" y="35452"/>
                <a:pt x="20720" y="31796"/>
                <a:pt x="28221" y="28045"/>
              </a:cubicBezTo>
              <a:cubicBezTo>
                <a:pt x="34800" y="24756"/>
                <a:pt x="41918" y="22383"/>
                <a:pt x="49155" y="21067"/>
              </a:cubicBezTo>
              <a:cubicBezTo>
                <a:pt x="67605" y="17712"/>
                <a:pt x="86329" y="16052"/>
                <a:pt x="104979" y="14089"/>
              </a:cubicBezTo>
              <a:cubicBezTo>
                <a:pt x="130529" y="11399"/>
                <a:pt x="156151" y="9437"/>
                <a:pt x="181737" y="7111"/>
              </a:cubicBezTo>
              <a:cubicBezTo>
                <a:pt x="270087" y="36561"/>
                <a:pt x="165267" y="4573"/>
                <a:pt x="405034" y="133"/>
              </a:cubicBezTo>
              <a:cubicBezTo>
                <a:pt x="463221" y="-945"/>
                <a:pt x="521335" y="4785"/>
                <a:pt x="579485" y="7111"/>
              </a:cubicBezTo>
              <a:cubicBezTo>
                <a:pt x="680462" y="32355"/>
                <a:pt x="469260" y="-19885"/>
                <a:pt x="753935" y="42001"/>
              </a:cubicBezTo>
              <a:cubicBezTo>
                <a:pt x="807433" y="53631"/>
                <a:pt x="861317" y="63613"/>
                <a:pt x="914430" y="76891"/>
              </a:cubicBezTo>
              <a:cubicBezTo>
                <a:pt x="942825" y="83990"/>
                <a:pt x="980986" y="109467"/>
                <a:pt x="1005144" y="118759"/>
              </a:cubicBezTo>
              <a:cubicBezTo>
                <a:pt x="1016214" y="123017"/>
                <a:pt x="1028183" y="125269"/>
                <a:pt x="1040034" y="125737"/>
              </a:cubicBezTo>
              <a:cubicBezTo>
                <a:pt x="1205118" y="132253"/>
                <a:pt x="1370327" y="135041"/>
                <a:pt x="1535474" y="139693"/>
              </a:cubicBezTo>
              <a:cubicBezTo>
                <a:pt x="1568038" y="137367"/>
                <a:pt x="1600540" y="131550"/>
                <a:pt x="1633166" y="132715"/>
              </a:cubicBezTo>
              <a:cubicBezTo>
                <a:pt x="1666040" y="133889"/>
                <a:pt x="1698464" y="140954"/>
                <a:pt x="1730858" y="146671"/>
              </a:cubicBezTo>
              <a:cubicBezTo>
                <a:pt x="1777578" y="154916"/>
                <a:pt x="1823850" y="165528"/>
                <a:pt x="1870419" y="174583"/>
              </a:cubicBezTo>
              <a:cubicBezTo>
                <a:pt x="1907587" y="181810"/>
                <a:pt x="1945333" y="186334"/>
                <a:pt x="1982067" y="195517"/>
              </a:cubicBezTo>
              <a:cubicBezTo>
                <a:pt x="1991371" y="197843"/>
                <a:pt x="2000594" y="200519"/>
                <a:pt x="2009979" y="202495"/>
              </a:cubicBezTo>
              <a:cubicBezTo>
                <a:pt x="2044797" y="209825"/>
                <a:pt x="2080894" y="212178"/>
                <a:pt x="2114649" y="223429"/>
              </a:cubicBezTo>
              <a:cubicBezTo>
                <a:pt x="2121627" y="225755"/>
                <a:pt x="2128302" y="229367"/>
                <a:pt x="2135584" y="230407"/>
              </a:cubicBezTo>
              <a:cubicBezTo>
                <a:pt x="2161017" y="234040"/>
                <a:pt x="2186778" y="234829"/>
                <a:pt x="2212342" y="237385"/>
              </a:cubicBezTo>
              <a:lnTo>
                <a:pt x="2344924" y="251341"/>
              </a:lnTo>
              <a:cubicBezTo>
                <a:pt x="2456249" y="279172"/>
                <a:pt x="2226637" y="223478"/>
                <a:pt x="2568221" y="272275"/>
              </a:cubicBezTo>
              <a:cubicBezTo>
                <a:pt x="2590251" y="275422"/>
                <a:pt x="2648323" y="311070"/>
                <a:pt x="2665913" y="321122"/>
              </a:cubicBezTo>
              <a:cubicBezTo>
                <a:pt x="2671920" y="381188"/>
                <a:pt x="2685965" y="438822"/>
                <a:pt x="2644979" y="495572"/>
              </a:cubicBezTo>
              <a:cubicBezTo>
                <a:pt x="2614741" y="537440"/>
                <a:pt x="2577361" y="574982"/>
                <a:pt x="2554265" y="621176"/>
              </a:cubicBezTo>
              <a:cubicBezTo>
                <a:pt x="2549613" y="630480"/>
                <a:pt x="2543599" y="639220"/>
                <a:pt x="2540309" y="649089"/>
              </a:cubicBezTo>
              <a:cubicBezTo>
                <a:pt x="2517975" y="716092"/>
                <a:pt x="2509093" y="788280"/>
                <a:pt x="2477507" y="851451"/>
              </a:cubicBezTo>
              <a:cubicBezTo>
                <a:pt x="2469312" y="867842"/>
                <a:pt x="2448040" y="903806"/>
                <a:pt x="2442617" y="928209"/>
              </a:cubicBezTo>
              <a:cubicBezTo>
                <a:pt x="2434898" y="962943"/>
                <a:pt x="2429401" y="998146"/>
                <a:pt x="2421682" y="1032880"/>
              </a:cubicBezTo>
              <a:cubicBezTo>
                <a:pt x="2420086" y="1040060"/>
                <a:pt x="2417436" y="1046985"/>
                <a:pt x="2414704" y="1053814"/>
              </a:cubicBezTo>
              <a:cubicBezTo>
                <a:pt x="2403474" y="1081889"/>
                <a:pt x="2393337" y="1110504"/>
                <a:pt x="2379814" y="1137550"/>
              </a:cubicBezTo>
              <a:cubicBezTo>
                <a:pt x="2372313" y="1152552"/>
                <a:pt x="2362380" y="1166320"/>
                <a:pt x="2351902" y="1179418"/>
              </a:cubicBezTo>
              <a:cubicBezTo>
                <a:pt x="2269422" y="1282518"/>
                <a:pt x="2308098" y="1267128"/>
                <a:pt x="2240254" y="1284089"/>
              </a:cubicBezTo>
              <a:cubicBezTo>
                <a:pt x="2230950" y="1277111"/>
                <a:pt x="2222440" y="1268924"/>
                <a:pt x="2212342" y="1263154"/>
              </a:cubicBezTo>
              <a:cubicBezTo>
                <a:pt x="2118519" y="1209540"/>
                <a:pt x="2157415" y="1237211"/>
                <a:pt x="2037891" y="1207330"/>
              </a:cubicBezTo>
              <a:lnTo>
                <a:pt x="1842507" y="1158484"/>
              </a:lnTo>
              <a:cubicBezTo>
                <a:pt x="1773320" y="1112359"/>
                <a:pt x="1835273" y="1149899"/>
                <a:pt x="1654100" y="1109638"/>
              </a:cubicBezTo>
              <a:cubicBezTo>
                <a:pt x="1636237" y="1105668"/>
                <a:pt x="1592058" y="1084821"/>
                <a:pt x="1584320" y="1081726"/>
              </a:cubicBezTo>
              <a:cubicBezTo>
                <a:pt x="1577491" y="1078994"/>
                <a:pt x="1569843" y="1078270"/>
                <a:pt x="1563386" y="1074748"/>
              </a:cubicBezTo>
              <a:cubicBezTo>
                <a:pt x="1518555" y="1050295"/>
                <a:pt x="1475443" y="1022790"/>
                <a:pt x="1430803" y="997990"/>
              </a:cubicBezTo>
              <a:cubicBezTo>
                <a:pt x="1379225" y="969336"/>
                <a:pt x="1314806" y="944395"/>
                <a:pt x="1263331" y="921231"/>
              </a:cubicBezTo>
              <a:cubicBezTo>
                <a:pt x="1253845" y="916962"/>
                <a:pt x="1245399" y="910210"/>
                <a:pt x="1235419" y="907275"/>
              </a:cubicBezTo>
              <a:cubicBezTo>
                <a:pt x="1205647" y="898519"/>
                <a:pt x="1174942" y="893319"/>
                <a:pt x="1144704" y="886341"/>
              </a:cubicBezTo>
              <a:cubicBezTo>
                <a:pt x="1135400" y="881689"/>
                <a:pt x="1126353" y="876483"/>
                <a:pt x="1116792" y="872385"/>
              </a:cubicBezTo>
              <a:cubicBezTo>
                <a:pt x="1077487" y="855540"/>
                <a:pt x="1036207" y="843073"/>
                <a:pt x="998166" y="823539"/>
              </a:cubicBezTo>
              <a:cubicBezTo>
                <a:pt x="949906" y="798757"/>
                <a:pt x="904947" y="768011"/>
                <a:pt x="858606" y="739803"/>
              </a:cubicBezTo>
              <a:cubicBezTo>
                <a:pt x="851442" y="735442"/>
                <a:pt x="844434" y="730807"/>
                <a:pt x="837671" y="725847"/>
              </a:cubicBezTo>
              <a:cubicBezTo>
                <a:pt x="809535" y="705214"/>
                <a:pt x="782070" y="683678"/>
                <a:pt x="753935" y="663045"/>
              </a:cubicBezTo>
              <a:cubicBezTo>
                <a:pt x="747172" y="658086"/>
                <a:pt x="739368" y="654547"/>
                <a:pt x="733001" y="649089"/>
              </a:cubicBezTo>
              <a:cubicBezTo>
                <a:pt x="706747" y="626585"/>
                <a:pt x="683433" y="600672"/>
                <a:pt x="656243" y="579308"/>
              </a:cubicBezTo>
              <a:cubicBezTo>
                <a:pt x="650459" y="574764"/>
                <a:pt x="641964" y="575462"/>
                <a:pt x="635309" y="572330"/>
              </a:cubicBezTo>
              <a:cubicBezTo>
                <a:pt x="602367" y="556828"/>
                <a:pt x="570559" y="538986"/>
                <a:pt x="537617" y="523484"/>
              </a:cubicBezTo>
              <a:cubicBezTo>
                <a:pt x="530961" y="520352"/>
                <a:pt x="523512" y="519238"/>
                <a:pt x="516682" y="516506"/>
              </a:cubicBezTo>
              <a:cubicBezTo>
                <a:pt x="500235" y="509927"/>
                <a:pt x="483680" y="503494"/>
                <a:pt x="467836" y="495572"/>
              </a:cubicBezTo>
              <a:cubicBezTo>
                <a:pt x="454229" y="488769"/>
                <a:pt x="418431" y="459481"/>
                <a:pt x="412012" y="453704"/>
              </a:cubicBezTo>
              <a:cubicBezTo>
                <a:pt x="399787" y="442701"/>
                <a:pt x="388236" y="430938"/>
                <a:pt x="377122" y="418814"/>
              </a:cubicBezTo>
              <a:cubicBezTo>
                <a:pt x="362631" y="403006"/>
                <a:pt x="351459" y="384013"/>
                <a:pt x="335254" y="369968"/>
              </a:cubicBezTo>
              <a:cubicBezTo>
                <a:pt x="316241" y="353490"/>
                <a:pt x="295577" y="338011"/>
                <a:pt x="272452" y="328100"/>
              </a:cubicBezTo>
              <a:cubicBezTo>
                <a:pt x="247492" y="317402"/>
                <a:pt x="205777" y="300655"/>
                <a:pt x="181737" y="286231"/>
              </a:cubicBezTo>
              <a:cubicBezTo>
                <a:pt x="171764" y="280247"/>
                <a:pt x="163687" y="271461"/>
                <a:pt x="153825" y="265297"/>
              </a:cubicBezTo>
              <a:cubicBezTo>
                <a:pt x="145004" y="259784"/>
                <a:pt x="134378" y="257387"/>
                <a:pt x="125913" y="251341"/>
              </a:cubicBezTo>
              <a:cubicBezTo>
                <a:pt x="98615" y="231842"/>
                <a:pt x="88563" y="194533"/>
                <a:pt x="56133" y="181561"/>
              </a:cubicBezTo>
              <a:cubicBezTo>
                <a:pt x="51814" y="179833"/>
                <a:pt x="46829" y="181561"/>
                <a:pt x="42177" y="181561"/>
              </a:cubicBezTo>
            </a:path>
          </a:pathLst>
        </a:custGeom>
        <a:solidFill>
          <a:srgbClr val="FF000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65</xdr:col>
      <xdr:colOff>20934</xdr:colOff>
      <xdr:row>55</xdr:row>
      <xdr:rowOff>80829</xdr:rowOff>
    </xdr:from>
    <xdr:to>
      <xdr:col>67</xdr:col>
      <xdr:colOff>146538</xdr:colOff>
      <xdr:row>63</xdr:row>
      <xdr:rowOff>76759</xdr:rowOff>
    </xdr:to>
    <xdr:sp macro="" textlink="">
      <xdr:nvSpPr>
        <xdr:cNvPr id="26" name="Freeform: Shape 25">
          <a:extLst>
            <a:ext uri="{FF2B5EF4-FFF2-40B4-BE49-F238E27FC236}">
              <a16:creationId xmlns:a16="http://schemas.microsoft.com/office/drawing/2014/main" id="{1F4BEBB5-E9FC-437D-92D3-1E18ABF41E9E}"/>
            </a:ext>
          </a:extLst>
        </xdr:cNvPr>
        <xdr:cNvSpPr/>
      </xdr:nvSpPr>
      <xdr:spPr>
        <a:xfrm>
          <a:off x="24444011" y="10157093"/>
          <a:ext cx="1339780" cy="1447358"/>
        </a:xfrm>
        <a:custGeom>
          <a:avLst/>
          <a:gdLst>
            <a:gd name="connsiteX0" fmla="*/ 202363 w 1339780"/>
            <a:gd name="connsiteY0" fmla="*/ 191314 h 1447358"/>
            <a:gd name="connsiteX1" fmla="*/ 251209 w 1339780"/>
            <a:gd name="connsiteY1" fmla="*/ 2907 h 1447358"/>
            <a:gd name="connsiteX2" fmla="*/ 279121 w 1339780"/>
            <a:gd name="connsiteY2" fmla="*/ 9885 h 1447358"/>
            <a:gd name="connsiteX3" fmla="*/ 320989 w 1339780"/>
            <a:gd name="connsiteY3" fmla="*/ 16863 h 1447358"/>
            <a:gd name="connsiteX4" fmla="*/ 467527 w 1339780"/>
            <a:gd name="connsiteY4" fmla="*/ 37797 h 1447358"/>
            <a:gd name="connsiteX5" fmla="*/ 523352 w 1339780"/>
            <a:gd name="connsiteY5" fmla="*/ 30819 h 1447358"/>
            <a:gd name="connsiteX6" fmla="*/ 579176 w 1339780"/>
            <a:gd name="connsiteY6" fmla="*/ 37797 h 1447358"/>
            <a:gd name="connsiteX7" fmla="*/ 718736 w 1339780"/>
            <a:gd name="connsiteY7" fmla="*/ 93621 h 1447358"/>
            <a:gd name="connsiteX8" fmla="*/ 809451 w 1339780"/>
            <a:gd name="connsiteY8" fmla="*/ 128511 h 1447358"/>
            <a:gd name="connsiteX9" fmla="*/ 837363 w 1339780"/>
            <a:gd name="connsiteY9" fmla="*/ 177358 h 1447358"/>
            <a:gd name="connsiteX10" fmla="*/ 851319 w 1339780"/>
            <a:gd name="connsiteY10" fmla="*/ 226204 h 1447358"/>
            <a:gd name="connsiteX11" fmla="*/ 858297 w 1339780"/>
            <a:gd name="connsiteY11" fmla="*/ 247138 h 1447358"/>
            <a:gd name="connsiteX12" fmla="*/ 865275 w 1339780"/>
            <a:gd name="connsiteY12" fmla="*/ 442522 h 1447358"/>
            <a:gd name="connsiteX13" fmla="*/ 886209 w 1339780"/>
            <a:gd name="connsiteY13" fmla="*/ 498347 h 1447358"/>
            <a:gd name="connsiteX14" fmla="*/ 928077 w 1339780"/>
            <a:gd name="connsiteY14" fmla="*/ 519281 h 1447358"/>
            <a:gd name="connsiteX15" fmla="*/ 1004835 w 1339780"/>
            <a:gd name="connsiteY15" fmla="*/ 533237 h 1447358"/>
            <a:gd name="connsiteX16" fmla="*/ 1186264 w 1339780"/>
            <a:gd name="connsiteY16" fmla="*/ 526259 h 1447358"/>
            <a:gd name="connsiteX17" fmla="*/ 1228132 w 1339780"/>
            <a:gd name="connsiteY17" fmla="*/ 540215 h 1447358"/>
            <a:gd name="connsiteX18" fmla="*/ 1332802 w 1339780"/>
            <a:gd name="connsiteY18" fmla="*/ 637907 h 1447358"/>
            <a:gd name="connsiteX19" fmla="*/ 1339780 w 1339780"/>
            <a:gd name="connsiteY19" fmla="*/ 686753 h 1447358"/>
            <a:gd name="connsiteX20" fmla="*/ 1332802 w 1339780"/>
            <a:gd name="connsiteY20" fmla="*/ 728621 h 1447358"/>
            <a:gd name="connsiteX21" fmla="*/ 1256044 w 1339780"/>
            <a:gd name="connsiteY21" fmla="*/ 777467 h 1447358"/>
            <a:gd name="connsiteX22" fmla="*/ 1228132 w 1339780"/>
            <a:gd name="connsiteY22" fmla="*/ 791423 h 1447358"/>
            <a:gd name="connsiteX23" fmla="*/ 1207198 w 1339780"/>
            <a:gd name="connsiteY23" fmla="*/ 798402 h 1447358"/>
            <a:gd name="connsiteX24" fmla="*/ 1102527 w 1339780"/>
            <a:gd name="connsiteY24" fmla="*/ 854226 h 1447358"/>
            <a:gd name="connsiteX25" fmla="*/ 997857 w 1339780"/>
            <a:gd name="connsiteY25" fmla="*/ 910050 h 1447358"/>
            <a:gd name="connsiteX26" fmla="*/ 976923 w 1339780"/>
            <a:gd name="connsiteY26" fmla="*/ 917028 h 1447358"/>
            <a:gd name="connsiteX27" fmla="*/ 893187 w 1339780"/>
            <a:gd name="connsiteY27" fmla="*/ 965874 h 1447358"/>
            <a:gd name="connsiteX28" fmla="*/ 858297 w 1339780"/>
            <a:gd name="connsiteY28" fmla="*/ 1000764 h 1447358"/>
            <a:gd name="connsiteX29" fmla="*/ 767582 w 1339780"/>
            <a:gd name="connsiteY29" fmla="*/ 1063566 h 1447358"/>
            <a:gd name="connsiteX30" fmla="*/ 697802 w 1339780"/>
            <a:gd name="connsiteY30" fmla="*/ 1077522 h 1447358"/>
            <a:gd name="connsiteX31" fmla="*/ 607088 w 1339780"/>
            <a:gd name="connsiteY31" fmla="*/ 1119391 h 1447358"/>
            <a:gd name="connsiteX32" fmla="*/ 544286 w 1339780"/>
            <a:gd name="connsiteY32" fmla="*/ 1196149 h 1447358"/>
            <a:gd name="connsiteX33" fmla="*/ 453571 w 1339780"/>
            <a:gd name="connsiteY33" fmla="*/ 1307797 h 1447358"/>
            <a:gd name="connsiteX34" fmla="*/ 376813 w 1339780"/>
            <a:gd name="connsiteY34" fmla="*/ 1342687 h 1447358"/>
            <a:gd name="connsiteX35" fmla="*/ 286099 w 1339780"/>
            <a:gd name="connsiteY35" fmla="*/ 1391533 h 1447358"/>
            <a:gd name="connsiteX36" fmla="*/ 209341 w 1339780"/>
            <a:gd name="connsiteY36" fmla="*/ 1447358 h 1447358"/>
            <a:gd name="connsiteX37" fmla="*/ 125604 w 1339780"/>
            <a:gd name="connsiteY37" fmla="*/ 1419445 h 1447358"/>
            <a:gd name="connsiteX38" fmla="*/ 27912 w 1339780"/>
            <a:gd name="connsiteY38" fmla="*/ 1356643 h 1447358"/>
            <a:gd name="connsiteX39" fmla="*/ 0 w 1339780"/>
            <a:gd name="connsiteY39" fmla="*/ 1265929 h 1447358"/>
            <a:gd name="connsiteX40" fmla="*/ 20934 w 1339780"/>
            <a:gd name="connsiteY40" fmla="*/ 798402 h 1447358"/>
            <a:gd name="connsiteX41" fmla="*/ 34890 w 1339780"/>
            <a:gd name="connsiteY41" fmla="*/ 714665 h 1447358"/>
            <a:gd name="connsiteX42" fmla="*/ 41868 w 1339780"/>
            <a:gd name="connsiteY42" fmla="*/ 616973 h 1447358"/>
            <a:gd name="connsiteX43" fmla="*/ 41868 w 1339780"/>
            <a:gd name="connsiteY43" fmla="*/ 512303 h 1447358"/>
            <a:gd name="connsiteX44" fmla="*/ 62802 w 1339780"/>
            <a:gd name="connsiteY44" fmla="*/ 456478 h 1447358"/>
            <a:gd name="connsiteX45" fmla="*/ 90714 w 1339780"/>
            <a:gd name="connsiteY45" fmla="*/ 414610 h 1447358"/>
            <a:gd name="connsiteX46" fmla="*/ 146538 w 1339780"/>
            <a:gd name="connsiteY46" fmla="*/ 316918 h 1447358"/>
            <a:gd name="connsiteX47" fmla="*/ 153516 w 1339780"/>
            <a:gd name="connsiteY47" fmla="*/ 295984 h 1447358"/>
            <a:gd name="connsiteX48" fmla="*/ 202363 w 1339780"/>
            <a:gd name="connsiteY48" fmla="*/ 191314 h 144735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Lst>
          <a:rect l="l" t="t" r="r" b="b"/>
          <a:pathLst>
            <a:path w="1339780" h="1447358">
              <a:moveTo>
                <a:pt x="202363" y="191314"/>
              </a:moveTo>
              <a:cubicBezTo>
                <a:pt x="218645" y="142468"/>
                <a:pt x="225930" y="62658"/>
                <a:pt x="251209" y="2907"/>
              </a:cubicBezTo>
              <a:cubicBezTo>
                <a:pt x="254946" y="-5925"/>
                <a:pt x="269717" y="8004"/>
                <a:pt x="279121" y="9885"/>
              </a:cubicBezTo>
              <a:cubicBezTo>
                <a:pt x="292995" y="12660"/>
                <a:pt x="306993" y="14790"/>
                <a:pt x="320989" y="16863"/>
              </a:cubicBezTo>
              <a:lnTo>
                <a:pt x="467527" y="37797"/>
              </a:lnTo>
              <a:cubicBezTo>
                <a:pt x="486135" y="35471"/>
                <a:pt x="504599" y="30819"/>
                <a:pt x="523352" y="30819"/>
              </a:cubicBezTo>
              <a:cubicBezTo>
                <a:pt x="542105" y="30819"/>
                <a:pt x="560839" y="33868"/>
                <a:pt x="579176" y="37797"/>
              </a:cubicBezTo>
              <a:cubicBezTo>
                <a:pt x="613616" y="45177"/>
                <a:pt x="706356" y="88777"/>
                <a:pt x="718736" y="93621"/>
              </a:cubicBezTo>
              <a:cubicBezTo>
                <a:pt x="830171" y="137226"/>
                <a:pt x="743527" y="95550"/>
                <a:pt x="809451" y="128511"/>
              </a:cubicBezTo>
              <a:cubicBezTo>
                <a:pt x="823468" y="149537"/>
                <a:pt x="826738" y="152566"/>
                <a:pt x="837363" y="177358"/>
              </a:cubicBezTo>
              <a:cubicBezTo>
                <a:pt x="844534" y="194090"/>
                <a:pt x="846260" y="208498"/>
                <a:pt x="851319" y="226204"/>
              </a:cubicBezTo>
              <a:cubicBezTo>
                <a:pt x="853340" y="233276"/>
                <a:pt x="855971" y="240160"/>
                <a:pt x="858297" y="247138"/>
              </a:cubicBezTo>
              <a:cubicBezTo>
                <a:pt x="860623" y="312266"/>
                <a:pt x="861210" y="377479"/>
                <a:pt x="865275" y="442522"/>
              </a:cubicBezTo>
              <a:cubicBezTo>
                <a:pt x="865987" y="453911"/>
                <a:pt x="877498" y="490724"/>
                <a:pt x="886209" y="498347"/>
              </a:cubicBezTo>
              <a:cubicBezTo>
                <a:pt x="897952" y="508622"/>
                <a:pt x="913108" y="514878"/>
                <a:pt x="928077" y="519281"/>
              </a:cubicBezTo>
              <a:cubicBezTo>
                <a:pt x="953026" y="526619"/>
                <a:pt x="979249" y="528585"/>
                <a:pt x="1004835" y="533237"/>
              </a:cubicBezTo>
              <a:cubicBezTo>
                <a:pt x="1089251" y="524795"/>
                <a:pt x="1119228" y="509500"/>
                <a:pt x="1186264" y="526259"/>
              </a:cubicBezTo>
              <a:cubicBezTo>
                <a:pt x="1200536" y="529827"/>
                <a:pt x="1214176" y="535563"/>
                <a:pt x="1228132" y="540215"/>
              </a:cubicBezTo>
              <a:cubicBezTo>
                <a:pt x="1264455" y="567457"/>
                <a:pt x="1310396" y="595896"/>
                <a:pt x="1332802" y="637907"/>
              </a:cubicBezTo>
              <a:cubicBezTo>
                <a:pt x="1340542" y="652419"/>
                <a:pt x="1337454" y="670471"/>
                <a:pt x="1339780" y="686753"/>
              </a:cubicBezTo>
              <a:cubicBezTo>
                <a:pt x="1337454" y="700709"/>
                <a:pt x="1341291" y="717302"/>
                <a:pt x="1332802" y="728621"/>
              </a:cubicBezTo>
              <a:cubicBezTo>
                <a:pt x="1296566" y="776936"/>
                <a:pt x="1290989" y="762490"/>
                <a:pt x="1256044" y="777467"/>
              </a:cubicBezTo>
              <a:cubicBezTo>
                <a:pt x="1246483" y="781565"/>
                <a:pt x="1237693" y="787325"/>
                <a:pt x="1228132" y="791423"/>
              </a:cubicBezTo>
              <a:cubicBezTo>
                <a:pt x="1221371" y="794321"/>
                <a:pt x="1213688" y="794941"/>
                <a:pt x="1207198" y="798402"/>
              </a:cubicBezTo>
              <a:cubicBezTo>
                <a:pt x="1094593" y="858459"/>
                <a:pt x="1159243" y="835322"/>
                <a:pt x="1102527" y="854226"/>
              </a:cubicBezTo>
              <a:cubicBezTo>
                <a:pt x="1059714" y="882768"/>
                <a:pt x="1073888" y="874569"/>
                <a:pt x="997857" y="910050"/>
              </a:cubicBezTo>
              <a:cubicBezTo>
                <a:pt x="991192" y="913161"/>
                <a:pt x="983413" y="913567"/>
                <a:pt x="976923" y="917028"/>
              </a:cubicBezTo>
              <a:cubicBezTo>
                <a:pt x="948411" y="932235"/>
                <a:pt x="919586" y="947239"/>
                <a:pt x="893187" y="965874"/>
              </a:cubicBezTo>
              <a:cubicBezTo>
                <a:pt x="879750" y="975359"/>
                <a:pt x="870467" y="989700"/>
                <a:pt x="858297" y="1000764"/>
              </a:cubicBezTo>
              <a:cubicBezTo>
                <a:pt x="834279" y="1022598"/>
                <a:pt x="798904" y="1052511"/>
                <a:pt x="767582" y="1063566"/>
              </a:cubicBezTo>
              <a:cubicBezTo>
                <a:pt x="745214" y="1071461"/>
                <a:pt x="720915" y="1072188"/>
                <a:pt x="697802" y="1077522"/>
              </a:cubicBezTo>
              <a:cubicBezTo>
                <a:pt x="669569" y="1084037"/>
                <a:pt x="622026" y="1111922"/>
                <a:pt x="607088" y="1119391"/>
              </a:cubicBezTo>
              <a:cubicBezTo>
                <a:pt x="574148" y="1168801"/>
                <a:pt x="614188" y="1110713"/>
                <a:pt x="544286" y="1196149"/>
              </a:cubicBezTo>
              <a:cubicBezTo>
                <a:pt x="499316" y="1251112"/>
                <a:pt x="578454" y="1205621"/>
                <a:pt x="453571" y="1307797"/>
              </a:cubicBezTo>
              <a:cubicBezTo>
                <a:pt x="431819" y="1325594"/>
                <a:pt x="401951" y="1330118"/>
                <a:pt x="376813" y="1342687"/>
              </a:cubicBezTo>
              <a:cubicBezTo>
                <a:pt x="346096" y="1358046"/>
                <a:pt x="314674" y="1372483"/>
                <a:pt x="286099" y="1391533"/>
              </a:cubicBezTo>
              <a:cubicBezTo>
                <a:pt x="186389" y="1458007"/>
                <a:pt x="265141" y="1428758"/>
                <a:pt x="209341" y="1447358"/>
              </a:cubicBezTo>
              <a:cubicBezTo>
                <a:pt x="181429" y="1438054"/>
                <a:pt x="151920" y="1432603"/>
                <a:pt x="125604" y="1419445"/>
              </a:cubicBezTo>
              <a:cubicBezTo>
                <a:pt x="90979" y="1402132"/>
                <a:pt x="27912" y="1356643"/>
                <a:pt x="27912" y="1356643"/>
              </a:cubicBezTo>
              <a:cubicBezTo>
                <a:pt x="6314" y="1324246"/>
                <a:pt x="0" y="1320532"/>
                <a:pt x="0" y="1265929"/>
              </a:cubicBezTo>
              <a:cubicBezTo>
                <a:pt x="0" y="1223436"/>
                <a:pt x="1340" y="935562"/>
                <a:pt x="20934" y="798402"/>
              </a:cubicBezTo>
              <a:cubicBezTo>
                <a:pt x="24936" y="770389"/>
                <a:pt x="30238" y="742577"/>
                <a:pt x="34890" y="714665"/>
              </a:cubicBezTo>
              <a:cubicBezTo>
                <a:pt x="37216" y="682101"/>
                <a:pt x="41868" y="649620"/>
                <a:pt x="41868" y="616973"/>
              </a:cubicBezTo>
              <a:cubicBezTo>
                <a:pt x="41868" y="521698"/>
                <a:pt x="24329" y="600000"/>
                <a:pt x="41868" y="512303"/>
              </a:cubicBezTo>
              <a:cubicBezTo>
                <a:pt x="43835" y="502468"/>
                <a:pt x="61394" y="459060"/>
                <a:pt x="62802" y="456478"/>
              </a:cubicBezTo>
              <a:cubicBezTo>
                <a:pt x="70834" y="441753"/>
                <a:pt x="82392" y="429173"/>
                <a:pt x="90714" y="414610"/>
              </a:cubicBezTo>
              <a:cubicBezTo>
                <a:pt x="109322" y="382046"/>
                <a:pt x="128990" y="350065"/>
                <a:pt x="146538" y="316918"/>
              </a:cubicBezTo>
              <a:cubicBezTo>
                <a:pt x="149980" y="310417"/>
                <a:pt x="150618" y="302745"/>
                <a:pt x="153516" y="295984"/>
              </a:cubicBezTo>
              <a:cubicBezTo>
                <a:pt x="187368" y="216999"/>
                <a:pt x="186081" y="240160"/>
                <a:pt x="202363" y="191314"/>
              </a:cubicBezTo>
              <a:close/>
            </a:path>
          </a:pathLst>
        </a:custGeom>
        <a:solidFill>
          <a:srgbClr val="FFC00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65</xdr:col>
      <xdr:colOff>69759</xdr:colOff>
      <xdr:row>58</xdr:row>
      <xdr:rowOff>90715</xdr:rowOff>
    </xdr:from>
    <xdr:to>
      <xdr:col>68</xdr:col>
      <xdr:colOff>270800</xdr:colOff>
      <xdr:row>65</xdr:row>
      <xdr:rowOff>48847</xdr:rowOff>
    </xdr:to>
    <xdr:sp macro="" textlink="">
      <xdr:nvSpPr>
        <xdr:cNvPr id="27" name="Freeform: Shape 26">
          <a:extLst>
            <a:ext uri="{FF2B5EF4-FFF2-40B4-BE49-F238E27FC236}">
              <a16:creationId xmlns:a16="http://schemas.microsoft.com/office/drawing/2014/main" id="{9DFA64BA-D486-4697-9D1D-169D4612E9A1}"/>
            </a:ext>
          </a:extLst>
        </xdr:cNvPr>
        <xdr:cNvSpPr/>
      </xdr:nvSpPr>
      <xdr:spPr>
        <a:xfrm>
          <a:off x="24492836" y="10711264"/>
          <a:ext cx="2022305" cy="1228132"/>
        </a:xfrm>
        <a:custGeom>
          <a:avLst/>
          <a:gdLst>
            <a:gd name="connsiteX0" fmla="*/ 27933 w 2022305"/>
            <a:gd name="connsiteY0" fmla="*/ 1109505 h 1228132"/>
            <a:gd name="connsiteX1" fmla="*/ 139582 w 2022305"/>
            <a:gd name="connsiteY1" fmla="*/ 893187 h 1228132"/>
            <a:gd name="connsiteX2" fmla="*/ 160516 w 2022305"/>
            <a:gd name="connsiteY2" fmla="*/ 816428 h 1228132"/>
            <a:gd name="connsiteX3" fmla="*/ 209362 w 2022305"/>
            <a:gd name="connsiteY3" fmla="*/ 725714 h 1228132"/>
            <a:gd name="connsiteX4" fmla="*/ 279142 w 2022305"/>
            <a:gd name="connsiteY4" fmla="*/ 516374 h 1228132"/>
            <a:gd name="connsiteX5" fmla="*/ 314032 w 2022305"/>
            <a:gd name="connsiteY5" fmla="*/ 481483 h 1228132"/>
            <a:gd name="connsiteX6" fmla="*/ 432659 w 2022305"/>
            <a:gd name="connsiteY6" fmla="*/ 383791 h 1228132"/>
            <a:gd name="connsiteX7" fmla="*/ 453593 w 2022305"/>
            <a:gd name="connsiteY7" fmla="*/ 307033 h 1228132"/>
            <a:gd name="connsiteX8" fmla="*/ 467549 w 2022305"/>
            <a:gd name="connsiteY8" fmla="*/ 258187 h 1228132"/>
            <a:gd name="connsiteX9" fmla="*/ 509417 w 2022305"/>
            <a:gd name="connsiteY9" fmla="*/ 188406 h 1228132"/>
            <a:gd name="connsiteX10" fmla="*/ 558263 w 2022305"/>
            <a:gd name="connsiteY10" fmla="*/ 125604 h 1228132"/>
            <a:gd name="connsiteX11" fmla="*/ 621065 w 2022305"/>
            <a:gd name="connsiteY11" fmla="*/ 104670 h 1228132"/>
            <a:gd name="connsiteX12" fmla="*/ 697823 w 2022305"/>
            <a:gd name="connsiteY12" fmla="*/ 83736 h 1228132"/>
            <a:gd name="connsiteX13" fmla="*/ 746669 w 2022305"/>
            <a:gd name="connsiteY13" fmla="*/ 62802 h 1228132"/>
            <a:gd name="connsiteX14" fmla="*/ 767604 w 2022305"/>
            <a:gd name="connsiteY14" fmla="*/ 20934 h 1228132"/>
            <a:gd name="connsiteX15" fmla="*/ 809472 w 2022305"/>
            <a:gd name="connsiteY15" fmla="*/ 0 h 1228132"/>
            <a:gd name="connsiteX16" fmla="*/ 886230 w 2022305"/>
            <a:gd name="connsiteY16" fmla="*/ 20934 h 1228132"/>
            <a:gd name="connsiteX17" fmla="*/ 983922 w 2022305"/>
            <a:gd name="connsiteY17" fmla="*/ 34890 h 1228132"/>
            <a:gd name="connsiteX18" fmla="*/ 1060680 w 2022305"/>
            <a:gd name="connsiteY18" fmla="*/ 55824 h 1228132"/>
            <a:gd name="connsiteX19" fmla="*/ 1214197 w 2022305"/>
            <a:gd name="connsiteY19" fmla="*/ 62802 h 1228132"/>
            <a:gd name="connsiteX20" fmla="*/ 1318867 w 2022305"/>
            <a:gd name="connsiteY20" fmla="*/ 55824 h 1228132"/>
            <a:gd name="connsiteX21" fmla="*/ 1597988 w 2022305"/>
            <a:gd name="connsiteY21" fmla="*/ 90714 h 1228132"/>
            <a:gd name="connsiteX22" fmla="*/ 1681724 w 2022305"/>
            <a:gd name="connsiteY22" fmla="*/ 83736 h 1228132"/>
            <a:gd name="connsiteX23" fmla="*/ 1751505 w 2022305"/>
            <a:gd name="connsiteY23" fmla="*/ 90714 h 1228132"/>
            <a:gd name="connsiteX24" fmla="*/ 1884087 w 2022305"/>
            <a:gd name="connsiteY24" fmla="*/ 97692 h 1228132"/>
            <a:gd name="connsiteX25" fmla="*/ 1932933 w 2022305"/>
            <a:gd name="connsiteY25" fmla="*/ 104670 h 1228132"/>
            <a:gd name="connsiteX26" fmla="*/ 1953867 w 2022305"/>
            <a:gd name="connsiteY26" fmla="*/ 111648 h 1228132"/>
            <a:gd name="connsiteX27" fmla="*/ 2009691 w 2022305"/>
            <a:gd name="connsiteY27" fmla="*/ 167472 h 1228132"/>
            <a:gd name="connsiteX28" fmla="*/ 2009691 w 2022305"/>
            <a:gd name="connsiteY28" fmla="*/ 286099 h 1228132"/>
            <a:gd name="connsiteX29" fmla="*/ 1981779 w 2022305"/>
            <a:gd name="connsiteY29" fmla="*/ 320989 h 1228132"/>
            <a:gd name="connsiteX30" fmla="*/ 1960845 w 2022305"/>
            <a:gd name="connsiteY30" fmla="*/ 362857 h 1228132"/>
            <a:gd name="connsiteX31" fmla="*/ 1925955 w 2022305"/>
            <a:gd name="connsiteY31" fmla="*/ 411703 h 1228132"/>
            <a:gd name="connsiteX32" fmla="*/ 1807329 w 2022305"/>
            <a:gd name="connsiteY32" fmla="*/ 425659 h 1228132"/>
            <a:gd name="connsiteX33" fmla="*/ 1786395 w 2022305"/>
            <a:gd name="connsiteY33" fmla="*/ 432637 h 1228132"/>
            <a:gd name="connsiteX34" fmla="*/ 1702659 w 2022305"/>
            <a:gd name="connsiteY34" fmla="*/ 453571 h 1228132"/>
            <a:gd name="connsiteX35" fmla="*/ 1653812 w 2022305"/>
            <a:gd name="connsiteY35" fmla="*/ 474505 h 1228132"/>
            <a:gd name="connsiteX36" fmla="*/ 1451450 w 2022305"/>
            <a:gd name="connsiteY36" fmla="*/ 509395 h 1228132"/>
            <a:gd name="connsiteX37" fmla="*/ 1374691 w 2022305"/>
            <a:gd name="connsiteY37" fmla="*/ 544286 h 1228132"/>
            <a:gd name="connsiteX38" fmla="*/ 1290955 w 2022305"/>
            <a:gd name="connsiteY38" fmla="*/ 607088 h 1228132"/>
            <a:gd name="connsiteX39" fmla="*/ 1137439 w 2022305"/>
            <a:gd name="connsiteY39" fmla="*/ 683846 h 1228132"/>
            <a:gd name="connsiteX40" fmla="*/ 976944 w 2022305"/>
            <a:gd name="connsiteY40" fmla="*/ 781538 h 1228132"/>
            <a:gd name="connsiteX41" fmla="*/ 942054 w 2022305"/>
            <a:gd name="connsiteY41" fmla="*/ 788516 h 1228132"/>
            <a:gd name="connsiteX42" fmla="*/ 809472 w 2022305"/>
            <a:gd name="connsiteY42" fmla="*/ 872253 h 1228132"/>
            <a:gd name="connsiteX43" fmla="*/ 732713 w 2022305"/>
            <a:gd name="connsiteY43" fmla="*/ 983901 h 1228132"/>
            <a:gd name="connsiteX44" fmla="*/ 711779 w 2022305"/>
            <a:gd name="connsiteY44" fmla="*/ 1004835 h 1228132"/>
            <a:gd name="connsiteX45" fmla="*/ 614087 w 2022305"/>
            <a:gd name="connsiteY45" fmla="*/ 1053681 h 1228132"/>
            <a:gd name="connsiteX46" fmla="*/ 558263 w 2022305"/>
            <a:gd name="connsiteY46" fmla="*/ 1067637 h 1228132"/>
            <a:gd name="connsiteX47" fmla="*/ 495461 w 2022305"/>
            <a:gd name="connsiteY47" fmla="*/ 1095549 h 1228132"/>
            <a:gd name="connsiteX48" fmla="*/ 446615 w 2022305"/>
            <a:gd name="connsiteY48" fmla="*/ 1116483 h 1228132"/>
            <a:gd name="connsiteX49" fmla="*/ 425680 w 2022305"/>
            <a:gd name="connsiteY49" fmla="*/ 1123461 h 1228132"/>
            <a:gd name="connsiteX50" fmla="*/ 383812 w 2022305"/>
            <a:gd name="connsiteY50" fmla="*/ 1144395 h 1228132"/>
            <a:gd name="connsiteX51" fmla="*/ 272164 w 2022305"/>
            <a:gd name="connsiteY51" fmla="*/ 1179286 h 1228132"/>
            <a:gd name="connsiteX52" fmla="*/ 223318 w 2022305"/>
            <a:gd name="connsiteY52" fmla="*/ 1214176 h 1228132"/>
            <a:gd name="connsiteX53" fmla="*/ 181450 w 2022305"/>
            <a:gd name="connsiteY53" fmla="*/ 1228132 h 1228132"/>
            <a:gd name="connsiteX54" fmla="*/ 104691 w 2022305"/>
            <a:gd name="connsiteY54" fmla="*/ 1214176 h 1228132"/>
            <a:gd name="connsiteX55" fmla="*/ 20955 w 2022305"/>
            <a:gd name="connsiteY55" fmla="*/ 1207198 h 1228132"/>
            <a:gd name="connsiteX56" fmla="*/ 21 w 2022305"/>
            <a:gd name="connsiteY56" fmla="*/ 1116483 h 1228132"/>
            <a:gd name="connsiteX57" fmla="*/ 13977 w 2022305"/>
            <a:gd name="connsiteY57" fmla="*/ 1095549 h 1228132"/>
            <a:gd name="connsiteX58" fmla="*/ 97713 w 2022305"/>
            <a:gd name="connsiteY58" fmla="*/ 1004835 h 1228132"/>
            <a:gd name="connsiteX59" fmla="*/ 132604 w 2022305"/>
            <a:gd name="connsiteY59" fmla="*/ 962967 h 1228132"/>
            <a:gd name="connsiteX60" fmla="*/ 153538 w 2022305"/>
            <a:gd name="connsiteY60" fmla="*/ 921099 h 122813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Lst>
          <a:rect l="l" t="t" r="r" b="b"/>
          <a:pathLst>
            <a:path w="2022305" h="1228132">
              <a:moveTo>
                <a:pt x="27933" y="1109505"/>
              </a:moveTo>
              <a:cubicBezTo>
                <a:pt x="42771" y="1081807"/>
                <a:pt x="118528" y="966875"/>
                <a:pt x="139582" y="893187"/>
              </a:cubicBezTo>
              <a:cubicBezTo>
                <a:pt x="146868" y="867687"/>
                <a:pt x="150418" y="840951"/>
                <a:pt x="160516" y="816428"/>
              </a:cubicBezTo>
              <a:cubicBezTo>
                <a:pt x="217760" y="677405"/>
                <a:pt x="161220" y="877018"/>
                <a:pt x="209362" y="725714"/>
              </a:cubicBezTo>
              <a:cubicBezTo>
                <a:pt x="236847" y="639332"/>
                <a:pt x="234384" y="597753"/>
                <a:pt x="279142" y="516374"/>
              </a:cubicBezTo>
              <a:cubicBezTo>
                <a:pt x="287068" y="501962"/>
                <a:pt x="301049" y="491581"/>
                <a:pt x="314032" y="481483"/>
              </a:cubicBezTo>
              <a:cubicBezTo>
                <a:pt x="396351" y="417457"/>
                <a:pt x="356875" y="450101"/>
                <a:pt x="432659" y="383791"/>
              </a:cubicBezTo>
              <a:cubicBezTo>
                <a:pt x="465406" y="252805"/>
                <a:pt x="434028" y="372250"/>
                <a:pt x="453593" y="307033"/>
              </a:cubicBezTo>
              <a:cubicBezTo>
                <a:pt x="458459" y="290814"/>
                <a:pt x="460339" y="273509"/>
                <a:pt x="467549" y="258187"/>
              </a:cubicBezTo>
              <a:cubicBezTo>
                <a:pt x="479099" y="233643"/>
                <a:pt x="492763" y="209818"/>
                <a:pt x="509417" y="188406"/>
              </a:cubicBezTo>
              <a:cubicBezTo>
                <a:pt x="525699" y="167472"/>
                <a:pt x="533103" y="133991"/>
                <a:pt x="558263" y="125604"/>
              </a:cubicBezTo>
              <a:cubicBezTo>
                <a:pt x="579197" y="118626"/>
                <a:pt x="599929" y="111011"/>
                <a:pt x="621065" y="104670"/>
              </a:cubicBezTo>
              <a:cubicBezTo>
                <a:pt x="646467" y="97049"/>
                <a:pt x="672663" y="92123"/>
                <a:pt x="697823" y="83736"/>
              </a:cubicBezTo>
              <a:cubicBezTo>
                <a:pt x="714628" y="78134"/>
                <a:pt x="730387" y="69780"/>
                <a:pt x="746669" y="62802"/>
              </a:cubicBezTo>
              <a:cubicBezTo>
                <a:pt x="753647" y="48846"/>
                <a:pt x="758242" y="33417"/>
                <a:pt x="767604" y="20934"/>
              </a:cubicBezTo>
              <a:cubicBezTo>
                <a:pt x="776622" y="8910"/>
                <a:pt x="796400" y="4357"/>
                <a:pt x="809472" y="0"/>
              </a:cubicBezTo>
              <a:cubicBezTo>
                <a:pt x="837738" y="9422"/>
                <a:pt x="851602" y="14638"/>
                <a:pt x="886230" y="20934"/>
              </a:cubicBezTo>
              <a:cubicBezTo>
                <a:pt x="918594" y="26818"/>
                <a:pt x="951358" y="30238"/>
                <a:pt x="983922" y="34890"/>
              </a:cubicBezTo>
              <a:cubicBezTo>
                <a:pt x="1007531" y="42760"/>
                <a:pt x="1038194" y="53575"/>
                <a:pt x="1060680" y="55824"/>
              </a:cubicBezTo>
              <a:cubicBezTo>
                <a:pt x="1111651" y="60921"/>
                <a:pt x="1163025" y="60476"/>
                <a:pt x="1214197" y="62802"/>
              </a:cubicBezTo>
              <a:cubicBezTo>
                <a:pt x="1249087" y="60476"/>
                <a:pt x="1283911" y="54928"/>
                <a:pt x="1318867" y="55824"/>
              </a:cubicBezTo>
              <a:cubicBezTo>
                <a:pt x="1450931" y="59210"/>
                <a:pt x="1480721" y="68727"/>
                <a:pt x="1597988" y="90714"/>
              </a:cubicBezTo>
              <a:cubicBezTo>
                <a:pt x="1625900" y="88388"/>
                <a:pt x="1653715" y="83736"/>
                <a:pt x="1681724" y="83736"/>
              </a:cubicBezTo>
              <a:cubicBezTo>
                <a:pt x="1705100" y="83736"/>
                <a:pt x="1728184" y="89106"/>
                <a:pt x="1751505" y="90714"/>
              </a:cubicBezTo>
              <a:cubicBezTo>
                <a:pt x="1795655" y="93759"/>
                <a:pt x="1839893" y="95366"/>
                <a:pt x="1884087" y="97692"/>
              </a:cubicBezTo>
              <a:cubicBezTo>
                <a:pt x="1900369" y="100018"/>
                <a:pt x="1916805" y="101444"/>
                <a:pt x="1932933" y="104670"/>
              </a:cubicBezTo>
              <a:cubicBezTo>
                <a:pt x="1940146" y="106113"/>
                <a:pt x="1948174" y="106990"/>
                <a:pt x="1953867" y="111648"/>
              </a:cubicBezTo>
              <a:cubicBezTo>
                <a:pt x="1974234" y="128312"/>
                <a:pt x="2009691" y="167472"/>
                <a:pt x="2009691" y="167472"/>
              </a:cubicBezTo>
              <a:cubicBezTo>
                <a:pt x="2024458" y="211772"/>
                <a:pt x="2028446" y="214829"/>
                <a:pt x="2009691" y="286099"/>
              </a:cubicBezTo>
              <a:cubicBezTo>
                <a:pt x="2005901" y="300502"/>
                <a:pt x="1989775" y="308424"/>
                <a:pt x="1981779" y="320989"/>
              </a:cubicBezTo>
              <a:cubicBezTo>
                <a:pt x="1973402" y="334153"/>
                <a:pt x="1969023" y="349568"/>
                <a:pt x="1960845" y="362857"/>
              </a:cubicBezTo>
              <a:cubicBezTo>
                <a:pt x="1950358" y="379898"/>
                <a:pt x="1944474" y="404127"/>
                <a:pt x="1925955" y="411703"/>
              </a:cubicBezTo>
              <a:cubicBezTo>
                <a:pt x="1889105" y="426778"/>
                <a:pt x="1846871" y="421007"/>
                <a:pt x="1807329" y="425659"/>
              </a:cubicBezTo>
              <a:cubicBezTo>
                <a:pt x="1800351" y="427985"/>
                <a:pt x="1793502" y="430742"/>
                <a:pt x="1786395" y="432637"/>
              </a:cubicBezTo>
              <a:cubicBezTo>
                <a:pt x="1758595" y="440050"/>
                <a:pt x="1729104" y="442238"/>
                <a:pt x="1702659" y="453571"/>
              </a:cubicBezTo>
              <a:cubicBezTo>
                <a:pt x="1686377" y="460549"/>
                <a:pt x="1671105" y="470662"/>
                <a:pt x="1653812" y="474505"/>
              </a:cubicBezTo>
              <a:cubicBezTo>
                <a:pt x="1586993" y="489354"/>
                <a:pt x="1451450" y="509395"/>
                <a:pt x="1451450" y="509395"/>
              </a:cubicBezTo>
              <a:cubicBezTo>
                <a:pt x="1421232" y="519469"/>
                <a:pt x="1407529" y="522941"/>
                <a:pt x="1374691" y="544286"/>
              </a:cubicBezTo>
              <a:cubicBezTo>
                <a:pt x="1345438" y="563301"/>
                <a:pt x="1321028" y="589398"/>
                <a:pt x="1290955" y="607088"/>
              </a:cubicBezTo>
              <a:cubicBezTo>
                <a:pt x="1241642" y="636096"/>
                <a:pt x="1183209" y="649519"/>
                <a:pt x="1137439" y="683846"/>
              </a:cubicBezTo>
              <a:cubicBezTo>
                <a:pt x="1070437" y="734098"/>
                <a:pt x="1067363" y="740850"/>
                <a:pt x="976944" y="781538"/>
              </a:cubicBezTo>
              <a:cubicBezTo>
                <a:pt x="966128" y="786405"/>
                <a:pt x="953684" y="786190"/>
                <a:pt x="942054" y="788516"/>
              </a:cubicBezTo>
              <a:cubicBezTo>
                <a:pt x="865128" y="829544"/>
                <a:pt x="852249" y="823365"/>
                <a:pt x="809472" y="872253"/>
              </a:cubicBezTo>
              <a:cubicBezTo>
                <a:pt x="789223" y="895394"/>
                <a:pt x="734955" y="981659"/>
                <a:pt x="732713" y="983901"/>
              </a:cubicBezTo>
              <a:cubicBezTo>
                <a:pt x="725735" y="990879"/>
                <a:pt x="720080" y="999499"/>
                <a:pt x="711779" y="1004835"/>
              </a:cubicBezTo>
              <a:cubicBezTo>
                <a:pt x="681983" y="1023989"/>
                <a:pt x="649188" y="1044108"/>
                <a:pt x="614087" y="1053681"/>
              </a:cubicBezTo>
              <a:cubicBezTo>
                <a:pt x="595582" y="1058728"/>
                <a:pt x="576595" y="1061996"/>
                <a:pt x="558263" y="1067637"/>
              </a:cubicBezTo>
              <a:cubicBezTo>
                <a:pt x="527138" y="1077214"/>
                <a:pt x="523430" y="1082836"/>
                <a:pt x="495461" y="1095549"/>
              </a:cubicBezTo>
              <a:cubicBezTo>
                <a:pt x="479335" y="1102879"/>
                <a:pt x="463062" y="1109904"/>
                <a:pt x="446615" y="1116483"/>
              </a:cubicBezTo>
              <a:cubicBezTo>
                <a:pt x="439785" y="1119215"/>
                <a:pt x="432402" y="1120474"/>
                <a:pt x="425680" y="1123461"/>
              </a:cubicBezTo>
              <a:cubicBezTo>
                <a:pt x="411422" y="1129798"/>
                <a:pt x="398476" y="1139063"/>
                <a:pt x="383812" y="1144395"/>
              </a:cubicBezTo>
              <a:cubicBezTo>
                <a:pt x="347169" y="1157720"/>
                <a:pt x="272164" y="1179286"/>
                <a:pt x="272164" y="1179286"/>
              </a:cubicBezTo>
              <a:cubicBezTo>
                <a:pt x="255882" y="1190916"/>
                <a:pt x="240935" y="1204690"/>
                <a:pt x="223318" y="1214176"/>
              </a:cubicBezTo>
              <a:cubicBezTo>
                <a:pt x="210365" y="1221150"/>
                <a:pt x="181450" y="1228132"/>
                <a:pt x="181450" y="1228132"/>
              </a:cubicBezTo>
              <a:cubicBezTo>
                <a:pt x="160749" y="1223992"/>
                <a:pt x="124781" y="1216408"/>
                <a:pt x="104691" y="1214176"/>
              </a:cubicBezTo>
              <a:cubicBezTo>
                <a:pt x="76854" y="1211083"/>
                <a:pt x="48867" y="1209524"/>
                <a:pt x="20955" y="1207198"/>
              </a:cubicBezTo>
              <a:cubicBezTo>
                <a:pt x="13977" y="1176960"/>
                <a:pt x="1957" y="1147456"/>
                <a:pt x="21" y="1116483"/>
              </a:cubicBezTo>
              <a:cubicBezTo>
                <a:pt x="-502" y="1108113"/>
                <a:pt x="8608" y="1101992"/>
                <a:pt x="13977" y="1095549"/>
              </a:cubicBezTo>
              <a:cubicBezTo>
                <a:pt x="150999" y="931123"/>
                <a:pt x="15958" y="1095673"/>
                <a:pt x="97713" y="1004835"/>
              </a:cubicBezTo>
              <a:cubicBezTo>
                <a:pt x="109866" y="991332"/>
                <a:pt x="122527" y="978083"/>
                <a:pt x="132604" y="962967"/>
              </a:cubicBezTo>
              <a:cubicBezTo>
                <a:pt x="141259" y="949984"/>
                <a:pt x="153538" y="921099"/>
                <a:pt x="153538" y="921099"/>
              </a:cubicBezTo>
            </a:path>
          </a:pathLst>
        </a:custGeom>
        <a:solidFill>
          <a:srgbClr val="FF000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65</xdr:col>
      <xdr:colOff>376813</xdr:colOff>
      <xdr:row>55</xdr:row>
      <xdr:rowOff>27912</xdr:rowOff>
    </xdr:from>
    <xdr:to>
      <xdr:col>68</xdr:col>
      <xdr:colOff>579176</xdr:colOff>
      <xdr:row>65</xdr:row>
      <xdr:rowOff>118627</xdr:rowOff>
    </xdr:to>
    <xdr:sp macro="" textlink="">
      <xdr:nvSpPr>
        <xdr:cNvPr id="29" name="Freeform: Shape 28">
          <a:extLst>
            <a:ext uri="{FF2B5EF4-FFF2-40B4-BE49-F238E27FC236}">
              <a16:creationId xmlns:a16="http://schemas.microsoft.com/office/drawing/2014/main" id="{33956BE1-C8FF-4EDB-9BA1-45B8879D21BD}"/>
            </a:ext>
          </a:extLst>
        </xdr:cNvPr>
        <xdr:cNvSpPr/>
      </xdr:nvSpPr>
      <xdr:spPr>
        <a:xfrm>
          <a:off x="24799890" y="10104176"/>
          <a:ext cx="2023627" cy="1905000"/>
        </a:xfrm>
        <a:custGeom>
          <a:avLst/>
          <a:gdLst>
            <a:gd name="connsiteX0" fmla="*/ 237253 w 2023627"/>
            <a:gd name="connsiteY0" fmla="*/ 383791 h 1905000"/>
            <a:gd name="connsiteX1" fmla="*/ 83737 w 2023627"/>
            <a:gd name="connsiteY1" fmla="*/ 258187 h 1905000"/>
            <a:gd name="connsiteX2" fmla="*/ 69781 w 2023627"/>
            <a:gd name="connsiteY2" fmla="*/ 237253 h 1905000"/>
            <a:gd name="connsiteX3" fmla="*/ 0 w 2023627"/>
            <a:gd name="connsiteY3" fmla="*/ 139560 h 1905000"/>
            <a:gd name="connsiteX4" fmla="*/ 13956 w 2023627"/>
            <a:gd name="connsiteY4" fmla="*/ 69780 h 1905000"/>
            <a:gd name="connsiteX5" fmla="*/ 41868 w 2023627"/>
            <a:gd name="connsiteY5" fmla="*/ 34890 h 1905000"/>
            <a:gd name="connsiteX6" fmla="*/ 90715 w 2023627"/>
            <a:gd name="connsiteY6" fmla="*/ 0 h 1905000"/>
            <a:gd name="connsiteX7" fmla="*/ 160495 w 2023627"/>
            <a:gd name="connsiteY7" fmla="*/ 27912 h 1905000"/>
            <a:gd name="connsiteX8" fmla="*/ 202363 w 2023627"/>
            <a:gd name="connsiteY8" fmla="*/ 41868 h 1905000"/>
            <a:gd name="connsiteX9" fmla="*/ 223297 w 2023627"/>
            <a:gd name="connsiteY9" fmla="*/ 55824 h 1905000"/>
            <a:gd name="connsiteX10" fmla="*/ 327967 w 2023627"/>
            <a:gd name="connsiteY10" fmla="*/ 69780 h 1905000"/>
            <a:gd name="connsiteX11" fmla="*/ 390770 w 2023627"/>
            <a:gd name="connsiteY11" fmla="*/ 97692 h 1905000"/>
            <a:gd name="connsiteX12" fmla="*/ 446594 w 2023627"/>
            <a:gd name="connsiteY12" fmla="*/ 223297 h 1905000"/>
            <a:gd name="connsiteX13" fmla="*/ 474506 w 2023627"/>
            <a:gd name="connsiteY13" fmla="*/ 279121 h 1905000"/>
            <a:gd name="connsiteX14" fmla="*/ 523352 w 2023627"/>
            <a:gd name="connsiteY14" fmla="*/ 307033 h 1905000"/>
            <a:gd name="connsiteX15" fmla="*/ 635000 w 2023627"/>
            <a:gd name="connsiteY15" fmla="*/ 341923 h 1905000"/>
            <a:gd name="connsiteX16" fmla="*/ 683846 w 2023627"/>
            <a:gd name="connsiteY16" fmla="*/ 369835 h 1905000"/>
            <a:gd name="connsiteX17" fmla="*/ 718737 w 2023627"/>
            <a:gd name="connsiteY17" fmla="*/ 411703 h 1905000"/>
            <a:gd name="connsiteX18" fmla="*/ 746649 w 2023627"/>
            <a:gd name="connsiteY18" fmla="*/ 439615 h 1905000"/>
            <a:gd name="connsiteX19" fmla="*/ 774561 w 2023627"/>
            <a:gd name="connsiteY19" fmla="*/ 516373 h 1905000"/>
            <a:gd name="connsiteX20" fmla="*/ 858297 w 2023627"/>
            <a:gd name="connsiteY20" fmla="*/ 572198 h 1905000"/>
            <a:gd name="connsiteX21" fmla="*/ 935055 w 2023627"/>
            <a:gd name="connsiteY21" fmla="*/ 600110 h 1905000"/>
            <a:gd name="connsiteX22" fmla="*/ 983901 w 2023627"/>
            <a:gd name="connsiteY22" fmla="*/ 628022 h 1905000"/>
            <a:gd name="connsiteX23" fmla="*/ 1074616 w 2023627"/>
            <a:gd name="connsiteY23" fmla="*/ 739670 h 1905000"/>
            <a:gd name="connsiteX24" fmla="*/ 1081594 w 2023627"/>
            <a:gd name="connsiteY24" fmla="*/ 760604 h 1905000"/>
            <a:gd name="connsiteX25" fmla="*/ 1109506 w 2023627"/>
            <a:gd name="connsiteY25" fmla="*/ 823406 h 1905000"/>
            <a:gd name="connsiteX26" fmla="*/ 1144396 w 2023627"/>
            <a:gd name="connsiteY26" fmla="*/ 858297 h 1905000"/>
            <a:gd name="connsiteX27" fmla="*/ 1221154 w 2023627"/>
            <a:gd name="connsiteY27" fmla="*/ 900165 h 1905000"/>
            <a:gd name="connsiteX28" fmla="*/ 1332803 w 2023627"/>
            <a:gd name="connsiteY28" fmla="*/ 969945 h 1905000"/>
            <a:gd name="connsiteX29" fmla="*/ 1402583 w 2023627"/>
            <a:gd name="connsiteY29" fmla="*/ 1088571 h 1905000"/>
            <a:gd name="connsiteX30" fmla="*/ 1458407 w 2023627"/>
            <a:gd name="connsiteY30" fmla="*/ 1158351 h 1905000"/>
            <a:gd name="connsiteX31" fmla="*/ 1514231 w 2023627"/>
            <a:gd name="connsiteY31" fmla="*/ 1200220 h 1905000"/>
            <a:gd name="connsiteX32" fmla="*/ 1590989 w 2023627"/>
            <a:gd name="connsiteY32" fmla="*/ 1304890 h 1905000"/>
            <a:gd name="connsiteX33" fmla="*/ 1604945 w 2023627"/>
            <a:gd name="connsiteY33" fmla="*/ 1374670 h 1905000"/>
            <a:gd name="connsiteX34" fmla="*/ 1632857 w 2023627"/>
            <a:gd name="connsiteY34" fmla="*/ 1451428 h 1905000"/>
            <a:gd name="connsiteX35" fmla="*/ 1674726 w 2023627"/>
            <a:gd name="connsiteY35" fmla="*/ 1500275 h 1905000"/>
            <a:gd name="connsiteX36" fmla="*/ 1702638 w 2023627"/>
            <a:gd name="connsiteY36" fmla="*/ 1521209 h 1905000"/>
            <a:gd name="connsiteX37" fmla="*/ 1835220 w 2023627"/>
            <a:gd name="connsiteY37" fmla="*/ 1556099 h 1905000"/>
            <a:gd name="connsiteX38" fmla="*/ 1856154 w 2023627"/>
            <a:gd name="connsiteY38" fmla="*/ 1563077 h 1905000"/>
            <a:gd name="connsiteX39" fmla="*/ 1884066 w 2023627"/>
            <a:gd name="connsiteY39" fmla="*/ 1584011 h 1905000"/>
            <a:gd name="connsiteX40" fmla="*/ 1953846 w 2023627"/>
            <a:gd name="connsiteY40" fmla="*/ 1674725 h 1905000"/>
            <a:gd name="connsiteX41" fmla="*/ 1960825 w 2023627"/>
            <a:gd name="connsiteY41" fmla="*/ 1695659 h 1905000"/>
            <a:gd name="connsiteX42" fmla="*/ 1988737 w 2023627"/>
            <a:gd name="connsiteY42" fmla="*/ 1751483 h 1905000"/>
            <a:gd name="connsiteX43" fmla="*/ 2023627 w 2023627"/>
            <a:gd name="connsiteY43" fmla="*/ 1814286 h 1905000"/>
            <a:gd name="connsiteX44" fmla="*/ 2016649 w 2023627"/>
            <a:gd name="connsiteY44" fmla="*/ 1856154 h 1905000"/>
            <a:gd name="connsiteX45" fmla="*/ 1946868 w 2023627"/>
            <a:gd name="connsiteY45" fmla="*/ 1898022 h 1905000"/>
            <a:gd name="connsiteX46" fmla="*/ 1925934 w 2023627"/>
            <a:gd name="connsiteY46" fmla="*/ 1905000 h 1905000"/>
            <a:gd name="connsiteX47" fmla="*/ 1877088 w 2023627"/>
            <a:gd name="connsiteY47" fmla="*/ 1891044 h 1905000"/>
            <a:gd name="connsiteX48" fmla="*/ 1807308 w 2023627"/>
            <a:gd name="connsiteY48" fmla="*/ 1863132 h 1905000"/>
            <a:gd name="connsiteX49" fmla="*/ 1702638 w 2023627"/>
            <a:gd name="connsiteY49" fmla="*/ 1835220 h 1905000"/>
            <a:gd name="connsiteX50" fmla="*/ 1681704 w 2023627"/>
            <a:gd name="connsiteY50" fmla="*/ 1828242 h 1905000"/>
            <a:gd name="connsiteX51" fmla="*/ 1646814 w 2023627"/>
            <a:gd name="connsiteY51" fmla="*/ 1800329 h 1905000"/>
            <a:gd name="connsiteX52" fmla="*/ 1604945 w 2023627"/>
            <a:gd name="connsiteY52" fmla="*/ 1765439 h 1905000"/>
            <a:gd name="connsiteX53" fmla="*/ 1535165 w 2023627"/>
            <a:gd name="connsiteY53" fmla="*/ 1618901 h 1905000"/>
            <a:gd name="connsiteX54" fmla="*/ 1528187 w 2023627"/>
            <a:gd name="connsiteY54" fmla="*/ 1597967 h 1905000"/>
            <a:gd name="connsiteX55" fmla="*/ 1360715 w 2023627"/>
            <a:gd name="connsiteY55" fmla="*/ 1479340 h 1905000"/>
            <a:gd name="connsiteX56" fmla="*/ 1325825 w 2023627"/>
            <a:gd name="connsiteY56" fmla="*/ 1416538 h 1905000"/>
            <a:gd name="connsiteX57" fmla="*/ 1276978 w 2023627"/>
            <a:gd name="connsiteY57" fmla="*/ 1283956 h 1905000"/>
            <a:gd name="connsiteX58" fmla="*/ 1193242 w 2023627"/>
            <a:gd name="connsiteY58" fmla="*/ 1221154 h 1905000"/>
            <a:gd name="connsiteX59" fmla="*/ 1172308 w 2023627"/>
            <a:gd name="connsiteY59" fmla="*/ 1214176 h 1905000"/>
            <a:gd name="connsiteX60" fmla="*/ 1116484 w 2023627"/>
            <a:gd name="connsiteY60" fmla="*/ 1172307 h 1905000"/>
            <a:gd name="connsiteX61" fmla="*/ 1067638 w 2023627"/>
            <a:gd name="connsiteY61" fmla="*/ 1081593 h 1905000"/>
            <a:gd name="connsiteX62" fmla="*/ 1018792 w 2023627"/>
            <a:gd name="connsiteY62" fmla="*/ 955989 h 1905000"/>
            <a:gd name="connsiteX63" fmla="*/ 1004835 w 2023627"/>
            <a:gd name="connsiteY63" fmla="*/ 942033 h 1905000"/>
            <a:gd name="connsiteX64" fmla="*/ 983901 w 2023627"/>
            <a:gd name="connsiteY64" fmla="*/ 914121 h 1905000"/>
            <a:gd name="connsiteX65" fmla="*/ 935055 w 2023627"/>
            <a:gd name="connsiteY65" fmla="*/ 879231 h 1905000"/>
            <a:gd name="connsiteX66" fmla="*/ 914121 w 2023627"/>
            <a:gd name="connsiteY66" fmla="*/ 872253 h 1905000"/>
            <a:gd name="connsiteX67" fmla="*/ 858297 w 2023627"/>
            <a:gd name="connsiteY67" fmla="*/ 851318 h 1905000"/>
            <a:gd name="connsiteX68" fmla="*/ 781539 w 2023627"/>
            <a:gd name="connsiteY68" fmla="*/ 753626 h 1905000"/>
            <a:gd name="connsiteX69" fmla="*/ 725715 w 2023627"/>
            <a:gd name="connsiteY69" fmla="*/ 676868 h 1905000"/>
            <a:gd name="connsiteX70" fmla="*/ 676868 w 2023627"/>
            <a:gd name="connsiteY70" fmla="*/ 635000 h 1905000"/>
            <a:gd name="connsiteX71" fmla="*/ 586154 w 2023627"/>
            <a:gd name="connsiteY71" fmla="*/ 607088 h 1905000"/>
            <a:gd name="connsiteX72" fmla="*/ 495440 w 2023627"/>
            <a:gd name="connsiteY72" fmla="*/ 565220 h 1905000"/>
            <a:gd name="connsiteX73" fmla="*/ 460550 w 2023627"/>
            <a:gd name="connsiteY73" fmla="*/ 516373 h 1905000"/>
            <a:gd name="connsiteX74" fmla="*/ 453572 w 2023627"/>
            <a:gd name="connsiteY74" fmla="*/ 488461 h 1905000"/>
            <a:gd name="connsiteX75" fmla="*/ 425660 w 2023627"/>
            <a:gd name="connsiteY75" fmla="*/ 439615 h 1905000"/>
            <a:gd name="connsiteX76" fmla="*/ 397748 w 2023627"/>
            <a:gd name="connsiteY76" fmla="*/ 404725 h 1905000"/>
            <a:gd name="connsiteX77" fmla="*/ 369835 w 2023627"/>
            <a:gd name="connsiteY77" fmla="*/ 383791 h 1905000"/>
            <a:gd name="connsiteX78" fmla="*/ 279121 w 2023627"/>
            <a:gd name="connsiteY78" fmla="*/ 355879 h 1905000"/>
            <a:gd name="connsiteX79" fmla="*/ 244231 w 2023627"/>
            <a:gd name="connsiteY79" fmla="*/ 341923 h 1905000"/>
            <a:gd name="connsiteX80" fmla="*/ 188407 w 2023627"/>
            <a:gd name="connsiteY80" fmla="*/ 300055 h 1905000"/>
            <a:gd name="connsiteX81" fmla="*/ 181429 w 2023627"/>
            <a:gd name="connsiteY81" fmla="*/ 279121 h 1905000"/>
            <a:gd name="connsiteX82" fmla="*/ 167473 w 2023627"/>
            <a:gd name="connsiteY82" fmla="*/ 258187 h 1905000"/>
            <a:gd name="connsiteX83" fmla="*/ 153517 w 2023627"/>
            <a:gd name="connsiteY83" fmla="*/ 216318 h 190500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 ang="0">
              <a:pos x="connsiteX76" y="connsiteY76"/>
            </a:cxn>
            <a:cxn ang="0">
              <a:pos x="connsiteX77" y="connsiteY77"/>
            </a:cxn>
            <a:cxn ang="0">
              <a:pos x="connsiteX78" y="connsiteY78"/>
            </a:cxn>
            <a:cxn ang="0">
              <a:pos x="connsiteX79" y="connsiteY79"/>
            </a:cxn>
            <a:cxn ang="0">
              <a:pos x="connsiteX80" y="connsiteY80"/>
            </a:cxn>
            <a:cxn ang="0">
              <a:pos x="connsiteX81" y="connsiteY81"/>
            </a:cxn>
            <a:cxn ang="0">
              <a:pos x="connsiteX82" y="connsiteY82"/>
            </a:cxn>
            <a:cxn ang="0">
              <a:pos x="connsiteX83" y="connsiteY83"/>
            </a:cxn>
          </a:cxnLst>
          <a:rect l="l" t="t" r="r" b="b"/>
          <a:pathLst>
            <a:path w="2023627" h="1905000">
              <a:moveTo>
                <a:pt x="237253" y="383791"/>
              </a:moveTo>
              <a:cubicBezTo>
                <a:pt x="186081" y="341923"/>
                <a:pt x="133495" y="301726"/>
                <a:pt x="83737" y="258187"/>
              </a:cubicBezTo>
              <a:cubicBezTo>
                <a:pt x="77426" y="252664"/>
                <a:pt x="75150" y="243696"/>
                <a:pt x="69781" y="237253"/>
              </a:cubicBezTo>
              <a:cubicBezTo>
                <a:pt x="4583" y="159015"/>
                <a:pt x="124267" y="334837"/>
                <a:pt x="0" y="139560"/>
              </a:cubicBezTo>
              <a:cubicBezTo>
                <a:pt x="4652" y="116300"/>
                <a:pt x="5146" y="91804"/>
                <a:pt x="13956" y="69780"/>
              </a:cubicBezTo>
              <a:cubicBezTo>
                <a:pt x="19487" y="55952"/>
                <a:pt x="31336" y="45421"/>
                <a:pt x="41868" y="34890"/>
              </a:cubicBezTo>
              <a:cubicBezTo>
                <a:pt x="50521" y="26237"/>
                <a:pt x="78830" y="7923"/>
                <a:pt x="90715" y="0"/>
              </a:cubicBezTo>
              <a:cubicBezTo>
                <a:pt x="161421" y="14141"/>
                <a:pt x="89686" y="-4274"/>
                <a:pt x="160495" y="27912"/>
              </a:cubicBezTo>
              <a:cubicBezTo>
                <a:pt x="173887" y="33999"/>
                <a:pt x="188920" y="35893"/>
                <a:pt x="202363" y="41868"/>
              </a:cubicBezTo>
              <a:cubicBezTo>
                <a:pt x="210027" y="45274"/>
                <a:pt x="215444" y="52879"/>
                <a:pt x="223297" y="55824"/>
              </a:cubicBezTo>
              <a:cubicBezTo>
                <a:pt x="244320" y="63707"/>
                <a:pt x="318896" y="68873"/>
                <a:pt x="327967" y="69780"/>
              </a:cubicBezTo>
              <a:cubicBezTo>
                <a:pt x="349782" y="75234"/>
                <a:pt x="374886" y="78632"/>
                <a:pt x="390770" y="97692"/>
              </a:cubicBezTo>
              <a:cubicBezTo>
                <a:pt x="428493" y="142959"/>
                <a:pt x="425352" y="171708"/>
                <a:pt x="446594" y="223297"/>
              </a:cubicBezTo>
              <a:cubicBezTo>
                <a:pt x="454515" y="242534"/>
                <a:pt x="460448" y="263785"/>
                <a:pt x="474506" y="279121"/>
              </a:cubicBezTo>
              <a:cubicBezTo>
                <a:pt x="487178" y="292945"/>
                <a:pt x="506579" y="298646"/>
                <a:pt x="523352" y="307033"/>
              </a:cubicBezTo>
              <a:cubicBezTo>
                <a:pt x="589077" y="339895"/>
                <a:pt x="572168" y="332947"/>
                <a:pt x="635000" y="341923"/>
              </a:cubicBezTo>
              <a:cubicBezTo>
                <a:pt x="651282" y="351227"/>
                <a:pt x="668243" y="359433"/>
                <a:pt x="683846" y="369835"/>
              </a:cubicBezTo>
              <a:cubicBezTo>
                <a:pt x="696134" y="378027"/>
                <a:pt x="711344" y="403254"/>
                <a:pt x="718737" y="411703"/>
              </a:cubicBezTo>
              <a:cubicBezTo>
                <a:pt x="727402" y="421605"/>
                <a:pt x="737345" y="430311"/>
                <a:pt x="746649" y="439615"/>
              </a:cubicBezTo>
              <a:cubicBezTo>
                <a:pt x="755953" y="465201"/>
                <a:pt x="758621" y="494302"/>
                <a:pt x="774561" y="516373"/>
              </a:cubicBezTo>
              <a:cubicBezTo>
                <a:pt x="812138" y="568403"/>
                <a:pt x="820810" y="557203"/>
                <a:pt x="858297" y="572198"/>
              </a:cubicBezTo>
              <a:cubicBezTo>
                <a:pt x="926941" y="599656"/>
                <a:pt x="884012" y="587349"/>
                <a:pt x="935055" y="600110"/>
              </a:cubicBezTo>
              <a:cubicBezTo>
                <a:pt x="951337" y="609414"/>
                <a:pt x="969257" y="616307"/>
                <a:pt x="983901" y="628022"/>
              </a:cubicBezTo>
              <a:cubicBezTo>
                <a:pt x="1028210" y="663469"/>
                <a:pt x="1048319" y="691460"/>
                <a:pt x="1074616" y="739670"/>
              </a:cubicBezTo>
              <a:cubicBezTo>
                <a:pt x="1078138" y="746127"/>
                <a:pt x="1078765" y="753814"/>
                <a:pt x="1081594" y="760604"/>
              </a:cubicBezTo>
              <a:cubicBezTo>
                <a:pt x="1090405" y="781750"/>
                <a:pt x="1097118" y="804136"/>
                <a:pt x="1109506" y="823406"/>
              </a:cubicBezTo>
              <a:cubicBezTo>
                <a:pt x="1118400" y="837241"/>
                <a:pt x="1132018" y="847466"/>
                <a:pt x="1144396" y="858297"/>
              </a:cubicBezTo>
              <a:cubicBezTo>
                <a:pt x="1161757" y="873488"/>
                <a:pt x="1209634" y="894066"/>
                <a:pt x="1221154" y="900165"/>
              </a:cubicBezTo>
              <a:cubicBezTo>
                <a:pt x="1253955" y="917530"/>
                <a:pt x="1304151" y="943898"/>
                <a:pt x="1332803" y="969945"/>
              </a:cubicBezTo>
              <a:cubicBezTo>
                <a:pt x="1366475" y="1000555"/>
                <a:pt x="1382833" y="1051540"/>
                <a:pt x="1402583" y="1088571"/>
              </a:cubicBezTo>
              <a:cubicBezTo>
                <a:pt x="1414283" y="1110508"/>
                <a:pt x="1447268" y="1146199"/>
                <a:pt x="1458407" y="1158351"/>
              </a:cubicBezTo>
              <a:cubicBezTo>
                <a:pt x="1493688" y="1196840"/>
                <a:pt x="1479845" y="1188758"/>
                <a:pt x="1514231" y="1200220"/>
              </a:cubicBezTo>
              <a:cubicBezTo>
                <a:pt x="1539120" y="1229257"/>
                <a:pt x="1576720" y="1268199"/>
                <a:pt x="1590989" y="1304890"/>
              </a:cubicBezTo>
              <a:cubicBezTo>
                <a:pt x="1599586" y="1326998"/>
                <a:pt x="1598428" y="1351862"/>
                <a:pt x="1604945" y="1374670"/>
              </a:cubicBezTo>
              <a:cubicBezTo>
                <a:pt x="1612424" y="1400848"/>
                <a:pt x="1620681" y="1427077"/>
                <a:pt x="1632857" y="1451428"/>
              </a:cubicBezTo>
              <a:cubicBezTo>
                <a:pt x="1636371" y="1458455"/>
                <a:pt x="1662832" y="1490363"/>
                <a:pt x="1674726" y="1500275"/>
              </a:cubicBezTo>
              <a:cubicBezTo>
                <a:pt x="1683660" y="1507720"/>
                <a:pt x="1692078" y="1516335"/>
                <a:pt x="1702638" y="1521209"/>
              </a:cubicBezTo>
              <a:cubicBezTo>
                <a:pt x="1751890" y="1543941"/>
                <a:pt x="1782558" y="1543946"/>
                <a:pt x="1835220" y="1556099"/>
              </a:cubicBezTo>
              <a:cubicBezTo>
                <a:pt x="1842387" y="1557753"/>
                <a:pt x="1849176" y="1560751"/>
                <a:pt x="1856154" y="1563077"/>
              </a:cubicBezTo>
              <a:cubicBezTo>
                <a:pt x="1865458" y="1570055"/>
                <a:pt x="1875314" y="1576353"/>
                <a:pt x="1884066" y="1584011"/>
              </a:cubicBezTo>
              <a:cubicBezTo>
                <a:pt x="1916397" y="1612301"/>
                <a:pt x="1930247" y="1634270"/>
                <a:pt x="1953846" y="1674725"/>
              </a:cubicBezTo>
              <a:cubicBezTo>
                <a:pt x="1957552" y="1681079"/>
                <a:pt x="1957781" y="1688963"/>
                <a:pt x="1960825" y="1695659"/>
              </a:cubicBezTo>
              <a:cubicBezTo>
                <a:pt x="1969434" y="1714599"/>
                <a:pt x="1978254" y="1733513"/>
                <a:pt x="1988737" y="1751483"/>
              </a:cubicBezTo>
              <a:cubicBezTo>
                <a:pt x="2030979" y="1823898"/>
                <a:pt x="1990496" y="1731457"/>
                <a:pt x="2023627" y="1814286"/>
              </a:cubicBezTo>
              <a:cubicBezTo>
                <a:pt x="2021301" y="1828242"/>
                <a:pt x="2021123" y="1842732"/>
                <a:pt x="2016649" y="1856154"/>
              </a:cubicBezTo>
              <a:cubicBezTo>
                <a:pt x="2005998" y="1888108"/>
                <a:pt x="1976591" y="1887214"/>
                <a:pt x="1946868" y="1898022"/>
              </a:cubicBezTo>
              <a:cubicBezTo>
                <a:pt x="1939955" y="1900536"/>
                <a:pt x="1932912" y="1902674"/>
                <a:pt x="1925934" y="1905000"/>
              </a:cubicBezTo>
              <a:cubicBezTo>
                <a:pt x="1909652" y="1900348"/>
                <a:pt x="1893056" y="1896680"/>
                <a:pt x="1877088" y="1891044"/>
              </a:cubicBezTo>
              <a:cubicBezTo>
                <a:pt x="1853464" y="1882706"/>
                <a:pt x="1831168" y="1870767"/>
                <a:pt x="1807308" y="1863132"/>
              </a:cubicBezTo>
              <a:cubicBezTo>
                <a:pt x="1772917" y="1852127"/>
                <a:pt x="1737430" y="1844884"/>
                <a:pt x="1702638" y="1835220"/>
              </a:cubicBezTo>
              <a:cubicBezTo>
                <a:pt x="1695551" y="1833251"/>
                <a:pt x="1688682" y="1830568"/>
                <a:pt x="1681704" y="1828242"/>
              </a:cubicBezTo>
              <a:cubicBezTo>
                <a:pt x="1670074" y="1818938"/>
                <a:pt x="1658729" y="1809265"/>
                <a:pt x="1646814" y="1800329"/>
              </a:cubicBezTo>
              <a:cubicBezTo>
                <a:pt x="1633075" y="1790025"/>
                <a:pt x="1613680" y="1781566"/>
                <a:pt x="1604945" y="1765439"/>
              </a:cubicBezTo>
              <a:cubicBezTo>
                <a:pt x="1579177" y="1717868"/>
                <a:pt x="1552273" y="1670226"/>
                <a:pt x="1535165" y="1618901"/>
              </a:cubicBezTo>
              <a:cubicBezTo>
                <a:pt x="1532839" y="1611923"/>
                <a:pt x="1533592" y="1602956"/>
                <a:pt x="1528187" y="1597967"/>
              </a:cubicBezTo>
              <a:cubicBezTo>
                <a:pt x="1492254" y="1564798"/>
                <a:pt x="1401716" y="1506674"/>
                <a:pt x="1360715" y="1479340"/>
              </a:cubicBezTo>
              <a:cubicBezTo>
                <a:pt x="1349085" y="1458406"/>
                <a:pt x="1335861" y="1438281"/>
                <a:pt x="1325825" y="1416538"/>
              </a:cubicBezTo>
              <a:cubicBezTo>
                <a:pt x="1290565" y="1340143"/>
                <a:pt x="1397505" y="1444659"/>
                <a:pt x="1276978" y="1283956"/>
              </a:cubicBezTo>
              <a:cubicBezTo>
                <a:pt x="1256044" y="1256044"/>
                <a:pt x="1222272" y="1240507"/>
                <a:pt x="1193242" y="1221154"/>
              </a:cubicBezTo>
              <a:cubicBezTo>
                <a:pt x="1187122" y="1217074"/>
                <a:pt x="1178887" y="1217465"/>
                <a:pt x="1172308" y="1214176"/>
              </a:cubicBezTo>
              <a:cubicBezTo>
                <a:pt x="1155777" y="1205911"/>
                <a:pt x="1127492" y="1189920"/>
                <a:pt x="1116484" y="1172307"/>
              </a:cubicBezTo>
              <a:cubicBezTo>
                <a:pt x="1098282" y="1143184"/>
                <a:pt x="1082997" y="1112310"/>
                <a:pt x="1067638" y="1081593"/>
              </a:cubicBezTo>
              <a:cubicBezTo>
                <a:pt x="1043012" y="1032341"/>
                <a:pt x="1092845" y="1030036"/>
                <a:pt x="1018792" y="955989"/>
              </a:cubicBezTo>
              <a:cubicBezTo>
                <a:pt x="1014140" y="951337"/>
                <a:pt x="1009047" y="947087"/>
                <a:pt x="1004835" y="942033"/>
              </a:cubicBezTo>
              <a:cubicBezTo>
                <a:pt x="997390" y="933099"/>
                <a:pt x="992546" y="921901"/>
                <a:pt x="983901" y="914121"/>
              </a:cubicBezTo>
              <a:cubicBezTo>
                <a:pt x="969028" y="900736"/>
                <a:pt x="952213" y="889526"/>
                <a:pt x="935055" y="879231"/>
              </a:cubicBezTo>
              <a:cubicBezTo>
                <a:pt x="928748" y="875447"/>
                <a:pt x="921008" y="874836"/>
                <a:pt x="914121" y="872253"/>
              </a:cubicBezTo>
              <a:cubicBezTo>
                <a:pt x="847341" y="847211"/>
                <a:pt x="905830" y="867165"/>
                <a:pt x="858297" y="851318"/>
              </a:cubicBezTo>
              <a:cubicBezTo>
                <a:pt x="832711" y="818754"/>
                <a:pt x="804511" y="788084"/>
                <a:pt x="781539" y="753626"/>
              </a:cubicBezTo>
              <a:cubicBezTo>
                <a:pt x="766983" y="731792"/>
                <a:pt x="744910" y="696062"/>
                <a:pt x="725715" y="676868"/>
              </a:cubicBezTo>
              <a:cubicBezTo>
                <a:pt x="710551" y="661704"/>
                <a:pt x="696049" y="644590"/>
                <a:pt x="676868" y="635000"/>
              </a:cubicBezTo>
              <a:cubicBezTo>
                <a:pt x="648571" y="620852"/>
                <a:pt x="615233" y="619550"/>
                <a:pt x="586154" y="607088"/>
              </a:cubicBezTo>
              <a:cubicBezTo>
                <a:pt x="522966" y="580008"/>
                <a:pt x="553152" y="594076"/>
                <a:pt x="495440" y="565220"/>
              </a:cubicBezTo>
              <a:cubicBezTo>
                <a:pt x="483810" y="548938"/>
                <a:pt x="470131" y="533939"/>
                <a:pt x="460550" y="516373"/>
              </a:cubicBezTo>
              <a:cubicBezTo>
                <a:pt x="455958" y="507954"/>
                <a:pt x="456939" y="497441"/>
                <a:pt x="453572" y="488461"/>
              </a:cubicBezTo>
              <a:cubicBezTo>
                <a:pt x="447777" y="473008"/>
                <a:pt x="435783" y="453112"/>
                <a:pt x="425660" y="439615"/>
              </a:cubicBezTo>
              <a:cubicBezTo>
                <a:pt x="416724" y="427700"/>
                <a:pt x="408280" y="415256"/>
                <a:pt x="397748" y="404725"/>
              </a:cubicBezTo>
              <a:cubicBezTo>
                <a:pt x="389524" y="396501"/>
                <a:pt x="380525" y="388372"/>
                <a:pt x="369835" y="383791"/>
              </a:cubicBezTo>
              <a:cubicBezTo>
                <a:pt x="364477" y="381495"/>
                <a:pt x="301446" y="364251"/>
                <a:pt x="279121" y="355879"/>
              </a:cubicBezTo>
              <a:cubicBezTo>
                <a:pt x="267393" y="351481"/>
                <a:pt x="255434" y="347525"/>
                <a:pt x="244231" y="341923"/>
              </a:cubicBezTo>
              <a:cubicBezTo>
                <a:pt x="229419" y="334517"/>
                <a:pt x="196966" y="306902"/>
                <a:pt x="188407" y="300055"/>
              </a:cubicBezTo>
              <a:cubicBezTo>
                <a:pt x="186081" y="293077"/>
                <a:pt x="184718" y="285700"/>
                <a:pt x="181429" y="279121"/>
              </a:cubicBezTo>
              <a:cubicBezTo>
                <a:pt x="177678" y="271620"/>
                <a:pt x="170879" y="265851"/>
                <a:pt x="167473" y="258187"/>
              </a:cubicBezTo>
              <a:cubicBezTo>
                <a:pt x="161498" y="244744"/>
                <a:pt x="153517" y="216318"/>
                <a:pt x="153517" y="216318"/>
              </a:cubicBezTo>
            </a:path>
          </a:pathLst>
        </a:custGeom>
        <a:solidFill>
          <a:srgbClr val="C0000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75</xdr:col>
      <xdr:colOff>493673</xdr:colOff>
      <xdr:row>61</xdr:row>
      <xdr:rowOff>125605</xdr:rowOff>
    </xdr:from>
    <xdr:to>
      <xdr:col>80</xdr:col>
      <xdr:colOff>474505</xdr:colOff>
      <xdr:row>66</xdr:row>
      <xdr:rowOff>83736</xdr:rowOff>
    </xdr:to>
    <xdr:sp macro="" textlink="">
      <xdr:nvSpPr>
        <xdr:cNvPr id="31" name="Freeform: Shape 30">
          <a:extLst>
            <a:ext uri="{FF2B5EF4-FFF2-40B4-BE49-F238E27FC236}">
              <a16:creationId xmlns:a16="http://schemas.microsoft.com/office/drawing/2014/main" id="{04084A24-9D8E-4A6D-B851-638EF84BFBDB}"/>
            </a:ext>
          </a:extLst>
        </xdr:cNvPr>
        <xdr:cNvSpPr/>
      </xdr:nvSpPr>
      <xdr:spPr>
        <a:xfrm>
          <a:off x="30987629" y="11290440"/>
          <a:ext cx="3016272" cy="865274"/>
        </a:xfrm>
        <a:custGeom>
          <a:avLst/>
          <a:gdLst>
            <a:gd name="connsiteX0" fmla="*/ 867041 w 3016272"/>
            <a:gd name="connsiteY0" fmla="*/ 641978 h 865274"/>
            <a:gd name="connsiteX1" fmla="*/ 678635 w 3016272"/>
            <a:gd name="connsiteY1" fmla="*/ 683846 h 865274"/>
            <a:gd name="connsiteX2" fmla="*/ 573964 w 3016272"/>
            <a:gd name="connsiteY2" fmla="*/ 725714 h 865274"/>
            <a:gd name="connsiteX3" fmla="*/ 546052 w 3016272"/>
            <a:gd name="connsiteY3" fmla="*/ 739670 h 865274"/>
            <a:gd name="connsiteX4" fmla="*/ 525118 w 3016272"/>
            <a:gd name="connsiteY4" fmla="*/ 753626 h 865274"/>
            <a:gd name="connsiteX5" fmla="*/ 406492 w 3016272"/>
            <a:gd name="connsiteY5" fmla="*/ 774560 h 865274"/>
            <a:gd name="connsiteX6" fmla="*/ 385558 w 3016272"/>
            <a:gd name="connsiteY6" fmla="*/ 781538 h 865274"/>
            <a:gd name="connsiteX7" fmla="*/ 315778 w 3016272"/>
            <a:gd name="connsiteY7" fmla="*/ 788516 h 865274"/>
            <a:gd name="connsiteX8" fmla="*/ 287866 w 3016272"/>
            <a:gd name="connsiteY8" fmla="*/ 795494 h 865274"/>
            <a:gd name="connsiteX9" fmla="*/ 252975 w 3016272"/>
            <a:gd name="connsiteY9" fmla="*/ 788516 h 865274"/>
            <a:gd name="connsiteX10" fmla="*/ 176217 w 3016272"/>
            <a:gd name="connsiteY10" fmla="*/ 704780 h 865274"/>
            <a:gd name="connsiteX11" fmla="*/ 78525 w 3016272"/>
            <a:gd name="connsiteY11" fmla="*/ 572197 h 865274"/>
            <a:gd name="connsiteX12" fmla="*/ 64569 w 3016272"/>
            <a:gd name="connsiteY12" fmla="*/ 544285 h 865274"/>
            <a:gd name="connsiteX13" fmla="*/ 29679 w 3016272"/>
            <a:gd name="connsiteY13" fmla="*/ 418681 h 865274"/>
            <a:gd name="connsiteX14" fmla="*/ 22701 w 3016272"/>
            <a:gd name="connsiteY14" fmla="*/ 397747 h 865274"/>
            <a:gd name="connsiteX15" fmla="*/ 15723 w 3016272"/>
            <a:gd name="connsiteY15" fmla="*/ 348901 h 865274"/>
            <a:gd name="connsiteX16" fmla="*/ 1767 w 3016272"/>
            <a:gd name="connsiteY16" fmla="*/ 286098 h 865274"/>
            <a:gd name="connsiteX17" fmla="*/ 36657 w 3016272"/>
            <a:gd name="connsiteY17" fmla="*/ 55824 h 865274"/>
            <a:gd name="connsiteX18" fmla="*/ 106437 w 3016272"/>
            <a:gd name="connsiteY18" fmla="*/ 20934 h 865274"/>
            <a:gd name="connsiteX19" fmla="*/ 294844 w 3016272"/>
            <a:gd name="connsiteY19" fmla="*/ 0 h 865274"/>
            <a:gd name="connsiteX20" fmla="*/ 594898 w 3016272"/>
            <a:gd name="connsiteY20" fmla="*/ 13956 h 865274"/>
            <a:gd name="connsiteX21" fmla="*/ 615833 w 3016272"/>
            <a:gd name="connsiteY21" fmla="*/ 20934 h 865274"/>
            <a:gd name="connsiteX22" fmla="*/ 706547 w 3016272"/>
            <a:gd name="connsiteY22" fmla="*/ 62802 h 865274"/>
            <a:gd name="connsiteX23" fmla="*/ 846107 w 3016272"/>
            <a:gd name="connsiteY23" fmla="*/ 111648 h 865274"/>
            <a:gd name="connsiteX24" fmla="*/ 887975 w 3016272"/>
            <a:gd name="connsiteY24" fmla="*/ 139560 h 865274"/>
            <a:gd name="connsiteX25" fmla="*/ 1013580 w 3016272"/>
            <a:gd name="connsiteY25" fmla="*/ 181428 h 865274"/>
            <a:gd name="connsiteX26" fmla="*/ 1041492 w 3016272"/>
            <a:gd name="connsiteY26" fmla="*/ 188406 h 865274"/>
            <a:gd name="connsiteX27" fmla="*/ 1278745 w 3016272"/>
            <a:gd name="connsiteY27" fmla="*/ 209340 h 865274"/>
            <a:gd name="connsiteX28" fmla="*/ 1662536 w 3016272"/>
            <a:gd name="connsiteY28" fmla="*/ 230274 h 865274"/>
            <a:gd name="connsiteX29" fmla="*/ 1767206 w 3016272"/>
            <a:gd name="connsiteY29" fmla="*/ 244230 h 865274"/>
            <a:gd name="connsiteX30" fmla="*/ 1795118 w 3016272"/>
            <a:gd name="connsiteY30" fmla="*/ 251208 h 865274"/>
            <a:gd name="connsiteX31" fmla="*/ 2032371 w 3016272"/>
            <a:gd name="connsiteY31" fmla="*/ 293076 h 865274"/>
            <a:gd name="connsiteX32" fmla="*/ 2123085 w 3016272"/>
            <a:gd name="connsiteY32" fmla="*/ 327967 h 865274"/>
            <a:gd name="connsiteX33" fmla="*/ 2241712 w 3016272"/>
            <a:gd name="connsiteY33" fmla="*/ 348901 h 865274"/>
            <a:gd name="connsiteX34" fmla="*/ 2269624 w 3016272"/>
            <a:gd name="connsiteY34" fmla="*/ 355879 h 865274"/>
            <a:gd name="connsiteX35" fmla="*/ 2423140 w 3016272"/>
            <a:gd name="connsiteY35" fmla="*/ 411703 h 865274"/>
            <a:gd name="connsiteX36" fmla="*/ 2527811 w 3016272"/>
            <a:gd name="connsiteY36" fmla="*/ 425659 h 865274"/>
            <a:gd name="connsiteX37" fmla="*/ 2618525 w 3016272"/>
            <a:gd name="connsiteY37" fmla="*/ 439615 h 865274"/>
            <a:gd name="connsiteX38" fmla="*/ 2876712 w 3016272"/>
            <a:gd name="connsiteY38" fmla="*/ 446593 h 865274"/>
            <a:gd name="connsiteX39" fmla="*/ 2988360 w 3016272"/>
            <a:gd name="connsiteY39" fmla="*/ 509395 h 865274"/>
            <a:gd name="connsiteX40" fmla="*/ 3016272 w 3016272"/>
            <a:gd name="connsiteY40" fmla="*/ 551263 h 865274"/>
            <a:gd name="connsiteX41" fmla="*/ 3009294 w 3016272"/>
            <a:gd name="connsiteY41" fmla="*/ 614065 h 865274"/>
            <a:gd name="connsiteX42" fmla="*/ 3002316 w 3016272"/>
            <a:gd name="connsiteY42" fmla="*/ 635000 h 865274"/>
            <a:gd name="connsiteX43" fmla="*/ 2960448 w 3016272"/>
            <a:gd name="connsiteY43" fmla="*/ 732692 h 865274"/>
            <a:gd name="connsiteX44" fmla="*/ 2918580 w 3016272"/>
            <a:gd name="connsiteY44" fmla="*/ 788516 h 865274"/>
            <a:gd name="connsiteX45" fmla="*/ 2772041 w 3016272"/>
            <a:gd name="connsiteY45" fmla="*/ 830384 h 865274"/>
            <a:gd name="connsiteX46" fmla="*/ 2534789 w 3016272"/>
            <a:gd name="connsiteY46" fmla="*/ 865274 h 865274"/>
            <a:gd name="connsiteX47" fmla="*/ 2332426 w 3016272"/>
            <a:gd name="connsiteY47" fmla="*/ 851318 h 865274"/>
            <a:gd name="connsiteX48" fmla="*/ 2150997 w 3016272"/>
            <a:gd name="connsiteY48" fmla="*/ 830384 h 865274"/>
            <a:gd name="connsiteX49" fmla="*/ 2053305 w 3016272"/>
            <a:gd name="connsiteY49" fmla="*/ 823406 h 865274"/>
            <a:gd name="connsiteX50" fmla="*/ 2025393 w 3016272"/>
            <a:gd name="connsiteY50" fmla="*/ 816428 h 865274"/>
            <a:gd name="connsiteX51" fmla="*/ 1892811 w 3016272"/>
            <a:gd name="connsiteY51" fmla="*/ 788516 h 865274"/>
            <a:gd name="connsiteX52" fmla="*/ 1746272 w 3016272"/>
            <a:gd name="connsiteY52" fmla="*/ 725714 h 865274"/>
            <a:gd name="connsiteX53" fmla="*/ 1725338 w 3016272"/>
            <a:gd name="connsiteY53" fmla="*/ 711758 h 865274"/>
            <a:gd name="connsiteX54" fmla="*/ 1592756 w 3016272"/>
            <a:gd name="connsiteY54" fmla="*/ 669890 h 865274"/>
            <a:gd name="connsiteX55" fmla="*/ 1502041 w 3016272"/>
            <a:gd name="connsiteY55" fmla="*/ 648956 h 865274"/>
            <a:gd name="connsiteX56" fmla="*/ 1474129 w 3016272"/>
            <a:gd name="connsiteY56" fmla="*/ 641978 h 865274"/>
            <a:gd name="connsiteX57" fmla="*/ 1439239 w 3016272"/>
            <a:gd name="connsiteY57" fmla="*/ 628022 h 865274"/>
            <a:gd name="connsiteX58" fmla="*/ 1418305 w 3016272"/>
            <a:gd name="connsiteY58" fmla="*/ 621044 h 865274"/>
            <a:gd name="connsiteX59" fmla="*/ 1320613 w 3016272"/>
            <a:gd name="connsiteY59" fmla="*/ 614065 h 865274"/>
            <a:gd name="connsiteX60" fmla="*/ 1299679 w 3016272"/>
            <a:gd name="connsiteY60" fmla="*/ 607087 h 865274"/>
            <a:gd name="connsiteX61" fmla="*/ 922866 w 3016272"/>
            <a:gd name="connsiteY61" fmla="*/ 607087 h 865274"/>
            <a:gd name="connsiteX62" fmla="*/ 867041 w 3016272"/>
            <a:gd name="connsiteY62" fmla="*/ 669890 h 865274"/>
            <a:gd name="connsiteX63" fmla="*/ 860063 w 3016272"/>
            <a:gd name="connsiteY63" fmla="*/ 697802 h 865274"/>
            <a:gd name="connsiteX64" fmla="*/ 839129 w 3016272"/>
            <a:gd name="connsiteY64" fmla="*/ 732692 h 865274"/>
            <a:gd name="connsiteX65" fmla="*/ 818195 w 3016272"/>
            <a:gd name="connsiteY65" fmla="*/ 753626 h 865274"/>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Lst>
          <a:rect l="l" t="t" r="r" b="b"/>
          <a:pathLst>
            <a:path w="3016272" h="865274">
              <a:moveTo>
                <a:pt x="867041" y="641978"/>
              </a:moveTo>
              <a:cubicBezTo>
                <a:pt x="804239" y="655934"/>
                <a:pt x="740942" y="667824"/>
                <a:pt x="678635" y="683846"/>
              </a:cubicBezTo>
              <a:cubicBezTo>
                <a:pt x="659366" y="688801"/>
                <a:pt x="593709" y="716739"/>
                <a:pt x="573964" y="725714"/>
              </a:cubicBezTo>
              <a:cubicBezTo>
                <a:pt x="564494" y="730018"/>
                <a:pt x="555084" y="734509"/>
                <a:pt x="546052" y="739670"/>
              </a:cubicBezTo>
              <a:cubicBezTo>
                <a:pt x="538770" y="743831"/>
                <a:pt x="533254" y="751592"/>
                <a:pt x="525118" y="753626"/>
              </a:cubicBezTo>
              <a:cubicBezTo>
                <a:pt x="486164" y="763365"/>
                <a:pt x="445865" y="766685"/>
                <a:pt x="406492" y="774560"/>
              </a:cubicBezTo>
              <a:cubicBezTo>
                <a:pt x="399279" y="776003"/>
                <a:pt x="392828" y="780420"/>
                <a:pt x="385558" y="781538"/>
              </a:cubicBezTo>
              <a:cubicBezTo>
                <a:pt x="362454" y="785092"/>
                <a:pt x="339038" y="786190"/>
                <a:pt x="315778" y="788516"/>
              </a:cubicBezTo>
              <a:cubicBezTo>
                <a:pt x="306474" y="790842"/>
                <a:pt x="297456" y="795494"/>
                <a:pt x="287866" y="795494"/>
              </a:cubicBezTo>
              <a:cubicBezTo>
                <a:pt x="276005" y="795494"/>
                <a:pt x="262626" y="795410"/>
                <a:pt x="252975" y="788516"/>
              </a:cubicBezTo>
              <a:cubicBezTo>
                <a:pt x="193679" y="746162"/>
                <a:pt x="203922" y="742875"/>
                <a:pt x="176217" y="704780"/>
              </a:cubicBezTo>
              <a:cubicBezTo>
                <a:pt x="143929" y="660384"/>
                <a:pt x="103075" y="621297"/>
                <a:pt x="78525" y="572197"/>
              </a:cubicBezTo>
              <a:cubicBezTo>
                <a:pt x="73873" y="562893"/>
                <a:pt x="67723" y="554198"/>
                <a:pt x="64569" y="544285"/>
              </a:cubicBezTo>
              <a:cubicBezTo>
                <a:pt x="51394" y="502877"/>
                <a:pt x="43420" y="459904"/>
                <a:pt x="29679" y="418681"/>
              </a:cubicBezTo>
              <a:lnTo>
                <a:pt x="22701" y="397747"/>
              </a:lnTo>
              <a:cubicBezTo>
                <a:pt x="20375" y="381465"/>
                <a:pt x="18427" y="365125"/>
                <a:pt x="15723" y="348901"/>
              </a:cubicBezTo>
              <a:cubicBezTo>
                <a:pt x="11294" y="322326"/>
                <a:pt x="8039" y="311188"/>
                <a:pt x="1767" y="286098"/>
              </a:cubicBezTo>
              <a:cubicBezTo>
                <a:pt x="3840" y="234285"/>
                <a:pt x="-15230" y="112428"/>
                <a:pt x="36657" y="55824"/>
              </a:cubicBezTo>
              <a:cubicBezTo>
                <a:pt x="41306" y="50753"/>
                <a:pt x="87553" y="23452"/>
                <a:pt x="106437" y="20934"/>
              </a:cubicBezTo>
              <a:cubicBezTo>
                <a:pt x="169072" y="12583"/>
                <a:pt x="294844" y="0"/>
                <a:pt x="294844" y="0"/>
              </a:cubicBezTo>
              <a:cubicBezTo>
                <a:pt x="338114" y="1273"/>
                <a:pt x="510709" y="-75"/>
                <a:pt x="594898" y="13956"/>
              </a:cubicBezTo>
              <a:cubicBezTo>
                <a:pt x="602154" y="15165"/>
                <a:pt x="609094" y="17986"/>
                <a:pt x="615833" y="20934"/>
              </a:cubicBezTo>
              <a:cubicBezTo>
                <a:pt x="646344" y="34282"/>
                <a:pt x="675426" y="50946"/>
                <a:pt x="706547" y="62802"/>
              </a:cubicBezTo>
              <a:cubicBezTo>
                <a:pt x="840339" y="113770"/>
                <a:pt x="667998" y="22593"/>
                <a:pt x="846107" y="111648"/>
              </a:cubicBezTo>
              <a:cubicBezTo>
                <a:pt x="861109" y="119149"/>
                <a:pt x="872492" y="133109"/>
                <a:pt x="887975" y="139560"/>
              </a:cubicBezTo>
              <a:cubicBezTo>
                <a:pt x="928713" y="156534"/>
                <a:pt x="970765" y="170724"/>
                <a:pt x="1013580" y="181428"/>
              </a:cubicBezTo>
              <a:cubicBezTo>
                <a:pt x="1022884" y="183754"/>
                <a:pt x="1032032" y="186829"/>
                <a:pt x="1041492" y="188406"/>
              </a:cubicBezTo>
              <a:cubicBezTo>
                <a:pt x="1173008" y="210325"/>
                <a:pt x="1123727" y="198771"/>
                <a:pt x="1278745" y="209340"/>
              </a:cubicBezTo>
              <a:cubicBezTo>
                <a:pt x="1619071" y="232544"/>
                <a:pt x="1260205" y="217296"/>
                <a:pt x="1662536" y="230274"/>
              </a:cubicBezTo>
              <a:cubicBezTo>
                <a:pt x="1727088" y="246412"/>
                <a:pt x="1649512" y="228537"/>
                <a:pt x="1767206" y="244230"/>
              </a:cubicBezTo>
              <a:cubicBezTo>
                <a:pt x="1776712" y="245497"/>
                <a:pt x="1785658" y="249631"/>
                <a:pt x="1795118" y="251208"/>
              </a:cubicBezTo>
              <a:cubicBezTo>
                <a:pt x="1890555" y="267114"/>
                <a:pt x="1931540" y="265576"/>
                <a:pt x="2032371" y="293076"/>
              </a:cubicBezTo>
              <a:cubicBezTo>
                <a:pt x="2063627" y="301600"/>
                <a:pt x="2091781" y="319619"/>
                <a:pt x="2123085" y="327967"/>
              </a:cubicBezTo>
              <a:cubicBezTo>
                <a:pt x="2161883" y="338313"/>
                <a:pt x="2202268" y="341388"/>
                <a:pt x="2241712" y="348901"/>
              </a:cubicBezTo>
              <a:cubicBezTo>
                <a:pt x="2251133" y="350695"/>
                <a:pt x="2260592" y="352653"/>
                <a:pt x="2269624" y="355879"/>
              </a:cubicBezTo>
              <a:cubicBezTo>
                <a:pt x="2315537" y="372276"/>
                <a:pt x="2375751" y="402225"/>
                <a:pt x="2423140" y="411703"/>
              </a:cubicBezTo>
              <a:cubicBezTo>
                <a:pt x="2480952" y="423265"/>
                <a:pt x="2446229" y="417501"/>
                <a:pt x="2527811" y="425659"/>
              </a:cubicBezTo>
              <a:cubicBezTo>
                <a:pt x="2566129" y="438432"/>
                <a:pt x="2556658" y="436982"/>
                <a:pt x="2618525" y="439615"/>
              </a:cubicBezTo>
              <a:cubicBezTo>
                <a:pt x="2704541" y="443275"/>
                <a:pt x="2790650" y="444267"/>
                <a:pt x="2876712" y="446593"/>
              </a:cubicBezTo>
              <a:cubicBezTo>
                <a:pt x="2939029" y="467365"/>
                <a:pt x="2943002" y="459914"/>
                <a:pt x="2988360" y="509395"/>
              </a:cubicBezTo>
              <a:cubicBezTo>
                <a:pt x="2999694" y="521759"/>
                <a:pt x="3006968" y="537307"/>
                <a:pt x="3016272" y="551263"/>
              </a:cubicBezTo>
              <a:cubicBezTo>
                <a:pt x="3013946" y="572197"/>
                <a:pt x="3012757" y="593289"/>
                <a:pt x="3009294" y="614065"/>
              </a:cubicBezTo>
              <a:cubicBezTo>
                <a:pt x="3008085" y="621321"/>
                <a:pt x="3005117" y="628198"/>
                <a:pt x="3002316" y="635000"/>
              </a:cubicBezTo>
              <a:cubicBezTo>
                <a:pt x="2988827" y="667760"/>
                <a:pt x="2977413" y="701589"/>
                <a:pt x="2960448" y="732692"/>
              </a:cubicBezTo>
              <a:cubicBezTo>
                <a:pt x="2949310" y="753112"/>
                <a:pt x="2939229" y="777809"/>
                <a:pt x="2918580" y="788516"/>
              </a:cubicBezTo>
              <a:cubicBezTo>
                <a:pt x="2873481" y="811900"/>
                <a:pt x="2821395" y="818346"/>
                <a:pt x="2772041" y="830384"/>
              </a:cubicBezTo>
              <a:cubicBezTo>
                <a:pt x="2644141" y="861579"/>
                <a:pt x="2649748" y="857063"/>
                <a:pt x="2534789" y="865274"/>
              </a:cubicBezTo>
              <a:cubicBezTo>
                <a:pt x="2419396" y="846042"/>
                <a:pt x="2585414" y="871970"/>
                <a:pt x="2332426" y="851318"/>
              </a:cubicBezTo>
              <a:cubicBezTo>
                <a:pt x="2271750" y="846365"/>
                <a:pt x="2211572" y="836442"/>
                <a:pt x="2150997" y="830384"/>
              </a:cubicBezTo>
              <a:cubicBezTo>
                <a:pt x="2118512" y="827136"/>
                <a:pt x="2085869" y="825732"/>
                <a:pt x="2053305" y="823406"/>
              </a:cubicBezTo>
              <a:cubicBezTo>
                <a:pt x="2044001" y="821080"/>
                <a:pt x="2034764" y="818465"/>
                <a:pt x="2025393" y="816428"/>
              </a:cubicBezTo>
              <a:cubicBezTo>
                <a:pt x="1981261" y="806834"/>
                <a:pt x="1935762" y="802475"/>
                <a:pt x="1892811" y="788516"/>
              </a:cubicBezTo>
              <a:cubicBezTo>
                <a:pt x="1842270" y="772090"/>
                <a:pt x="1795118" y="746648"/>
                <a:pt x="1746272" y="725714"/>
              </a:cubicBezTo>
              <a:cubicBezTo>
                <a:pt x="1738564" y="722410"/>
                <a:pt x="1733220" y="714624"/>
                <a:pt x="1725338" y="711758"/>
              </a:cubicBezTo>
              <a:cubicBezTo>
                <a:pt x="1681783" y="695920"/>
                <a:pt x="1637093" y="683384"/>
                <a:pt x="1592756" y="669890"/>
              </a:cubicBezTo>
              <a:cubicBezTo>
                <a:pt x="1576273" y="664873"/>
                <a:pt x="1502129" y="648976"/>
                <a:pt x="1502041" y="648956"/>
              </a:cubicBezTo>
              <a:cubicBezTo>
                <a:pt x="1492696" y="646800"/>
                <a:pt x="1483227" y="645011"/>
                <a:pt x="1474129" y="641978"/>
              </a:cubicBezTo>
              <a:cubicBezTo>
                <a:pt x="1462246" y="638017"/>
                <a:pt x="1450967" y="632420"/>
                <a:pt x="1439239" y="628022"/>
              </a:cubicBezTo>
              <a:cubicBezTo>
                <a:pt x="1432352" y="625439"/>
                <a:pt x="1425610" y="621903"/>
                <a:pt x="1418305" y="621044"/>
              </a:cubicBezTo>
              <a:cubicBezTo>
                <a:pt x="1385882" y="617229"/>
                <a:pt x="1353177" y="616391"/>
                <a:pt x="1320613" y="614065"/>
              </a:cubicBezTo>
              <a:cubicBezTo>
                <a:pt x="1313635" y="611739"/>
                <a:pt x="1306970" y="608059"/>
                <a:pt x="1299679" y="607087"/>
              </a:cubicBezTo>
              <a:cubicBezTo>
                <a:pt x="1176189" y="590622"/>
                <a:pt x="1042884" y="604229"/>
                <a:pt x="922866" y="607087"/>
              </a:cubicBezTo>
              <a:cubicBezTo>
                <a:pt x="904258" y="628021"/>
                <a:pt x="882984" y="646861"/>
                <a:pt x="867041" y="669890"/>
              </a:cubicBezTo>
              <a:cubicBezTo>
                <a:pt x="861582" y="677775"/>
                <a:pt x="863958" y="689038"/>
                <a:pt x="860063" y="697802"/>
              </a:cubicBezTo>
              <a:cubicBezTo>
                <a:pt x="854555" y="710196"/>
                <a:pt x="847267" y="721842"/>
                <a:pt x="839129" y="732692"/>
              </a:cubicBezTo>
              <a:cubicBezTo>
                <a:pt x="833208" y="740587"/>
                <a:pt x="818195" y="753626"/>
                <a:pt x="818195" y="753626"/>
              </a:cubicBezTo>
            </a:path>
          </a:pathLst>
        </a:custGeom>
        <a:solidFill>
          <a:srgbClr val="FFC00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75</xdr:col>
      <xdr:colOff>537292</xdr:colOff>
      <xdr:row>57</xdr:row>
      <xdr:rowOff>69780</xdr:rowOff>
    </xdr:from>
    <xdr:to>
      <xdr:col>81</xdr:col>
      <xdr:colOff>91291</xdr:colOff>
      <xdr:row>65</xdr:row>
      <xdr:rowOff>0</xdr:rowOff>
    </xdr:to>
    <xdr:sp macro="" textlink="">
      <xdr:nvSpPr>
        <xdr:cNvPr id="32" name="Freeform: Shape 31">
          <a:extLst>
            <a:ext uri="{FF2B5EF4-FFF2-40B4-BE49-F238E27FC236}">
              <a16:creationId xmlns:a16="http://schemas.microsoft.com/office/drawing/2014/main" id="{5CB182BD-21B3-4821-8536-68CFF0EE9976}"/>
            </a:ext>
          </a:extLst>
        </xdr:cNvPr>
        <xdr:cNvSpPr/>
      </xdr:nvSpPr>
      <xdr:spPr>
        <a:xfrm>
          <a:off x="31031248" y="10508901"/>
          <a:ext cx="3196527" cy="1381648"/>
        </a:xfrm>
        <a:custGeom>
          <a:avLst/>
          <a:gdLst>
            <a:gd name="connsiteX0" fmla="*/ 62818 w 3196527"/>
            <a:gd name="connsiteY0" fmla="*/ 1081594 h 1381648"/>
            <a:gd name="connsiteX1" fmla="*/ 6994 w 3196527"/>
            <a:gd name="connsiteY1" fmla="*/ 1318846 h 1381648"/>
            <a:gd name="connsiteX2" fmla="*/ 20950 w 3196527"/>
            <a:gd name="connsiteY2" fmla="*/ 1339780 h 1381648"/>
            <a:gd name="connsiteX3" fmla="*/ 97708 w 3196527"/>
            <a:gd name="connsiteY3" fmla="*/ 1381648 h 1381648"/>
            <a:gd name="connsiteX4" fmla="*/ 202378 w 3196527"/>
            <a:gd name="connsiteY4" fmla="*/ 1360714 h 1381648"/>
            <a:gd name="connsiteX5" fmla="*/ 237268 w 3196527"/>
            <a:gd name="connsiteY5" fmla="*/ 1346758 h 1381648"/>
            <a:gd name="connsiteX6" fmla="*/ 314027 w 3196527"/>
            <a:gd name="connsiteY6" fmla="*/ 1283956 h 1381648"/>
            <a:gd name="connsiteX7" fmla="*/ 362873 w 3196527"/>
            <a:gd name="connsiteY7" fmla="*/ 1242088 h 1381648"/>
            <a:gd name="connsiteX8" fmla="*/ 439631 w 3196527"/>
            <a:gd name="connsiteY8" fmla="*/ 1207198 h 1381648"/>
            <a:gd name="connsiteX9" fmla="*/ 481499 w 3196527"/>
            <a:gd name="connsiteY9" fmla="*/ 1165330 h 1381648"/>
            <a:gd name="connsiteX10" fmla="*/ 558257 w 3196527"/>
            <a:gd name="connsiteY10" fmla="*/ 1053681 h 1381648"/>
            <a:gd name="connsiteX11" fmla="*/ 662928 w 3196527"/>
            <a:gd name="connsiteY11" fmla="*/ 983901 h 1381648"/>
            <a:gd name="connsiteX12" fmla="*/ 718752 w 3196527"/>
            <a:gd name="connsiteY12" fmla="*/ 969945 h 1381648"/>
            <a:gd name="connsiteX13" fmla="*/ 788532 w 3196527"/>
            <a:gd name="connsiteY13" fmla="*/ 942033 h 1381648"/>
            <a:gd name="connsiteX14" fmla="*/ 809466 w 3196527"/>
            <a:gd name="connsiteY14" fmla="*/ 921099 h 1381648"/>
            <a:gd name="connsiteX15" fmla="*/ 858312 w 3196527"/>
            <a:gd name="connsiteY15" fmla="*/ 893187 h 1381648"/>
            <a:gd name="connsiteX16" fmla="*/ 1004851 w 3196527"/>
            <a:gd name="connsiteY16" fmla="*/ 851319 h 1381648"/>
            <a:gd name="connsiteX17" fmla="*/ 1095565 w 3196527"/>
            <a:gd name="connsiteY17" fmla="*/ 823407 h 1381648"/>
            <a:gd name="connsiteX18" fmla="*/ 1207214 w 3196527"/>
            <a:gd name="connsiteY18" fmla="*/ 788517 h 1381648"/>
            <a:gd name="connsiteX19" fmla="*/ 1276994 w 3196527"/>
            <a:gd name="connsiteY19" fmla="*/ 781539 h 1381648"/>
            <a:gd name="connsiteX20" fmla="*/ 1311884 w 3196527"/>
            <a:gd name="connsiteY20" fmla="*/ 774561 h 1381648"/>
            <a:gd name="connsiteX21" fmla="*/ 1395620 w 3196527"/>
            <a:gd name="connsiteY21" fmla="*/ 767583 h 1381648"/>
            <a:gd name="connsiteX22" fmla="*/ 1493312 w 3196527"/>
            <a:gd name="connsiteY22" fmla="*/ 746648 h 1381648"/>
            <a:gd name="connsiteX23" fmla="*/ 1514247 w 3196527"/>
            <a:gd name="connsiteY23" fmla="*/ 739670 h 1381648"/>
            <a:gd name="connsiteX24" fmla="*/ 1625895 w 3196527"/>
            <a:gd name="connsiteY24" fmla="*/ 732692 h 1381648"/>
            <a:gd name="connsiteX25" fmla="*/ 1646829 w 3196527"/>
            <a:gd name="connsiteY25" fmla="*/ 725714 h 1381648"/>
            <a:gd name="connsiteX26" fmla="*/ 1709631 w 3196527"/>
            <a:gd name="connsiteY26" fmla="*/ 711758 h 1381648"/>
            <a:gd name="connsiteX27" fmla="*/ 1744521 w 3196527"/>
            <a:gd name="connsiteY27" fmla="*/ 690824 h 1381648"/>
            <a:gd name="connsiteX28" fmla="*/ 1981774 w 3196527"/>
            <a:gd name="connsiteY28" fmla="*/ 607088 h 1381648"/>
            <a:gd name="connsiteX29" fmla="*/ 2016664 w 3196527"/>
            <a:gd name="connsiteY29" fmla="*/ 572198 h 1381648"/>
            <a:gd name="connsiteX30" fmla="*/ 2100400 w 3196527"/>
            <a:gd name="connsiteY30" fmla="*/ 530330 h 1381648"/>
            <a:gd name="connsiteX31" fmla="*/ 2191115 w 3196527"/>
            <a:gd name="connsiteY31" fmla="*/ 516374 h 1381648"/>
            <a:gd name="connsiteX32" fmla="*/ 2212049 w 3196527"/>
            <a:gd name="connsiteY32" fmla="*/ 509396 h 1381648"/>
            <a:gd name="connsiteX33" fmla="*/ 2260895 w 3196527"/>
            <a:gd name="connsiteY33" fmla="*/ 495440 h 1381648"/>
            <a:gd name="connsiteX34" fmla="*/ 2302763 w 3196527"/>
            <a:gd name="connsiteY34" fmla="*/ 474506 h 1381648"/>
            <a:gd name="connsiteX35" fmla="*/ 2379521 w 3196527"/>
            <a:gd name="connsiteY35" fmla="*/ 453572 h 1381648"/>
            <a:gd name="connsiteX36" fmla="*/ 2400455 w 3196527"/>
            <a:gd name="connsiteY36" fmla="*/ 446594 h 1381648"/>
            <a:gd name="connsiteX37" fmla="*/ 2567928 w 3196527"/>
            <a:gd name="connsiteY37" fmla="*/ 439615 h 1381648"/>
            <a:gd name="connsiteX38" fmla="*/ 2686554 w 3196527"/>
            <a:gd name="connsiteY38" fmla="*/ 383791 h 1381648"/>
            <a:gd name="connsiteX39" fmla="*/ 2707488 w 3196527"/>
            <a:gd name="connsiteY39" fmla="*/ 376813 h 1381648"/>
            <a:gd name="connsiteX40" fmla="*/ 2854027 w 3196527"/>
            <a:gd name="connsiteY40" fmla="*/ 348901 h 1381648"/>
            <a:gd name="connsiteX41" fmla="*/ 2895895 w 3196527"/>
            <a:gd name="connsiteY41" fmla="*/ 314011 h 1381648"/>
            <a:gd name="connsiteX42" fmla="*/ 2923807 w 3196527"/>
            <a:gd name="connsiteY42" fmla="*/ 272143 h 1381648"/>
            <a:gd name="connsiteX43" fmla="*/ 2979631 w 3196527"/>
            <a:gd name="connsiteY43" fmla="*/ 237253 h 1381648"/>
            <a:gd name="connsiteX44" fmla="*/ 3084301 w 3196527"/>
            <a:gd name="connsiteY44" fmla="*/ 202363 h 1381648"/>
            <a:gd name="connsiteX45" fmla="*/ 3133148 w 3196527"/>
            <a:gd name="connsiteY45" fmla="*/ 188407 h 1381648"/>
            <a:gd name="connsiteX46" fmla="*/ 3195950 w 3196527"/>
            <a:gd name="connsiteY46" fmla="*/ 118626 h 1381648"/>
            <a:gd name="connsiteX47" fmla="*/ 3181994 w 3196527"/>
            <a:gd name="connsiteY47" fmla="*/ 34890 h 1381648"/>
            <a:gd name="connsiteX48" fmla="*/ 3175016 w 3196527"/>
            <a:gd name="connsiteY48" fmla="*/ 13956 h 1381648"/>
            <a:gd name="connsiteX49" fmla="*/ 3126170 w 3196527"/>
            <a:gd name="connsiteY49" fmla="*/ 0 h 1381648"/>
            <a:gd name="connsiteX50" fmla="*/ 2958697 w 3196527"/>
            <a:gd name="connsiteY50" fmla="*/ 20934 h 1381648"/>
            <a:gd name="connsiteX51" fmla="*/ 2937763 w 3196527"/>
            <a:gd name="connsiteY51" fmla="*/ 27912 h 1381648"/>
            <a:gd name="connsiteX52" fmla="*/ 2777268 w 3196527"/>
            <a:gd name="connsiteY52" fmla="*/ 118626 h 1381648"/>
            <a:gd name="connsiteX53" fmla="*/ 2742378 w 3196527"/>
            <a:gd name="connsiteY53" fmla="*/ 125604 h 1381648"/>
            <a:gd name="connsiteX54" fmla="*/ 2616774 w 3196527"/>
            <a:gd name="connsiteY54" fmla="*/ 188407 h 1381648"/>
            <a:gd name="connsiteX55" fmla="*/ 2595840 w 3196527"/>
            <a:gd name="connsiteY55" fmla="*/ 216319 h 1381648"/>
            <a:gd name="connsiteX56" fmla="*/ 2526060 w 3196527"/>
            <a:gd name="connsiteY56" fmla="*/ 286099 h 1381648"/>
            <a:gd name="connsiteX57" fmla="*/ 2526060 w 3196527"/>
            <a:gd name="connsiteY57" fmla="*/ 286099 h 1381648"/>
            <a:gd name="connsiteX58" fmla="*/ 2253917 w 3196527"/>
            <a:gd name="connsiteY58" fmla="*/ 411703 h 1381648"/>
            <a:gd name="connsiteX59" fmla="*/ 2016664 w 3196527"/>
            <a:gd name="connsiteY59" fmla="*/ 446594 h 1381648"/>
            <a:gd name="connsiteX60" fmla="*/ 1946884 w 3196527"/>
            <a:gd name="connsiteY60" fmla="*/ 474506 h 1381648"/>
            <a:gd name="connsiteX61" fmla="*/ 1821279 w 3196527"/>
            <a:gd name="connsiteY61" fmla="*/ 495440 h 1381648"/>
            <a:gd name="connsiteX62" fmla="*/ 1786389 w 3196527"/>
            <a:gd name="connsiteY62" fmla="*/ 502418 h 1381648"/>
            <a:gd name="connsiteX63" fmla="*/ 1604961 w 3196527"/>
            <a:gd name="connsiteY63" fmla="*/ 579176 h 1381648"/>
            <a:gd name="connsiteX64" fmla="*/ 1570071 w 3196527"/>
            <a:gd name="connsiteY64" fmla="*/ 586154 h 1381648"/>
            <a:gd name="connsiteX65" fmla="*/ 1465400 w 3196527"/>
            <a:gd name="connsiteY65" fmla="*/ 621044 h 1381648"/>
            <a:gd name="connsiteX66" fmla="*/ 1444466 w 3196527"/>
            <a:gd name="connsiteY66" fmla="*/ 628022 h 1381648"/>
            <a:gd name="connsiteX67" fmla="*/ 1395620 w 3196527"/>
            <a:gd name="connsiteY67" fmla="*/ 648956 h 1381648"/>
            <a:gd name="connsiteX68" fmla="*/ 1228148 w 3196527"/>
            <a:gd name="connsiteY68" fmla="*/ 662912 h 1381648"/>
            <a:gd name="connsiteX69" fmla="*/ 1207214 w 3196527"/>
            <a:gd name="connsiteY69" fmla="*/ 669890 h 1381648"/>
            <a:gd name="connsiteX70" fmla="*/ 997873 w 3196527"/>
            <a:gd name="connsiteY70" fmla="*/ 669890 h 1381648"/>
            <a:gd name="connsiteX71" fmla="*/ 844356 w 3196527"/>
            <a:gd name="connsiteY71" fmla="*/ 683846 h 1381648"/>
            <a:gd name="connsiteX72" fmla="*/ 809466 w 3196527"/>
            <a:gd name="connsiteY72" fmla="*/ 690824 h 1381648"/>
            <a:gd name="connsiteX73" fmla="*/ 628038 w 3196527"/>
            <a:gd name="connsiteY73" fmla="*/ 697802 h 1381648"/>
            <a:gd name="connsiteX74" fmla="*/ 558257 w 3196527"/>
            <a:gd name="connsiteY74" fmla="*/ 732692 h 1381648"/>
            <a:gd name="connsiteX75" fmla="*/ 537323 w 3196527"/>
            <a:gd name="connsiteY75" fmla="*/ 746648 h 1381648"/>
            <a:gd name="connsiteX76" fmla="*/ 474521 w 3196527"/>
            <a:gd name="connsiteY76" fmla="*/ 809451 h 1381648"/>
            <a:gd name="connsiteX77" fmla="*/ 453587 w 3196527"/>
            <a:gd name="connsiteY77" fmla="*/ 830385 h 1381648"/>
            <a:gd name="connsiteX78" fmla="*/ 376829 w 3196527"/>
            <a:gd name="connsiteY78" fmla="*/ 872253 h 1381648"/>
            <a:gd name="connsiteX79" fmla="*/ 355895 w 3196527"/>
            <a:gd name="connsiteY79" fmla="*/ 879231 h 1381648"/>
            <a:gd name="connsiteX80" fmla="*/ 293093 w 3196527"/>
            <a:gd name="connsiteY80" fmla="*/ 914121 h 1381648"/>
            <a:gd name="connsiteX81" fmla="*/ 265181 w 3196527"/>
            <a:gd name="connsiteY81" fmla="*/ 935055 h 1381648"/>
            <a:gd name="connsiteX82" fmla="*/ 181444 w 3196527"/>
            <a:gd name="connsiteY82" fmla="*/ 983901 h 1381648"/>
            <a:gd name="connsiteX83" fmla="*/ 125620 w 3196527"/>
            <a:gd name="connsiteY83" fmla="*/ 1018791 h 1381648"/>
            <a:gd name="connsiteX84" fmla="*/ 69796 w 3196527"/>
            <a:gd name="connsiteY84" fmla="*/ 1081594 h 1381648"/>
            <a:gd name="connsiteX85" fmla="*/ 41884 w 3196527"/>
            <a:gd name="connsiteY85" fmla="*/ 1165330 h 138164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 ang="0">
              <a:pos x="connsiteX76" y="connsiteY76"/>
            </a:cxn>
            <a:cxn ang="0">
              <a:pos x="connsiteX77" y="connsiteY77"/>
            </a:cxn>
            <a:cxn ang="0">
              <a:pos x="connsiteX78" y="connsiteY78"/>
            </a:cxn>
            <a:cxn ang="0">
              <a:pos x="connsiteX79" y="connsiteY79"/>
            </a:cxn>
            <a:cxn ang="0">
              <a:pos x="connsiteX80" y="connsiteY80"/>
            </a:cxn>
            <a:cxn ang="0">
              <a:pos x="connsiteX81" y="connsiteY81"/>
            </a:cxn>
            <a:cxn ang="0">
              <a:pos x="connsiteX82" y="connsiteY82"/>
            </a:cxn>
            <a:cxn ang="0">
              <a:pos x="connsiteX83" y="connsiteY83"/>
            </a:cxn>
            <a:cxn ang="0">
              <a:pos x="connsiteX84" y="connsiteY84"/>
            </a:cxn>
            <a:cxn ang="0">
              <a:pos x="connsiteX85" y="connsiteY85"/>
            </a:cxn>
          </a:cxnLst>
          <a:rect l="l" t="t" r="r" b="b"/>
          <a:pathLst>
            <a:path w="3196527" h="1381648">
              <a:moveTo>
                <a:pt x="62818" y="1081594"/>
              </a:moveTo>
              <a:cubicBezTo>
                <a:pt x="32891" y="1171376"/>
                <a:pt x="-18806" y="1232846"/>
                <a:pt x="6994" y="1318846"/>
              </a:cubicBezTo>
              <a:cubicBezTo>
                <a:pt x="9404" y="1326879"/>
                <a:pt x="14401" y="1334541"/>
                <a:pt x="20950" y="1339780"/>
              </a:cubicBezTo>
              <a:cubicBezTo>
                <a:pt x="59738" y="1370811"/>
                <a:pt x="63758" y="1370331"/>
                <a:pt x="97708" y="1381648"/>
              </a:cubicBezTo>
              <a:cubicBezTo>
                <a:pt x="164504" y="1374226"/>
                <a:pt x="147950" y="1380506"/>
                <a:pt x="202378" y="1360714"/>
              </a:cubicBezTo>
              <a:cubicBezTo>
                <a:pt x="214150" y="1356433"/>
                <a:pt x="226946" y="1353854"/>
                <a:pt x="237268" y="1346758"/>
              </a:cubicBezTo>
              <a:cubicBezTo>
                <a:pt x="264510" y="1328029"/>
                <a:pt x="288630" y="1305120"/>
                <a:pt x="314027" y="1283956"/>
              </a:cubicBezTo>
              <a:cubicBezTo>
                <a:pt x="330501" y="1270228"/>
                <a:pt x="343351" y="1250962"/>
                <a:pt x="362873" y="1242088"/>
              </a:cubicBezTo>
              <a:lnTo>
                <a:pt x="439631" y="1207198"/>
              </a:lnTo>
              <a:cubicBezTo>
                <a:pt x="453587" y="1193242"/>
                <a:pt x="469791" y="1181219"/>
                <a:pt x="481499" y="1165330"/>
              </a:cubicBezTo>
              <a:cubicBezTo>
                <a:pt x="538077" y="1088545"/>
                <a:pt x="513445" y="1093513"/>
                <a:pt x="558257" y="1053681"/>
              </a:cubicBezTo>
              <a:cubicBezTo>
                <a:pt x="589237" y="1026144"/>
                <a:pt x="623136" y="998112"/>
                <a:pt x="662928" y="983901"/>
              </a:cubicBezTo>
              <a:cubicBezTo>
                <a:pt x="680991" y="977450"/>
                <a:pt x="700247" y="974992"/>
                <a:pt x="718752" y="969945"/>
              </a:cubicBezTo>
              <a:cubicBezTo>
                <a:pt x="741815" y="963655"/>
                <a:pt x="768271" y="950716"/>
                <a:pt x="788532" y="942033"/>
              </a:cubicBezTo>
              <a:cubicBezTo>
                <a:pt x="795510" y="935055"/>
                <a:pt x="801885" y="927417"/>
                <a:pt x="809466" y="921099"/>
              </a:cubicBezTo>
              <a:cubicBezTo>
                <a:pt x="820509" y="911897"/>
                <a:pt x="845903" y="897840"/>
                <a:pt x="858312" y="893187"/>
              </a:cubicBezTo>
              <a:cubicBezTo>
                <a:pt x="982000" y="846804"/>
                <a:pt x="899037" y="880177"/>
                <a:pt x="1004851" y="851319"/>
              </a:cubicBezTo>
              <a:cubicBezTo>
                <a:pt x="1035373" y="842995"/>
                <a:pt x="1066191" y="835157"/>
                <a:pt x="1095565" y="823407"/>
              </a:cubicBezTo>
              <a:cubicBezTo>
                <a:pt x="1138607" y="806190"/>
                <a:pt x="1153246" y="798797"/>
                <a:pt x="1207214" y="788517"/>
              </a:cubicBezTo>
              <a:cubicBezTo>
                <a:pt x="1230177" y="784143"/>
                <a:pt x="1253823" y="784628"/>
                <a:pt x="1276994" y="781539"/>
              </a:cubicBezTo>
              <a:cubicBezTo>
                <a:pt x="1288750" y="779971"/>
                <a:pt x="1300105" y="775947"/>
                <a:pt x="1311884" y="774561"/>
              </a:cubicBezTo>
              <a:cubicBezTo>
                <a:pt x="1339701" y="771288"/>
                <a:pt x="1367708" y="769909"/>
                <a:pt x="1395620" y="767583"/>
              </a:cubicBezTo>
              <a:cubicBezTo>
                <a:pt x="1445413" y="759283"/>
                <a:pt x="1438667" y="761551"/>
                <a:pt x="1493312" y="746648"/>
              </a:cubicBezTo>
              <a:cubicBezTo>
                <a:pt x="1500409" y="744713"/>
                <a:pt x="1506932" y="740440"/>
                <a:pt x="1514247" y="739670"/>
              </a:cubicBezTo>
              <a:cubicBezTo>
                <a:pt x="1551331" y="735766"/>
                <a:pt x="1588679" y="735018"/>
                <a:pt x="1625895" y="732692"/>
              </a:cubicBezTo>
              <a:cubicBezTo>
                <a:pt x="1632873" y="730366"/>
                <a:pt x="1639693" y="727498"/>
                <a:pt x="1646829" y="725714"/>
              </a:cubicBezTo>
              <a:cubicBezTo>
                <a:pt x="1667633" y="720513"/>
                <a:pt x="1689436" y="718971"/>
                <a:pt x="1709631" y="711758"/>
              </a:cubicBezTo>
              <a:cubicBezTo>
                <a:pt x="1722404" y="707196"/>
                <a:pt x="1731862" y="695693"/>
                <a:pt x="1744521" y="690824"/>
              </a:cubicBezTo>
              <a:cubicBezTo>
                <a:pt x="1822796" y="660718"/>
                <a:pt x="1981774" y="607088"/>
                <a:pt x="1981774" y="607088"/>
              </a:cubicBezTo>
              <a:cubicBezTo>
                <a:pt x="1993404" y="595458"/>
                <a:pt x="2003280" y="581758"/>
                <a:pt x="2016664" y="572198"/>
              </a:cubicBezTo>
              <a:cubicBezTo>
                <a:pt x="2025690" y="565751"/>
                <a:pt x="2075239" y="535048"/>
                <a:pt x="2100400" y="530330"/>
              </a:cubicBezTo>
              <a:cubicBezTo>
                <a:pt x="2130470" y="524692"/>
                <a:pt x="2160877" y="521026"/>
                <a:pt x="2191115" y="516374"/>
              </a:cubicBezTo>
              <a:cubicBezTo>
                <a:pt x="2198093" y="514048"/>
                <a:pt x="2205004" y="511510"/>
                <a:pt x="2212049" y="509396"/>
              </a:cubicBezTo>
              <a:cubicBezTo>
                <a:pt x="2228268" y="504530"/>
                <a:pt x="2245090" y="501519"/>
                <a:pt x="2260895" y="495440"/>
              </a:cubicBezTo>
              <a:cubicBezTo>
                <a:pt x="2275458" y="489839"/>
                <a:pt x="2288049" y="479699"/>
                <a:pt x="2302763" y="474506"/>
              </a:cubicBezTo>
              <a:cubicBezTo>
                <a:pt x="2327772" y="465679"/>
                <a:pt x="2354021" y="460858"/>
                <a:pt x="2379521" y="453572"/>
              </a:cubicBezTo>
              <a:cubicBezTo>
                <a:pt x="2386593" y="451551"/>
                <a:pt x="2393120" y="447137"/>
                <a:pt x="2400455" y="446594"/>
              </a:cubicBezTo>
              <a:cubicBezTo>
                <a:pt x="2456175" y="442466"/>
                <a:pt x="2512104" y="441941"/>
                <a:pt x="2567928" y="439615"/>
              </a:cubicBezTo>
              <a:cubicBezTo>
                <a:pt x="2623038" y="412060"/>
                <a:pt x="2634591" y="404576"/>
                <a:pt x="2686554" y="383791"/>
              </a:cubicBezTo>
              <a:cubicBezTo>
                <a:pt x="2693383" y="381059"/>
                <a:pt x="2700287" y="378313"/>
                <a:pt x="2707488" y="376813"/>
              </a:cubicBezTo>
              <a:cubicBezTo>
                <a:pt x="2756167" y="366672"/>
                <a:pt x="2854027" y="348901"/>
                <a:pt x="2854027" y="348901"/>
              </a:cubicBezTo>
              <a:cubicBezTo>
                <a:pt x="2867983" y="337271"/>
                <a:pt x="2883675" y="327453"/>
                <a:pt x="2895895" y="314011"/>
              </a:cubicBezTo>
              <a:cubicBezTo>
                <a:pt x="2907178" y="301600"/>
                <a:pt x="2911443" y="283477"/>
                <a:pt x="2923807" y="272143"/>
              </a:cubicBezTo>
              <a:cubicBezTo>
                <a:pt x="2939983" y="257315"/>
                <a:pt x="2959507" y="246002"/>
                <a:pt x="2979631" y="237253"/>
              </a:cubicBezTo>
              <a:cubicBezTo>
                <a:pt x="3013358" y="222589"/>
                <a:pt x="3049411" y="213993"/>
                <a:pt x="3084301" y="202363"/>
              </a:cubicBezTo>
              <a:cubicBezTo>
                <a:pt x="3114329" y="192354"/>
                <a:pt x="3098106" y="197167"/>
                <a:pt x="3133148" y="188407"/>
              </a:cubicBezTo>
              <a:cubicBezTo>
                <a:pt x="3137806" y="183749"/>
                <a:pt x="3194677" y="129447"/>
                <a:pt x="3195950" y="118626"/>
              </a:cubicBezTo>
              <a:cubicBezTo>
                <a:pt x="3199256" y="90523"/>
                <a:pt x="3187544" y="62638"/>
                <a:pt x="3181994" y="34890"/>
              </a:cubicBezTo>
              <a:cubicBezTo>
                <a:pt x="3180551" y="27677"/>
                <a:pt x="3181253" y="17854"/>
                <a:pt x="3175016" y="13956"/>
              </a:cubicBezTo>
              <a:cubicBezTo>
                <a:pt x="3160656" y="4981"/>
                <a:pt x="3142452" y="4652"/>
                <a:pt x="3126170" y="0"/>
              </a:cubicBezTo>
              <a:cubicBezTo>
                <a:pt x="3070346" y="6978"/>
                <a:pt x="3014348" y="12689"/>
                <a:pt x="2958697" y="20934"/>
              </a:cubicBezTo>
              <a:cubicBezTo>
                <a:pt x="2951421" y="22012"/>
                <a:pt x="2944193" y="24340"/>
                <a:pt x="2937763" y="27912"/>
              </a:cubicBezTo>
              <a:cubicBezTo>
                <a:pt x="2808743" y="99590"/>
                <a:pt x="3043891" y="-2565"/>
                <a:pt x="2777268" y="118626"/>
              </a:cubicBezTo>
              <a:cubicBezTo>
                <a:pt x="2766471" y="123534"/>
                <a:pt x="2754008" y="123278"/>
                <a:pt x="2742378" y="125604"/>
              </a:cubicBezTo>
              <a:cubicBezTo>
                <a:pt x="2700510" y="146538"/>
                <a:pt x="2656575" y="163768"/>
                <a:pt x="2616774" y="188407"/>
              </a:cubicBezTo>
              <a:cubicBezTo>
                <a:pt x="2606885" y="194529"/>
                <a:pt x="2603754" y="207797"/>
                <a:pt x="2595840" y="216319"/>
              </a:cubicBezTo>
              <a:cubicBezTo>
                <a:pt x="2573457" y="240424"/>
                <a:pt x="2549320" y="262839"/>
                <a:pt x="2526060" y="286099"/>
              </a:cubicBezTo>
              <a:lnTo>
                <a:pt x="2526060" y="286099"/>
              </a:lnTo>
              <a:cubicBezTo>
                <a:pt x="2435346" y="327967"/>
                <a:pt x="2353056" y="399311"/>
                <a:pt x="2253917" y="411703"/>
              </a:cubicBezTo>
              <a:cubicBezTo>
                <a:pt x="2100150" y="430924"/>
                <a:pt x="2179264" y="419493"/>
                <a:pt x="2016664" y="446594"/>
              </a:cubicBezTo>
              <a:cubicBezTo>
                <a:pt x="1993404" y="455898"/>
                <a:pt x="1970476" y="466080"/>
                <a:pt x="1946884" y="474506"/>
              </a:cubicBezTo>
              <a:cubicBezTo>
                <a:pt x="1916870" y="485225"/>
                <a:pt x="1826213" y="494661"/>
                <a:pt x="1821279" y="495440"/>
              </a:cubicBezTo>
              <a:cubicBezTo>
                <a:pt x="1809564" y="497290"/>
                <a:pt x="1798019" y="500092"/>
                <a:pt x="1786389" y="502418"/>
              </a:cubicBezTo>
              <a:cubicBezTo>
                <a:pt x="1722196" y="531596"/>
                <a:pt x="1673186" y="555297"/>
                <a:pt x="1604961" y="579176"/>
              </a:cubicBezTo>
              <a:cubicBezTo>
                <a:pt x="1593767" y="583094"/>
                <a:pt x="1581431" y="582746"/>
                <a:pt x="1570071" y="586154"/>
              </a:cubicBezTo>
              <a:cubicBezTo>
                <a:pt x="1534844" y="596722"/>
                <a:pt x="1500290" y="609414"/>
                <a:pt x="1465400" y="621044"/>
              </a:cubicBezTo>
              <a:cubicBezTo>
                <a:pt x="1458422" y="623370"/>
                <a:pt x="1451227" y="625125"/>
                <a:pt x="1444466" y="628022"/>
              </a:cubicBezTo>
              <a:cubicBezTo>
                <a:pt x="1428184" y="635000"/>
                <a:pt x="1413108" y="646135"/>
                <a:pt x="1395620" y="648956"/>
              </a:cubicBezTo>
              <a:cubicBezTo>
                <a:pt x="1340317" y="657876"/>
                <a:pt x="1283972" y="658260"/>
                <a:pt x="1228148" y="662912"/>
              </a:cubicBezTo>
              <a:cubicBezTo>
                <a:pt x="1221170" y="665238"/>
                <a:pt x="1214451" y="668574"/>
                <a:pt x="1207214" y="669890"/>
              </a:cubicBezTo>
              <a:cubicBezTo>
                <a:pt x="1127224" y="684434"/>
                <a:pt x="1097290" y="674409"/>
                <a:pt x="997873" y="669890"/>
              </a:cubicBezTo>
              <a:cubicBezTo>
                <a:pt x="923326" y="688527"/>
                <a:pt x="1005571" y="669827"/>
                <a:pt x="844356" y="683846"/>
              </a:cubicBezTo>
              <a:cubicBezTo>
                <a:pt x="832540" y="684873"/>
                <a:pt x="821302" y="690060"/>
                <a:pt x="809466" y="690824"/>
              </a:cubicBezTo>
              <a:cubicBezTo>
                <a:pt x="749071" y="694720"/>
                <a:pt x="688514" y="695476"/>
                <a:pt x="628038" y="697802"/>
              </a:cubicBezTo>
              <a:cubicBezTo>
                <a:pt x="591635" y="709936"/>
                <a:pt x="607572" y="703104"/>
                <a:pt x="558257" y="732692"/>
              </a:cubicBezTo>
              <a:cubicBezTo>
                <a:pt x="551066" y="737007"/>
                <a:pt x="543505" y="740981"/>
                <a:pt x="537323" y="746648"/>
              </a:cubicBezTo>
              <a:cubicBezTo>
                <a:pt x="515499" y="766653"/>
                <a:pt x="495455" y="788517"/>
                <a:pt x="474521" y="809451"/>
              </a:cubicBezTo>
              <a:cubicBezTo>
                <a:pt x="467543" y="816429"/>
                <a:pt x="462250" y="825660"/>
                <a:pt x="453587" y="830385"/>
              </a:cubicBezTo>
              <a:cubicBezTo>
                <a:pt x="428001" y="844341"/>
                <a:pt x="402897" y="859219"/>
                <a:pt x="376829" y="872253"/>
              </a:cubicBezTo>
              <a:cubicBezTo>
                <a:pt x="370250" y="875542"/>
                <a:pt x="362474" y="875942"/>
                <a:pt x="355895" y="879231"/>
              </a:cubicBezTo>
              <a:cubicBezTo>
                <a:pt x="334476" y="889941"/>
                <a:pt x="313488" y="901570"/>
                <a:pt x="293093" y="914121"/>
              </a:cubicBezTo>
              <a:cubicBezTo>
                <a:pt x="283188" y="920216"/>
                <a:pt x="275043" y="928891"/>
                <a:pt x="265181" y="935055"/>
              </a:cubicBezTo>
              <a:cubicBezTo>
                <a:pt x="237779" y="952181"/>
                <a:pt x="209153" y="967276"/>
                <a:pt x="181444" y="983901"/>
              </a:cubicBezTo>
              <a:cubicBezTo>
                <a:pt x="162628" y="995191"/>
                <a:pt x="140198" y="1002390"/>
                <a:pt x="125620" y="1018791"/>
              </a:cubicBezTo>
              <a:lnTo>
                <a:pt x="69796" y="1081594"/>
              </a:lnTo>
              <a:lnTo>
                <a:pt x="41884" y="1165330"/>
              </a:lnTo>
            </a:path>
          </a:pathLst>
        </a:custGeom>
        <a:solidFill>
          <a:srgbClr val="C0000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75</xdr:col>
      <xdr:colOff>209341</xdr:colOff>
      <xdr:row>59</xdr:row>
      <xdr:rowOff>20934</xdr:rowOff>
    </xdr:from>
    <xdr:to>
      <xdr:col>80</xdr:col>
      <xdr:colOff>483825</xdr:colOff>
      <xdr:row>65</xdr:row>
      <xdr:rowOff>139561</xdr:rowOff>
    </xdr:to>
    <xdr:sp macro="" textlink="">
      <xdr:nvSpPr>
        <xdr:cNvPr id="35" name="Freeform: Shape 34">
          <a:extLst>
            <a:ext uri="{FF2B5EF4-FFF2-40B4-BE49-F238E27FC236}">
              <a16:creationId xmlns:a16="http://schemas.microsoft.com/office/drawing/2014/main" id="{A7F596BE-914A-4903-8FCA-08E140AA6E4E}"/>
            </a:ext>
          </a:extLst>
        </xdr:cNvPr>
        <xdr:cNvSpPr/>
      </xdr:nvSpPr>
      <xdr:spPr>
        <a:xfrm>
          <a:off x="30703297" y="10822912"/>
          <a:ext cx="3309924" cy="1207198"/>
        </a:xfrm>
        <a:custGeom>
          <a:avLst/>
          <a:gdLst>
            <a:gd name="connsiteX0" fmla="*/ 1123461 w 3309924"/>
            <a:gd name="connsiteY0" fmla="*/ 1200220 h 1207198"/>
            <a:gd name="connsiteX1" fmla="*/ 928077 w 3309924"/>
            <a:gd name="connsiteY1" fmla="*/ 1144396 h 1207198"/>
            <a:gd name="connsiteX2" fmla="*/ 886208 w 3309924"/>
            <a:gd name="connsiteY2" fmla="*/ 1116484 h 1207198"/>
            <a:gd name="connsiteX3" fmla="*/ 781538 w 3309924"/>
            <a:gd name="connsiteY3" fmla="*/ 1088572 h 1207198"/>
            <a:gd name="connsiteX4" fmla="*/ 655934 w 3309924"/>
            <a:gd name="connsiteY4" fmla="*/ 1067637 h 1207198"/>
            <a:gd name="connsiteX5" fmla="*/ 586154 w 3309924"/>
            <a:gd name="connsiteY5" fmla="*/ 1053681 h 1207198"/>
            <a:gd name="connsiteX6" fmla="*/ 558241 w 3309924"/>
            <a:gd name="connsiteY6" fmla="*/ 1032747 h 1207198"/>
            <a:gd name="connsiteX7" fmla="*/ 404725 w 3309924"/>
            <a:gd name="connsiteY7" fmla="*/ 983901 h 1207198"/>
            <a:gd name="connsiteX8" fmla="*/ 376813 w 3309924"/>
            <a:gd name="connsiteY8" fmla="*/ 969945 h 1207198"/>
            <a:gd name="connsiteX9" fmla="*/ 334945 w 3309924"/>
            <a:gd name="connsiteY9" fmla="*/ 955989 h 1207198"/>
            <a:gd name="connsiteX10" fmla="*/ 230274 w 3309924"/>
            <a:gd name="connsiteY10" fmla="*/ 851319 h 1207198"/>
            <a:gd name="connsiteX11" fmla="*/ 146538 w 3309924"/>
            <a:gd name="connsiteY11" fmla="*/ 795495 h 1207198"/>
            <a:gd name="connsiteX12" fmla="*/ 125604 w 3309924"/>
            <a:gd name="connsiteY12" fmla="*/ 788517 h 1207198"/>
            <a:gd name="connsiteX13" fmla="*/ 76758 w 3309924"/>
            <a:gd name="connsiteY13" fmla="*/ 767583 h 1207198"/>
            <a:gd name="connsiteX14" fmla="*/ 62802 w 3309924"/>
            <a:gd name="connsiteY14" fmla="*/ 753626 h 1207198"/>
            <a:gd name="connsiteX15" fmla="*/ 13956 w 3309924"/>
            <a:gd name="connsiteY15" fmla="*/ 711758 h 1207198"/>
            <a:gd name="connsiteX16" fmla="*/ 0 w 3309924"/>
            <a:gd name="connsiteY16" fmla="*/ 655934 h 1207198"/>
            <a:gd name="connsiteX17" fmla="*/ 20934 w 3309924"/>
            <a:gd name="connsiteY17" fmla="*/ 551264 h 1207198"/>
            <a:gd name="connsiteX18" fmla="*/ 90714 w 3309924"/>
            <a:gd name="connsiteY18" fmla="*/ 530330 h 1207198"/>
            <a:gd name="connsiteX19" fmla="*/ 293077 w 3309924"/>
            <a:gd name="connsiteY19" fmla="*/ 544286 h 1207198"/>
            <a:gd name="connsiteX20" fmla="*/ 628022 w 3309924"/>
            <a:gd name="connsiteY20" fmla="*/ 537308 h 1207198"/>
            <a:gd name="connsiteX21" fmla="*/ 725714 w 3309924"/>
            <a:gd name="connsiteY21" fmla="*/ 516374 h 1207198"/>
            <a:gd name="connsiteX22" fmla="*/ 767582 w 3309924"/>
            <a:gd name="connsiteY22" fmla="*/ 509396 h 1207198"/>
            <a:gd name="connsiteX23" fmla="*/ 858296 w 3309924"/>
            <a:gd name="connsiteY23" fmla="*/ 481484 h 1207198"/>
            <a:gd name="connsiteX24" fmla="*/ 976923 w 3309924"/>
            <a:gd name="connsiteY24" fmla="*/ 460550 h 1207198"/>
            <a:gd name="connsiteX25" fmla="*/ 1367692 w 3309924"/>
            <a:gd name="connsiteY25" fmla="*/ 418681 h 1207198"/>
            <a:gd name="connsiteX26" fmla="*/ 1388626 w 3309924"/>
            <a:gd name="connsiteY26" fmla="*/ 411703 h 1207198"/>
            <a:gd name="connsiteX27" fmla="*/ 1556099 w 3309924"/>
            <a:gd name="connsiteY27" fmla="*/ 397747 h 1207198"/>
            <a:gd name="connsiteX28" fmla="*/ 1716593 w 3309924"/>
            <a:gd name="connsiteY28" fmla="*/ 383791 h 1207198"/>
            <a:gd name="connsiteX29" fmla="*/ 1744505 w 3309924"/>
            <a:gd name="connsiteY29" fmla="*/ 376813 h 1207198"/>
            <a:gd name="connsiteX30" fmla="*/ 1779395 w 3309924"/>
            <a:gd name="connsiteY30" fmla="*/ 369835 h 1207198"/>
            <a:gd name="connsiteX31" fmla="*/ 1800329 w 3309924"/>
            <a:gd name="connsiteY31" fmla="*/ 362857 h 1207198"/>
            <a:gd name="connsiteX32" fmla="*/ 1960824 w 3309924"/>
            <a:gd name="connsiteY32" fmla="*/ 327967 h 1207198"/>
            <a:gd name="connsiteX33" fmla="*/ 2051538 w 3309924"/>
            <a:gd name="connsiteY33" fmla="*/ 279121 h 1207198"/>
            <a:gd name="connsiteX34" fmla="*/ 2072472 w 3309924"/>
            <a:gd name="connsiteY34" fmla="*/ 258187 h 1207198"/>
            <a:gd name="connsiteX35" fmla="*/ 2163187 w 3309924"/>
            <a:gd name="connsiteY35" fmla="*/ 216319 h 1207198"/>
            <a:gd name="connsiteX36" fmla="*/ 2267857 w 3309924"/>
            <a:gd name="connsiteY36" fmla="*/ 202363 h 1207198"/>
            <a:gd name="connsiteX37" fmla="*/ 2449285 w 3309924"/>
            <a:gd name="connsiteY37" fmla="*/ 146539 h 1207198"/>
            <a:gd name="connsiteX38" fmla="*/ 2484176 w 3309924"/>
            <a:gd name="connsiteY38" fmla="*/ 139561 h 1207198"/>
            <a:gd name="connsiteX39" fmla="*/ 2623736 w 3309924"/>
            <a:gd name="connsiteY39" fmla="*/ 125604 h 1207198"/>
            <a:gd name="connsiteX40" fmla="*/ 2700494 w 3309924"/>
            <a:gd name="connsiteY40" fmla="*/ 104670 h 1207198"/>
            <a:gd name="connsiteX41" fmla="*/ 2867967 w 3309924"/>
            <a:gd name="connsiteY41" fmla="*/ 83736 h 1207198"/>
            <a:gd name="connsiteX42" fmla="*/ 2944725 w 3309924"/>
            <a:gd name="connsiteY42" fmla="*/ 69780 h 1207198"/>
            <a:gd name="connsiteX43" fmla="*/ 2986593 w 3309924"/>
            <a:gd name="connsiteY43" fmla="*/ 55824 h 1207198"/>
            <a:gd name="connsiteX44" fmla="*/ 3140110 w 3309924"/>
            <a:gd name="connsiteY44" fmla="*/ 27912 h 1207198"/>
            <a:gd name="connsiteX45" fmla="*/ 3161044 w 3309924"/>
            <a:gd name="connsiteY45" fmla="*/ 20934 h 1207198"/>
            <a:gd name="connsiteX46" fmla="*/ 3202912 w 3309924"/>
            <a:gd name="connsiteY46" fmla="*/ 0 h 1207198"/>
            <a:gd name="connsiteX47" fmla="*/ 3237802 w 3309924"/>
            <a:gd name="connsiteY47" fmla="*/ 6978 h 1207198"/>
            <a:gd name="connsiteX48" fmla="*/ 3286648 w 3309924"/>
            <a:gd name="connsiteY48" fmla="*/ 41868 h 1207198"/>
            <a:gd name="connsiteX49" fmla="*/ 3307582 w 3309924"/>
            <a:gd name="connsiteY49" fmla="*/ 76758 h 1207198"/>
            <a:gd name="connsiteX50" fmla="*/ 3286648 w 3309924"/>
            <a:gd name="connsiteY50" fmla="*/ 132583 h 1207198"/>
            <a:gd name="connsiteX51" fmla="*/ 3272692 w 3309924"/>
            <a:gd name="connsiteY51" fmla="*/ 153517 h 1207198"/>
            <a:gd name="connsiteX52" fmla="*/ 3175000 w 3309924"/>
            <a:gd name="connsiteY52" fmla="*/ 272143 h 1207198"/>
            <a:gd name="connsiteX53" fmla="*/ 3154066 w 3309924"/>
            <a:gd name="connsiteY53" fmla="*/ 293077 h 1207198"/>
            <a:gd name="connsiteX54" fmla="*/ 3049395 w 3309924"/>
            <a:gd name="connsiteY54" fmla="*/ 334945 h 1207198"/>
            <a:gd name="connsiteX55" fmla="*/ 2965659 w 3309924"/>
            <a:gd name="connsiteY55" fmla="*/ 355879 h 1207198"/>
            <a:gd name="connsiteX56" fmla="*/ 2944725 w 3309924"/>
            <a:gd name="connsiteY56" fmla="*/ 369835 h 1207198"/>
            <a:gd name="connsiteX57" fmla="*/ 2840055 w 3309924"/>
            <a:gd name="connsiteY57" fmla="*/ 404725 h 1207198"/>
            <a:gd name="connsiteX58" fmla="*/ 2693516 w 3309924"/>
            <a:gd name="connsiteY58" fmla="*/ 418681 h 1207198"/>
            <a:gd name="connsiteX59" fmla="*/ 2672582 w 3309924"/>
            <a:gd name="connsiteY59" fmla="*/ 425659 h 1207198"/>
            <a:gd name="connsiteX60" fmla="*/ 2616758 w 3309924"/>
            <a:gd name="connsiteY60" fmla="*/ 439615 h 1207198"/>
            <a:gd name="connsiteX61" fmla="*/ 2470219 w 3309924"/>
            <a:gd name="connsiteY61" fmla="*/ 495440 h 1207198"/>
            <a:gd name="connsiteX62" fmla="*/ 2442307 w 3309924"/>
            <a:gd name="connsiteY62" fmla="*/ 509396 h 1207198"/>
            <a:gd name="connsiteX63" fmla="*/ 2337637 w 3309924"/>
            <a:gd name="connsiteY63" fmla="*/ 593132 h 1207198"/>
            <a:gd name="connsiteX64" fmla="*/ 2323681 w 3309924"/>
            <a:gd name="connsiteY64" fmla="*/ 614066 h 1207198"/>
            <a:gd name="connsiteX65" fmla="*/ 2219011 w 3309924"/>
            <a:gd name="connsiteY65" fmla="*/ 669890 h 1207198"/>
            <a:gd name="connsiteX66" fmla="*/ 2219011 w 3309924"/>
            <a:gd name="connsiteY66" fmla="*/ 669890 h 1207198"/>
            <a:gd name="connsiteX67" fmla="*/ 2100384 w 3309924"/>
            <a:gd name="connsiteY67" fmla="*/ 704780 h 1207198"/>
            <a:gd name="connsiteX68" fmla="*/ 2079450 w 3309924"/>
            <a:gd name="connsiteY68" fmla="*/ 711758 h 1207198"/>
            <a:gd name="connsiteX69" fmla="*/ 1995714 w 3309924"/>
            <a:gd name="connsiteY69" fmla="*/ 753626 h 1207198"/>
            <a:gd name="connsiteX70" fmla="*/ 1974780 w 3309924"/>
            <a:gd name="connsiteY70" fmla="*/ 760604 h 1207198"/>
            <a:gd name="connsiteX71" fmla="*/ 1849176 w 3309924"/>
            <a:gd name="connsiteY71" fmla="*/ 795495 h 1207198"/>
            <a:gd name="connsiteX72" fmla="*/ 1786373 w 3309924"/>
            <a:gd name="connsiteY72" fmla="*/ 837363 h 1207198"/>
            <a:gd name="connsiteX73" fmla="*/ 1730549 w 3309924"/>
            <a:gd name="connsiteY73" fmla="*/ 900165 h 1207198"/>
            <a:gd name="connsiteX74" fmla="*/ 1653791 w 3309924"/>
            <a:gd name="connsiteY74" fmla="*/ 949011 h 1207198"/>
            <a:gd name="connsiteX75" fmla="*/ 1632857 w 3309924"/>
            <a:gd name="connsiteY75" fmla="*/ 955989 h 1207198"/>
            <a:gd name="connsiteX76" fmla="*/ 1542143 w 3309924"/>
            <a:gd name="connsiteY76" fmla="*/ 990879 h 1207198"/>
            <a:gd name="connsiteX77" fmla="*/ 1493296 w 3309924"/>
            <a:gd name="connsiteY77" fmla="*/ 1011813 h 1207198"/>
            <a:gd name="connsiteX78" fmla="*/ 1423516 w 3309924"/>
            <a:gd name="connsiteY78" fmla="*/ 1074615 h 1207198"/>
            <a:gd name="connsiteX79" fmla="*/ 1360714 w 3309924"/>
            <a:gd name="connsiteY79" fmla="*/ 1123462 h 1207198"/>
            <a:gd name="connsiteX80" fmla="*/ 1304890 w 3309924"/>
            <a:gd name="connsiteY80" fmla="*/ 1165330 h 1207198"/>
            <a:gd name="connsiteX81" fmla="*/ 1256044 w 3309924"/>
            <a:gd name="connsiteY81" fmla="*/ 1186264 h 1207198"/>
            <a:gd name="connsiteX82" fmla="*/ 1228132 w 3309924"/>
            <a:gd name="connsiteY82" fmla="*/ 1193242 h 1207198"/>
            <a:gd name="connsiteX83" fmla="*/ 1137417 w 3309924"/>
            <a:gd name="connsiteY83" fmla="*/ 1207198 h 1207198"/>
            <a:gd name="connsiteX84" fmla="*/ 1081593 w 3309924"/>
            <a:gd name="connsiteY84" fmla="*/ 1172308 h 1207198"/>
            <a:gd name="connsiteX85" fmla="*/ 1025769 w 3309924"/>
            <a:gd name="connsiteY85" fmla="*/ 1130440 h 120719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 ang="0">
              <a:pos x="connsiteX76" y="connsiteY76"/>
            </a:cxn>
            <a:cxn ang="0">
              <a:pos x="connsiteX77" y="connsiteY77"/>
            </a:cxn>
            <a:cxn ang="0">
              <a:pos x="connsiteX78" y="connsiteY78"/>
            </a:cxn>
            <a:cxn ang="0">
              <a:pos x="connsiteX79" y="connsiteY79"/>
            </a:cxn>
            <a:cxn ang="0">
              <a:pos x="connsiteX80" y="connsiteY80"/>
            </a:cxn>
            <a:cxn ang="0">
              <a:pos x="connsiteX81" y="connsiteY81"/>
            </a:cxn>
            <a:cxn ang="0">
              <a:pos x="connsiteX82" y="connsiteY82"/>
            </a:cxn>
            <a:cxn ang="0">
              <a:pos x="connsiteX83" y="connsiteY83"/>
            </a:cxn>
            <a:cxn ang="0">
              <a:pos x="connsiteX84" y="connsiteY84"/>
            </a:cxn>
            <a:cxn ang="0">
              <a:pos x="connsiteX85" y="connsiteY85"/>
            </a:cxn>
          </a:cxnLst>
          <a:rect l="l" t="t" r="r" b="b"/>
          <a:pathLst>
            <a:path w="3309924" h="1207198">
              <a:moveTo>
                <a:pt x="1123461" y="1200220"/>
              </a:moveTo>
              <a:cubicBezTo>
                <a:pt x="1058333" y="1181612"/>
                <a:pt x="991950" y="1166939"/>
                <a:pt x="928077" y="1144396"/>
              </a:cubicBezTo>
              <a:cubicBezTo>
                <a:pt x="912260" y="1138814"/>
                <a:pt x="902336" y="1121092"/>
                <a:pt x="886208" y="1116484"/>
              </a:cubicBezTo>
              <a:cubicBezTo>
                <a:pt x="858316" y="1108515"/>
                <a:pt x="809165" y="1093885"/>
                <a:pt x="781538" y="1088572"/>
              </a:cubicBezTo>
              <a:cubicBezTo>
                <a:pt x="739856" y="1080556"/>
                <a:pt x="697719" y="1075099"/>
                <a:pt x="655934" y="1067637"/>
              </a:cubicBezTo>
              <a:cubicBezTo>
                <a:pt x="632583" y="1063467"/>
                <a:pt x="609414" y="1058333"/>
                <a:pt x="586154" y="1053681"/>
              </a:cubicBezTo>
              <a:cubicBezTo>
                <a:pt x="576850" y="1046703"/>
                <a:pt x="568451" y="1038316"/>
                <a:pt x="558241" y="1032747"/>
              </a:cubicBezTo>
              <a:cubicBezTo>
                <a:pt x="505175" y="1003802"/>
                <a:pt x="467458" y="1003712"/>
                <a:pt x="404725" y="983901"/>
              </a:cubicBezTo>
              <a:cubicBezTo>
                <a:pt x="394806" y="980769"/>
                <a:pt x="386471" y="973808"/>
                <a:pt x="376813" y="969945"/>
              </a:cubicBezTo>
              <a:cubicBezTo>
                <a:pt x="363154" y="964482"/>
                <a:pt x="348901" y="960641"/>
                <a:pt x="334945" y="955989"/>
              </a:cubicBezTo>
              <a:cubicBezTo>
                <a:pt x="175366" y="842004"/>
                <a:pt x="427363" y="1028698"/>
                <a:pt x="230274" y="851319"/>
              </a:cubicBezTo>
              <a:cubicBezTo>
                <a:pt x="205339" y="828878"/>
                <a:pt x="175303" y="812754"/>
                <a:pt x="146538" y="795495"/>
              </a:cubicBezTo>
              <a:cubicBezTo>
                <a:pt x="140231" y="791711"/>
                <a:pt x="132433" y="791249"/>
                <a:pt x="125604" y="788517"/>
              </a:cubicBezTo>
              <a:cubicBezTo>
                <a:pt x="109157" y="781938"/>
                <a:pt x="93040" y="774561"/>
                <a:pt x="76758" y="767583"/>
              </a:cubicBezTo>
              <a:cubicBezTo>
                <a:pt x="72106" y="762931"/>
                <a:pt x="67719" y="757997"/>
                <a:pt x="62802" y="753626"/>
              </a:cubicBezTo>
              <a:cubicBezTo>
                <a:pt x="46774" y="739379"/>
                <a:pt x="25552" y="729797"/>
                <a:pt x="13956" y="711758"/>
              </a:cubicBezTo>
              <a:cubicBezTo>
                <a:pt x="3584" y="695624"/>
                <a:pt x="4652" y="674542"/>
                <a:pt x="0" y="655934"/>
              </a:cubicBezTo>
              <a:cubicBezTo>
                <a:pt x="6978" y="621044"/>
                <a:pt x="102" y="580109"/>
                <a:pt x="20934" y="551264"/>
              </a:cubicBezTo>
              <a:cubicBezTo>
                <a:pt x="35152" y="531577"/>
                <a:pt x="66438" y="530952"/>
                <a:pt x="90714" y="530330"/>
              </a:cubicBezTo>
              <a:cubicBezTo>
                <a:pt x="158306" y="528597"/>
                <a:pt x="225623" y="539634"/>
                <a:pt x="293077" y="544286"/>
              </a:cubicBezTo>
              <a:cubicBezTo>
                <a:pt x="404725" y="541960"/>
                <a:pt x="516581" y="544498"/>
                <a:pt x="628022" y="537308"/>
              </a:cubicBezTo>
              <a:cubicBezTo>
                <a:pt x="661256" y="535164"/>
                <a:pt x="693057" y="522905"/>
                <a:pt x="725714" y="516374"/>
              </a:cubicBezTo>
              <a:cubicBezTo>
                <a:pt x="739588" y="513599"/>
                <a:pt x="753899" y="512997"/>
                <a:pt x="767582" y="509396"/>
              </a:cubicBezTo>
              <a:cubicBezTo>
                <a:pt x="798177" y="501345"/>
                <a:pt x="827487" y="488673"/>
                <a:pt x="858296" y="481484"/>
              </a:cubicBezTo>
              <a:cubicBezTo>
                <a:pt x="897399" y="472360"/>
                <a:pt x="937173" y="466229"/>
                <a:pt x="976923" y="460550"/>
              </a:cubicBezTo>
              <a:cubicBezTo>
                <a:pt x="1172153" y="432659"/>
                <a:pt x="1187937" y="433661"/>
                <a:pt x="1367692" y="418681"/>
              </a:cubicBezTo>
              <a:cubicBezTo>
                <a:pt x="1374670" y="416355"/>
                <a:pt x="1381413" y="413146"/>
                <a:pt x="1388626" y="411703"/>
              </a:cubicBezTo>
              <a:cubicBezTo>
                <a:pt x="1441042" y="401220"/>
                <a:pt x="1506893" y="400641"/>
                <a:pt x="1556099" y="397747"/>
              </a:cubicBezTo>
              <a:cubicBezTo>
                <a:pt x="1644706" y="380026"/>
                <a:pt x="1534604" y="400335"/>
                <a:pt x="1716593" y="383791"/>
              </a:cubicBezTo>
              <a:cubicBezTo>
                <a:pt x="1726144" y="382923"/>
                <a:pt x="1735143" y="378893"/>
                <a:pt x="1744505" y="376813"/>
              </a:cubicBezTo>
              <a:cubicBezTo>
                <a:pt x="1756083" y="374240"/>
                <a:pt x="1767889" y="372712"/>
                <a:pt x="1779395" y="369835"/>
              </a:cubicBezTo>
              <a:cubicBezTo>
                <a:pt x="1786531" y="368051"/>
                <a:pt x="1793162" y="364511"/>
                <a:pt x="1800329" y="362857"/>
              </a:cubicBezTo>
              <a:cubicBezTo>
                <a:pt x="1853675" y="350546"/>
                <a:pt x="1907326" y="339597"/>
                <a:pt x="1960824" y="327967"/>
              </a:cubicBezTo>
              <a:cubicBezTo>
                <a:pt x="1991062" y="311685"/>
                <a:pt x="2022415" y="297323"/>
                <a:pt x="2051538" y="279121"/>
              </a:cubicBezTo>
              <a:cubicBezTo>
                <a:pt x="2059906" y="273891"/>
                <a:pt x="2063871" y="263025"/>
                <a:pt x="2072472" y="258187"/>
              </a:cubicBezTo>
              <a:cubicBezTo>
                <a:pt x="2101499" y="241860"/>
                <a:pt x="2132392" y="228999"/>
                <a:pt x="2163187" y="216319"/>
              </a:cubicBezTo>
              <a:cubicBezTo>
                <a:pt x="2189385" y="205532"/>
                <a:pt x="2252909" y="203722"/>
                <a:pt x="2267857" y="202363"/>
              </a:cubicBezTo>
              <a:cubicBezTo>
                <a:pt x="2375630" y="163873"/>
                <a:pt x="2346159" y="170804"/>
                <a:pt x="2449285" y="146539"/>
              </a:cubicBezTo>
              <a:cubicBezTo>
                <a:pt x="2460830" y="143822"/>
                <a:pt x="2472400" y="140974"/>
                <a:pt x="2484176" y="139561"/>
              </a:cubicBezTo>
              <a:cubicBezTo>
                <a:pt x="2530595" y="133990"/>
                <a:pt x="2577216" y="130256"/>
                <a:pt x="2623736" y="125604"/>
              </a:cubicBezTo>
              <a:cubicBezTo>
                <a:pt x="2651343" y="116402"/>
                <a:pt x="2667583" y="110394"/>
                <a:pt x="2700494" y="104670"/>
              </a:cubicBezTo>
              <a:cubicBezTo>
                <a:pt x="2789981" y="89107"/>
                <a:pt x="2791760" y="93897"/>
                <a:pt x="2867967" y="83736"/>
              </a:cubicBezTo>
              <a:cubicBezTo>
                <a:pt x="2878374" y="82348"/>
                <a:pt x="2932141" y="73212"/>
                <a:pt x="2944725" y="69780"/>
              </a:cubicBezTo>
              <a:cubicBezTo>
                <a:pt x="2958918" y="65909"/>
                <a:pt x="2972379" y="59614"/>
                <a:pt x="2986593" y="55824"/>
              </a:cubicBezTo>
              <a:cubicBezTo>
                <a:pt x="3042756" y="40847"/>
                <a:pt x="3080279" y="37117"/>
                <a:pt x="3140110" y="27912"/>
              </a:cubicBezTo>
              <a:cubicBezTo>
                <a:pt x="3147088" y="25586"/>
                <a:pt x="3154465" y="24223"/>
                <a:pt x="3161044" y="20934"/>
              </a:cubicBezTo>
              <a:cubicBezTo>
                <a:pt x="3215152" y="-6120"/>
                <a:pt x="3150294" y="17539"/>
                <a:pt x="3202912" y="0"/>
              </a:cubicBezTo>
              <a:cubicBezTo>
                <a:pt x="3214542" y="2326"/>
                <a:pt x="3226697" y="2814"/>
                <a:pt x="3237802" y="6978"/>
              </a:cubicBezTo>
              <a:cubicBezTo>
                <a:pt x="3244604" y="9529"/>
                <a:pt x="3285043" y="40664"/>
                <a:pt x="3286648" y="41868"/>
              </a:cubicBezTo>
              <a:cubicBezTo>
                <a:pt x="3293626" y="53498"/>
                <a:pt x="3305156" y="63414"/>
                <a:pt x="3307582" y="76758"/>
              </a:cubicBezTo>
              <a:cubicBezTo>
                <a:pt x="3315162" y="118446"/>
                <a:pt x="3303336" y="111723"/>
                <a:pt x="3286648" y="132583"/>
              </a:cubicBezTo>
              <a:cubicBezTo>
                <a:pt x="3281409" y="139132"/>
                <a:pt x="3277931" y="146968"/>
                <a:pt x="3272692" y="153517"/>
              </a:cubicBezTo>
              <a:cubicBezTo>
                <a:pt x="3240692" y="193517"/>
                <a:pt x="3211221" y="235922"/>
                <a:pt x="3175000" y="272143"/>
              </a:cubicBezTo>
              <a:cubicBezTo>
                <a:pt x="3168022" y="279121"/>
                <a:pt x="3162893" y="288664"/>
                <a:pt x="3154066" y="293077"/>
              </a:cubicBezTo>
              <a:cubicBezTo>
                <a:pt x="3120455" y="309882"/>
                <a:pt x="3085045" y="323062"/>
                <a:pt x="3049395" y="334945"/>
              </a:cubicBezTo>
              <a:cubicBezTo>
                <a:pt x="3022100" y="344043"/>
                <a:pt x="2965659" y="355879"/>
                <a:pt x="2965659" y="355879"/>
              </a:cubicBezTo>
              <a:cubicBezTo>
                <a:pt x="2958681" y="360531"/>
                <a:pt x="2952433" y="366531"/>
                <a:pt x="2944725" y="369835"/>
              </a:cubicBezTo>
              <a:cubicBezTo>
                <a:pt x="2941974" y="371014"/>
                <a:pt x="2865134" y="401715"/>
                <a:pt x="2840055" y="404725"/>
              </a:cubicBezTo>
              <a:cubicBezTo>
                <a:pt x="2791337" y="410571"/>
                <a:pt x="2742362" y="414029"/>
                <a:pt x="2693516" y="418681"/>
              </a:cubicBezTo>
              <a:cubicBezTo>
                <a:pt x="2686538" y="421007"/>
                <a:pt x="2679678" y="423724"/>
                <a:pt x="2672582" y="425659"/>
              </a:cubicBezTo>
              <a:cubicBezTo>
                <a:pt x="2654077" y="430706"/>
                <a:pt x="2634891" y="433362"/>
                <a:pt x="2616758" y="439615"/>
              </a:cubicBezTo>
              <a:cubicBezTo>
                <a:pt x="2567343" y="456655"/>
                <a:pt x="2518751" y="476027"/>
                <a:pt x="2470219" y="495440"/>
              </a:cubicBezTo>
              <a:cubicBezTo>
                <a:pt x="2460561" y="499303"/>
                <a:pt x="2450681" y="503225"/>
                <a:pt x="2442307" y="509396"/>
              </a:cubicBezTo>
              <a:cubicBezTo>
                <a:pt x="2406336" y="535901"/>
                <a:pt x="2371141" y="563570"/>
                <a:pt x="2337637" y="593132"/>
              </a:cubicBezTo>
              <a:cubicBezTo>
                <a:pt x="2331348" y="598681"/>
                <a:pt x="2330722" y="609510"/>
                <a:pt x="2323681" y="614066"/>
              </a:cubicBezTo>
              <a:cubicBezTo>
                <a:pt x="2290483" y="635547"/>
                <a:pt x="2253901" y="651282"/>
                <a:pt x="2219011" y="669890"/>
              </a:cubicBezTo>
              <a:lnTo>
                <a:pt x="2219011" y="669890"/>
              </a:lnTo>
              <a:lnTo>
                <a:pt x="2100384" y="704780"/>
              </a:lnTo>
              <a:cubicBezTo>
                <a:pt x="2093339" y="706894"/>
                <a:pt x="2086279" y="709026"/>
                <a:pt x="2079450" y="711758"/>
              </a:cubicBezTo>
              <a:cubicBezTo>
                <a:pt x="1970247" y="755439"/>
                <a:pt x="2082461" y="710252"/>
                <a:pt x="1995714" y="753626"/>
              </a:cubicBezTo>
              <a:cubicBezTo>
                <a:pt x="1989135" y="756915"/>
                <a:pt x="1981837" y="758528"/>
                <a:pt x="1974780" y="760604"/>
              </a:cubicBezTo>
              <a:cubicBezTo>
                <a:pt x="1888223" y="786063"/>
                <a:pt x="1904180" y="781744"/>
                <a:pt x="1849176" y="795495"/>
              </a:cubicBezTo>
              <a:cubicBezTo>
                <a:pt x="1828242" y="809451"/>
                <a:pt x="1806501" y="822267"/>
                <a:pt x="1786373" y="837363"/>
              </a:cubicBezTo>
              <a:cubicBezTo>
                <a:pt x="1748933" y="865442"/>
                <a:pt x="1778494" y="861210"/>
                <a:pt x="1730549" y="900165"/>
              </a:cubicBezTo>
              <a:cubicBezTo>
                <a:pt x="1707012" y="919289"/>
                <a:pt x="1680122" y="933964"/>
                <a:pt x="1653791" y="949011"/>
              </a:cubicBezTo>
              <a:cubicBezTo>
                <a:pt x="1647405" y="952660"/>
                <a:pt x="1639744" y="953406"/>
                <a:pt x="1632857" y="955989"/>
              </a:cubicBezTo>
              <a:lnTo>
                <a:pt x="1542143" y="990879"/>
              </a:lnTo>
              <a:cubicBezTo>
                <a:pt x="1516473" y="1000505"/>
                <a:pt x="1520527" y="995474"/>
                <a:pt x="1493296" y="1011813"/>
              </a:cubicBezTo>
              <a:cubicBezTo>
                <a:pt x="1406486" y="1063899"/>
                <a:pt x="1490809" y="1012498"/>
                <a:pt x="1423516" y="1074615"/>
              </a:cubicBezTo>
              <a:cubicBezTo>
                <a:pt x="1404029" y="1092604"/>
                <a:pt x="1381781" y="1107352"/>
                <a:pt x="1360714" y="1123462"/>
              </a:cubicBezTo>
              <a:cubicBezTo>
                <a:pt x="1342237" y="1137591"/>
                <a:pt x="1326269" y="1156167"/>
                <a:pt x="1304890" y="1165330"/>
              </a:cubicBezTo>
              <a:cubicBezTo>
                <a:pt x="1288608" y="1172308"/>
                <a:pt x="1272692" y="1180210"/>
                <a:pt x="1256044" y="1186264"/>
              </a:cubicBezTo>
              <a:cubicBezTo>
                <a:pt x="1247031" y="1189541"/>
                <a:pt x="1237536" y="1191361"/>
                <a:pt x="1228132" y="1193242"/>
              </a:cubicBezTo>
              <a:cubicBezTo>
                <a:pt x="1203930" y="1198082"/>
                <a:pt x="1160874" y="1203847"/>
                <a:pt x="1137417" y="1207198"/>
              </a:cubicBezTo>
              <a:cubicBezTo>
                <a:pt x="1118809" y="1195568"/>
                <a:pt x="1099449" y="1185062"/>
                <a:pt x="1081593" y="1172308"/>
              </a:cubicBezTo>
              <a:cubicBezTo>
                <a:pt x="1010250" y="1121348"/>
                <a:pt x="1063269" y="1149190"/>
                <a:pt x="1025769" y="1130440"/>
              </a:cubicBezTo>
            </a:path>
          </a:pathLst>
        </a:custGeom>
        <a:solidFill>
          <a:srgbClr val="FF000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75</xdr:col>
      <xdr:colOff>369835</xdr:colOff>
      <xdr:row>59</xdr:row>
      <xdr:rowOff>125604</xdr:rowOff>
    </xdr:from>
    <xdr:to>
      <xdr:col>80</xdr:col>
      <xdr:colOff>390769</xdr:colOff>
      <xdr:row>66</xdr:row>
      <xdr:rowOff>59126</xdr:rowOff>
    </xdr:to>
    <xdr:sp macro="" textlink="">
      <xdr:nvSpPr>
        <xdr:cNvPr id="36" name="Freeform: Shape 35">
          <a:extLst>
            <a:ext uri="{FF2B5EF4-FFF2-40B4-BE49-F238E27FC236}">
              <a16:creationId xmlns:a16="http://schemas.microsoft.com/office/drawing/2014/main" id="{859A3E85-A8D7-4AA9-A0B6-29F6A05F61F1}"/>
            </a:ext>
          </a:extLst>
        </xdr:cNvPr>
        <xdr:cNvSpPr/>
      </xdr:nvSpPr>
      <xdr:spPr>
        <a:xfrm>
          <a:off x="30863791" y="10927582"/>
          <a:ext cx="3056374" cy="1203522"/>
        </a:xfrm>
        <a:custGeom>
          <a:avLst/>
          <a:gdLst>
            <a:gd name="connsiteX0" fmla="*/ 711758 w 3056374"/>
            <a:gd name="connsiteY0" fmla="*/ 1102528 h 1203522"/>
            <a:gd name="connsiteX1" fmla="*/ 523352 w 3056374"/>
            <a:gd name="connsiteY1" fmla="*/ 1172308 h 1203522"/>
            <a:gd name="connsiteX2" fmla="*/ 495440 w 3056374"/>
            <a:gd name="connsiteY2" fmla="*/ 1179286 h 1203522"/>
            <a:gd name="connsiteX3" fmla="*/ 439616 w 3056374"/>
            <a:gd name="connsiteY3" fmla="*/ 1186264 h 1203522"/>
            <a:gd name="connsiteX4" fmla="*/ 327967 w 3056374"/>
            <a:gd name="connsiteY4" fmla="*/ 1193242 h 1203522"/>
            <a:gd name="connsiteX5" fmla="*/ 223297 w 3056374"/>
            <a:gd name="connsiteY5" fmla="*/ 1130440 h 1203522"/>
            <a:gd name="connsiteX6" fmla="*/ 202363 w 3056374"/>
            <a:gd name="connsiteY6" fmla="*/ 1123462 h 1203522"/>
            <a:gd name="connsiteX7" fmla="*/ 146539 w 3056374"/>
            <a:gd name="connsiteY7" fmla="*/ 1074616 h 1203522"/>
            <a:gd name="connsiteX8" fmla="*/ 83736 w 3056374"/>
            <a:gd name="connsiteY8" fmla="*/ 969945 h 1203522"/>
            <a:gd name="connsiteX9" fmla="*/ 34890 w 3056374"/>
            <a:gd name="connsiteY9" fmla="*/ 921099 h 1203522"/>
            <a:gd name="connsiteX10" fmla="*/ 20934 w 3056374"/>
            <a:gd name="connsiteY10" fmla="*/ 886209 h 1203522"/>
            <a:gd name="connsiteX11" fmla="*/ 0 w 3056374"/>
            <a:gd name="connsiteY11" fmla="*/ 753627 h 1203522"/>
            <a:gd name="connsiteX12" fmla="*/ 27912 w 3056374"/>
            <a:gd name="connsiteY12" fmla="*/ 669891 h 1203522"/>
            <a:gd name="connsiteX13" fmla="*/ 90714 w 3056374"/>
            <a:gd name="connsiteY13" fmla="*/ 544286 h 1203522"/>
            <a:gd name="connsiteX14" fmla="*/ 111649 w 3056374"/>
            <a:gd name="connsiteY14" fmla="*/ 439616 h 1203522"/>
            <a:gd name="connsiteX15" fmla="*/ 118627 w 3056374"/>
            <a:gd name="connsiteY15" fmla="*/ 418682 h 1203522"/>
            <a:gd name="connsiteX16" fmla="*/ 132583 w 3056374"/>
            <a:gd name="connsiteY16" fmla="*/ 355880 h 1203522"/>
            <a:gd name="connsiteX17" fmla="*/ 167473 w 3056374"/>
            <a:gd name="connsiteY17" fmla="*/ 272143 h 1203522"/>
            <a:gd name="connsiteX18" fmla="*/ 223297 w 3056374"/>
            <a:gd name="connsiteY18" fmla="*/ 237253 h 1203522"/>
            <a:gd name="connsiteX19" fmla="*/ 286099 w 3056374"/>
            <a:gd name="connsiteY19" fmla="*/ 223297 h 1203522"/>
            <a:gd name="connsiteX20" fmla="*/ 307033 w 3056374"/>
            <a:gd name="connsiteY20" fmla="*/ 216319 h 1203522"/>
            <a:gd name="connsiteX21" fmla="*/ 369835 w 3056374"/>
            <a:gd name="connsiteY21" fmla="*/ 209341 h 1203522"/>
            <a:gd name="connsiteX22" fmla="*/ 467528 w 3056374"/>
            <a:gd name="connsiteY22" fmla="*/ 195385 h 1203522"/>
            <a:gd name="connsiteX23" fmla="*/ 697802 w 3056374"/>
            <a:gd name="connsiteY23" fmla="*/ 202363 h 1203522"/>
            <a:gd name="connsiteX24" fmla="*/ 732693 w 3056374"/>
            <a:gd name="connsiteY24" fmla="*/ 188407 h 1203522"/>
            <a:gd name="connsiteX25" fmla="*/ 795495 w 3056374"/>
            <a:gd name="connsiteY25" fmla="*/ 181429 h 1203522"/>
            <a:gd name="connsiteX26" fmla="*/ 935055 w 3056374"/>
            <a:gd name="connsiteY26" fmla="*/ 188407 h 1203522"/>
            <a:gd name="connsiteX27" fmla="*/ 1067638 w 3056374"/>
            <a:gd name="connsiteY27" fmla="*/ 153517 h 1203522"/>
            <a:gd name="connsiteX28" fmla="*/ 1095550 w 3056374"/>
            <a:gd name="connsiteY28" fmla="*/ 146539 h 1203522"/>
            <a:gd name="connsiteX29" fmla="*/ 1304890 w 3056374"/>
            <a:gd name="connsiteY29" fmla="*/ 139561 h 1203522"/>
            <a:gd name="connsiteX30" fmla="*/ 1395605 w 3056374"/>
            <a:gd name="connsiteY30" fmla="*/ 125605 h 1203522"/>
            <a:gd name="connsiteX31" fmla="*/ 1430495 w 3056374"/>
            <a:gd name="connsiteY31" fmla="*/ 118627 h 1203522"/>
            <a:gd name="connsiteX32" fmla="*/ 1570055 w 3056374"/>
            <a:gd name="connsiteY32" fmla="*/ 104671 h 1203522"/>
            <a:gd name="connsiteX33" fmla="*/ 1688682 w 3056374"/>
            <a:gd name="connsiteY33" fmla="*/ 69781 h 1203522"/>
            <a:gd name="connsiteX34" fmla="*/ 1925934 w 3056374"/>
            <a:gd name="connsiteY34" fmla="*/ 55825 h 1203522"/>
            <a:gd name="connsiteX35" fmla="*/ 2149231 w 3056374"/>
            <a:gd name="connsiteY35" fmla="*/ 41869 h 1203522"/>
            <a:gd name="connsiteX36" fmla="*/ 2177143 w 3056374"/>
            <a:gd name="connsiteY36" fmla="*/ 34891 h 1203522"/>
            <a:gd name="connsiteX37" fmla="*/ 2246923 w 3056374"/>
            <a:gd name="connsiteY37" fmla="*/ 13956 h 1203522"/>
            <a:gd name="connsiteX38" fmla="*/ 2365550 w 3056374"/>
            <a:gd name="connsiteY38" fmla="*/ 0 h 1203522"/>
            <a:gd name="connsiteX39" fmla="*/ 2602802 w 3056374"/>
            <a:gd name="connsiteY39" fmla="*/ 13956 h 1203522"/>
            <a:gd name="connsiteX40" fmla="*/ 2623736 w 3056374"/>
            <a:gd name="connsiteY40" fmla="*/ 20934 h 1203522"/>
            <a:gd name="connsiteX41" fmla="*/ 2700495 w 3056374"/>
            <a:gd name="connsiteY41" fmla="*/ 27913 h 1203522"/>
            <a:gd name="connsiteX42" fmla="*/ 2749341 w 3056374"/>
            <a:gd name="connsiteY42" fmla="*/ 34891 h 1203522"/>
            <a:gd name="connsiteX43" fmla="*/ 2798187 w 3056374"/>
            <a:gd name="connsiteY43" fmla="*/ 48847 h 1203522"/>
            <a:gd name="connsiteX44" fmla="*/ 2937747 w 3056374"/>
            <a:gd name="connsiteY44" fmla="*/ 62803 h 1203522"/>
            <a:gd name="connsiteX45" fmla="*/ 2993572 w 3056374"/>
            <a:gd name="connsiteY45" fmla="*/ 83737 h 1203522"/>
            <a:gd name="connsiteX46" fmla="*/ 3049396 w 3056374"/>
            <a:gd name="connsiteY46" fmla="*/ 174451 h 1203522"/>
            <a:gd name="connsiteX47" fmla="*/ 3056374 w 3056374"/>
            <a:gd name="connsiteY47" fmla="*/ 237253 h 1203522"/>
            <a:gd name="connsiteX48" fmla="*/ 3049396 w 3056374"/>
            <a:gd name="connsiteY48" fmla="*/ 286099 h 1203522"/>
            <a:gd name="connsiteX49" fmla="*/ 3007528 w 3056374"/>
            <a:gd name="connsiteY49" fmla="*/ 425660 h 1203522"/>
            <a:gd name="connsiteX50" fmla="*/ 2993572 w 3056374"/>
            <a:gd name="connsiteY50" fmla="*/ 453572 h 1203522"/>
            <a:gd name="connsiteX51" fmla="*/ 2965660 w 3056374"/>
            <a:gd name="connsiteY51" fmla="*/ 530330 h 1203522"/>
            <a:gd name="connsiteX52" fmla="*/ 2923791 w 3056374"/>
            <a:gd name="connsiteY52" fmla="*/ 572198 h 1203522"/>
            <a:gd name="connsiteX53" fmla="*/ 2847033 w 3056374"/>
            <a:gd name="connsiteY53" fmla="*/ 690825 h 1203522"/>
            <a:gd name="connsiteX54" fmla="*/ 2840055 w 3056374"/>
            <a:gd name="connsiteY54" fmla="*/ 739671 h 1203522"/>
            <a:gd name="connsiteX55" fmla="*/ 2847033 w 3056374"/>
            <a:gd name="connsiteY55" fmla="*/ 872253 h 1203522"/>
            <a:gd name="connsiteX56" fmla="*/ 2867967 w 3056374"/>
            <a:gd name="connsiteY56" fmla="*/ 962967 h 1203522"/>
            <a:gd name="connsiteX57" fmla="*/ 2860989 w 3056374"/>
            <a:gd name="connsiteY57" fmla="*/ 1067638 h 1203522"/>
            <a:gd name="connsiteX58" fmla="*/ 2847033 w 3056374"/>
            <a:gd name="connsiteY58" fmla="*/ 1095550 h 1203522"/>
            <a:gd name="connsiteX59" fmla="*/ 2805165 w 3056374"/>
            <a:gd name="connsiteY59" fmla="*/ 1109506 h 1203522"/>
            <a:gd name="connsiteX60" fmla="*/ 2770275 w 3056374"/>
            <a:gd name="connsiteY60" fmla="*/ 1116484 h 1203522"/>
            <a:gd name="connsiteX61" fmla="*/ 2707473 w 3056374"/>
            <a:gd name="connsiteY61" fmla="*/ 1088572 h 1203522"/>
            <a:gd name="connsiteX62" fmla="*/ 2609780 w 3056374"/>
            <a:gd name="connsiteY62" fmla="*/ 1053682 h 1203522"/>
            <a:gd name="connsiteX63" fmla="*/ 2553956 w 3056374"/>
            <a:gd name="connsiteY63" fmla="*/ 1011814 h 1203522"/>
            <a:gd name="connsiteX64" fmla="*/ 2540000 w 3056374"/>
            <a:gd name="connsiteY64" fmla="*/ 990880 h 1203522"/>
            <a:gd name="connsiteX65" fmla="*/ 2491154 w 3056374"/>
            <a:gd name="connsiteY65" fmla="*/ 900165 h 1203522"/>
            <a:gd name="connsiteX66" fmla="*/ 2477198 w 3056374"/>
            <a:gd name="connsiteY66" fmla="*/ 865275 h 1203522"/>
            <a:gd name="connsiteX67" fmla="*/ 2463242 w 3056374"/>
            <a:gd name="connsiteY67" fmla="*/ 823407 h 1203522"/>
            <a:gd name="connsiteX68" fmla="*/ 2449286 w 3056374"/>
            <a:gd name="connsiteY68" fmla="*/ 544286 h 1203522"/>
            <a:gd name="connsiteX69" fmla="*/ 2442308 w 3056374"/>
            <a:gd name="connsiteY69" fmla="*/ 502418 h 1203522"/>
            <a:gd name="connsiteX70" fmla="*/ 2414396 w 3056374"/>
            <a:gd name="connsiteY70" fmla="*/ 432638 h 1203522"/>
            <a:gd name="connsiteX71" fmla="*/ 2316704 w 3056374"/>
            <a:gd name="connsiteY71" fmla="*/ 376814 h 1203522"/>
            <a:gd name="connsiteX72" fmla="*/ 2281813 w 3056374"/>
            <a:gd name="connsiteY72" fmla="*/ 362858 h 1203522"/>
            <a:gd name="connsiteX73" fmla="*/ 2198077 w 3056374"/>
            <a:gd name="connsiteY73" fmla="*/ 327967 h 1203522"/>
            <a:gd name="connsiteX74" fmla="*/ 2149231 w 3056374"/>
            <a:gd name="connsiteY74" fmla="*/ 320989 h 1203522"/>
            <a:gd name="connsiteX75" fmla="*/ 1974780 w 3056374"/>
            <a:gd name="connsiteY75" fmla="*/ 334945 h 1203522"/>
            <a:gd name="connsiteX76" fmla="*/ 1911978 w 3056374"/>
            <a:gd name="connsiteY76" fmla="*/ 341923 h 1203522"/>
            <a:gd name="connsiteX77" fmla="*/ 1849176 w 3056374"/>
            <a:gd name="connsiteY77" fmla="*/ 327967 h 1203522"/>
            <a:gd name="connsiteX78" fmla="*/ 1695660 w 3056374"/>
            <a:gd name="connsiteY78" fmla="*/ 320989 h 1203522"/>
            <a:gd name="connsiteX79" fmla="*/ 1528187 w 3056374"/>
            <a:gd name="connsiteY79" fmla="*/ 307033 h 1203522"/>
            <a:gd name="connsiteX80" fmla="*/ 1423517 w 3056374"/>
            <a:gd name="connsiteY80" fmla="*/ 293077 h 1203522"/>
            <a:gd name="connsiteX81" fmla="*/ 1360714 w 3056374"/>
            <a:gd name="connsiteY81" fmla="*/ 286099 h 1203522"/>
            <a:gd name="connsiteX82" fmla="*/ 1290934 w 3056374"/>
            <a:gd name="connsiteY82" fmla="*/ 272143 h 1203522"/>
            <a:gd name="connsiteX83" fmla="*/ 1270000 w 3056374"/>
            <a:gd name="connsiteY83" fmla="*/ 279121 h 1203522"/>
            <a:gd name="connsiteX84" fmla="*/ 1172308 w 3056374"/>
            <a:gd name="connsiteY84" fmla="*/ 307033 h 1203522"/>
            <a:gd name="connsiteX85" fmla="*/ 1137418 w 3056374"/>
            <a:gd name="connsiteY85" fmla="*/ 320989 h 1203522"/>
            <a:gd name="connsiteX86" fmla="*/ 1109506 w 3056374"/>
            <a:gd name="connsiteY86" fmla="*/ 341923 h 1203522"/>
            <a:gd name="connsiteX87" fmla="*/ 1095550 w 3056374"/>
            <a:gd name="connsiteY87" fmla="*/ 376814 h 1203522"/>
            <a:gd name="connsiteX88" fmla="*/ 1081594 w 3056374"/>
            <a:gd name="connsiteY88" fmla="*/ 432638 h 1203522"/>
            <a:gd name="connsiteX89" fmla="*/ 1074616 w 3056374"/>
            <a:gd name="connsiteY89" fmla="*/ 453572 h 1203522"/>
            <a:gd name="connsiteX90" fmla="*/ 1081594 w 3056374"/>
            <a:gd name="connsiteY90" fmla="*/ 565220 h 1203522"/>
            <a:gd name="connsiteX91" fmla="*/ 1095550 w 3056374"/>
            <a:gd name="connsiteY91" fmla="*/ 669891 h 1203522"/>
            <a:gd name="connsiteX92" fmla="*/ 1088572 w 3056374"/>
            <a:gd name="connsiteY92" fmla="*/ 746649 h 1203522"/>
            <a:gd name="connsiteX93" fmla="*/ 1053682 w 3056374"/>
            <a:gd name="connsiteY93" fmla="*/ 816429 h 1203522"/>
            <a:gd name="connsiteX94" fmla="*/ 969945 w 3056374"/>
            <a:gd name="connsiteY94" fmla="*/ 942033 h 1203522"/>
            <a:gd name="connsiteX95" fmla="*/ 907143 w 3056374"/>
            <a:gd name="connsiteY95" fmla="*/ 1011814 h 1203522"/>
            <a:gd name="connsiteX96" fmla="*/ 837363 w 3056374"/>
            <a:gd name="connsiteY96" fmla="*/ 1046704 h 1203522"/>
            <a:gd name="connsiteX97" fmla="*/ 697802 w 3056374"/>
            <a:gd name="connsiteY97" fmla="*/ 1130440 h 1203522"/>
            <a:gd name="connsiteX98" fmla="*/ 572198 w 3056374"/>
            <a:gd name="connsiteY98" fmla="*/ 1144396 h 1203522"/>
            <a:gd name="connsiteX99" fmla="*/ 460550 w 3056374"/>
            <a:gd name="connsiteY99" fmla="*/ 1200220 h 1203522"/>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 ang="0">
              <a:pos x="connsiteX69" y="connsiteY69"/>
            </a:cxn>
            <a:cxn ang="0">
              <a:pos x="connsiteX70" y="connsiteY70"/>
            </a:cxn>
            <a:cxn ang="0">
              <a:pos x="connsiteX71" y="connsiteY71"/>
            </a:cxn>
            <a:cxn ang="0">
              <a:pos x="connsiteX72" y="connsiteY72"/>
            </a:cxn>
            <a:cxn ang="0">
              <a:pos x="connsiteX73" y="connsiteY73"/>
            </a:cxn>
            <a:cxn ang="0">
              <a:pos x="connsiteX74" y="connsiteY74"/>
            </a:cxn>
            <a:cxn ang="0">
              <a:pos x="connsiteX75" y="connsiteY75"/>
            </a:cxn>
            <a:cxn ang="0">
              <a:pos x="connsiteX76" y="connsiteY76"/>
            </a:cxn>
            <a:cxn ang="0">
              <a:pos x="connsiteX77" y="connsiteY77"/>
            </a:cxn>
            <a:cxn ang="0">
              <a:pos x="connsiteX78" y="connsiteY78"/>
            </a:cxn>
            <a:cxn ang="0">
              <a:pos x="connsiteX79" y="connsiteY79"/>
            </a:cxn>
            <a:cxn ang="0">
              <a:pos x="connsiteX80" y="connsiteY80"/>
            </a:cxn>
            <a:cxn ang="0">
              <a:pos x="connsiteX81" y="connsiteY81"/>
            </a:cxn>
            <a:cxn ang="0">
              <a:pos x="connsiteX82" y="connsiteY82"/>
            </a:cxn>
            <a:cxn ang="0">
              <a:pos x="connsiteX83" y="connsiteY83"/>
            </a:cxn>
            <a:cxn ang="0">
              <a:pos x="connsiteX84" y="connsiteY84"/>
            </a:cxn>
            <a:cxn ang="0">
              <a:pos x="connsiteX85" y="connsiteY85"/>
            </a:cxn>
            <a:cxn ang="0">
              <a:pos x="connsiteX86" y="connsiteY86"/>
            </a:cxn>
            <a:cxn ang="0">
              <a:pos x="connsiteX87" y="connsiteY87"/>
            </a:cxn>
            <a:cxn ang="0">
              <a:pos x="connsiteX88" y="connsiteY88"/>
            </a:cxn>
            <a:cxn ang="0">
              <a:pos x="connsiteX89" y="connsiteY89"/>
            </a:cxn>
            <a:cxn ang="0">
              <a:pos x="connsiteX90" y="connsiteY90"/>
            </a:cxn>
            <a:cxn ang="0">
              <a:pos x="connsiteX91" y="connsiteY91"/>
            </a:cxn>
            <a:cxn ang="0">
              <a:pos x="connsiteX92" y="connsiteY92"/>
            </a:cxn>
            <a:cxn ang="0">
              <a:pos x="connsiteX93" y="connsiteY93"/>
            </a:cxn>
            <a:cxn ang="0">
              <a:pos x="connsiteX94" y="connsiteY94"/>
            </a:cxn>
            <a:cxn ang="0">
              <a:pos x="connsiteX95" y="connsiteY95"/>
            </a:cxn>
            <a:cxn ang="0">
              <a:pos x="connsiteX96" y="connsiteY96"/>
            </a:cxn>
            <a:cxn ang="0">
              <a:pos x="connsiteX97" y="connsiteY97"/>
            </a:cxn>
            <a:cxn ang="0">
              <a:pos x="connsiteX98" y="connsiteY98"/>
            </a:cxn>
            <a:cxn ang="0">
              <a:pos x="connsiteX99" y="connsiteY99"/>
            </a:cxn>
          </a:cxnLst>
          <a:rect l="l" t="t" r="r" b="b"/>
          <a:pathLst>
            <a:path w="3056374" h="1203522">
              <a:moveTo>
                <a:pt x="711758" y="1102528"/>
              </a:moveTo>
              <a:lnTo>
                <a:pt x="523352" y="1172308"/>
              </a:lnTo>
              <a:cubicBezTo>
                <a:pt x="514314" y="1175515"/>
                <a:pt x="504900" y="1177709"/>
                <a:pt x="495440" y="1179286"/>
              </a:cubicBezTo>
              <a:cubicBezTo>
                <a:pt x="476942" y="1182369"/>
                <a:pt x="458224" y="1183938"/>
                <a:pt x="439616" y="1186264"/>
              </a:cubicBezTo>
              <a:cubicBezTo>
                <a:pt x="397305" y="1200367"/>
                <a:pt x="377850" y="1213195"/>
                <a:pt x="327967" y="1193242"/>
              </a:cubicBezTo>
              <a:cubicBezTo>
                <a:pt x="290189" y="1178131"/>
                <a:pt x="258187" y="1151374"/>
                <a:pt x="223297" y="1130440"/>
              </a:cubicBezTo>
              <a:cubicBezTo>
                <a:pt x="216990" y="1126656"/>
                <a:pt x="209341" y="1125788"/>
                <a:pt x="202363" y="1123462"/>
              </a:cubicBezTo>
              <a:cubicBezTo>
                <a:pt x="184642" y="1110171"/>
                <a:pt x="159235" y="1093172"/>
                <a:pt x="146539" y="1074616"/>
              </a:cubicBezTo>
              <a:cubicBezTo>
                <a:pt x="123563" y="1041035"/>
                <a:pt x="112507" y="998716"/>
                <a:pt x="83736" y="969945"/>
              </a:cubicBezTo>
              <a:lnTo>
                <a:pt x="34890" y="921099"/>
              </a:lnTo>
              <a:cubicBezTo>
                <a:pt x="30238" y="909469"/>
                <a:pt x="23489" y="898472"/>
                <a:pt x="20934" y="886209"/>
              </a:cubicBezTo>
              <a:cubicBezTo>
                <a:pt x="11809" y="842408"/>
                <a:pt x="0" y="753627"/>
                <a:pt x="0" y="753627"/>
              </a:cubicBezTo>
              <a:cubicBezTo>
                <a:pt x="9304" y="725715"/>
                <a:pt x="15737" y="696676"/>
                <a:pt x="27912" y="669891"/>
              </a:cubicBezTo>
              <a:cubicBezTo>
                <a:pt x="97418" y="516976"/>
                <a:pt x="47498" y="673930"/>
                <a:pt x="90714" y="544286"/>
              </a:cubicBezTo>
              <a:cubicBezTo>
                <a:pt x="98923" y="519661"/>
                <a:pt x="109748" y="448486"/>
                <a:pt x="111649" y="439616"/>
              </a:cubicBezTo>
              <a:cubicBezTo>
                <a:pt x="113190" y="432424"/>
                <a:pt x="116843" y="425818"/>
                <a:pt x="118627" y="418682"/>
              </a:cubicBezTo>
              <a:cubicBezTo>
                <a:pt x="123828" y="397878"/>
                <a:pt x="128090" y="376849"/>
                <a:pt x="132583" y="355880"/>
              </a:cubicBezTo>
              <a:cubicBezTo>
                <a:pt x="142214" y="310935"/>
                <a:pt x="135296" y="318110"/>
                <a:pt x="167473" y="272143"/>
              </a:cubicBezTo>
              <a:cubicBezTo>
                <a:pt x="182622" y="250502"/>
                <a:pt x="197830" y="244529"/>
                <a:pt x="223297" y="237253"/>
              </a:cubicBezTo>
              <a:cubicBezTo>
                <a:pt x="243917" y="231362"/>
                <a:pt x="265295" y="228498"/>
                <a:pt x="286099" y="223297"/>
              </a:cubicBezTo>
              <a:cubicBezTo>
                <a:pt x="293235" y="221513"/>
                <a:pt x="299778" y="217528"/>
                <a:pt x="307033" y="216319"/>
              </a:cubicBezTo>
              <a:cubicBezTo>
                <a:pt x="327809" y="212856"/>
                <a:pt x="348949" y="212065"/>
                <a:pt x="369835" y="209341"/>
              </a:cubicBezTo>
              <a:cubicBezTo>
                <a:pt x="402454" y="205086"/>
                <a:pt x="467528" y="195385"/>
                <a:pt x="467528" y="195385"/>
              </a:cubicBezTo>
              <a:cubicBezTo>
                <a:pt x="574640" y="208774"/>
                <a:pt x="588036" y="217331"/>
                <a:pt x="697802" y="202363"/>
              </a:cubicBezTo>
              <a:cubicBezTo>
                <a:pt x="710213" y="200671"/>
                <a:pt x="720445" y="191032"/>
                <a:pt x="732693" y="188407"/>
              </a:cubicBezTo>
              <a:cubicBezTo>
                <a:pt x="753288" y="183994"/>
                <a:pt x="774561" y="183755"/>
                <a:pt x="795495" y="181429"/>
              </a:cubicBezTo>
              <a:cubicBezTo>
                <a:pt x="842015" y="183755"/>
                <a:pt x="888720" y="193159"/>
                <a:pt x="935055" y="188407"/>
              </a:cubicBezTo>
              <a:cubicBezTo>
                <a:pt x="980515" y="183744"/>
                <a:pt x="1023419" y="165052"/>
                <a:pt x="1067638" y="153517"/>
              </a:cubicBezTo>
              <a:cubicBezTo>
                <a:pt x="1076918" y="151096"/>
                <a:pt x="1085965" y="146859"/>
                <a:pt x="1095550" y="146539"/>
              </a:cubicBezTo>
              <a:lnTo>
                <a:pt x="1304890" y="139561"/>
              </a:lnTo>
              <a:lnTo>
                <a:pt x="1395605" y="125605"/>
              </a:lnTo>
              <a:cubicBezTo>
                <a:pt x="1407304" y="123655"/>
                <a:pt x="1418754" y="120304"/>
                <a:pt x="1430495" y="118627"/>
              </a:cubicBezTo>
              <a:cubicBezTo>
                <a:pt x="1464848" y="113719"/>
                <a:pt x="1538167" y="107570"/>
                <a:pt x="1570055" y="104671"/>
              </a:cubicBezTo>
              <a:cubicBezTo>
                <a:pt x="1615422" y="87659"/>
                <a:pt x="1639431" y="75691"/>
                <a:pt x="1688682" y="69781"/>
              </a:cubicBezTo>
              <a:cubicBezTo>
                <a:pt x="1706170" y="67682"/>
                <a:pt x="1916048" y="56443"/>
                <a:pt x="1925934" y="55825"/>
              </a:cubicBezTo>
              <a:cubicBezTo>
                <a:pt x="2244833" y="35894"/>
                <a:pt x="1760633" y="63458"/>
                <a:pt x="2149231" y="41869"/>
              </a:cubicBezTo>
              <a:cubicBezTo>
                <a:pt x="2158535" y="39543"/>
                <a:pt x="2167922" y="37526"/>
                <a:pt x="2177143" y="34891"/>
              </a:cubicBezTo>
              <a:cubicBezTo>
                <a:pt x="2200493" y="28219"/>
                <a:pt x="2223045" y="18378"/>
                <a:pt x="2246923" y="13956"/>
              </a:cubicBezTo>
              <a:cubicBezTo>
                <a:pt x="2286072" y="6706"/>
                <a:pt x="2326008" y="4652"/>
                <a:pt x="2365550" y="0"/>
              </a:cubicBezTo>
              <a:cubicBezTo>
                <a:pt x="2402656" y="1767"/>
                <a:pt x="2549984" y="7354"/>
                <a:pt x="2602802" y="13956"/>
              </a:cubicBezTo>
              <a:cubicBezTo>
                <a:pt x="2610101" y="14868"/>
                <a:pt x="2616454" y="19894"/>
                <a:pt x="2623736" y="20934"/>
              </a:cubicBezTo>
              <a:cubicBezTo>
                <a:pt x="2649170" y="24568"/>
                <a:pt x="2674960" y="25076"/>
                <a:pt x="2700495" y="27913"/>
              </a:cubicBezTo>
              <a:cubicBezTo>
                <a:pt x="2716842" y="29729"/>
                <a:pt x="2733059" y="32565"/>
                <a:pt x="2749341" y="34891"/>
              </a:cubicBezTo>
              <a:cubicBezTo>
                <a:pt x="2765933" y="40422"/>
                <a:pt x="2780663" y="45926"/>
                <a:pt x="2798187" y="48847"/>
              </a:cubicBezTo>
              <a:cubicBezTo>
                <a:pt x="2839995" y="55815"/>
                <a:pt x="2897767" y="59471"/>
                <a:pt x="2937747" y="62803"/>
              </a:cubicBezTo>
              <a:cubicBezTo>
                <a:pt x="2956355" y="69781"/>
                <a:pt x="2977820" y="71620"/>
                <a:pt x="2993572" y="83737"/>
              </a:cubicBezTo>
              <a:cubicBezTo>
                <a:pt x="3015002" y="100221"/>
                <a:pt x="3037082" y="149824"/>
                <a:pt x="3049396" y="174451"/>
              </a:cubicBezTo>
              <a:cubicBezTo>
                <a:pt x="3051722" y="195385"/>
                <a:pt x="3056374" y="216190"/>
                <a:pt x="3056374" y="237253"/>
              </a:cubicBezTo>
              <a:cubicBezTo>
                <a:pt x="3056374" y="253700"/>
                <a:pt x="3052622" y="269971"/>
                <a:pt x="3049396" y="286099"/>
              </a:cubicBezTo>
              <a:cubicBezTo>
                <a:pt x="3040508" y="330539"/>
                <a:pt x="3022785" y="384974"/>
                <a:pt x="3007528" y="425660"/>
              </a:cubicBezTo>
              <a:cubicBezTo>
                <a:pt x="3003876" y="435400"/>
                <a:pt x="2997435" y="443914"/>
                <a:pt x="2993572" y="453572"/>
              </a:cubicBezTo>
              <a:cubicBezTo>
                <a:pt x="2983461" y="478850"/>
                <a:pt x="2979464" y="506864"/>
                <a:pt x="2965660" y="530330"/>
              </a:cubicBezTo>
              <a:cubicBezTo>
                <a:pt x="2955653" y="547342"/>
                <a:pt x="2936717" y="557283"/>
                <a:pt x="2923791" y="572198"/>
              </a:cubicBezTo>
              <a:cubicBezTo>
                <a:pt x="2871775" y="632215"/>
                <a:pt x="2879272" y="626347"/>
                <a:pt x="2847033" y="690825"/>
              </a:cubicBezTo>
              <a:cubicBezTo>
                <a:pt x="2844707" y="707107"/>
                <a:pt x="2840055" y="723224"/>
                <a:pt x="2840055" y="739671"/>
              </a:cubicBezTo>
              <a:cubicBezTo>
                <a:pt x="2840055" y="783926"/>
                <a:pt x="2843358" y="828151"/>
                <a:pt x="2847033" y="872253"/>
              </a:cubicBezTo>
              <a:cubicBezTo>
                <a:pt x="2848375" y="888362"/>
                <a:pt x="2866332" y="956426"/>
                <a:pt x="2867967" y="962967"/>
              </a:cubicBezTo>
              <a:cubicBezTo>
                <a:pt x="2865641" y="997857"/>
                <a:pt x="2866443" y="1033098"/>
                <a:pt x="2860989" y="1067638"/>
              </a:cubicBezTo>
              <a:cubicBezTo>
                <a:pt x="2859367" y="1077913"/>
                <a:pt x="2855355" y="1089309"/>
                <a:pt x="2847033" y="1095550"/>
              </a:cubicBezTo>
              <a:cubicBezTo>
                <a:pt x="2835264" y="1104377"/>
                <a:pt x="2819358" y="1105635"/>
                <a:pt x="2805165" y="1109506"/>
              </a:cubicBezTo>
              <a:cubicBezTo>
                <a:pt x="2793723" y="1112627"/>
                <a:pt x="2781905" y="1114158"/>
                <a:pt x="2770275" y="1116484"/>
              </a:cubicBezTo>
              <a:cubicBezTo>
                <a:pt x="2641404" y="1095005"/>
                <a:pt x="2792305" y="1128493"/>
                <a:pt x="2707473" y="1088572"/>
              </a:cubicBezTo>
              <a:cubicBezTo>
                <a:pt x="2676185" y="1073849"/>
                <a:pt x="2609780" y="1053682"/>
                <a:pt x="2609780" y="1053682"/>
              </a:cubicBezTo>
              <a:cubicBezTo>
                <a:pt x="2591172" y="1039726"/>
                <a:pt x="2571245" y="1027374"/>
                <a:pt x="2553956" y="1011814"/>
              </a:cubicBezTo>
              <a:cubicBezTo>
                <a:pt x="2547722" y="1006204"/>
                <a:pt x="2544874" y="997704"/>
                <a:pt x="2540000" y="990880"/>
              </a:cubicBezTo>
              <a:cubicBezTo>
                <a:pt x="2504324" y="940933"/>
                <a:pt x="2525753" y="980897"/>
                <a:pt x="2491154" y="900165"/>
              </a:cubicBezTo>
              <a:cubicBezTo>
                <a:pt x="2486220" y="888652"/>
                <a:pt x="2481479" y="877047"/>
                <a:pt x="2477198" y="865275"/>
              </a:cubicBezTo>
              <a:cubicBezTo>
                <a:pt x="2472171" y="851450"/>
                <a:pt x="2463242" y="823407"/>
                <a:pt x="2463242" y="823407"/>
              </a:cubicBezTo>
              <a:cubicBezTo>
                <a:pt x="2459266" y="704135"/>
                <a:pt x="2461945" y="645561"/>
                <a:pt x="2449286" y="544286"/>
              </a:cubicBezTo>
              <a:cubicBezTo>
                <a:pt x="2447531" y="530247"/>
                <a:pt x="2446528" y="515922"/>
                <a:pt x="2442308" y="502418"/>
              </a:cubicBezTo>
              <a:cubicBezTo>
                <a:pt x="2434836" y="478507"/>
                <a:pt x="2430971" y="451423"/>
                <a:pt x="2414396" y="432638"/>
              </a:cubicBezTo>
              <a:cubicBezTo>
                <a:pt x="2374543" y="387472"/>
                <a:pt x="2355953" y="391532"/>
                <a:pt x="2316704" y="376814"/>
              </a:cubicBezTo>
              <a:cubicBezTo>
                <a:pt x="2304975" y="372416"/>
                <a:pt x="2293260" y="367945"/>
                <a:pt x="2281813" y="362858"/>
              </a:cubicBezTo>
              <a:cubicBezTo>
                <a:pt x="2242761" y="345502"/>
                <a:pt x="2250964" y="342071"/>
                <a:pt x="2198077" y="327967"/>
              </a:cubicBezTo>
              <a:cubicBezTo>
                <a:pt x="2182185" y="323729"/>
                <a:pt x="2165513" y="323315"/>
                <a:pt x="2149231" y="320989"/>
              </a:cubicBezTo>
              <a:cubicBezTo>
                <a:pt x="1959094" y="340003"/>
                <a:pt x="2230768" y="313613"/>
                <a:pt x="1974780" y="334945"/>
              </a:cubicBezTo>
              <a:cubicBezTo>
                <a:pt x="1953790" y="336694"/>
                <a:pt x="1932912" y="339597"/>
                <a:pt x="1911978" y="341923"/>
              </a:cubicBezTo>
              <a:cubicBezTo>
                <a:pt x="1898197" y="338478"/>
                <a:pt x="1861765" y="328900"/>
                <a:pt x="1849176" y="327967"/>
              </a:cubicBezTo>
              <a:cubicBezTo>
                <a:pt x="1798091" y="324183"/>
                <a:pt x="1746801" y="323911"/>
                <a:pt x="1695660" y="320989"/>
              </a:cubicBezTo>
              <a:cubicBezTo>
                <a:pt x="1671897" y="319631"/>
                <a:pt x="1556731" y="310327"/>
                <a:pt x="1528187" y="307033"/>
              </a:cubicBezTo>
              <a:cubicBezTo>
                <a:pt x="1493220" y="302998"/>
                <a:pt x="1458444" y="297443"/>
                <a:pt x="1423517" y="293077"/>
              </a:cubicBezTo>
              <a:cubicBezTo>
                <a:pt x="1402616" y="290464"/>
                <a:pt x="1381648" y="288425"/>
                <a:pt x="1360714" y="286099"/>
              </a:cubicBezTo>
              <a:cubicBezTo>
                <a:pt x="1334934" y="277506"/>
                <a:pt x="1323007" y="272143"/>
                <a:pt x="1290934" y="272143"/>
              </a:cubicBezTo>
              <a:cubicBezTo>
                <a:pt x="1283579" y="272143"/>
                <a:pt x="1277096" y="277186"/>
                <a:pt x="1270000" y="279121"/>
              </a:cubicBezTo>
              <a:cubicBezTo>
                <a:pt x="1208485" y="295898"/>
                <a:pt x="1225791" y="287585"/>
                <a:pt x="1172308" y="307033"/>
              </a:cubicBezTo>
              <a:cubicBezTo>
                <a:pt x="1160536" y="311314"/>
                <a:pt x="1148368" y="314906"/>
                <a:pt x="1137418" y="320989"/>
              </a:cubicBezTo>
              <a:cubicBezTo>
                <a:pt x="1127252" y="326637"/>
                <a:pt x="1118810" y="334945"/>
                <a:pt x="1109506" y="341923"/>
              </a:cubicBezTo>
              <a:cubicBezTo>
                <a:pt x="1104854" y="353553"/>
                <a:pt x="1099234" y="364842"/>
                <a:pt x="1095550" y="376814"/>
              </a:cubicBezTo>
              <a:cubicBezTo>
                <a:pt x="1089909" y="395147"/>
                <a:pt x="1086641" y="414133"/>
                <a:pt x="1081594" y="432638"/>
              </a:cubicBezTo>
              <a:cubicBezTo>
                <a:pt x="1079659" y="439734"/>
                <a:pt x="1076942" y="446594"/>
                <a:pt x="1074616" y="453572"/>
              </a:cubicBezTo>
              <a:cubicBezTo>
                <a:pt x="1076942" y="490788"/>
                <a:pt x="1078497" y="528060"/>
                <a:pt x="1081594" y="565220"/>
              </a:cubicBezTo>
              <a:cubicBezTo>
                <a:pt x="1083397" y="586861"/>
                <a:pt x="1092248" y="646775"/>
                <a:pt x="1095550" y="669891"/>
              </a:cubicBezTo>
              <a:cubicBezTo>
                <a:pt x="1093224" y="695477"/>
                <a:pt x="1094145" y="721569"/>
                <a:pt x="1088572" y="746649"/>
              </a:cubicBezTo>
              <a:cubicBezTo>
                <a:pt x="1080417" y="783348"/>
                <a:pt x="1069850" y="790156"/>
                <a:pt x="1053682" y="816429"/>
              </a:cubicBezTo>
              <a:cubicBezTo>
                <a:pt x="1015842" y="877919"/>
                <a:pt x="1014372" y="888720"/>
                <a:pt x="969945" y="942033"/>
              </a:cubicBezTo>
              <a:cubicBezTo>
                <a:pt x="949912" y="966073"/>
                <a:pt x="931705" y="992423"/>
                <a:pt x="907143" y="1011814"/>
              </a:cubicBezTo>
              <a:cubicBezTo>
                <a:pt x="886732" y="1027928"/>
                <a:pt x="859663" y="1033324"/>
                <a:pt x="837363" y="1046704"/>
              </a:cubicBezTo>
              <a:cubicBezTo>
                <a:pt x="814753" y="1060270"/>
                <a:pt x="744000" y="1119779"/>
                <a:pt x="697802" y="1130440"/>
              </a:cubicBezTo>
              <a:cubicBezTo>
                <a:pt x="682695" y="1133926"/>
                <a:pt x="580969" y="1143519"/>
                <a:pt x="572198" y="1144396"/>
              </a:cubicBezTo>
              <a:lnTo>
                <a:pt x="460550" y="1200220"/>
              </a:lnTo>
            </a:path>
          </a:pathLst>
        </a:custGeom>
        <a:solidFill>
          <a:srgbClr val="00B0F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86</xdr:col>
      <xdr:colOff>348901</xdr:colOff>
      <xdr:row>59</xdr:row>
      <xdr:rowOff>47986</xdr:rowOff>
    </xdr:from>
    <xdr:to>
      <xdr:col>89</xdr:col>
      <xdr:colOff>6978</xdr:colOff>
      <xdr:row>66</xdr:row>
      <xdr:rowOff>48846</xdr:rowOff>
    </xdr:to>
    <xdr:sp macro="" textlink="">
      <xdr:nvSpPr>
        <xdr:cNvPr id="37" name="Freeform: Shape 36">
          <a:extLst>
            <a:ext uri="{FF2B5EF4-FFF2-40B4-BE49-F238E27FC236}">
              <a16:creationId xmlns:a16="http://schemas.microsoft.com/office/drawing/2014/main" id="{759AAE47-C5F6-4084-BA14-9041D0039DF4}"/>
            </a:ext>
          </a:extLst>
        </xdr:cNvPr>
        <xdr:cNvSpPr/>
      </xdr:nvSpPr>
      <xdr:spPr>
        <a:xfrm>
          <a:off x="37520824" y="10849964"/>
          <a:ext cx="1479341" cy="1270860"/>
        </a:xfrm>
        <a:custGeom>
          <a:avLst/>
          <a:gdLst>
            <a:gd name="connsiteX0" fmla="*/ 1116484 w 1479341"/>
            <a:gd name="connsiteY0" fmla="*/ 1215036 h 1270860"/>
            <a:gd name="connsiteX1" fmla="*/ 837363 w 1479341"/>
            <a:gd name="connsiteY1" fmla="*/ 1263882 h 1270860"/>
            <a:gd name="connsiteX2" fmla="*/ 767583 w 1479341"/>
            <a:gd name="connsiteY2" fmla="*/ 1256904 h 1270860"/>
            <a:gd name="connsiteX3" fmla="*/ 669890 w 1479341"/>
            <a:gd name="connsiteY3" fmla="*/ 1228992 h 1270860"/>
            <a:gd name="connsiteX4" fmla="*/ 579176 w 1479341"/>
            <a:gd name="connsiteY4" fmla="*/ 1201080 h 1270860"/>
            <a:gd name="connsiteX5" fmla="*/ 544286 w 1479341"/>
            <a:gd name="connsiteY5" fmla="*/ 1166190 h 1270860"/>
            <a:gd name="connsiteX6" fmla="*/ 481484 w 1479341"/>
            <a:gd name="connsiteY6" fmla="*/ 1096410 h 1270860"/>
            <a:gd name="connsiteX7" fmla="*/ 376813 w 1479341"/>
            <a:gd name="connsiteY7" fmla="*/ 1047563 h 1270860"/>
            <a:gd name="connsiteX8" fmla="*/ 230275 w 1479341"/>
            <a:gd name="connsiteY8" fmla="*/ 991739 h 1270860"/>
            <a:gd name="connsiteX9" fmla="*/ 181429 w 1479341"/>
            <a:gd name="connsiteY9" fmla="*/ 949871 h 1270860"/>
            <a:gd name="connsiteX10" fmla="*/ 111649 w 1479341"/>
            <a:gd name="connsiteY10" fmla="*/ 831245 h 1270860"/>
            <a:gd name="connsiteX11" fmla="*/ 97692 w 1479341"/>
            <a:gd name="connsiteY11" fmla="*/ 810311 h 1270860"/>
            <a:gd name="connsiteX12" fmla="*/ 55824 w 1479341"/>
            <a:gd name="connsiteY12" fmla="*/ 740531 h 1270860"/>
            <a:gd name="connsiteX13" fmla="*/ 48846 w 1479341"/>
            <a:gd name="connsiteY13" fmla="*/ 719596 h 1270860"/>
            <a:gd name="connsiteX14" fmla="*/ 13956 w 1479341"/>
            <a:gd name="connsiteY14" fmla="*/ 642838 h 1270860"/>
            <a:gd name="connsiteX15" fmla="*/ 0 w 1479341"/>
            <a:gd name="connsiteY15" fmla="*/ 489322 h 1270860"/>
            <a:gd name="connsiteX16" fmla="*/ 6978 w 1479341"/>
            <a:gd name="connsiteY16" fmla="*/ 447454 h 1270860"/>
            <a:gd name="connsiteX17" fmla="*/ 27912 w 1479341"/>
            <a:gd name="connsiteY17" fmla="*/ 398607 h 1270860"/>
            <a:gd name="connsiteX18" fmla="*/ 90714 w 1479341"/>
            <a:gd name="connsiteY18" fmla="*/ 377673 h 1270860"/>
            <a:gd name="connsiteX19" fmla="*/ 195385 w 1479341"/>
            <a:gd name="connsiteY19" fmla="*/ 342783 h 1270860"/>
            <a:gd name="connsiteX20" fmla="*/ 293077 w 1479341"/>
            <a:gd name="connsiteY20" fmla="*/ 279981 h 1270860"/>
            <a:gd name="connsiteX21" fmla="*/ 369835 w 1479341"/>
            <a:gd name="connsiteY21" fmla="*/ 203223 h 1270860"/>
            <a:gd name="connsiteX22" fmla="*/ 390769 w 1479341"/>
            <a:gd name="connsiteY22" fmla="*/ 196245 h 1270860"/>
            <a:gd name="connsiteX23" fmla="*/ 439616 w 1479341"/>
            <a:gd name="connsiteY23" fmla="*/ 161355 h 1270860"/>
            <a:gd name="connsiteX24" fmla="*/ 474506 w 1479341"/>
            <a:gd name="connsiteY24" fmla="*/ 140421 h 1270860"/>
            <a:gd name="connsiteX25" fmla="*/ 516374 w 1479341"/>
            <a:gd name="connsiteY25" fmla="*/ 105531 h 1270860"/>
            <a:gd name="connsiteX26" fmla="*/ 530330 w 1479341"/>
            <a:gd name="connsiteY26" fmla="*/ 91574 h 1270860"/>
            <a:gd name="connsiteX27" fmla="*/ 641978 w 1479341"/>
            <a:gd name="connsiteY27" fmla="*/ 28772 h 1270860"/>
            <a:gd name="connsiteX28" fmla="*/ 732692 w 1479341"/>
            <a:gd name="connsiteY28" fmla="*/ 14816 h 1270860"/>
            <a:gd name="connsiteX29" fmla="*/ 753627 w 1479341"/>
            <a:gd name="connsiteY29" fmla="*/ 7838 h 1270860"/>
            <a:gd name="connsiteX30" fmla="*/ 983901 w 1479341"/>
            <a:gd name="connsiteY30" fmla="*/ 14816 h 1270860"/>
            <a:gd name="connsiteX31" fmla="*/ 1060660 w 1479341"/>
            <a:gd name="connsiteY31" fmla="*/ 28772 h 1270860"/>
            <a:gd name="connsiteX32" fmla="*/ 1088572 w 1479341"/>
            <a:gd name="connsiteY32" fmla="*/ 35750 h 1270860"/>
            <a:gd name="connsiteX33" fmla="*/ 1186264 w 1479341"/>
            <a:gd name="connsiteY33" fmla="*/ 105531 h 1270860"/>
            <a:gd name="connsiteX34" fmla="*/ 1242088 w 1479341"/>
            <a:gd name="connsiteY34" fmla="*/ 175311 h 1270860"/>
            <a:gd name="connsiteX35" fmla="*/ 1297912 w 1479341"/>
            <a:gd name="connsiteY35" fmla="*/ 307893 h 1270860"/>
            <a:gd name="connsiteX36" fmla="*/ 1304890 w 1479341"/>
            <a:gd name="connsiteY36" fmla="*/ 363717 h 1270860"/>
            <a:gd name="connsiteX37" fmla="*/ 1332802 w 1479341"/>
            <a:gd name="connsiteY37" fmla="*/ 447454 h 1270860"/>
            <a:gd name="connsiteX38" fmla="*/ 1346758 w 1479341"/>
            <a:gd name="connsiteY38" fmla="*/ 503278 h 1270860"/>
            <a:gd name="connsiteX39" fmla="*/ 1374671 w 1479341"/>
            <a:gd name="connsiteY39" fmla="*/ 600970 h 1270860"/>
            <a:gd name="connsiteX40" fmla="*/ 1395605 w 1479341"/>
            <a:gd name="connsiteY40" fmla="*/ 635860 h 1270860"/>
            <a:gd name="connsiteX41" fmla="*/ 1409561 w 1479341"/>
            <a:gd name="connsiteY41" fmla="*/ 663772 h 1270860"/>
            <a:gd name="connsiteX42" fmla="*/ 1437473 w 1479341"/>
            <a:gd name="connsiteY42" fmla="*/ 782399 h 1270860"/>
            <a:gd name="connsiteX43" fmla="*/ 1451429 w 1479341"/>
            <a:gd name="connsiteY43" fmla="*/ 831245 h 1270860"/>
            <a:gd name="connsiteX44" fmla="*/ 1479341 w 1479341"/>
            <a:gd name="connsiteY44" fmla="*/ 928937 h 1270860"/>
            <a:gd name="connsiteX45" fmla="*/ 1444451 w 1479341"/>
            <a:gd name="connsiteY45" fmla="*/ 1054541 h 1270860"/>
            <a:gd name="connsiteX46" fmla="*/ 1423517 w 1479341"/>
            <a:gd name="connsiteY46" fmla="*/ 1103388 h 1270860"/>
            <a:gd name="connsiteX47" fmla="*/ 1360714 w 1479341"/>
            <a:gd name="connsiteY47" fmla="*/ 1166190 h 1270860"/>
            <a:gd name="connsiteX48" fmla="*/ 1304890 w 1479341"/>
            <a:gd name="connsiteY48" fmla="*/ 1187124 h 1270860"/>
            <a:gd name="connsiteX49" fmla="*/ 1123462 w 1479341"/>
            <a:gd name="connsiteY49" fmla="*/ 1187124 h 1270860"/>
            <a:gd name="connsiteX50" fmla="*/ 1081594 w 1479341"/>
            <a:gd name="connsiteY50" fmla="*/ 1215036 h 1270860"/>
            <a:gd name="connsiteX51" fmla="*/ 942033 w 1479341"/>
            <a:gd name="connsiteY51" fmla="*/ 1270860 h 127086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Lst>
          <a:rect l="l" t="t" r="r" b="b"/>
          <a:pathLst>
            <a:path w="1479341" h="1270860">
              <a:moveTo>
                <a:pt x="1116484" y="1215036"/>
              </a:moveTo>
              <a:cubicBezTo>
                <a:pt x="1032538" y="1233024"/>
                <a:pt x="929098" y="1263882"/>
                <a:pt x="837363" y="1263882"/>
              </a:cubicBezTo>
              <a:cubicBezTo>
                <a:pt x="813987" y="1263882"/>
                <a:pt x="790843" y="1259230"/>
                <a:pt x="767583" y="1256904"/>
              </a:cubicBezTo>
              <a:lnTo>
                <a:pt x="669890" y="1228992"/>
              </a:lnTo>
              <a:cubicBezTo>
                <a:pt x="639556" y="1220004"/>
                <a:pt x="579176" y="1201080"/>
                <a:pt x="579176" y="1201080"/>
              </a:cubicBezTo>
              <a:cubicBezTo>
                <a:pt x="567546" y="1189450"/>
                <a:pt x="555508" y="1178214"/>
                <a:pt x="544286" y="1166190"/>
              </a:cubicBezTo>
              <a:cubicBezTo>
                <a:pt x="522934" y="1143313"/>
                <a:pt x="506376" y="1115375"/>
                <a:pt x="481484" y="1096410"/>
              </a:cubicBezTo>
              <a:cubicBezTo>
                <a:pt x="371337" y="1012489"/>
                <a:pt x="432027" y="1073546"/>
                <a:pt x="376813" y="1047563"/>
              </a:cubicBezTo>
              <a:cubicBezTo>
                <a:pt x="254323" y="989920"/>
                <a:pt x="319720" y="1004517"/>
                <a:pt x="230275" y="991739"/>
              </a:cubicBezTo>
              <a:cubicBezTo>
                <a:pt x="209647" y="977987"/>
                <a:pt x="197614" y="971942"/>
                <a:pt x="181429" y="949871"/>
              </a:cubicBezTo>
              <a:cubicBezTo>
                <a:pt x="120716" y="867080"/>
                <a:pt x="147942" y="896570"/>
                <a:pt x="111649" y="831245"/>
              </a:cubicBezTo>
              <a:cubicBezTo>
                <a:pt x="107576" y="823914"/>
                <a:pt x="102088" y="817454"/>
                <a:pt x="97692" y="810311"/>
              </a:cubicBezTo>
              <a:cubicBezTo>
                <a:pt x="83475" y="787209"/>
                <a:pt x="68684" y="764414"/>
                <a:pt x="55824" y="740531"/>
              </a:cubicBezTo>
              <a:cubicBezTo>
                <a:pt x="52337" y="734054"/>
                <a:pt x="51833" y="726318"/>
                <a:pt x="48846" y="719596"/>
              </a:cubicBezTo>
              <a:cubicBezTo>
                <a:pt x="-4233" y="600166"/>
                <a:pt x="55015" y="745486"/>
                <a:pt x="13956" y="642838"/>
              </a:cubicBezTo>
              <a:cubicBezTo>
                <a:pt x="5830" y="585953"/>
                <a:pt x="0" y="553898"/>
                <a:pt x="0" y="489322"/>
              </a:cubicBezTo>
              <a:cubicBezTo>
                <a:pt x="0" y="475173"/>
                <a:pt x="2817" y="460977"/>
                <a:pt x="6978" y="447454"/>
              </a:cubicBezTo>
              <a:cubicBezTo>
                <a:pt x="12188" y="430523"/>
                <a:pt x="14303" y="409948"/>
                <a:pt x="27912" y="398607"/>
              </a:cubicBezTo>
              <a:cubicBezTo>
                <a:pt x="44864" y="384480"/>
                <a:pt x="69652" y="384255"/>
                <a:pt x="90714" y="377673"/>
              </a:cubicBezTo>
              <a:cubicBezTo>
                <a:pt x="135420" y="363702"/>
                <a:pt x="150990" y="363273"/>
                <a:pt x="195385" y="342783"/>
              </a:cubicBezTo>
              <a:cubicBezTo>
                <a:pt x="212442" y="334911"/>
                <a:pt x="292092" y="281130"/>
                <a:pt x="293077" y="279981"/>
              </a:cubicBezTo>
              <a:cubicBezTo>
                <a:pt x="320618" y="247850"/>
                <a:pt x="334882" y="225069"/>
                <a:pt x="369835" y="203223"/>
              </a:cubicBezTo>
              <a:cubicBezTo>
                <a:pt x="376072" y="199325"/>
                <a:pt x="383791" y="198571"/>
                <a:pt x="390769" y="196245"/>
              </a:cubicBezTo>
              <a:cubicBezTo>
                <a:pt x="407051" y="184615"/>
                <a:pt x="422967" y="172454"/>
                <a:pt x="439616" y="161355"/>
              </a:cubicBezTo>
              <a:cubicBezTo>
                <a:pt x="450901" y="153832"/>
                <a:pt x="463537" y="148398"/>
                <a:pt x="474506" y="140421"/>
              </a:cubicBezTo>
              <a:cubicBezTo>
                <a:pt x="489198" y="129736"/>
                <a:pt x="502702" y="117494"/>
                <a:pt x="516374" y="105531"/>
              </a:cubicBezTo>
              <a:cubicBezTo>
                <a:pt x="521325" y="101199"/>
                <a:pt x="525067" y="95522"/>
                <a:pt x="530330" y="91574"/>
              </a:cubicBezTo>
              <a:cubicBezTo>
                <a:pt x="565218" y="65408"/>
                <a:pt x="601566" y="46091"/>
                <a:pt x="641978" y="28772"/>
              </a:cubicBezTo>
              <a:cubicBezTo>
                <a:pt x="663129" y="19707"/>
                <a:pt x="720085" y="16217"/>
                <a:pt x="732692" y="14816"/>
              </a:cubicBezTo>
              <a:cubicBezTo>
                <a:pt x="739670" y="12490"/>
                <a:pt x="746414" y="9281"/>
                <a:pt x="753627" y="7838"/>
              </a:cubicBezTo>
              <a:cubicBezTo>
                <a:pt x="840049" y="-9446"/>
                <a:pt x="868935" y="5972"/>
                <a:pt x="983901" y="14816"/>
              </a:cubicBezTo>
              <a:lnTo>
                <a:pt x="1060660" y="28772"/>
              </a:lnTo>
              <a:cubicBezTo>
                <a:pt x="1070064" y="30653"/>
                <a:pt x="1079808" y="31855"/>
                <a:pt x="1088572" y="35750"/>
              </a:cubicBezTo>
              <a:cubicBezTo>
                <a:pt x="1111990" y="46158"/>
                <a:pt x="1179657" y="95621"/>
                <a:pt x="1186264" y="105531"/>
              </a:cubicBezTo>
              <a:cubicBezTo>
                <a:pt x="1212115" y="144308"/>
                <a:pt x="1194762" y="120097"/>
                <a:pt x="1242088" y="175311"/>
              </a:cubicBezTo>
              <a:cubicBezTo>
                <a:pt x="1260696" y="219505"/>
                <a:pt x="1291964" y="260312"/>
                <a:pt x="1297912" y="307893"/>
              </a:cubicBezTo>
              <a:cubicBezTo>
                <a:pt x="1300238" y="326501"/>
                <a:pt x="1300342" y="345524"/>
                <a:pt x="1304890" y="363717"/>
              </a:cubicBezTo>
              <a:cubicBezTo>
                <a:pt x="1312026" y="392261"/>
                <a:pt x="1327032" y="418603"/>
                <a:pt x="1332802" y="447454"/>
              </a:cubicBezTo>
              <a:cubicBezTo>
                <a:pt x="1345546" y="511174"/>
                <a:pt x="1333348" y="457686"/>
                <a:pt x="1346758" y="503278"/>
              </a:cubicBezTo>
              <a:cubicBezTo>
                <a:pt x="1356314" y="535769"/>
                <a:pt x="1362963" y="569191"/>
                <a:pt x="1374671" y="600970"/>
              </a:cubicBezTo>
              <a:cubicBezTo>
                <a:pt x="1379360" y="613697"/>
                <a:pt x="1389018" y="624004"/>
                <a:pt x="1395605" y="635860"/>
              </a:cubicBezTo>
              <a:cubicBezTo>
                <a:pt x="1400657" y="644953"/>
                <a:pt x="1405698" y="654114"/>
                <a:pt x="1409561" y="663772"/>
              </a:cubicBezTo>
              <a:cubicBezTo>
                <a:pt x="1429182" y="712823"/>
                <a:pt x="1425410" y="722081"/>
                <a:pt x="1437473" y="782399"/>
              </a:cubicBezTo>
              <a:cubicBezTo>
                <a:pt x="1444022" y="815143"/>
                <a:pt x="1443116" y="802980"/>
                <a:pt x="1451429" y="831245"/>
              </a:cubicBezTo>
              <a:cubicBezTo>
                <a:pt x="1460985" y="863736"/>
                <a:pt x="1479341" y="928937"/>
                <a:pt x="1479341" y="928937"/>
              </a:cubicBezTo>
              <a:cubicBezTo>
                <a:pt x="1463816" y="1006563"/>
                <a:pt x="1471763" y="986260"/>
                <a:pt x="1444451" y="1054541"/>
              </a:cubicBezTo>
              <a:cubicBezTo>
                <a:pt x="1437872" y="1070989"/>
                <a:pt x="1434146" y="1089216"/>
                <a:pt x="1423517" y="1103388"/>
              </a:cubicBezTo>
              <a:cubicBezTo>
                <a:pt x="1405754" y="1127072"/>
                <a:pt x="1388434" y="1155795"/>
                <a:pt x="1360714" y="1166190"/>
              </a:cubicBezTo>
              <a:lnTo>
                <a:pt x="1304890" y="1187124"/>
              </a:lnTo>
              <a:cubicBezTo>
                <a:pt x="1238565" y="1179755"/>
                <a:pt x="1195704" y="1171419"/>
                <a:pt x="1123462" y="1187124"/>
              </a:cubicBezTo>
              <a:cubicBezTo>
                <a:pt x="1107072" y="1190687"/>
                <a:pt x="1096823" y="1208007"/>
                <a:pt x="1081594" y="1215036"/>
              </a:cubicBezTo>
              <a:cubicBezTo>
                <a:pt x="1036102" y="1236032"/>
                <a:pt x="942033" y="1270860"/>
                <a:pt x="942033" y="1270860"/>
              </a:cubicBezTo>
            </a:path>
          </a:pathLst>
        </a:custGeom>
        <a:solidFill>
          <a:srgbClr val="00B0F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86</xdr:col>
      <xdr:colOff>223297</xdr:colOff>
      <xdr:row>61</xdr:row>
      <xdr:rowOff>111271</xdr:rowOff>
    </xdr:from>
    <xdr:to>
      <xdr:col>89</xdr:col>
      <xdr:colOff>258187</xdr:colOff>
      <xdr:row>66</xdr:row>
      <xdr:rowOff>83736</xdr:rowOff>
    </xdr:to>
    <xdr:sp macro="" textlink="">
      <xdr:nvSpPr>
        <xdr:cNvPr id="38" name="Freeform: Shape 37">
          <a:extLst>
            <a:ext uri="{FF2B5EF4-FFF2-40B4-BE49-F238E27FC236}">
              <a16:creationId xmlns:a16="http://schemas.microsoft.com/office/drawing/2014/main" id="{C286C960-478A-4A13-9590-90A4D0C997D8}"/>
            </a:ext>
          </a:extLst>
        </xdr:cNvPr>
        <xdr:cNvSpPr/>
      </xdr:nvSpPr>
      <xdr:spPr>
        <a:xfrm>
          <a:off x="37395220" y="11276106"/>
          <a:ext cx="1856154" cy="879608"/>
        </a:xfrm>
        <a:custGeom>
          <a:avLst/>
          <a:gdLst>
            <a:gd name="connsiteX0" fmla="*/ 1249066 w 1856154"/>
            <a:gd name="connsiteY0" fmla="*/ 851696 h 879608"/>
            <a:gd name="connsiteX1" fmla="*/ 1346758 w 1856154"/>
            <a:gd name="connsiteY1" fmla="*/ 677246 h 879608"/>
            <a:gd name="connsiteX2" fmla="*/ 1395604 w 1856154"/>
            <a:gd name="connsiteY2" fmla="*/ 649334 h 879608"/>
            <a:gd name="connsiteX3" fmla="*/ 1493296 w 1856154"/>
            <a:gd name="connsiteY3" fmla="*/ 600487 h 879608"/>
            <a:gd name="connsiteX4" fmla="*/ 1549121 w 1856154"/>
            <a:gd name="connsiteY4" fmla="*/ 537685 h 879608"/>
            <a:gd name="connsiteX5" fmla="*/ 1618901 w 1856154"/>
            <a:gd name="connsiteY5" fmla="*/ 467905 h 879608"/>
            <a:gd name="connsiteX6" fmla="*/ 1646813 w 1856154"/>
            <a:gd name="connsiteY6" fmla="*/ 433015 h 879608"/>
            <a:gd name="connsiteX7" fmla="*/ 1751483 w 1856154"/>
            <a:gd name="connsiteY7" fmla="*/ 363235 h 879608"/>
            <a:gd name="connsiteX8" fmla="*/ 1800329 w 1856154"/>
            <a:gd name="connsiteY8" fmla="*/ 328345 h 879608"/>
            <a:gd name="connsiteX9" fmla="*/ 1835220 w 1856154"/>
            <a:gd name="connsiteY9" fmla="*/ 279498 h 879608"/>
            <a:gd name="connsiteX10" fmla="*/ 1842198 w 1856154"/>
            <a:gd name="connsiteY10" fmla="*/ 258564 h 879608"/>
            <a:gd name="connsiteX11" fmla="*/ 1856154 w 1856154"/>
            <a:gd name="connsiteY11" fmla="*/ 209718 h 879608"/>
            <a:gd name="connsiteX12" fmla="*/ 1842198 w 1856154"/>
            <a:gd name="connsiteY12" fmla="*/ 105048 h 879608"/>
            <a:gd name="connsiteX13" fmla="*/ 1786373 w 1856154"/>
            <a:gd name="connsiteY13" fmla="*/ 28290 h 879608"/>
            <a:gd name="connsiteX14" fmla="*/ 1611923 w 1856154"/>
            <a:gd name="connsiteY14" fmla="*/ 49224 h 879608"/>
            <a:gd name="connsiteX15" fmla="*/ 1570055 w 1856154"/>
            <a:gd name="connsiteY15" fmla="*/ 63180 h 879608"/>
            <a:gd name="connsiteX16" fmla="*/ 1479340 w 1856154"/>
            <a:gd name="connsiteY16" fmla="*/ 132960 h 879608"/>
            <a:gd name="connsiteX17" fmla="*/ 1325824 w 1856154"/>
            <a:gd name="connsiteY17" fmla="*/ 153894 h 879608"/>
            <a:gd name="connsiteX18" fmla="*/ 1228132 w 1856154"/>
            <a:gd name="connsiteY18" fmla="*/ 181806 h 879608"/>
            <a:gd name="connsiteX19" fmla="*/ 1200220 w 1856154"/>
            <a:gd name="connsiteY19" fmla="*/ 188784 h 879608"/>
            <a:gd name="connsiteX20" fmla="*/ 1109505 w 1856154"/>
            <a:gd name="connsiteY20" fmla="*/ 209718 h 879608"/>
            <a:gd name="connsiteX21" fmla="*/ 1025769 w 1856154"/>
            <a:gd name="connsiteY21" fmla="*/ 216696 h 879608"/>
            <a:gd name="connsiteX22" fmla="*/ 990879 w 1856154"/>
            <a:gd name="connsiteY22" fmla="*/ 223674 h 879608"/>
            <a:gd name="connsiteX23" fmla="*/ 969945 w 1856154"/>
            <a:gd name="connsiteY23" fmla="*/ 230652 h 879608"/>
            <a:gd name="connsiteX24" fmla="*/ 900165 w 1856154"/>
            <a:gd name="connsiteY24" fmla="*/ 244608 h 879608"/>
            <a:gd name="connsiteX25" fmla="*/ 732692 w 1856154"/>
            <a:gd name="connsiteY25" fmla="*/ 216696 h 879608"/>
            <a:gd name="connsiteX26" fmla="*/ 690824 w 1856154"/>
            <a:gd name="connsiteY26" fmla="*/ 202740 h 879608"/>
            <a:gd name="connsiteX27" fmla="*/ 628022 w 1856154"/>
            <a:gd name="connsiteY27" fmla="*/ 160872 h 879608"/>
            <a:gd name="connsiteX28" fmla="*/ 509395 w 1856154"/>
            <a:gd name="connsiteY28" fmla="*/ 119004 h 879608"/>
            <a:gd name="connsiteX29" fmla="*/ 432637 w 1856154"/>
            <a:gd name="connsiteY29" fmla="*/ 91092 h 879608"/>
            <a:gd name="connsiteX30" fmla="*/ 411703 w 1856154"/>
            <a:gd name="connsiteY30" fmla="*/ 84114 h 879608"/>
            <a:gd name="connsiteX31" fmla="*/ 383791 w 1856154"/>
            <a:gd name="connsiteY31" fmla="*/ 70158 h 879608"/>
            <a:gd name="connsiteX32" fmla="*/ 362857 w 1856154"/>
            <a:gd name="connsiteY32" fmla="*/ 56202 h 879608"/>
            <a:gd name="connsiteX33" fmla="*/ 341923 w 1856154"/>
            <a:gd name="connsiteY33" fmla="*/ 49224 h 879608"/>
            <a:gd name="connsiteX34" fmla="*/ 286099 w 1856154"/>
            <a:gd name="connsiteY34" fmla="*/ 28290 h 879608"/>
            <a:gd name="connsiteX35" fmla="*/ 146538 w 1856154"/>
            <a:gd name="connsiteY35" fmla="*/ 14334 h 879608"/>
            <a:gd name="connsiteX36" fmla="*/ 97692 w 1856154"/>
            <a:gd name="connsiteY36" fmla="*/ 378 h 879608"/>
            <a:gd name="connsiteX37" fmla="*/ 48846 w 1856154"/>
            <a:gd name="connsiteY37" fmla="*/ 7356 h 879608"/>
            <a:gd name="connsiteX38" fmla="*/ 20934 w 1856154"/>
            <a:gd name="connsiteY38" fmla="*/ 35268 h 879608"/>
            <a:gd name="connsiteX39" fmla="*/ 0 w 1856154"/>
            <a:gd name="connsiteY39" fmla="*/ 84114 h 879608"/>
            <a:gd name="connsiteX40" fmla="*/ 6978 w 1856154"/>
            <a:gd name="connsiteY40" fmla="*/ 237630 h 879608"/>
            <a:gd name="connsiteX41" fmla="*/ 34890 w 1856154"/>
            <a:gd name="connsiteY41" fmla="*/ 307410 h 879608"/>
            <a:gd name="connsiteX42" fmla="*/ 55824 w 1856154"/>
            <a:gd name="connsiteY42" fmla="*/ 363235 h 879608"/>
            <a:gd name="connsiteX43" fmla="*/ 104670 w 1856154"/>
            <a:gd name="connsiteY43" fmla="*/ 453949 h 879608"/>
            <a:gd name="connsiteX44" fmla="*/ 293077 w 1856154"/>
            <a:gd name="connsiteY44" fmla="*/ 530707 h 879608"/>
            <a:gd name="connsiteX45" fmla="*/ 341923 w 1856154"/>
            <a:gd name="connsiteY45" fmla="*/ 558619 h 879608"/>
            <a:gd name="connsiteX46" fmla="*/ 439615 w 1856154"/>
            <a:gd name="connsiteY46" fmla="*/ 572575 h 879608"/>
            <a:gd name="connsiteX47" fmla="*/ 495439 w 1856154"/>
            <a:gd name="connsiteY47" fmla="*/ 586531 h 879608"/>
            <a:gd name="connsiteX48" fmla="*/ 586154 w 1856154"/>
            <a:gd name="connsiteY48" fmla="*/ 607465 h 879608"/>
            <a:gd name="connsiteX49" fmla="*/ 676868 w 1856154"/>
            <a:gd name="connsiteY49" fmla="*/ 649334 h 879608"/>
            <a:gd name="connsiteX50" fmla="*/ 718736 w 1856154"/>
            <a:gd name="connsiteY50" fmla="*/ 677246 h 879608"/>
            <a:gd name="connsiteX51" fmla="*/ 774560 w 1856154"/>
            <a:gd name="connsiteY51" fmla="*/ 698180 h 879608"/>
            <a:gd name="connsiteX52" fmla="*/ 795494 w 1856154"/>
            <a:gd name="connsiteY52" fmla="*/ 705158 h 879608"/>
            <a:gd name="connsiteX53" fmla="*/ 879231 w 1856154"/>
            <a:gd name="connsiteY53" fmla="*/ 740048 h 879608"/>
            <a:gd name="connsiteX54" fmla="*/ 900165 w 1856154"/>
            <a:gd name="connsiteY54" fmla="*/ 754004 h 879608"/>
            <a:gd name="connsiteX55" fmla="*/ 935055 w 1856154"/>
            <a:gd name="connsiteY55" fmla="*/ 781916 h 879608"/>
            <a:gd name="connsiteX56" fmla="*/ 962967 w 1856154"/>
            <a:gd name="connsiteY56" fmla="*/ 795872 h 879608"/>
            <a:gd name="connsiteX57" fmla="*/ 1004835 w 1856154"/>
            <a:gd name="connsiteY57" fmla="*/ 823784 h 879608"/>
            <a:gd name="connsiteX58" fmla="*/ 1025769 w 1856154"/>
            <a:gd name="connsiteY58" fmla="*/ 830762 h 879608"/>
            <a:gd name="connsiteX59" fmla="*/ 1137417 w 1856154"/>
            <a:gd name="connsiteY59" fmla="*/ 851696 h 879608"/>
            <a:gd name="connsiteX60" fmla="*/ 1172307 w 1856154"/>
            <a:gd name="connsiteY60" fmla="*/ 865652 h 879608"/>
            <a:gd name="connsiteX61" fmla="*/ 1200220 w 1856154"/>
            <a:gd name="connsiteY61" fmla="*/ 872630 h 879608"/>
            <a:gd name="connsiteX62" fmla="*/ 1221154 w 1856154"/>
            <a:gd name="connsiteY62" fmla="*/ 879608 h 879608"/>
            <a:gd name="connsiteX63" fmla="*/ 1276978 w 1856154"/>
            <a:gd name="connsiteY63" fmla="*/ 865652 h 879608"/>
            <a:gd name="connsiteX64" fmla="*/ 1304890 w 1856154"/>
            <a:gd name="connsiteY64" fmla="*/ 844718 h 879608"/>
            <a:gd name="connsiteX65" fmla="*/ 1332802 w 1856154"/>
            <a:gd name="connsiteY65" fmla="*/ 767960 h 879608"/>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Lst>
          <a:rect l="l" t="t" r="r" b="b"/>
          <a:pathLst>
            <a:path w="1856154" h="879608">
              <a:moveTo>
                <a:pt x="1249066" y="851696"/>
              </a:moveTo>
              <a:cubicBezTo>
                <a:pt x="1281630" y="793546"/>
                <a:pt x="1311248" y="733645"/>
                <a:pt x="1346758" y="677246"/>
              </a:cubicBezTo>
              <a:cubicBezTo>
                <a:pt x="1351041" y="670443"/>
                <a:pt x="1391579" y="651011"/>
                <a:pt x="1395604" y="649334"/>
              </a:cubicBezTo>
              <a:cubicBezTo>
                <a:pt x="1448443" y="627317"/>
                <a:pt x="1450667" y="635365"/>
                <a:pt x="1493296" y="600487"/>
              </a:cubicBezTo>
              <a:cubicBezTo>
                <a:pt x="1549286" y="554678"/>
                <a:pt x="1509215" y="580661"/>
                <a:pt x="1549121" y="537685"/>
              </a:cubicBezTo>
              <a:cubicBezTo>
                <a:pt x="1571504" y="513580"/>
                <a:pt x="1598352" y="493591"/>
                <a:pt x="1618901" y="467905"/>
              </a:cubicBezTo>
              <a:cubicBezTo>
                <a:pt x="1628205" y="456275"/>
                <a:pt x="1635254" y="442407"/>
                <a:pt x="1646813" y="433015"/>
              </a:cubicBezTo>
              <a:lnTo>
                <a:pt x="1751483" y="363235"/>
              </a:lnTo>
              <a:cubicBezTo>
                <a:pt x="1763369" y="355311"/>
                <a:pt x="1791674" y="337000"/>
                <a:pt x="1800329" y="328345"/>
              </a:cubicBezTo>
              <a:cubicBezTo>
                <a:pt x="1803490" y="325184"/>
                <a:pt x="1831257" y="287423"/>
                <a:pt x="1835220" y="279498"/>
              </a:cubicBezTo>
              <a:cubicBezTo>
                <a:pt x="1838509" y="272919"/>
                <a:pt x="1840084" y="265609"/>
                <a:pt x="1842198" y="258564"/>
              </a:cubicBezTo>
              <a:cubicBezTo>
                <a:pt x="1847064" y="242345"/>
                <a:pt x="1851502" y="226000"/>
                <a:pt x="1856154" y="209718"/>
              </a:cubicBezTo>
              <a:cubicBezTo>
                <a:pt x="1855871" y="207170"/>
                <a:pt x="1847092" y="117772"/>
                <a:pt x="1842198" y="105048"/>
              </a:cubicBezTo>
              <a:cubicBezTo>
                <a:pt x="1826054" y="63075"/>
                <a:pt x="1814707" y="56624"/>
                <a:pt x="1786373" y="28290"/>
              </a:cubicBezTo>
              <a:cubicBezTo>
                <a:pt x="1728223" y="35268"/>
                <a:pt x="1669743" y="39898"/>
                <a:pt x="1611923" y="49224"/>
              </a:cubicBezTo>
              <a:cubicBezTo>
                <a:pt x="1597400" y="51566"/>
                <a:pt x="1582584" y="55470"/>
                <a:pt x="1570055" y="63180"/>
              </a:cubicBezTo>
              <a:cubicBezTo>
                <a:pt x="1548187" y="76638"/>
                <a:pt x="1507990" y="123913"/>
                <a:pt x="1479340" y="132960"/>
              </a:cubicBezTo>
              <a:cubicBezTo>
                <a:pt x="1456053" y="140314"/>
                <a:pt x="1358279" y="150288"/>
                <a:pt x="1325824" y="153894"/>
              </a:cubicBezTo>
              <a:cubicBezTo>
                <a:pt x="1293260" y="163198"/>
                <a:pt x="1260988" y="173592"/>
                <a:pt x="1228132" y="181806"/>
              </a:cubicBezTo>
              <a:cubicBezTo>
                <a:pt x="1218828" y="184132"/>
                <a:pt x="1209441" y="186149"/>
                <a:pt x="1200220" y="188784"/>
              </a:cubicBezTo>
              <a:cubicBezTo>
                <a:pt x="1153107" y="202244"/>
                <a:pt x="1198346" y="197603"/>
                <a:pt x="1109505" y="209718"/>
              </a:cubicBezTo>
              <a:cubicBezTo>
                <a:pt x="1081753" y="213502"/>
                <a:pt x="1053681" y="214370"/>
                <a:pt x="1025769" y="216696"/>
              </a:cubicBezTo>
              <a:cubicBezTo>
                <a:pt x="1014139" y="219022"/>
                <a:pt x="1002385" y="220797"/>
                <a:pt x="990879" y="223674"/>
              </a:cubicBezTo>
              <a:cubicBezTo>
                <a:pt x="983743" y="225458"/>
                <a:pt x="977112" y="228998"/>
                <a:pt x="969945" y="230652"/>
              </a:cubicBezTo>
              <a:cubicBezTo>
                <a:pt x="946832" y="235986"/>
                <a:pt x="900165" y="244608"/>
                <a:pt x="900165" y="244608"/>
              </a:cubicBezTo>
              <a:cubicBezTo>
                <a:pt x="717103" y="225338"/>
                <a:pt x="819560" y="248284"/>
                <a:pt x="732692" y="216696"/>
              </a:cubicBezTo>
              <a:cubicBezTo>
                <a:pt x="718867" y="211669"/>
                <a:pt x="703804" y="209663"/>
                <a:pt x="690824" y="202740"/>
              </a:cubicBezTo>
              <a:cubicBezTo>
                <a:pt x="668624" y="190900"/>
                <a:pt x="651747" y="169246"/>
                <a:pt x="628022" y="160872"/>
              </a:cubicBezTo>
              <a:lnTo>
                <a:pt x="509395" y="119004"/>
              </a:lnTo>
              <a:lnTo>
                <a:pt x="432637" y="91092"/>
              </a:lnTo>
              <a:cubicBezTo>
                <a:pt x="425710" y="88618"/>
                <a:pt x="418282" y="87403"/>
                <a:pt x="411703" y="84114"/>
              </a:cubicBezTo>
              <a:cubicBezTo>
                <a:pt x="402399" y="79462"/>
                <a:pt x="392823" y="75319"/>
                <a:pt x="383791" y="70158"/>
              </a:cubicBezTo>
              <a:cubicBezTo>
                <a:pt x="376509" y="65997"/>
                <a:pt x="370358" y="59953"/>
                <a:pt x="362857" y="56202"/>
              </a:cubicBezTo>
              <a:cubicBezTo>
                <a:pt x="356278" y="52913"/>
                <a:pt x="348836" y="51738"/>
                <a:pt x="341923" y="49224"/>
              </a:cubicBezTo>
              <a:cubicBezTo>
                <a:pt x="323246" y="42432"/>
                <a:pt x="305663" y="31784"/>
                <a:pt x="286099" y="28290"/>
              </a:cubicBezTo>
              <a:cubicBezTo>
                <a:pt x="240075" y="20071"/>
                <a:pt x="193058" y="18986"/>
                <a:pt x="146538" y="14334"/>
              </a:cubicBezTo>
              <a:cubicBezTo>
                <a:pt x="130256" y="9682"/>
                <a:pt x="114583" y="1584"/>
                <a:pt x="97692" y="378"/>
              </a:cubicBezTo>
              <a:cubicBezTo>
                <a:pt x="81286" y="-794"/>
                <a:pt x="63819" y="550"/>
                <a:pt x="48846" y="7356"/>
              </a:cubicBezTo>
              <a:cubicBezTo>
                <a:pt x="36868" y="12801"/>
                <a:pt x="28829" y="24742"/>
                <a:pt x="20934" y="35268"/>
              </a:cubicBezTo>
              <a:cubicBezTo>
                <a:pt x="10587" y="49064"/>
                <a:pt x="5390" y="67945"/>
                <a:pt x="0" y="84114"/>
              </a:cubicBezTo>
              <a:cubicBezTo>
                <a:pt x="2326" y="135286"/>
                <a:pt x="1521" y="186697"/>
                <a:pt x="6978" y="237630"/>
              </a:cubicBezTo>
              <a:cubicBezTo>
                <a:pt x="10146" y="267197"/>
                <a:pt x="24309" y="282016"/>
                <a:pt x="34890" y="307410"/>
              </a:cubicBezTo>
              <a:cubicBezTo>
                <a:pt x="42534" y="325755"/>
                <a:pt x="48257" y="344858"/>
                <a:pt x="55824" y="363235"/>
              </a:cubicBezTo>
              <a:cubicBezTo>
                <a:pt x="59883" y="373093"/>
                <a:pt x="84498" y="439984"/>
                <a:pt x="104670" y="453949"/>
              </a:cubicBezTo>
              <a:cubicBezTo>
                <a:pt x="201739" y="521151"/>
                <a:pt x="166401" y="458321"/>
                <a:pt x="293077" y="530707"/>
              </a:cubicBezTo>
              <a:cubicBezTo>
                <a:pt x="309359" y="540011"/>
                <a:pt x="324420" y="551887"/>
                <a:pt x="341923" y="558619"/>
              </a:cubicBezTo>
              <a:cubicBezTo>
                <a:pt x="352256" y="562593"/>
                <a:pt x="436067" y="571910"/>
                <a:pt x="439615" y="572575"/>
              </a:cubicBezTo>
              <a:cubicBezTo>
                <a:pt x="458467" y="576110"/>
                <a:pt x="476780" y="582088"/>
                <a:pt x="495439" y="586531"/>
              </a:cubicBezTo>
              <a:cubicBezTo>
                <a:pt x="525628" y="593719"/>
                <a:pt x="557630" y="595240"/>
                <a:pt x="586154" y="607465"/>
              </a:cubicBezTo>
              <a:cubicBezTo>
                <a:pt x="614070" y="619429"/>
                <a:pt x="650225" y="633792"/>
                <a:pt x="676868" y="649334"/>
              </a:cubicBezTo>
              <a:cubicBezTo>
                <a:pt x="691356" y="657786"/>
                <a:pt x="703031" y="671357"/>
                <a:pt x="718736" y="677246"/>
              </a:cubicBezTo>
              <a:lnTo>
                <a:pt x="774560" y="698180"/>
              </a:lnTo>
              <a:cubicBezTo>
                <a:pt x="781473" y="700694"/>
                <a:pt x="788704" y="702329"/>
                <a:pt x="795494" y="705158"/>
              </a:cubicBezTo>
              <a:cubicBezTo>
                <a:pt x="888188" y="743780"/>
                <a:pt x="829123" y="723346"/>
                <a:pt x="879231" y="740048"/>
              </a:cubicBezTo>
              <a:cubicBezTo>
                <a:pt x="886209" y="744700"/>
                <a:pt x="893456" y="748972"/>
                <a:pt x="900165" y="754004"/>
              </a:cubicBezTo>
              <a:cubicBezTo>
                <a:pt x="912080" y="762940"/>
                <a:pt x="922663" y="773654"/>
                <a:pt x="935055" y="781916"/>
              </a:cubicBezTo>
              <a:cubicBezTo>
                <a:pt x="943710" y="787686"/>
                <a:pt x="954047" y="790520"/>
                <a:pt x="962967" y="795872"/>
              </a:cubicBezTo>
              <a:cubicBezTo>
                <a:pt x="977350" y="804502"/>
                <a:pt x="988923" y="818480"/>
                <a:pt x="1004835" y="823784"/>
              </a:cubicBezTo>
              <a:cubicBezTo>
                <a:pt x="1011813" y="826110"/>
                <a:pt x="1018602" y="829108"/>
                <a:pt x="1025769" y="830762"/>
              </a:cubicBezTo>
              <a:cubicBezTo>
                <a:pt x="1069269" y="840800"/>
                <a:pt x="1096101" y="844810"/>
                <a:pt x="1137417" y="851696"/>
              </a:cubicBezTo>
              <a:cubicBezTo>
                <a:pt x="1149047" y="856348"/>
                <a:pt x="1160424" y="861691"/>
                <a:pt x="1172307" y="865652"/>
              </a:cubicBezTo>
              <a:cubicBezTo>
                <a:pt x="1181406" y="868685"/>
                <a:pt x="1190998" y="869995"/>
                <a:pt x="1200220" y="872630"/>
              </a:cubicBezTo>
              <a:cubicBezTo>
                <a:pt x="1207292" y="874651"/>
                <a:pt x="1214176" y="877282"/>
                <a:pt x="1221154" y="879608"/>
              </a:cubicBezTo>
              <a:cubicBezTo>
                <a:pt x="1229989" y="877841"/>
                <a:pt x="1265424" y="872254"/>
                <a:pt x="1276978" y="865652"/>
              </a:cubicBezTo>
              <a:cubicBezTo>
                <a:pt x="1287076" y="859882"/>
                <a:pt x="1295586" y="851696"/>
                <a:pt x="1304890" y="844718"/>
              </a:cubicBezTo>
              <a:lnTo>
                <a:pt x="1332802" y="767960"/>
              </a:lnTo>
            </a:path>
          </a:pathLst>
        </a:custGeom>
        <a:solidFill>
          <a:srgbClr val="FFC00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87</xdr:col>
      <xdr:colOff>13819</xdr:colOff>
      <xdr:row>57</xdr:row>
      <xdr:rowOff>90714</xdr:rowOff>
    </xdr:from>
    <xdr:to>
      <xdr:col>89</xdr:col>
      <xdr:colOff>551308</xdr:colOff>
      <xdr:row>64</xdr:row>
      <xdr:rowOff>69780</xdr:rowOff>
    </xdr:to>
    <xdr:sp macro="" textlink="">
      <xdr:nvSpPr>
        <xdr:cNvPr id="39" name="Freeform: Shape 38">
          <a:extLst>
            <a:ext uri="{FF2B5EF4-FFF2-40B4-BE49-F238E27FC236}">
              <a16:creationId xmlns:a16="http://schemas.microsoft.com/office/drawing/2014/main" id="{66D612CE-4CC1-4968-9738-9C0A8A929E30}"/>
            </a:ext>
          </a:extLst>
        </xdr:cNvPr>
        <xdr:cNvSpPr/>
      </xdr:nvSpPr>
      <xdr:spPr>
        <a:xfrm>
          <a:off x="37792830" y="10529835"/>
          <a:ext cx="1751665" cy="1249066"/>
        </a:xfrm>
        <a:custGeom>
          <a:avLst/>
          <a:gdLst>
            <a:gd name="connsiteX0" fmla="*/ 137 w 1751665"/>
            <a:gd name="connsiteY0" fmla="*/ 718736 h 1249066"/>
            <a:gd name="connsiteX1" fmla="*/ 14093 w 1751665"/>
            <a:gd name="connsiteY1" fmla="*/ 914121 h 1249066"/>
            <a:gd name="connsiteX2" fmla="*/ 55961 w 1751665"/>
            <a:gd name="connsiteY2" fmla="*/ 1004835 h 1249066"/>
            <a:gd name="connsiteX3" fmla="*/ 97829 w 1751665"/>
            <a:gd name="connsiteY3" fmla="*/ 1067638 h 1249066"/>
            <a:gd name="connsiteX4" fmla="*/ 202500 w 1751665"/>
            <a:gd name="connsiteY4" fmla="*/ 1144396 h 1249066"/>
            <a:gd name="connsiteX5" fmla="*/ 223434 w 1751665"/>
            <a:gd name="connsiteY5" fmla="*/ 1179286 h 1249066"/>
            <a:gd name="connsiteX6" fmla="*/ 279258 w 1751665"/>
            <a:gd name="connsiteY6" fmla="*/ 1242088 h 1249066"/>
            <a:gd name="connsiteX7" fmla="*/ 300192 w 1751665"/>
            <a:gd name="connsiteY7" fmla="*/ 1249066 h 1249066"/>
            <a:gd name="connsiteX8" fmla="*/ 383928 w 1751665"/>
            <a:gd name="connsiteY8" fmla="*/ 1242088 h 1249066"/>
            <a:gd name="connsiteX9" fmla="*/ 411840 w 1751665"/>
            <a:gd name="connsiteY9" fmla="*/ 1235110 h 1249066"/>
            <a:gd name="connsiteX10" fmla="*/ 474643 w 1751665"/>
            <a:gd name="connsiteY10" fmla="*/ 1221154 h 1249066"/>
            <a:gd name="connsiteX11" fmla="*/ 509533 w 1751665"/>
            <a:gd name="connsiteY11" fmla="*/ 1193242 h 1249066"/>
            <a:gd name="connsiteX12" fmla="*/ 544423 w 1751665"/>
            <a:gd name="connsiteY12" fmla="*/ 1102528 h 1249066"/>
            <a:gd name="connsiteX13" fmla="*/ 558379 w 1751665"/>
            <a:gd name="connsiteY13" fmla="*/ 1081594 h 1249066"/>
            <a:gd name="connsiteX14" fmla="*/ 579313 w 1751665"/>
            <a:gd name="connsiteY14" fmla="*/ 1032747 h 1249066"/>
            <a:gd name="connsiteX15" fmla="*/ 656071 w 1751665"/>
            <a:gd name="connsiteY15" fmla="*/ 969945 h 1249066"/>
            <a:gd name="connsiteX16" fmla="*/ 677005 w 1751665"/>
            <a:gd name="connsiteY16" fmla="*/ 955989 h 1249066"/>
            <a:gd name="connsiteX17" fmla="*/ 760741 w 1751665"/>
            <a:gd name="connsiteY17" fmla="*/ 914121 h 1249066"/>
            <a:gd name="connsiteX18" fmla="*/ 872390 w 1751665"/>
            <a:gd name="connsiteY18" fmla="*/ 760605 h 1249066"/>
            <a:gd name="connsiteX19" fmla="*/ 893324 w 1751665"/>
            <a:gd name="connsiteY19" fmla="*/ 739670 h 1249066"/>
            <a:gd name="connsiteX20" fmla="*/ 984038 w 1751665"/>
            <a:gd name="connsiteY20" fmla="*/ 704780 h 1249066"/>
            <a:gd name="connsiteX21" fmla="*/ 1088708 w 1751665"/>
            <a:gd name="connsiteY21" fmla="*/ 662912 h 1249066"/>
            <a:gd name="connsiteX22" fmla="*/ 1151511 w 1751665"/>
            <a:gd name="connsiteY22" fmla="*/ 593132 h 1249066"/>
            <a:gd name="connsiteX23" fmla="*/ 1200357 w 1751665"/>
            <a:gd name="connsiteY23" fmla="*/ 537308 h 1249066"/>
            <a:gd name="connsiteX24" fmla="*/ 1346895 w 1751665"/>
            <a:gd name="connsiteY24" fmla="*/ 453572 h 1249066"/>
            <a:gd name="connsiteX25" fmla="*/ 1409697 w 1751665"/>
            <a:gd name="connsiteY25" fmla="*/ 411703 h 1249066"/>
            <a:gd name="connsiteX26" fmla="*/ 1423654 w 1751665"/>
            <a:gd name="connsiteY26" fmla="*/ 397747 h 1249066"/>
            <a:gd name="connsiteX27" fmla="*/ 1451566 w 1751665"/>
            <a:gd name="connsiteY27" fmla="*/ 376813 h 1249066"/>
            <a:gd name="connsiteX28" fmla="*/ 1465522 w 1751665"/>
            <a:gd name="connsiteY28" fmla="*/ 355879 h 1249066"/>
            <a:gd name="connsiteX29" fmla="*/ 1549258 w 1751665"/>
            <a:gd name="connsiteY29" fmla="*/ 286099 h 1249066"/>
            <a:gd name="connsiteX30" fmla="*/ 1577170 w 1751665"/>
            <a:gd name="connsiteY30" fmla="*/ 272143 h 1249066"/>
            <a:gd name="connsiteX31" fmla="*/ 1681840 w 1751665"/>
            <a:gd name="connsiteY31" fmla="*/ 195385 h 1249066"/>
            <a:gd name="connsiteX32" fmla="*/ 1744643 w 1751665"/>
            <a:gd name="connsiteY32" fmla="*/ 111649 h 1249066"/>
            <a:gd name="connsiteX33" fmla="*/ 1744643 w 1751665"/>
            <a:gd name="connsiteY33" fmla="*/ 20934 h 1249066"/>
            <a:gd name="connsiteX34" fmla="*/ 1709752 w 1751665"/>
            <a:gd name="connsiteY34" fmla="*/ 0 h 1249066"/>
            <a:gd name="connsiteX35" fmla="*/ 1632994 w 1751665"/>
            <a:gd name="connsiteY35" fmla="*/ 20934 h 1249066"/>
            <a:gd name="connsiteX36" fmla="*/ 1486456 w 1751665"/>
            <a:gd name="connsiteY36" fmla="*/ 34890 h 1249066"/>
            <a:gd name="connsiteX37" fmla="*/ 1430632 w 1751665"/>
            <a:gd name="connsiteY37" fmla="*/ 48846 h 1249066"/>
            <a:gd name="connsiteX38" fmla="*/ 1402719 w 1751665"/>
            <a:gd name="connsiteY38" fmla="*/ 62802 h 1249066"/>
            <a:gd name="connsiteX39" fmla="*/ 1172445 w 1751665"/>
            <a:gd name="connsiteY39" fmla="*/ 97692 h 1249066"/>
            <a:gd name="connsiteX40" fmla="*/ 1144533 w 1751665"/>
            <a:gd name="connsiteY40" fmla="*/ 111649 h 1249066"/>
            <a:gd name="connsiteX41" fmla="*/ 1123599 w 1751665"/>
            <a:gd name="connsiteY41" fmla="*/ 125605 h 1249066"/>
            <a:gd name="connsiteX42" fmla="*/ 1095686 w 1751665"/>
            <a:gd name="connsiteY42" fmla="*/ 132583 h 1249066"/>
            <a:gd name="connsiteX43" fmla="*/ 984038 w 1751665"/>
            <a:gd name="connsiteY43" fmla="*/ 167473 h 1249066"/>
            <a:gd name="connsiteX44" fmla="*/ 893324 w 1751665"/>
            <a:gd name="connsiteY44" fmla="*/ 209341 h 1249066"/>
            <a:gd name="connsiteX45" fmla="*/ 851456 w 1751665"/>
            <a:gd name="connsiteY45" fmla="*/ 258187 h 1249066"/>
            <a:gd name="connsiteX46" fmla="*/ 795632 w 1751665"/>
            <a:gd name="connsiteY46" fmla="*/ 348901 h 1249066"/>
            <a:gd name="connsiteX47" fmla="*/ 649093 w 1751665"/>
            <a:gd name="connsiteY47" fmla="*/ 404725 h 1249066"/>
            <a:gd name="connsiteX48" fmla="*/ 600247 w 1751665"/>
            <a:gd name="connsiteY48" fmla="*/ 425660 h 1249066"/>
            <a:gd name="connsiteX49" fmla="*/ 544423 w 1751665"/>
            <a:gd name="connsiteY49" fmla="*/ 467528 h 1249066"/>
            <a:gd name="connsiteX50" fmla="*/ 474643 w 1751665"/>
            <a:gd name="connsiteY50" fmla="*/ 523352 h 1249066"/>
            <a:gd name="connsiteX51" fmla="*/ 397884 w 1751665"/>
            <a:gd name="connsiteY51" fmla="*/ 558242 h 1249066"/>
            <a:gd name="connsiteX52" fmla="*/ 376950 w 1751665"/>
            <a:gd name="connsiteY52" fmla="*/ 572198 h 1249066"/>
            <a:gd name="connsiteX53" fmla="*/ 342060 w 1751665"/>
            <a:gd name="connsiteY53" fmla="*/ 586154 h 1249066"/>
            <a:gd name="connsiteX54" fmla="*/ 293214 w 1751665"/>
            <a:gd name="connsiteY54" fmla="*/ 621044 h 1249066"/>
            <a:gd name="connsiteX55" fmla="*/ 237390 w 1751665"/>
            <a:gd name="connsiteY55" fmla="*/ 662912 h 1249066"/>
            <a:gd name="connsiteX56" fmla="*/ 216456 w 1751665"/>
            <a:gd name="connsiteY56" fmla="*/ 669890 h 1249066"/>
            <a:gd name="connsiteX57" fmla="*/ 42005 w 1751665"/>
            <a:gd name="connsiteY57" fmla="*/ 704780 h 1249066"/>
            <a:gd name="connsiteX58" fmla="*/ 21071 w 1751665"/>
            <a:gd name="connsiteY58" fmla="*/ 711758 h 1249066"/>
            <a:gd name="connsiteX59" fmla="*/ 137 w 1751665"/>
            <a:gd name="connsiteY59" fmla="*/ 718736 h 124906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Lst>
          <a:rect l="l" t="t" r="r" b="b"/>
          <a:pathLst>
            <a:path w="1751665" h="1249066">
              <a:moveTo>
                <a:pt x="137" y="718736"/>
              </a:moveTo>
              <a:cubicBezTo>
                <a:pt x="-1026" y="752463"/>
                <a:pt x="5349" y="849415"/>
                <a:pt x="14093" y="914121"/>
              </a:cubicBezTo>
              <a:cubicBezTo>
                <a:pt x="23586" y="984372"/>
                <a:pt x="29755" y="961159"/>
                <a:pt x="55961" y="1004835"/>
              </a:cubicBezTo>
              <a:cubicBezTo>
                <a:pt x="72908" y="1033079"/>
                <a:pt x="71175" y="1049869"/>
                <a:pt x="97829" y="1067638"/>
              </a:cubicBezTo>
              <a:cubicBezTo>
                <a:pt x="165359" y="1112658"/>
                <a:pt x="154022" y="1085145"/>
                <a:pt x="202500" y="1144396"/>
              </a:cubicBezTo>
              <a:cubicBezTo>
                <a:pt x="211088" y="1154893"/>
                <a:pt x="216152" y="1167844"/>
                <a:pt x="223434" y="1179286"/>
              </a:cubicBezTo>
              <a:cubicBezTo>
                <a:pt x="244698" y="1212702"/>
                <a:pt x="247010" y="1223661"/>
                <a:pt x="279258" y="1242088"/>
              </a:cubicBezTo>
              <a:cubicBezTo>
                <a:pt x="285644" y="1245737"/>
                <a:pt x="293214" y="1246740"/>
                <a:pt x="300192" y="1249066"/>
              </a:cubicBezTo>
              <a:cubicBezTo>
                <a:pt x="328104" y="1246740"/>
                <a:pt x="356136" y="1245562"/>
                <a:pt x="383928" y="1242088"/>
              </a:cubicBezTo>
              <a:cubicBezTo>
                <a:pt x="393444" y="1240898"/>
                <a:pt x="402495" y="1237266"/>
                <a:pt x="411840" y="1235110"/>
              </a:cubicBezTo>
              <a:lnTo>
                <a:pt x="474643" y="1221154"/>
              </a:lnTo>
              <a:cubicBezTo>
                <a:pt x="486273" y="1211850"/>
                <a:pt x="501982" y="1206079"/>
                <a:pt x="509533" y="1193242"/>
              </a:cubicBezTo>
              <a:cubicBezTo>
                <a:pt x="525959" y="1165318"/>
                <a:pt x="531437" y="1132209"/>
                <a:pt x="544423" y="1102528"/>
              </a:cubicBezTo>
              <a:cubicBezTo>
                <a:pt x="547784" y="1094845"/>
                <a:pt x="554628" y="1089095"/>
                <a:pt x="558379" y="1081594"/>
              </a:cubicBezTo>
              <a:cubicBezTo>
                <a:pt x="566301" y="1065750"/>
                <a:pt x="567648" y="1046079"/>
                <a:pt x="579313" y="1032747"/>
              </a:cubicBezTo>
              <a:cubicBezTo>
                <a:pt x="601082" y="1007868"/>
                <a:pt x="630076" y="990369"/>
                <a:pt x="656071" y="969945"/>
              </a:cubicBezTo>
              <a:cubicBezTo>
                <a:pt x="662665" y="964764"/>
                <a:pt x="669504" y="959740"/>
                <a:pt x="677005" y="955989"/>
              </a:cubicBezTo>
              <a:cubicBezTo>
                <a:pt x="770959" y="909012"/>
                <a:pt x="712147" y="946517"/>
                <a:pt x="760741" y="914121"/>
              </a:cubicBezTo>
              <a:cubicBezTo>
                <a:pt x="773198" y="896681"/>
                <a:pt x="847688" y="790797"/>
                <a:pt x="872390" y="760605"/>
              </a:cubicBezTo>
              <a:cubicBezTo>
                <a:pt x="878639" y="752967"/>
                <a:pt x="884800" y="744643"/>
                <a:pt x="893324" y="739670"/>
              </a:cubicBezTo>
              <a:cubicBezTo>
                <a:pt x="984625" y="686410"/>
                <a:pt x="925639" y="726295"/>
                <a:pt x="984038" y="704780"/>
              </a:cubicBezTo>
              <a:cubicBezTo>
                <a:pt x="1019299" y="691789"/>
                <a:pt x="1053818" y="676868"/>
                <a:pt x="1088708" y="662912"/>
              </a:cubicBezTo>
              <a:cubicBezTo>
                <a:pt x="1115097" y="636524"/>
                <a:pt x="1117319" y="634923"/>
                <a:pt x="1151511" y="593132"/>
              </a:cubicBezTo>
              <a:cubicBezTo>
                <a:pt x="1174735" y="564747"/>
                <a:pt x="1159253" y="565902"/>
                <a:pt x="1200357" y="537308"/>
              </a:cubicBezTo>
              <a:cubicBezTo>
                <a:pt x="1301465" y="466972"/>
                <a:pt x="1284025" y="474529"/>
                <a:pt x="1346895" y="453572"/>
              </a:cubicBezTo>
              <a:cubicBezTo>
                <a:pt x="1367829" y="439616"/>
                <a:pt x="1389349" y="426501"/>
                <a:pt x="1409697" y="411703"/>
              </a:cubicBezTo>
              <a:cubicBezTo>
                <a:pt x="1415018" y="407833"/>
                <a:pt x="1418600" y="401959"/>
                <a:pt x="1423654" y="397747"/>
              </a:cubicBezTo>
              <a:cubicBezTo>
                <a:pt x="1432589" y="390302"/>
                <a:pt x="1443342" y="385037"/>
                <a:pt x="1451566" y="376813"/>
              </a:cubicBezTo>
              <a:cubicBezTo>
                <a:pt x="1457496" y="370883"/>
                <a:pt x="1459376" y="361586"/>
                <a:pt x="1465522" y="355879"/>
              </a:cubicBezTo>
              <a:cubicBezTo>
                <a:pt x="1492147" y="331156"/>
                <a:pt x="1520191" y="307899"/>
                <a:pt x="1549258" y="286099"/>
              </a:cubicBezTo>
              <a:cubicBezTo>
                <a:pt x="1557580" y="279858"/>
                <a:pt x="1568585" y="278017"/>
                <a:pt x="1577170" y="272143"/>
              </a:cubicBezTo>
              <a:cubicBezTo>
                <a:pt x="1612878" y="247711"/>
                <a:pt x="1648745" y="223254"/>
                <a:pt x="1681840" y="195385"/>
              </a:cubicBezTo>
              <a:cubicBezTo>
                <a:pt x="1692703" y="186237"/>
                <a:pt x="1740792" y="117040"/>
                <a:pt x="1744643" y="111649"/>
              </a:cubicBezTo>
              <a:cubicBezTo>
                <a:pt x="1746473" y="97009"/>
                <a:pt x="1759485" y="40723"/>
                <a:pt x="1744643" y="20934"/>
              </a:cubicBezTo>
              <a:cubicBezTo>
                <a:pt x="1736505" y="10084"/>
                <a:pt x="1721382" y="6978"/>
                <a:pt x="1709752" y="0"/>
              </a:cubicBezTo>
              <a:cubicBezTo>
                <a:pt x="1684166" y="6978"/>
                <a:pt x="1658809" y="14860"/>
                <a:pt x="1632994" y="20934"/>
              </a:cubicBezTo>
              <a:cubicBezTo>
                <a:pt x="1587711" y="31589"/>
                <a:pt x="1528439" y="32091"/>
                <a:pt x="1486456" y="34890"/>
              </a:cubicBezTo>
              <a:cubicBezTo>
                <a:pt x="1467848" y="39542"/>
                <a:pt x="1448828" y="42781"/>
                <a:pt x="1430632" y="48846"/>
              </a:cubicBezTo>
              <a:cubicBezTo>
                <a:pt x="1420763" y="52136"/>
                <a:pt x="1412940" y="60868"/>
                <a:pt x="1402719" y="62802"/>
              </a:cubicBezTo>
              <a:cubicBezTo>
                <a:pt x="1326438" y="77233"/>
                <a:pt x="1172445" y="97692"/>
                <a:pt x="1172445" y="97692"/>
              </a:cubicBezTo>
              <a:cubicBezTo>
                <a:pt x="1163141" y="102344"/>
                <a:pt x="1153565" y="106488"/>
                <a:pt x="1144533" y="111649"/>
              </a:cubicBezTo>
              <a:cubicBezTo>
                <a:pt x="1137252" y="115810"/>
                <a:pt x="1131307" y="122301"/>
                <a:pt x="1123599" y="125605"/>
              </a:cubicBezTo>
              <a:cubicBezTo>
                <a:pt x="1114784" y="129383"/>
                <a:pt x="1104872" y="129827"/>
                <a:pt x="1095686" y="132583"/>
              </a:cubicBezTo>
              <a:cubicBezTo>
                <a:pt x="1058340" y="143787"/>
                <a:pt x="1019440" y="151134"/>
                <a:pt x="984038" y="167473"/>
              </a:cubicBezTo>
              <a:lnTo>
                <a:pt x="893324" y="209341"/>
              </a:lnTo>
              <a:cubicBezTo>
                <a:pt x="879368" y="225623"/>
                <a:pt x="863754" y="240619"/>
                <a:pt x="851456" y="258187"/>
              </a:cubicBezTo>
              <a:cubicBezTo>
                <a:pt x="815750" y="309195"/>
                <a:pt x="924929" y="260979"/>
                <a:pt x="795632" y="348901"/>
              </a:cubicBezTo>
              <a:cubicBezTo>
                <a:pt x="708458" y="408179"/>
                <a:pt x="705230" y="382270"/>
                <a:pt x="649093" y="404725"/>
              </a:cubicBezTo>
              <a:cubicBezTo>
                <a:pt x="632646" y="411304"/>
                <a:pt x="615437" y="416546"/>
                <a:pt x="600247" y="425660"/>
              </a:cubicBezTo>
              <a:cubicBezTo>
                <a:pt x="580302" y="437627"/>
                <a:pt x="562586" y="452998"/>
                <a:pt x="544423" y="467528"/>
              </a:cubicBezTo>
              <a:cubicBezTo>
                <a:pt x="533779" y="476043"/>
                <a:pt x="495990" y="512679"/>
                <a:pt x="474643" y="523352"/>
              </a:cubicBezTo>
              <a:cubicBezTo>
                <a:pt x="449505" y="535921"/>
                <a:pt x="423022" y="545673"/>
                <a:pt x="397884" y="558242"/>
              </a:cubicBezTo>
              <a:cubicBezTo>
                <a:pt x="390383" y="561993"/>
                <a:pt x="384451" y="568447"/>
                <a:pt x="376950" y="572198"/>
              </a:cubicBezTo>
              <a:cubicBezTo>
                <a:pt x="365747" y="577800"/>
                <a:pt x="352880" y="579843"/>
                <a:pt x="342060" y="586154"/>
              </a:cubicBezTo>
              <a:cubicBezTo>
                <a:pt x="324777" y="596236"/>
                <a:pt x="309221" y="609039"/>
                <a:pt x="293214" y="621044"/>
              </a:cubicBezTo>
              <a:cubicBezTo>
                <a:pt x="282944" y="628747"/>
                <a:pt x="253166" y="655024"/>
                <a:pt x="237390" y="662912"/>
              </a:cubicBezTo>
              <a:cubicBezTo>
                <a:pt x="230811" y="666201"/>
                <a:pt x="223528" y="667869"/>
                <a:pt x="216456" y="669890"/>
              </a:cubicBezTo>
              <a:cubicBezTo>
                <a:pt x="117825" y="698070"/>
                <a:pt x="153717" y="688821"/>
                <a:pt x="42005" y="704780"/>
              </a:cubicBezTo>
              <a:cubicBezTo>
                <a:pt x="35027" y="707106"/>
                <a:pt x="27650" y="708469"/>
                <a:pt x="21071" y="711758"/>
              </a:cubicBezTo>
              <a:cubicBezTo>
                <a:pt x="5290" y="719648"/>
                <a:pt x="1300" y="685009"/>
                <a:pt x="137" y="718736"/>
              </a:cubicBezTo>
              <a:close/>
            </a:path>
          </a:pathLst>
        </a:custGeom>
        <a:solidFill>
          <a:srgbClr val="C0000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twoCellAnchor>
    <xdr:from>
      <xdr:col>85</xdr:col>
      <xdr:colOff>599942</xdr:colOff>
      <xdr:row>58</xdr:row>
      <xdr:rowOff>62803</xdr:rowOff>
    </xdr:from>
    <xdr:to>
      <xdr:col>90</xdr:col>
      <xdr:colOff>216318</xdr:colOff>
      <xdr:row>65</xdr:row>
      <xdr:rowOff>76759</xdr:rowOff>
    </xdr:to>
    <xdr:sp macro="" textlink="">
      <xdr:nvSpPr>
        <xdr:cNvPr id="40" name="Freeform: Shape 39">
          <a:extLst>
            <a:ext uri="{FF2B5EF4-FFF2-40B4-BE49-F238E27FC236}">
              <a16:creationId xmlns:a16="http://schemas.microsoft.com/office/drawing/2014/main" id="{2D1D46A6-D882-416A-8166-95E51D7F6728}"/>
            </a:ext>
          </a:extLst>
        </xdr:cNvPr>
        <xdr:cNvSpPr/>
      </xdr:nvSpPr>
      <xdr:spPr>
        <a:xfrm>
          <a:off x="37164777" y="10683352"/>
          <a:ext cx="2651816" cy="1283956"/>
        </a:xfrm>
        <a:custGeom>
          <a:avLst/>
          <a:gdLst>
            <a:gd name="connsiteX0" fmla="*/ 2351761 w 2651816"/>
            <a:gd name="connsiteY0" fmla="*/ 1276978 h 1283956"/>
            <a:gd name="connsiteX1" fmla="*/ 2156377 w 2651816"/>
            <a:gd name="connsiteY1" fmla="*/ 1283956 h 1283956"/>
            <a:gd name="connsiteX2" fmla="*/ 2135443 w 2651816"/>
            <a:gd name="connsiteY2" fmla="*/ 1276978 h 1283956"/>
            <a:gd name="connsiteX3" fmla="*/ 2093575 w 2651816"/>
            <a:gd name="connsiteY3" fmla="*/ 1270000 h 1283956"/>
            <a:gd name="connsiteX4" fmla="*/ 2065663 w 2651816"/>
            <a:gd name="connsiteY4" fmla="*/ 1263022 h 1283956"/>
            <a:gd name="connsiteX5" fmla="*/ 1926102 w 2651816"/>
            <a:gd name="connsiteY5" fmla="*/ 1256044 h 1283956"/>
            <a:gd name="connsiteX6" fmla="*/ 1786542 w 2651816"/>
            <a:gd name="connsiteY6" fmla="*/ 1263022 h 1283956"/>
            <a:gd name="connsiteX7" fmla="*/ 1507421 w 2651816"/>
            <a:gd name="connsiteY7" fmla="*/ 1242088 h 1283956"/>
            <a:gd name="connsiteX8" fmla="*/ 1284124 w 2651816"/>
            <a:gd name="connsiteY8" fmla="*/ 1200219 h 1283956"/>
            <a:gd name="connsiteX9" fmla="*/ 1179454 w 2651816"/>
            <a:gd name="connsiteY9" fmla="*/ 1172307 h 1283956"/>
            <a:gd name="connsiteX10" fmla="*/ 991047 w 2651816"/>
            <a:gd name="connsiteY10" fmla="*/ 1144395 h 1283956"/>
            <a:gd name="connsiteX11" fmla="*/ 935223 w 2651816"/>
            <a:gd name="connsiteY11" fmla="*/ 1137417 h 1283956"/>
            <a:gd name="connsiteX12" fmla="*/ 865443 w 2651816"/>
            <a:gd name="connsiteY12" fmla="*/ 1123461 h 1283956"/>
            <a:gd name="connsiteX13" fmla="*/ 844509 w 2651816"/>
            <a:gd name="connsiteY13" fmla="*/ 1116483 h 1283956"/>
            <a:gd name="connsiteX14" fmla="*/ 746816 w 2651816"/>
            <a:gd name="connsiteY14" fmla="*/ 1109505 h 1283956"/>
            <a:gd name="connsiteX15" fmla="*/ 635168 w 2651816"/>
            <a:gd name="connsiteY15" fmla="*/ 1081593 h 1283956"/>
            <a:gd name="connsiteX16" fmla="*/ 474674 w 2651816"/>
            <a:gd name="connsiteY16" fmla="*/ 1032747 h 1283956"/>
            <a:gd name="connsiteX17" fmla="*/ 342091 w 2651816"/>
            <a:gd name="connsiteY17" fmla="*/ 969945 h 1283956"/>
            <a:gd name="connsiteX18" fmla="*/ 265333 w 2651816"/>
            <a:gd name="connsiteY18" fmla="*/ 914121 h 1283956"/>
            <a:gd name="connsiteX19" fmla="*/ 244399 w 2651816"/>
            <a:gd name="connsiteY19" fmla="*/ 907143 h 1283956"/>
            <a:gd name="connsiteX20" fmla="*/ 49014 w 2651816"/>
            <a:gd name="connsiteY20" fmla="*/ 858296 h 1283956"/>
            <a:gd name="connsiteX21" fmla="*/ 14124 w 2651816"/>
            <a:gd name="connsiteY21" fmla="*/ 837362 h 1283956"/>
            <a:gd name="connsiteX22" fmla="*/ 168 w 2651816"/>
            <a:gd name="connsiteY22" fmla="*/ 781538 h 1283956"/>
            <a:gd name="connsiteX23" fmla="*/ 14124 w 2651816"/>
            <a:gd name="connsiteY23" fmla="*/ 697802 h 1283956"/>
            <a:gd name="connsiteX24" fmla="*/ 42036 w 2651816"/>
            <a:gd name="connsiteY24" fmla="*/ 641978 h 1283956"/>
            <a:gd name="connsiteX25" fmla="*/ 216487 w 2651816"/>
            <a:gd name="connsiteY25" fmla="*/ 607088 h 1283956"/>
            <a:gd name="connsiteX26" fmla="*/ 286267 w 2651816"/>
            <a:gd name="connsiteY26" fmla="*/ 593132 h 1283956"/>
            <a:gd name="connsiteX27" fmla="*/ 376981 w 2651816"/>
            <a:gd name="connsiteY27" fmla="*/ 586153 h 1283956"/>
            <a:gd name="connsiteX28" fmla="*/ 607256 w 2651816"/>
            <a:gd name="connsiteY28" fmla="*/ 572197 h 1283956"/>
            <a:gd name="connsiteX29" fmla="*/ 753794 w 2651816"/>
            <a:gd name="connsiteY29" fmla="*/ 551263 h 1283956"/>
            <a:gd name="connsiteX30" fmla="*/ 781707 w 2651816"/>
            <a:gd name="connsiteY30" fmla="*/ 544285 h 1283956"/>
            <a:gd name="connsiteX31" fmla="*/ 921267 w 2651816"/>
            <a:gd name="connsiteY31" fmla="*/ 516373 h 1283956"/>
            <a:gd name="connsiteX32" fmla="*/ 963135 w 2651816"/>
            <a:gd name="connsiteY32" fmla="*/ 509395 h 1283956"/>
            <a:gd name="connsiteX33" fmla="*/ 991047 w 2651816"/>
            <a:gd name="connsiteY33" fmla="*/ 502417 h 1283956"/>
            <a:gd name="connsiteX34" fmla="*/ 1144564 w 2651816"/>
            <a:gd name="connsiteY34" fmla="*/ 481483 h 1283956"/>
            <a:gd name="connsiteX35" fmla="*/ 1256212 w 2651816"/>
            <a:gd name="connsiteY35" fmla="*/ 446593 h 1283956"/>
            <a:gd name="connsiteX36" fmla="*/ 1395772 w 2651816"/>
            <a:gd name="connsiteY36" fmla="*/ 411703 h 1283956"/>
            <a:gd name="connsiteX37" fmla="*/ 1514399 w 2651816"/>
            <a:gd name="connsiteY37" fmla="*/ 348901 h 1283956"/>
            <a:gd name="connsiteX38" fmla="*/ 1674893 w 2651816"/>
            <a:gd name="connsiteY38" fmla="*/ 300055 h 1283956"/>
            <a:gd name="connsiteX39" fmla="*/ 1702805 w 2651816"/>
            <a:gd name="connsiteY39" fmla="*/ 293077 h 1283956"/>
            <a:gd name="connsiteX40" fmla="*/ 1779564 w 2651816"/>
            <a:gd name="connsiteY40" fmla="*/ 272143 h 1283956"/>
            <a:gd name="connsiteX41" fmla="*/ 1835388 w 2651816"/>
            <a:gd name="connsiteY41" fmla="*/ 237252 h 1283956"/>
            <a:gd name="connsiteX42" fmla="*/ 1974948 w 2651816"/>
            <a:gd name="connsiteY42" fmla="*/ 202362 h 1283956"/>
            <a:gd name="connsiteX43" fmla="*/ 1995882 w 2651816"/>
            <a:gd name="connsiteY43" fmla="*/ 195384 h 1283956"/>
            <a:gd name="connsiteX44" fmla="*/ 2065663 w 2651816"/>
            <a:gd name="connsiteY44" fmla="*/ 153516 h 1283956"/>
            <a:gd name="connsiteX45" fmla="*/ 2121487 w 2651816"/>
            <a:gd name="connsiteY45" fmla="*/ 118626 h 1283956"/>
            <a:gd name="connsiteX46" fmla="*/ 2275003 w 2651816"/>
            <a:gd name="connsiteY46" fmla="*/ 76758 h 1283956"/>
            <a:gd name="connsiteX47" fmla="*/ 2337805 w 2651816"/>
            <a:gd name="connsiteY47" fmla="*/ 55824 h 1283956"/>
            <a:gd name="connsiteX48" fmla="*/ 2372696 w 2651816"/>
            <a:gd name="connsiteY48" fmla="*/ 41868 h 1283956"/>
            <a:gd name="connsiteX49" fmla="*/ 2589014 w 2651816"/>
            <a:gd name="connsiteY49" fmla="*/ 0 h 1283956"/>
            <a:gd name="connsiteX50" fmla="*/ 2616926 w 2651816"/>
            <a:gd name="connsiteY50" fmla="*/ 13956 h 1283956"/>
            <a:gd name="connsiteX51" fmla="*/ 2651816 w 2651816"/>
            <a:gd name="connsiteY51" fmla="*/ 111648 h 1283956"/>
            <a:gd name="connsiteX52" fmla="*/ 2644838 w 2651816"/>
            <a:gd name="connsiteY52" fmla="*/ 230274 h 1283956"/>
            <a:gd name="connsiteX53" fmla="*/ 2623904 w 2651816"/>
            <a:gd name="connsiteY53" fmla="*/ 355879 h 1283956"/>
            <a:gd name="connsiteX54" fmla="*/ 2609948 w 2651816"/>
            <a:gd name="connsiteY54" fmla="*/ 551263 h 1283956"/>
            <a:gd name="connsiteX55" fmla="*/ 2589014 w 2651816"/>
            <a:gd name="connsiteY55" fmla="*/ 844340 h 1283956"/>
            <a:gd name="connsiteX56" fmla="*/ 2575058 w 2651816"/>
            <a:gd name="connsiteY56" fmla="*/ 962967 h 1283956"/>
            <a:gd name="connsiteX57" fmla="*/ 2519234 w 2651816"/>
            <a:gd name="connsiteY57" fmla="*/ 1116483 h 1283956"/>
            <a:gd name="connsiteX58" fmla="*/ 2428520 w 2651816"/>
            <a:gd name="connsiteY58" fmla="*/ 1207197 h 1283956"/>
            <a:gd name="connsiteX59" fmla="*/ 2407586 w 2651816"/>
            <a:gd name="connsiteY59" fmla="*/ 1228132 h 1283956"/>
            <a:gd name="connsiteX60" fmla="*/ 2316871 w 2651816"/>
            <a:gd name="connsiteY60" fmla="*/ 1228132 h 1283956"/>
            <a:gd name="connsiteX61" fmla="*/ 2268025 w 2651816"/>
            <a:gd name="connsiteY61" fmla="*/ 1242088 h 1283956"/>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Lst>
          <a:rect l="l" t="t" r="r" b="b"/>
          <a:pathLst>
            <a:path w="2651816" h="1283956">
              <a:moveTo>
                <a:pt x="2351761" y="1276978"/>
              </a:moveTo>
              <a:cubicBezTo>
                <a:pt x="2286633" y="1279304"/>
                <a:pt x="2221547" y="1283956"/>
                <a:pt x="2156377" y="1283956"/>
              </a:cubicBezTo>
              <a:cubicBezTo>
                <a:pt x="2149022" y="1283956"/>
                <a:pt x="2142623" y="1278574"/>
                <a:pt x="2135443" y="1276978"/>
              </a:cubicBezTo>
              <a:cubicBezTo>
                <a:pt x="2121631" y="1273909"/>
                <a:pt x="2107449" y="1272775"/>
                <a:pt x="2093575" y="1270000"/>
              </a:cubicBezTo>
              <a:cubicBezTo>
                <a:pt x="2084171" y="1268119"/>
                <a:pt x="2075220" y="1263818"/>
                <a:pt x="2065663" y="1263022"/>
              </a:cubicBezTo>
              <a:cubicBezTo>
                <a:pt x="2019245" y="1259154"/>
                <a:pt x="1972622" y="1258370"/>
                <a:pt x="1926102" y="1256044"/>
              </a:cubicBezTo>
              <a:cubicBezTo>
                <a:pt x="1879582" y="1258370"/>
                <a:pt x="1833094" y="1264574"/>
                <a:pt x="1786542" y="1263022"/>
              </a:cubicBezTo>
              <a:cubicBezTo>
                <a:pt x="1693292" y="1259914"/>
                <a:pt x="1507421" y="1242088"/>
                <a:pt x="1507421" y="1242088"/>
              </a:cubicBezTo>
              <a:cubicBezTo>
                <a:pt x="1393435" y="1204093"/>
                <a:pt x="1538616" y="1249877"/>
                <a:pt x="1284124" y="1200219"/>
              </a:cubicBezTo>
              <a:cubicBezTo>
                <a:pt x="1248683" y="1193304"/>
                <a:pt x="1215173" y="1177599"/>
                <a:pt x="1179454" y="1172307"/>
              </a:cubicBezTo>
              <a:cubicBezTo>
                <a:pt x="1116652" y="1163003"/>
                <a:pt x="1054045" y="1152270"/>
                <a:pt x="991047" y="1144395"/>
              </a:cubicBezTo>
              <a:cubicBezTo>
                <a:pt x="972439" y="1142069"/>
                <a:pt x="953721" y="1140500"/>
                <a:pt x="935223" y="1137417"/>
              </a:cubicBezTo>
              <a:cubicBezTo>
                <a:pt x="911825" y="1133517"/>
                <a:pt x="888556" y="1128795"/>
                <a:pt x="865443" y="1123461"/>
              </a:cubicBezTo>
              <a:cubicBezTo>
                <a:pt x="858276" y="1121807"/>
                <a:pt x="851814" y="1117342"/>
                <a:pt x="844509" y="1116483"/>
              </a:cubicBezTo>
              <a:cubicBezTo>
                <a:pt x="812085" y="1112668"/>
                <a:pt x="779380" y="1111831"/>
                <a:pt x="746816" y="1109505"/>
              </a:cubicBezTo>
              <a:cubicBezTo>
                <a:pt x="709600" y="1100201"/>
                <a:pt x="671220" y="1094703"/>
                <a:pt x="635168" y="1081593"/>
              </a:cubicBezTo>
              <a:cubicBezTo>
                <a:pt x="531371" y="1043849"/>
                <a:pt x="584822" y="1060284"/>
                <a:pt x="474674" y="1032747"/>
              </a:cubicBezTo>
              <a:cubicBezTo>
                <a:pt x="393755" y="978803"/>
                <a:pt x="588249" y="1106699"/>
                <a:pt x="342091" y="969945"/>
              </a:cubicBezTo>
              <a:cubicBezTo>
                <a:pt x="314435" y="954581"/>
                <a:pt x="291945" y="931229"/>
                <a:pt x="265333" y="914121"/>
              </a:cubicBezTo>
              <a:cubicBezTo>
                <a:pt x="259146" y="910143"/>
                <a:pt x="251471" y="909164"/>
                <a:pt x="244399" y="907143"/>
              </a:cubicBezTo>
              <a:cubicBezTo>
                <a:pt x="109683" y="868652"/>
                <a:pt x="153901" y="879273"/>
                <a:pt x="49014" y="858296"/>
              </a:cubicBezTo>
              <a:cubicBezTo>
                <a:pt x="37384" y="851318"/>
                <a:pt x="21406" y="848804"/>
                <a:pt x="14124" y="837362"/>
              </a:cubicBezTo>
              <a:cubicBezTo>
                <a:pt x="3826" y="821180"/>
                <a:pt x="1294" y="800686"/>
                <a:pt x="168" y="781538"/>
              </a:cubicBezTo>
              <a:cubicBezTo>
                <a:pt x="-964" y="762298"/>
                <a:pt x="3601" y="720952"/>
                <a:pt x="14124" y="697802"/>
              </a:cubicBezTo>
              <a:cubicBezTo>
                <a:pt x="22733" y="678862"/>
                <a:pt x="25392" y="654461"/>
                <a:pt x="42036" y="641978"/>
              </a:cubicBezTo>
              <a:cubicBezTo>
                <a:pt x="84896" y="609833"/>
                <a:pt x="168228" y="610800"/>
                <a:pt x="216487" y="607088"/>
              </a:cubicBezTo>
              <a:cubicBezTo>
                <a:pt x="239747" y="602436"/>
                <a:pt x="262746" y="596200"/>
                <a:pt x="286267" y="593132"/>
              </a:cubicBezTo>
              <a:cubicBezTo>
                <a:pt x="316340" y="589209"/>
                <a:pt x="346790" y="589029"/>
                <a:pt x="376981" y="586153"/>
              </a:cubicBezTo>
              <a:cubicBezTo>
                <a:pt x="551722" y="569510"/>
                <a:pt x="224235" y="587518"/>
                <a:pt x="607256" y="572197"/>
              </a:cubicBezTo>
              <a:lnTo>
                <a:pt x="753794" y="551263"/>
              </a:lnTo>
              <a:cubicBezTo>
                <a:pt x="763264" y="549748"/>
                <a:pt x="772318" y="546241"/>
                <a:pt x="781707" y="544285"/>
              </a:cubicBezTo>
              <a:cubicBezTo>
                <a:pt x="828151" y="534609"/>
                <a:pt x="874471" y="524172"/>
                <a:pt x="921267" y="516373"/>
              </a:cubicBezTo>
              <a:cubicBezTo>
                <a:pt x="935223" y="514047"/>
                <a:pt x="949261" y="512170"/>
                <a:pt x="963135" y="509395"/>
              </a:cubicBezTo>
              <a:cubicBezTo>
                <a:pt x="972539" y="507514"/>
                <a:pt x="981568" y="503875"/>
                <a:pt x="991047" y="502417"/>
              </a:cubicBezTo>
              <a:cubicBezTo>
                <a:pt x="1042092" y="494564"/>
                <a:pt x="1093392" y="488461"/>
                <a:pt x="1144564" y="481483"/>
              </a:cubicBezTo>
              <a:cubicBezTo>
                <a:pt x="1181780" y="469853"/>
                <a:pt x="1218721" y="457305"/>
                <a:pt x="1256212" y="446593"/>
              </a:cubicBezTo>
              <a:cubicBezTo>
                <a:pt x="1332329" y="424845"/>
                <a:pt x="1261926" y="466078"/>
                <a:pt x="1395772" y="411703"/>
              </a:cubicBezTo>
              <a:cubicBezTo>
                <a:pt x="1437224" y="394863"/>
                <a:pt x="1471596" y="361928"/>
                <a:pt x="1514399" y="348901"/>
              </a:cubicBezTo>
              <a:lnTo>
                <a:pt x="1674893" y="300055"/>
              </a:lnTo>
              <a:cubicBezTo>
                <a:pt x="1684088" y="297330"/>
                <a:pt x="1693553" y="295600"/>
                <a:pt x="1702805" y="293077"/>
              </a:cubicBezTo>
              <a:cubicBezTo>
                <a:pt x="1794055" y="268191"/>
                <a:pt x="1716432" y="287926"/>
                <a:pt x="1779564" y="272143"/>
              </a:cubicBezTo>
              <a:cubicBezTo>
                <a:pt x="1798172" y="260513"/>
                <a:pt x="1814723" y="244633"/>
                <a:pt x="1835388" y="237252"/>
              </a:cubicBezTo>
              <a:cubicBezTo>
                <a:pt x="1880546" y="221124"/>
                <a:pt x="1928549" y="214466"/>
                <a:pt x="1974948" y="202362"/>
              </a:cubicBezTo>
              <a:cubicBezTo>
                <a:pt x="1982065" y="200505"/>
                <a:pt x="1989406" y="198871"/>
                <a:pt x="1995882" y="195384"/>
              </a:cubicBezTo>
              <a:cubicBezTo>
                <a:pt x="2019766" y="182524"/>
                <a:pt x="2042517" y="167661"/>
                <a:pt x="2065663" y="153516"/>
              </a:cubicBezTo>
              <a:cubicBezTo>
                <a:pt x="2084387" y="142074"/>
                <a:pt x="2100199" y="123948"/>
                <a:pt x="2121487" y="118626"/>
              </a:cubicBezTo>
              <a:cubicBezTo>
                <a:pt x="2179651" y="104085"/>
                <a:pt x="2194096" y="100730"/>
                <a:pt x="2275003" y="76758"/>
              </a:cubicBezTo>
              <a:cubicBezTo>
                <a:pt x="2296160" y="70489"/>
                <a:pt x="2317317" y="64019"/>
                <a:pt x="2337805" y="55824"/>
              </a:cubicBezTo>
              <a:cubicBezTo>
                <a:pt x="2349435" y="51172"/>
                <a:pt x="2360519" y="44807"/>
                <a:pt x="2372696" y="41868"/>
              </a:cubicBezTo>
              <a:cubicBezTo>
                <a:pt x="2494697" y="12420"/>
                <a:pt x="2501478" y="12505"/>
                <a:pt x="2589014" y="0"/>
              </a:cubicBezTo>
              <a:cubicBezTo>
                <a:pt x="2598318" y="4652"/>
                <a:pt x="2610076" y="6128"/>
                <a:pt x="2616926" y="13956"/>
              </a:cubicBezTo>
              <a:cubicBezTo>
                <a:pt x="2637584" y="37565"/>
                <a:pt x="2644959" y="84220"/>
                <a:pt x="2651816" y="111648"/>
              </a:cubicBezTo>
              <a:cubicBezTo>
                <a:pt x="2649490" y="151190"/>
                <a:pt x="2648535" y="190837"/>
                <a:pt x="2644838" y="230274"/>
              </a:cubicBezTo>
              <a:cubicBezTo>
                <a:pt x="2636076" y="323738"/>
                <a:pt x="2640724" y="305418"/>
                <a:pt x="2623904" y="355879"/>
              </a:cubicBezTo>
              <a:cubicBezTo>
                <a:pt x="2614537" y="458921"/>
                <a:pt x="2616590" y="427284"/>
                <a:pt x="2609948" y="551263"/>
              </a:cubicBezTo>
              <a:cubicBezTo>
                <a:pt x="2594853" y="833039"/>
                <a:pt x="2624778" y="737049"/>
                <a:pt x="2589014" y="844340"/>
              </a:cubicBezTo>
              <a:cubicBezTo>
                <a:pt x="2577082" y="1011396"/>
                <a:pt x="2593358" y="897086"/>
                <a:pt x="2575058" y="962967"/>
              </a:cubicBezTo>
              <a:cubicBezTo>
                <a:pt x="2561170" y="1012964"/>
                <a:pt x="2555269" y="1074089"/>
                <a:pt x="2519234" y="1116483"/>
              </a:cubicBezTo>
              <a:cubicBezTo>
                <a:pt x="2491539" y="1149066"/>
                <a:pt x="2458758" y="1176959"/>
                <a:pt x="2428520" y="1207197"/>
              </a:cubicBezTo>
              <a:lnTo>
                <a:pt x="2407586" y="1228132"/>
              </a:lnTo>
              <a:cubicBezTo>
                <a:pt x="2368114" y="1214973"/>
                <a:pt x="2382408" y="1216566"/>
                <a:pt x="2316871" y="1228132"/>
              </a:cubicBezTo>
              <a:cubicBezTo>
                <a:pt x="2300195" y="1231075"/>
                <a:pt x="2268025" y="1242088"/>
                <a:pt x="2268025" y="1242088"/>
              </a:cubicBezTo>
            </a:path>
          </a:pathLst>
        </a:custGeom>
        <a:solidFill>
          <a:srgbClr val="C00000">
            <a:alpha val="20000"/>
          </a:srgb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SG"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S88"/>
  <sheetViews>
    <sheetView topLeftCell="H1" workbookViewId="0">
      <pane ySplit="1" topLeftCell="A74" activePane="bottomLeft" state="frozen"/>
      <selection activeCell="Y75" sqref="Y75"/>
      <selection pane="bottomLeft" activeCell="O84" sqref="O84"/>
    </sheetView>
  </sheetViews>
  <sheetFormatPr defaultRowHeight="14.4" x14ac:dyDescent="0.3"/>
  <cols>
    <col min="1" max="1" width="9.109375" style="5"/>
    <col min="2" max="2" width="42" style="19" customWidth="1"/>
    <col min="3" max="3" width="13" style="6" customWidth="1"/>
    <col min="4" max="4" width="14" style="6" customWidth="1"/>
    <col min="5" max="5" width="16" style="6" customWidth="1"/>
    <col min="6" max="6" width="16.33203125" style="6" customWidth="1"/>
    <col min="7" max="7" width="26.88671875" style="6" customWidth="1"/>
    <col min="8" max="8" width="17.33203125" style="6" customWidth="1"/>
    <col min="9" max="9" width="20.44140625" style="6" customWidth="1"/>
    <col min="10" max="10" width="13.6640625" style="6" customWidth="1"/>
    <col min="11" max="11" width="20.44140625" style="6" customWidth="1"/>
    <col min="12" max="12" width="17.6640625" style="6" customWidth="1"/>
    <col min="13" max="13" width="18.6640625" style="80" customWidth="1"/>
    <col min="14" max="14" width="14.33203125" style="6" customWidth="1"/>
    <col min="15" max="15" width="18" style="6" customWidth="1"/>
    <col min="16" max="16" width="15.44140625" style="5" customWidth="1"/>
    <col min="17" max="17" width="16.6640625" style="5" customWidth="1"/>
    <col min="18" max="18" width="18.6640625" style="20" customWidth="1"/>
    <col min="19" max="19" width="19.33203125" style="80" customWidth="1"/>
    <col min="20" max="20" width="18.6640625" style="21" customWidth="1"/>
    <col min="21" max="21" width="18.6640625" style="22" customWidth="1"/>
    <col min="22" max="23" width="11.6640625" style="6" customWidth="1"/>
    <col min="24" max="24" width="17.44140625" style="23" customWidth="1"/>
    <col min="25" max="25" width="18.44140625" style="6" customWidth="1"/>
    <col min="26" max="28" width="13.6640625" style="6" customWidth="1"/>
    <col min="29" max="29" width="13.6640625" style="80" customWidth="1"/>
    <col min="30" max="34" width="16" style="6" customWidth="1"/>
    <col min="35" max="35" width="17" customWidth="1"/>
    <col min="36" max="36" width="14.5546875" customWidth="1"/>
    <col min="37" max="37" width="19.6640625" customWidth="1"/>
    <col min="38" max="38" width="15.33203125" style="6" customWidth="1"/>
    <col min="39" max="39" width="21.33203125" style="5" customWidth="1"/>
    <col min="40" max="41" width="18.5546875" style="5" customWidth="1"/>
    <col min="42" max="42" width="22.44140625" style="5" customWidth="1"/>
    <col min="43" max="43" width="3.5546875" customWidth="1"/>
    <col min="44" max="44" width="14.33203125" customWidth="1"/>
    <col min="45" max="45" width="80" customWidth="1"/>
  </cols>
  <sheetData>
    <row r="1" spans="1:45" s="7" customFormat="1" ht="94.8" customHeight="1" thickBot="1" x14ac:dyDescent="0.5">
      <c r="A1" s="102" t="s">
        <v>81</v>
      </c>
      <c r="B1" s="84" t="s">
        <v>20</v>
      </c>
      <c r="C1" s="84" t="s">
        <v>54</v>
      </c>
      <c r="D1" s="84" t="s">
        <v>82</v>
      </c>
      <c r="E1" s="84" t="s">
        <v>83</v>
      </c>
      <c r="F1" s="84" t="s">
        <v>84</v>
      </c>
      <c r="G1" s="84" t="s">
        <v>85</v>
      </c>
      <c r="H1" s="84" t="s">
        <v>7</v>
      </c>
      <c r="I1" s="84" t="s">
        <v>368</v>
      </c>
      <c r="J1" s="84" t="s">
        <v>86</v>
      </c>
      <c r="K1" s="84" t="s">
        <v>87</v>
      </c>
      <c r="L1" s="84" t="s">
        <v>369</v>
      </c>
      <c r="M1" s="84" t="s">
        <v>372</v>
      </c>
      <c r="N1" s="84" t="s">
        <v>374</v>
      </c>
      <c r="O1" s="84" t="s">
        <v>375</v>
      </c>
      <c r="P1" s="84" t="s">
        <v>398</v>
      </c>
      <c r="Q1" s="84" t="s">
        <v>399</v>
      </c>
      <c r="R1" s="84" t="s">
        <v>380</v>
      </c>
      <c r="S1" s="84" t="s">
        <v>570</v>
      </c>
      <c r="T1" s="142" t="s">
        <v>88</v>
      </c>
      <c r="U1" s="143" t="s">
        <v>89</v>
      </c>
      <c r="V1" s="84" t="s">
        <v>418</v>
      </c>
      <c r="W1" s="84" t="s">
        <v>432</v>
      </c>
      <c r="X1" s="144" t="s">
        <v>417</v>
      </c>
      <c r="Y1" s="84" t="s">
        <v>412</v>
      </c>
      <c r="Z1" s="84" t="s">
        <v>385</v>
      </c>
      <c r="AA1" s="84" t="s">
        <v>90</v>
      </c>
      <c r="AB1" s="84" t="s">
        <v>386</v>
      </c>
      <c r="AC1" s="84" t="s">
        <v>395</v>
      </c>
      <c r="AD1" s="84" t="s">
        <v>387</v>
      </c>
      <c r="AE1" s="84" t="s">
        <v>91</v>
      </c>
      <c r="AF1" s="84" t="s">
        <v>388</v>
      </c>
      <c r="AG1" s="84" t="s">
        <v>92</v>
      </c>
      <c r="AH1" s="84" t="s">
        <v>389</v>
      </c>
      <c r="AI1" s="84" t="s">
        <v>390</v>
      </c>
      <c r="AJ1" s="84" t="s">
        <v>93</v>
      </c>
      <c r="AK1" s="84" t="s">
        <v>589</v>
      </c>
      <c r="AL1" s="84" t="s">
        <v>94</v>
      </c>
      <c r="AM1" s="84" t="s">
        <v>95</v>
      </c>
      <c r="AN1" s="84" t="s">
        <v>96</v>
      </c>
      <c r="AO1" s="84" t="s">
        <v>427</v>
      </c>
      <c r="AP1" s="145" t="s">
        <v>428</v>
      </c>
      <c r="AQ1" s="85"/>
      <c r="AR1" s="8" t="s">
        <v>97</v>
      </c>
    </row>
    <row r="2" spans="1:45" s="4" customFormat="1" ht="43.2" x14ac:dyDescent="0.3">
      <c r="A2" s="147">
        <v>1</v>
      </c>
      <c r="B2" s="137" t="s">
        <v>98</v>
      </c>
      <c r="C2" s="138">
        <v>2000</v>
      </c>
      <c r="D2" s="138" t="s">
        <v>99</v>
      </c>
      <c r="E2" s="138" t="s">
        <v>100</v>
      </c>
      <c r="F2" s="101" t="s">
        <v>101</v>
      </c>
      <c r="G2" s="138" t="s">
        <v>490</v>
      </c>
      <c r="H2" s="138">
        <v>350</v>
      </c>
      <c r="I2" s="138">
        <v>1.3</v>
      </c>
      <c r="J2" s="138"/>
      <c r="K2" s="138">
        <v>2.5</v>
      </c>
      <c r="L2" s="138">
        <v>5</v>
      </c>
      <c r="M2" s="139" t="s">
        <v>63</v>
      </c>
      <c r="N2" s="138" t="s">
        <v>102</v>
      </c>
      <c r="O2" s="140" t="s">
        <v>103</v>
      </c>
      <c r="P2" s="141" t="s">
        <v>63</v>
      </c>
      <c r="Q2" s="141" t="s">
        <v>63</v>
      </c>
      <c r="R2" s="141" t="s">
        <v>63</v>
      </c>
      <c r="S2" s="106" t="s">
        <v>63</v>
      </c>
      <c r="T2" s="170">
        <v>0.03</v>
      </c>
      <c r="U2" s="171">
        <f>0.00025/(30000*0.000000000001)</f>
        <v>8333.3333333333339</v>
      </c>
      <c r="V2" s="171">
        <f>252*93</f>
        <v>23436</v>
      </c>
      <c r="W2" s="171">
        <v>112</v>
      </c>
      <c r="X2" s="171">
        <f>V2/(W2*0.35^2)</f>
        <v>1708.1632653061226</v>
      </c>
      <c r="Y2" s="171">
        <f>2060*1820/(112*132*0.35^2)</f>
        <v>2070.1917130488564</v>
      </c>
      <c r="Z2" s="141" t="s">
        <v>63</v>
      </c>
      <c r="AA2" s="141" t="s">
        <v>63</v>
      </c>
      <c r="AB2" s="141" t="s">
        <v>63</v>
      </c>
      <c r="AC2" s="138" t="s">
        <v>63</v>
      </c>
      <c r="AD2" s="138">
        <f>55/112</f>
        <v>0.49107142857142855</v>
      </c>
      <c r="AE2" s="138" t="s">
        <v>63</v>
      </c>
      <c r="AF2" s="140">
        <f>1.5/112</f>
        <v>1.3392857142857142E-2</v>
      </c>
      <c r="AG2" s="140" t="s">
        <v>63</v>
      </c>
      <c r="AH2" s="140">
        <f>AD2/AF2</f>
        <v>36.666666666666664</v>
      </c>
      <c r="AI2" s="140" t="s">
        <v>63</v>
      </c>
      <c r="AJ2" s="138" t="s">
        <v>63</v>
      </c>
      <c r="AK2" s="138" t="s">
        <v>63</v>
      </c>
      <c r="AL2" s="138" t="s">
        <v>104</v>
      </c>
      <c r="AM2" s="151">
        <v>132</v>
      </c>
      <c r="AN2" s="138" t="s">
        <v>61</v>
      </c>
      <c r="AO2" s="138" t="s">
        <v>61</v>
      </c>
      <c r="AP2" s="138"/>
      <c r="AQ2" s="86"/>
      <c r="AR2" s="90" t="s">
        <v>105</v>
      </c>
      <c r="AS2" s="91" t="s">
        <v>106</v>
      </c>
    </row>
    <row r="3" spans="1:45" ht="69.599999999999994" customHeight="1" x14ac:dyDescent="0.3">
      <c r="A3" s="148">
        <f>A2+1</f>
        <v>2</v>
      </c>
      <c r="B3" s="9" t="s">
        <v>107</v>
      </c>
      <c r="C3" s="107">
        <v>2004</v>
      </c>
      <c r="D3" s="107" t="s">
        <v>108</v>
      </c>
      <c r="E3" s="107" t="s">
        <v>109</v>
      </c>
      <c r="F3" s="56" t="s">
        <v>498</v>
      </c>
      <c r="G3" s="107" t="s">
        <v>491</v>
      </c>
      <c r="H3" s="107">
        <v>180</v>
      </c>
      <c r="I3" s="107">
        <v>2</v>
      </c>
      <c r="J3" s="107"/>
      <c r="K3" s="107">
        <v>1.8</v>
      </c>
      <c r="L3" s="108">
        <v>4.82</v>
      </c>
      <c r="M3" s="107">
        <f>L3</f>
        <v>4.82</v>
      </c>
      <c r="N3" s="109" t="s">
        <v>110</v>
      </c>
      <c r="O3" s="107" t="s">
        <v>111</v>
      </c>
      <c r="P3" s="107">
        <f>(3.74-2)/(1.8-1.76)*0.1</f>
        <v>4.349999999999997</v>
      </c>
      <c r="Q3" s="107">
        <f>(4.8-2)/(67-40)*10</f>
        <v>1.037037037037037</v>
      </c>
      <c r="R3" s="110" t="s">
        <v>63</v>
      </c>
      <c r="S3" s="111" t="s">
        <v>63</v>
      </c>
      <c r="T3" s="154">
        <f>64/0.05</f>
        <v>1280</v>
      </c>
      <c r="U3" s="156" t="s">
        <v>63</v>
      </c>
      <c r="V3" s="156">
        <f>1212*1212</f>
        <v>1468944</v>
      </c>
      <c r="W3" s="156">
        <f>8*8</f>
        <v>64</v>
      </c>
      <c r="X3" s="156">
        <f>V3/(H3*0.001)^2</f>
        <v>45337777.777777784</v>
      </c>
      <c r="Y3" s="156">
        <f>X3</f>
        <v>45337777.777777784</v>
      </c>
      <c r="Z3" s="110" t="s">
        <v>63</v>
      </c>
      <c r="AA3" s="110" t="s">
        <v>63</v>
      </c>
      <c r="AB3" s="110" t="s">
        <v>63</v>
      </c>
      <c r="AC3" s="110" t="s">
        <v>63</v>
      </c>
      <c r="AD3" s="107">
        <v>0.4</v>
      </c>
      <c r="AE3" s="110" t="s">
        <v>63</v>
      </c>
      <c r="AF3" s="110">
        <v>0.02</v>
      </c>
      <c r="AG3" s="110" t="s">
        <v>63</v>
      </c>
      <c r="AH3" s="115">
        <f>AD3/AF3</f>
        <v>20</v>
      </c>
      <c r="AI3" s="110" t="s">
        <v>63</v>
      </c>
      <c r="AJ3" s="110" t="s">
        <v>63</v>
      </c>
      <c r="AK3" s="110" t="s">
        <v>63</v>
      </c>
      <c r="AL3" s="110" t="s">
        <v>112</v>
      </c>
      <c r="AM3" s="151">
        <v>1.4E+20</v>
      </c>
      <c r="AN3" s="107" t="s">
        <v>61</v>
      </c>
      <c r="AO3" s="107" t="s">
        <v>61</v>
      </c>
      <c r="AP3" s="169"/>
      <c r="AQ3" s="87"/>
      <c r="AR3" s="90" t="s">
        <v>538</v>
      </c>
      <c r="AS3" s="91" t="s">
        <v>539</v>
      </c>
    </row>
    <row r="4" spans="1:45" s="4" customFormat="1" ht="56.55" customHeight="1" x14ac:dyDescent="0.3">
      <c r="A4" s="148">
        <f t="shared" ref="A4:A67" si="0">A3+1</f>
        <v>3</v>
      </c>
      <c r="B4" s="9" t="s">
        <v>115</v>
      </c>
      <c r="C4" s="107">
        <v>2005</v>
      </c>
      <c r="D4" s="107" t="s">
        <v>0</v>
      </c>
      <c r="E4" s="107" t="s">
        <v>109</v>
      </c>
      <c r="F4" s="56" t="s">
        <v>498</v>
      </c>
      <c r="G4" s="107" t="s">
        <v>491</v>
      </c>
      <c r="H4" s="107">
        <v>180</v>
      </c>
      <c r="I4" s="107">
        <v>4.82</v>
      </c>
      <c r="J4" s="107"/>
      <c r="K4" s="107">
        <v>1.8</v>
      </c>
      <c r="L4" s="108">
        <v>4.82</v>
      </c>
      <c r="M4" s="107">
        <f>L4</f>
        <v>4.82</v>
      </c>
      <c r="N4" s="109" t="s">
        <v>110</v>
      </c>
      <c r="O4" s="107" t="s">
        <v>116</v>
      </c>
      <c r="P4" s="107">
        <f>(3.74-2)/(1.8-1.76)*0.1</f>
        <v>4.349999999999997</v>
      </c>
      <c r="Q4" s="107">
        <f>(4.8-2)/(67-40)*10</f>
        <v>1.037037037037037</v>
      </c>
      <c r="R4" s="110" t="s">
        <v>63</v>
      </c>
      <c r="S4" s="111" t="s">
        <v>63</v>
      </c>
      <c r="T4" s="154">
        <f>T3</f>
        <v>1280</v>
      </c>
      <c r="U4" s="156">
        <f>0.000137/(100000000*0.000000000001*8)</f>
        <v>0.17125000000000001</v>
      </c>
      <c r="V4" s="156">
        <f>1212*1212</f>
        <v>1468944</v>
      </c>
      <c r="W4" s="156">
        <f>8*8</f>
        <v>64</v>
      </c>
      <c r="X4" s="156">
        <f>V4/(H4*0.001)^2</f>
        <v>45337777.777777784</v>
      </c>
      <c r="Y4" s="156">
        <f>X4</f>
        <v>45337777.777777784</v>
      </c>
      <c r="Z4" s="110" t="s">
        <v>63</v>
      </c>
      <c r="AA4" s="110" t="s">
        <v>63</v>
      </c>
      <c r="AB4" s="110" t="s">
        <v>63</v>
      </c>
      <c r="AC4" s="110" t="s">
        <v>63</v>
      </c>
      <c r="AD4" s="107">
        <v>0.38</v>
      </c>
      <c r="AE4" s="107">
        <v>0.03</v>
      </c>
      <c r="AF4" s="107">
        <v>0.02</v>
      </c>
      <c r="AG4" s="107" t="s">
        <v>63</v>
      </c>
      <c r="AH4" s="115">
        <f>AD4/AF4</f>
        <v>19</v>
      </c>
      <c r="AI4" s="107" t="s">
        <v>63</v>
      </c>
      <c r="AJ4" s="107" t="s">
        <v>63</v>
      </c>
      <c r="AK4" s="110" t="s">
        <v>63</v>
      </c>
      <c r="AL4" s="110" t="s">
        <v>112</v>
      </c>
      <c r="AM4" s="151">
        <f>2^(64-12)</f>
        <v>4503599627370496</v>
      </c>
      <c r="AN4" s="107" t="s">
        <v>61</v>
      </c>
      <c r="AO4" s="107" t="s">
        <v>61</v>
      </c>
      <c r="AP4" s="169"/>
      <c r="AQ4" s="86"/>
      <c r="AR4" s="90" t="s">
        <v>113</v>
      </c>
      <c r="AS4" s="91" t="s">
        <v>114</v>
      </c>
    </row>
    <row r="5" spans="1:45" s="4" customFormat="1" ht="56.55" customHeight="1" x14ac:dyDescent="0.3">
      <c r="A5" s="148">
        <f t="shared" si="0"/>
        <v>4</v>
      </c>
      <c r="B5" s="9" t="s">
        <v>119</v>
      </c>
      <c r="C5" s="107">
        <v>2007</v>
      </c>
      <c r="D5" s="107" t="s">
        <v>99</v>
      </c>
      <c r="E5" s="107" t="s">
        <v>120</v>
      </c>
      <c r="F5" s="56" t="s">
        <v>499</v>
      </c>
      <c r="G5" s="107" t="s">
        <v>494</v>
      </c>
      <c r="H5" s="107">
        <v>130</v>
      </c>
      <c r="I5" s="107">
        <v>3.04</v>
      </c>
      <c r="J5" s="107"/>
      <c r="K5" s="107">
        <v>1</v>
      </c>
      <c r="L5" s="108">
        <f>7*100/128</f>
        <v>5.46875</v>
      </c>
      <c r="M5" s="107">
        <f>L5</f>
        <v>5.46875</v>
      </c>
      <c r="N5" s="109" t="s">
        <v>121</v>
      </c>
      <c r="O5" s="107" t="s">
        <v>63</v>
      </c>
      <c r="P5" s="107">
        <f>(L5-I5)/(1.2-0.9)*0.1</f>
        <v>0.80958333333333354</v>
      </c>
      <c r="Q5" s="107" t="s">
        <v>63</v>
      </c>
      <c r="R5" s="110" t="s">
        <v>63</v>
      </c>
      <c r="S5" s="111" t="s">
        <v>63</v>
      </c>
      <c r="T5" s="154">
        <v>1</v>
      </c>
      <c r="U5" s="156">
        <v>0.93</v>
      </c>
      <c r="V5" s="156">
        <f>70*135</f>
        <v>9450</v>
      </c>
      <c r="W5" s="156">
        <f>8*16+52</f>
        <v>180</v>
      </c>
      <c r="X5" s="156">
        <f>V5/(W5*0.13^2)</f>
        <v>3106.5088757396447</v>
      </c>
      <c r="Y5" s="156">
        <f>15288/(W5*0.13^2)</f>
        <v>5025.6410256410254</v>
      </c>
      <c r="Z5" s="110" t="s">
        <v>63</v>
      </c>
      <c r="AA5" s="110" t="s">
        <v>63</v>
      </c>
      <c r="AB5" s="110" t="s">
        <v>63</v>
      </c>
      <c r="AC5" s="110" t="s">
        <v>63</v>
      </c>
      <c r="AD5" s="107">
        <f>64.7/128</f>
        <v>0.50546875000000002</v>
      </c>
      <c r="AE5" s="107" t="s">
        <v>63</v>
      </c>
      <c r="AF5" s="107">
        <f>I5</f>
        <v>3.04</v>
      </c>
      <c r="AG5" s="107" t="s">
        <v>63</v>
      </c>
      <c r="AH5" s="115">
        <f>AD5/AF5</f>
        <v>0.16627261513157895</v>
      </c>
      <c r="AI5" s="107" t="s">
        <v>63</v>
      </c>
      <c r="AJ5" s="107" t="s">
        <v>63</v>
      </c>
      <c r="AK5" s="110" t="s">
        <v>63</v>
      </c>
      <c r="AL5" s="110" t="s">
        <v>104</v>
      </c>
      <c r="AM5" s="151">
        <v>1</v>
      </c>
      <c r="AN5" s="107" t="s">
        <v>59</v>
      </c>
      <c r="AO5" s="107" t="s">
        <v>61</v>
      </c>
      <c r="AP5" s="107"/>
      <c r="AQ5" s="86"/>
      <c r="AR5" s="90" t="s">
        <v>117</v>
      </c>
      <c r="AS5" s="91" t="s">
        <v>118</v>
      </c>
    </row>
    <row r="6" spans="1:45" s="4" customFormat="1" ht="60" customHeight="1" x14ac:dyDescent="0.3">
      <c r="A6" s="148">
        <f t="shared" si="0"/>
        <v>5</v>
      </c>
      <c r="B6" s="9" t="s">
        <v>124</v>
      </c>
      <c r="C6" s="107">
        <v>2008</v>
      </c>
      <c r="D6" s="107" t="s">
        <v>23</v>
      </c>
      <c r="E6" s="107" t="s">
        <v>120</v>
      </c>
      <c r="F6" s="56" t="s">
        <v>497</v>
      </c>
      <c r="G6" s="107" t="s">
        <v>494</v>
      </c>
      <c r="H6" s="107">
        <v>130</v>
      </c>
      <c r="I6" s="107">
        <v>3.04</v>
      </c>
      <c r="J6" s="107"/>
      <c r="K6" s="107">
        <v>1</v>
      </c>
      <c r="L6" s="108">
        <v>5.46875</v>
      </c>
      <c r="M6" s="107">
        <v>5.46875</v>
      </c>
      <c r="N6" s="109" t="s">
        <v>121</v>
      </c>
      <c r="O6" s="107" t="s">
        <v>125</v>
      </c>
      <c r="P6" s="107">
        <v>1.82</v>
      </c>
      <c r="Q6" s="107">
        <v>0.68</v>
      </c>
      <c r="R6" s="110" t="s">
        <v>63</v>
      </c>
      <c r="S6" s="111">
        <v>3.04</v>
      </c>
      <c r="T6" s="154">
        <v>1</v>
      </c>
      <c r="U6" s="156">
        <v>0.93</v>
      </c>
      <c r="V6" s="156">
        <v>9450</v>
      </c>
      <c r="W6" s="156">
        <v>180</v>
      </c>
      <c r="X6" s="156">
        <v>1092</v>
      </c>
      <c r="Y6" s="156">
        <v>1767</v>
      </c>
      <c r="Z6" s="110" t="s">
        <v>63</v>
      </c>
      <c r="AA6" s="110" t="s">
        <v>63</v>
      </c>
      <c r="AB6" s="110" t="s">
        <v>63</v>
      </c>
      <c r="AC6" s="110" t="s">
        <v>63</v>
      </c>
      <c r="AD6" s="107">
        <v>0.50546875000000002</v>
      </c>
      <c r="AE6" s="107" t="s">
        <v>63</v>
      </c>
      <c r="AF6" s="107">
        <v>3.04</v>
      </c>
      <c r="AG6" s="107" t="s">
        <v>63</v>
      </c>
      <c r="AH6" s="115">
        <v>0.16627261513157895</v>
      </c>
      <c r="AI6" s="107" t="s">
        <v>63</v>
      </c>
      <c r="AJ6" s="107" t="s">
        <v>63</v>
      </c>
      <c r="AK6" s="110" t="s">
        <v>63</v>
      </c>
      <c r="AL6" s="110" t="s">
        <v>104</v>
      </c>
      <c r="AM6" s="151">
        <v>1</v>
      </c>
      <c r="AN6" s="107" t="s">
        <v>59</v>
      </c>
      <c r="AO6" s="107" t="s">
        <v>59</v>
      </c>
      <c r="AP6" s="107"/>
      <c r="AQ6" s="86"/>
      <c r="AR6" s="90" t="s">
        <v>122</v>
      </c>
      <c r="AS6" s="91" t="s">
        <v>123</v>
      </c>
    </row>
    <row r="7" spans="1:45" ht="72" x14ac:dyDescent="0.3">
      <c r="A7" s="148">
        <f t="shared" si="0"/>
        <v>6</v>
      </c>
      <c r="B7" s="9" t="s">
        <v>128</v>
      </c>
      <c r="C7" s="107">
        <v>2008</v>
      </c>
      <c r="D7" s="107" t="s">
        <v>122</v>
      </c>
      <c r="E7" s="107" t="s">
        <v>129</v>
      </c>
      <c r="F7" s="56" t="s">
        <v>130</v>
      </c>
      <c r="G7" s="107" t="s">
        <v>490</v>
      </c>
      <c r="H7" s="107">
        <v>90</v>
      </c>
      <c r="I7" s="107">
        <v>5.5E-2</v>
      </c>
      <c r="J7" s="107"/>
      <c r="K7" s="107">
        <v>0.6</v>
      </c>
      <c r="L7" s="108">
        <v>0.4</v>
      </c>
      <c r="M7" s="107">
        <v>7.0000000000000007E-2</v>
      </c>
      <c r="N7" s="113">
        <v>0.1</v>
      </c>
      <c r="O7" s="107">
        <v>125</v>
      </c>
      <c r="P7" s="107" t="s">
        <v>63</v>
      </c>
      <c r="Q7" s="107" t="s">
        <v>63</v>
      </c>
      <c r="R7" s="110" t="s">
        <v>63</v>
      </c>
      <c r="S7" s="111" t="s">
        <v>63</v>
      </c>
      <c r="T7" s="154" t="s">
        <v>131</v>
      </c>
      <c r="U7" s="156">
        <f>0.00003*1000000000000/(768000)</f>
        <v>39.0625</v>
      </c>
      <c r="V7" s="156">
        <f>18000</f>
        <v>18000</v>
      </c>
      <c r="W7" s="156">
        <f>256*2</f>
        <v>512</v>
      </c>
      <c r="X7" s="156">
        <f>V7/(W7*0.09^2)</f>
        <v>4340.2777777777783</v>
      </c>
      <c r="Y7" s="156">
        <f>X7</f>
        <v>4340.2777777777783</v>
      </c>
      <c r="Z7" s="110" t="s">
        <v>63</v>
      </c>
      <c r="AA7" s="110" t="s">
        <v>63</v>
      </c>
      <c r="AB7" s="110" t="s">
        <v>63</v>
      </c>
      <c r="AC7" s="107" t="s">
        <v>63</v>
      </c>
      <c r="AD7" s="107" t="s">
        <v>63</v>
      </c>
      <c r="AE7" s="107" t="s">
        <v>63</v>
      </c>
      <c r="AF7" s="107">
        <f>L7</f>
        <v>0.4</v>
      </c>
      <c r="AG7" s="107" t="s">
        <v>63</v>
      </c>
      <c r="AH7" s="107" t="s">
        <v>63</v>
      </c>
      <c r="AI7" s="107" t="s">
        <v>63</v>
      </c>
      <c r="AJ7" s="107" t="s">
        <v>63</v>
      </c>
      <c r="AK7" s="107" t="s">
        <v>63</v>
      </c>
      <c r="AL7" s="107" t="s">
        <v>104</v>
      </c>
      <c r="AM7" s="151">
        <v>256</v>
      </c>
      <c r="AN7" s="107" t="s">
        <v>61</v>
      </c>
      <c r="AO7" s="107" t="s">
        <v>59</v>
      </c>
      <c r="AP7" s="107"/>
      <c r="AQ7" s="87"/>
      <c r="AR7" s="90" t="s">
        <v>126</v>
      </c>
      <c r="AS7" s="91" t="s">
        <v>127</v>
      </c>
    </row>
    <row r="8" spans="1:45" s="10" customFormat="1" ht="57.6" x14ac:dyDescent="0.3">
      <c r="A8" s="148">
        <f t="shared" si="0"/>
        <v>7</v>
      </c>
      <c r="B8" s="9" t="s">
        <v>134</v>
      </c>
      <c r="C8" s="107">
        <v>2009</v>
      </c>
      <c r="D8" s="107" t="s">
        <v>108</v>
      </c>
      <c r="E8" s="107" t="s">
        <v>129</v>
      </c>
      <c r="F8" s="56" t="s">
        <v>130</v>
      </c>
      <c r="G8" s="107" t="s">
        <v>490</v>
      </c>
      <c r="H8" s="107">
        <v>90</v>
      </c>
      <c r="I8" s="107">
        <v>8.9999999999999993E-3</v>
      </c>
      <c r="J8" s="107"/>
      <c r="K8" s="107">
        <v>0.6</v>
      </c>
      <c r="L8" s="108">
        <v>0.1</v>
      </c>
      <c r="M8" s="107">
        <v>8.9999999999999993E-3</v>
      </c>
      <c r="N8" s="113">
        <v>0.1</v>
      </c>
      <c r="O8" s="107">
        <v>125</v>
      </c>
      <c r="P8" s="107" t="s">
        <v>63</v>
      </c>
      <c r="Q8" s="107" t="s">
        <v>63</v>
      </c>
      <c r="R8" s="110" t="s">
        <v>63</v>
      </c>
      <c r="S8" s="111" t="s">
        <v>63</v>
      </c>
      <c r="T8" s="154">
        <v>6.25E-2</v>
      </c>
      <c r="U8" s="156">
        <f>0.000038*1000000000000/(768000)</f>
        <v>49.479166666666664</v>
      </c>
      <c r="V8" s="156">
        <f>226*155</f>
        <v>35030</v>
      </c>
      <c r="W8" s="156">
        <f>256*16</f>
        <v>4096</v>
      </c>
      <c r="X8" s="156">
        <f>V8/(W8*0.09^2)</f>
        <v>1055.8328510802469</v>
      </c>
      <c r="Y8" s="156">
        <f>X8</f>
        <v>1055.8328510802469</v>
      </c>
      <c r="Z8" s="110" t="s">
        <v>63</v>
      </c>
      <c r="AA8" s="110" t="s">
        <v>63</v>
      </c>
      <c r="AB8" s="110" t="s">
        <v>63</v>
      </c>
      <c r="AC8" s="107" t="s">
        <v>63</v>
      </c>
      <c r="AD8" s="107" t="s">
        <v>63</v>
      </c>
      <c r="AE8" s="107" t="s">
        <v>63</v>
      </c>
      <c r="AF8" s="107">
        <v>0.1</v>
      </c>
      <c r="AG8" s="107" t="s">
        <v>63</v>
      </c>
      <c r="AH8" s="107" t="s">
        <v>63</v>
      </c>
      <c r="AI8" s="107" t="s">
        <v>63</v>
      </c>
      <c r="AJ8" s="107" t="s">
        <v>63</v>
      </c>
      <c r="AK8" s="107" t="s">
        <v>63</v>
      </c>
      <c r="AL8" s="107" t="s">
        <v>104</v>
      </c>
      <c r="AM8" s="151">
        <v>256</v>
      </c>
      <c r="AN8" s="107" t="s">
        <v>61</v>
      </c>
      <c r="AO8" s="124" t="s">
        <v>59</v>
      </c>
      <c r="AP8" s="107"/>
      <c r="AQ8" s="88"/>
      <c r="AR8" s="90" t="s">
        <v>132</v>
      </c>
      <c r="AS8" s="91" t="s">
        <v>133</v>
      </c>
    </row>
    <row r="9" spans="1:45" ht="57.6" x14ac:dyDescent="0.3">
      <c r="A9" s="148">
        <f t="shared" si="0"/>
        <v>8</v>
      </c>
      <c r="B9" s="9" t="s">
        <v>137</v>
      </c>
      <c r="C9" s="107">
        <v>2010</v>
      </c>
      <c r="D9" s="107" t="s">
        <v>108</v>
      </c>
      <c r="E9" s="107" t="s">
        <v>138</v>
      </c>
      <c r="F9" s="56" t="s">
        <v>139</v>
      </c>
      <c r="G9" s="107" t="s">
        <v>345</v>
      </c>
      <c r="H9" s="107">
        <v>65</v>
      </c>
      <c r="I9" s="107">
        <v>0</v>
      </c>
      <c r="J9" s="107"/>
      <c r="K9" s="107">
        <v>1.1000000000000001</v>
      </c>
      <c r="L9" s="108">
        <v>0</v>
      </c>
      <c r="M9" s="107" t="s">
        <v>63</v>
      </c>
      <c r="N9" s="109" t="s">
        <v>140</v>
      </c>
      <c r="O9" s="107" t="s">
        <v>141</v>
      </c>
      <c r="P9" s="107">
        <f>(15/128)/0.2</f>
        <v>0.5859375</v>
      </c>
      <c r="Q9" s="107" t="s">
        <v>63</v>
      </c>
      <c r="R9" s="110" t="s">
        <v>63</v>
      </c>
      <c r="S9" s="111" t="s">
        <v>63</v>
      </c>
      <c r="T9" s="154">
        <f>625*8</f>
        <v>5000</v>
      </c>
      <c r="U9" s="156">
        <v>0.34</v>
      </c>
      <c r="V9" s="156">
        <f>24*16</f>
        <v>384</v>
      </c>
      <c r="W9" s="156">
        <v>128</v>
      </c>
      <c r="X9" s="156">
        <f>V9/(W9*0.065^2)</f>
        <v>710.05917159763305</v>
      </c>
      <c r="Y9" s="156">
        <f>1242/(128*0.065^2)</f>
        <v>2296.5976331360944</v>
      </c>
      <c r="Z9" s="110" t="s">
        <v>63</v>
      </c>
      <c r="AA9" s="110" t="s">
        <v>63</v>
      </c>
      <c r="AB9" s="110" t="s">
        <v>63</v>
      </c>
      <c r="AC9" s="107" t="s">
        <v>63</v>
      </c>
      <c r="AD9" s="107">
        <f>61.79/128</f>
        <v>0.48273437499999999</v>
      </c>
      <c r="AE9" s="107">
        <f>63.92/128</f>
        <v>0.49937500000000001</v>
      </c>
      <c r="AF9" s="107">
        <v>0</v>
      </c>
      <c r="AG9" s="107" t="s">
        <v>63</v>
      </c>
      <c r="AH9" s="115" t="s">
        <v>63</v>
      </c>
      <c r="AI9" s="107" t="s">
        <v>63</v>
      </c>
      <c r="AJ9" s="107" t="s">
        <v>63</v>
      </c>
      <c r="AK9" s="107" t="s">
        <v>63</v>
      </c>
      <c r="AL9" s="107" t="s">
        <v>104</v>
      </c>
      <c r="AM9" s="151">
        <v>1</v>
      </c>
      <c r="AN9" s="107" t="s">
        <v>59</v>
      </c>
      <c r="AO9" s="124" t="s">
        <v>59</v>
      </c>
      <c r="AP9" s="107"/>
      <c r="AQ9" s="87"/>
      <c r="AR9" s="90" t="s">
        <v>135</v>
      </c>
      <c r="AS9" s="91" t="s">
        <v>136</v>
      </c>
    </row>
    <row r="10" spans="1:45" ht="57.6" x14ac:dyDescent="0.3">
      <c r="A10" s="148">
        <f t="shared" si="0"/>
        <v>9</v>
      </c>
      <c r="B10" s="9" t="s">
        <v>143</v>
      </c>
      <c r="C10" s="107">
        <v>2011</v>
      </c>
      <c r="D10" s="107" t="s">
        <v>113</v>
      </c>
      <c r="E10" s="107" t="s">
        <v>144</v>
      </c>
      <c r="F10" s="56" t="s">
        <v>145</v>
      </c>
      <c r="G10" s="107" t="s">
        <v>494</v>
      </c>
      <c r="H10" s="107">
        <v>90</v>
      </c>
      <c r="I10" s="107">
        <f>49*100/1000</f>
        <v>4.9000000000000004</v>
      </c>
      <c r="J10" s="107"/>
      <c r="K10" s="107" t="s">
        <v>63</v>
      </c>
      <c r="L10" s="108" t="s">
        <v>63</v>
      </c>
      <c r="M10" s="107" t="s">
        <v>63</v>
      </c>
      <c r="N10" s="109" t="s">
        <v>63</v>
      </c>
      <c r="O10" s="107" t="s">
        <v>63</v>
      </c>
      <c r="P10" s="107" t="s">
        <v>63</v>
      </c>
      <c r="Q10" s="107" t="s">
        <v>63</v>
      </c>
      <c r="R10" s="110" t="s">
        <v>63</v>
      </c>
      <c r="S10" s="111" t="s">
        <v>63</v>
      </c>
      <c r="T10" s="154" t="s">
        <v>63</v>
      </c>
      <c r="U10" s="156" t="s">
        <v>63</v>
      </c>
      <c r="V10" s="156" t="s">
        <v>63</v>
      </c>
      <c r="W10" s="156">
        <f>2^15</f>
        <v>32768</v>
      </c>
      <c r="X10" s="156" t="s">
        <v>63</v>
      </c>
      <c r="Y10" s="156" t="s">
        <v>63</v>
      </c>
      <c r="Z10" s="107" t="s">
        <v>63</v>
      </c>
      <c r="AA10" s="107" t="s">
        <v>63</v>
      </c>
      <c r="AB10" s="107" t="s">
        <v>63</v>
      </c>
      <c r="AC10" s="107" t="s">
        <v>63</v>
      </c>
      <c r="AD10" s="107">
        <f>26.64/64</f>
        <v>0.41625000000000001</v>
      </c>
      <c r="AE10" s="107" t="s">
        <v>63</v>
      </c>
      <c r="AF10" s="107">
        <f>4/64</f>
        <v>6.25E-2</v>
      </c>
      <c r="AG10" s="107" t="s">
        <v>63</v>
      </c>
      <c r="AH10" s="107">
        <f>AD10/AF10</f>
        <v>6.66</v>
      </c>
      <c r="AI10" s="107" t="s">
        <v>63</v>
      </c>
      <c r="AJ10" s="107" t="s">
        <v>63</v>
      </c>
      <c r="AK10" s="107" t="s">
        <v>63</v>
      </c>
      <c r="AL10" s="107" t="s">
        <v>104</v>
      </c>
      <c r="AM10" s="151">
        <f>W10/64</f>
        <v>512</v>
      </c>
      <c r="AN10" s="107" t="s">
        <v>59</v>
      </c>
      <c r="AO10" s="124" t="s">
        <v>59</v>
      </c>
      <c r="AP10" s="107"/>
      <c r="AQ10" s="87"/>
      <c r="AR10" s="90" t="s">
        <v>541</v>
      </c>
      <c r="AS10" s="91" t="s">
        <v>542</v>
      </c>
    </row>
    <row r="11" spans="1:45" s="10" customFormat="1" ht="72" x14ac:dyDescent="0.3">
      <c r="A11" s="148">
        <f t="shared" si="0"/>
        <v>10</v>
      </c>
      <c r="B11" s="9" t="s">
        <v>146</v>
      </c>
      <c r="C11" s="107">
        <v>2011</v>
      </c>
      <c r="D11" s="107" t="s">
        <v>23</v>
      </c>
      <c r="E11" s="107" t="s">
        <v>129</v>
      </c>
      <c r="F11" s="56" t="s">
        <v>130</v>
      </c>
      <c r="G11" s="107" t="s">
        <v>490</v>
      </c>
      <c r="H11" s="107">
        <v>90</v>
      </c>
      <c r="I11" s="107">
        <v>8.9999999999999993E-3</v>
      </c>
      <c r="J11" s="107"/>
      <c r="K11" s="107">
        <v>0.6</v>
      </c>
      <c r="L11" s="108">
        <v>0.1</v>
      </c>
      <c r="M11" s="107">
        <v>8.9999999999999993E-3</v>
      </c>
      <c r="N11" s="113" t="s">
        <v>147</v>
      </c>
      <c r="O11" s="107" t="s">
        <v>148</v>
      </c>
      <c r="P11" s="107" t="s">
        <v>63</v>
      </c>
      <c r="Q11" s="107" t="s">
        <v>63</v>
      </c>
      <c r="R11" s="110" t="s">
        <v>63</v>
      </c>
      <c r="S11" s="111" t="s">
        <v>63</v>
      </c>
      <c r="T11" s="154">
        <v>6.25E-2</v>
      </c>
      <c r="U11" s="156">
        <f>0.000038*1000000000000/(768000)</f>
        <v>49.479166666666664</v>
      </c>
      <c r="V11" s="156">
        <f>226*155</f>
        <v>35030</v>
      </c>
      <c r="W11" s="156">
        <f>256*16</f>
        <v>4096</v>
      </c>
      <c r="X11" s="156">
        <f>V11/(W11*0.09^2)</f>
        <v>1055.8328510802469</v>
      </c>
      <c r="Y11" s="156">
        <f>X11</f>
        <v>1055.8328510802469</v>
      </c>
      <c r="Z11" s="110" t="s">
        <v>63</v>
      </c>
      <c r="AA11" s="110" t="s">
        <v>63</v>
      </c>
      <c r="AB11" s="110" t="s">
        <v>63</v>
      </c>
      <c r="AC11" s="107" t="s">
        <v>63</v>
      </c>
      <c r="AD11" s="107" t="s">
        <v>63</v>
      </c>
      <c r="AE11" s="107" t="s">
        <v>63</v>
      </c>
      <c r="AF11" s="107">
        <v>0.1</v>
      </c>
      <c r="AG11" s="107" t="s">
        <v>63</v>
      </c>
      <c r="AH11" s="107" t="s">
        <v>63</v>
      </c>
      <c r="AI11" s="107" t="s">
        <v>63</v>
      </c>
      <c r="AJ11" s="107" t="s">
        <v>63</v>
      </c>
      <c r="AK11" s="107" t="s">
        <v>63</v>
      </c>
      <c r="AL11" s="107" t="s">
        <v>104</v>
      </c>
      <c r="AM11" s="151">
        <v>256</v>
      </c>
      <c r="AN11" s="107" t="s">
        <v>61</v>
      </c>
      <c r="AO11" s="124" t="s">
        <v>59</v>
      </c>
      <c r="AP11" s="107"/>
      <c r="AQ11" s="88"/>
      <c r="AR11" s="90" t="s">
        <v>99</v>
      </c>
      <c r="AS11" s="91" t="s">
        <v>142</v>
      </c>
    </row>
    <row r="12" spans="1:45" ht="86.4" x14ac:dyDescent="0.3">
      <c r="A12" s="148">
        <f t="shared" si="0"/>
        <v>11</v>
      </c>
      <c r="B12" s="9" t="s">
        <v>151</v>
      </c>
      <c r="C12" s="107">
        <v>2011</v>
      </c>
      <c r="D12" s="107" t="s">
        <v>108</v>
      </c>
      <c r="E12" s="107" t="s">
        <v>152</v>
      </c>
      <c r="F12" s="56" t="s">
        <v>153</v>
      </c>
      <c r="G12" s="107" t="s">
        <v>58</v>
      </c>
      <c r="H12" s="107">
        <v>90</v>
      </c>
      <c r="I12" s="107">
        <v>13</v>
      </c>
      <c r="J12" s="107"/>
      <c r="K12" s="107">
        <v>1</v>
      </c>
      <c r="L12" s="108">
        <v>13</v>
      </c>
      <c r="M12" s="107">
        <v>0.1</v>
      </c>
      <c r="N12" s="109" t="s">
        <v>63</v>
      </c>
      <c r="O12" s="107" t="s">
        <v>63</v>
      </c>
      <c r="P12" s="107" t="s">
        <v>63</v>
      </c>
      <c r="Q12" s="107" t="s">
        <v>63</v>
      </c>
      <c r="R12" s="110" t="s">
        <v>63</v>
      </c>
      <c r="S12" s="111" t="s">
        <v>63</v>
      </c>
      <c r="T12" s="154">
        <f>128/737</f>
        <v>0.17367706919945725</v>
      </c>
      <c r="U12" s="156" t="s">
        <v>63</v>
      </c>
      <c r="V12" s="156">
        <v>7200</v>
      </c>
      <c r="W12" s="156">
        <v>128</v>
      </c>
      <c r="X12" s="156"/>
      <c r="Y12" s="156">
        <f>V12/(W12*(0.014)^2)</f>
        <v>286989.79591836734</v>
      </c>
      <c r="Z12" s="107" t="s">
        <v>63</v>
      </c>
      <c r="AA12" s="107" t="s">
        <v>63</v>
      </c>
      <c r="AB12" s="107" t="s">
        <v>63</v>
      </c>
      <c r="AC12" s="107" t="s">
        <v>63</v>
      </c>
      <c r="AD12" s="107">
        <f>63.9/128</f>
        <v>0.49921874999999999</v>
      </c>
      <c r="AE12" s="107" t="s">
        <v>63</v>
      </c>
      <c r="AF12" s="107">
        <v>0.1</v>
      </c>
      <c r="AG12" s="107" t="s">
        <v>63</v>
      </c>
      <c r="AH12" s="107">
        <f>AD12/AF12</f>
        <v>4.9921875</v>
      </c>
      <c r="AI12" s="107" t="s">
        <v>63</v>
      </c>
      <c r="AJ12" s="107" t="s">
        <v>63</v>
      </c>
      <c r="AK12" s="107" t="s">
        <v>63</v>
      </c>
      <c r="AL12" s="107" t="s">
        <v>104</v>
      </c>
      <c r="AM12" s="151">
        <v>1</v>
      </c>
      <c r="AN12" s="107" t="s">
        <v>61</v>
      </c>
      <c r="AO12" s="124" t="s">
        <v>59</v>
      </c>
      <c r="AP12" s="107"/>
      <c r="AQ12" s="87"/>
      <c r="AR12" s="90" t="s">
        <v>23</v>
      </c>
      <c r="AS12" s="91" t="s">
        <v>452</v>
      </c>
    </row>
    <row r="13" spans="1:45" ht="71.7" customHeight="1" x14ac:dyDescent="0.3">
      <c r="A13" s="148">
        <f t="shared" si="0"/>
        <v>12</v>
      </c>
      <c r="B13" s="9" t="s">
        <v>156</v>
      </c>
      <c r="C13" s="107">
        <v>2012</v>
      </c>
      <c r="D13" s="107" t="s">
        <v>126</v>
      </c>
      <c r="E13" s="107" t="s">
        <v>157</v>
      </c>
      <c r="F13" s="56" t="s">
        <v>504</v>
      </c>
      <c r="G13" s="107" t="s">
        <v>494</v>
      </c>
      <c r="H13" s="107">
        <v>65</v>
      </c>
      <c r="I13" s="107">
        <v>5</v>
      </c>
      <c r="J13" s="107"/>
      <c r="K13" s="107" t="s">
        <v>63</v>
      </c>
      <c r="L13" s="108">
        <v>20</v>
      </c>
      <c r="M13" s="107" t="s">
        <v>63</v>
      </c>
      <c r="N13" s="114" t="s">
        <v>158</v>
      </c>
      <c r="O13" s="115" t="s">
        <v>159</v>
      </c>
      <c r="P13" s="107" t="s">
        <v>63</v>
      </c>
      <c r="Q13" s="107" t="s">
        <v>63</v>
      </c>
      <c r="R13" s="110" t="s">
        <v>63</v>
      </c>
      <c r="S13" s="111" t="s">
        <v>63</v>
      </c>
      <c r="T13" s="154" t="s">
        <v>63</v>
      </c>
      <c r="U13" s="154" t="s">
        <v>63</v>
      </c>
      <c r="V13" s="156" t="s">
        <v>63</v>
      </c>
      <c r="W13" s="156">
        <v>1024</v>
      </c>
      <c r="X13" s="156" t="s">
        <v>63</v>
      </c>
      <c r="Y13" s="156" t="s">
        <v>63</v>
      </c>
      <c r="Z13" s="107" t="s">
        <v>63</v>
      </c>
      <c r="AA13" s="107" t="s">
        <v>63</v>
      </c>
      <c r="AB13" s="107" t="s">
        <v>63</v>
      </c>
      <c r="AC13" s="107">
        <v>0.82</v>
      </c>
      <c r="AD13" s="107">
        <v>0.49014999999999997</v>
      </c>
      <c r="AE13" s="107">
        <v>7.162E-3</v>
      </c>
      <c r="AF13" s="107">
        <v>0.1</v>
      </c>
      <c r="AG13" s="107" t="s">
        <v>63</v>
      </c>
      <c r="AH13" s="107">
        <f>AD13/AF13</f>
        <v>4.9014999999999995</v>
      </c>
      <c r="AI13" s="107" t="s">
        <v>63</v>
      </c>
      <c r="AJ13" s="107" t="s">
        <v>63</v>
      </c>
      <c r="AK13" s="107" t="s">
        <v>63</v>
      </c>
      <c r="AL13" s="107" t="s">
        <v>104</v>
      </c>
      <c r="AM13" s="151">
        <v>1024</v>
      </c>
      <c r="AN13" s="107" t="s">
        <v>59</v>
      </c>
      <c r="AO13" s="124" t="s">
        <v>59</v>
      </c>
      <c r="AP13" s="107"/>
      <c r="AQ13" s="87"/>
      <c r="AR13" s="90" t="s">
        <v>450</v>
      </c>
      <c r="AS13" s="91" t="s">
        <v>451</v>
      </c>
    </row>
    <row r="14" spans="1:45" ht="71.7" customHeight="1" x14ac:dyDescent="0.3">
      <c r="A14" s="148">
        <f t="shared" si="0"/>
        <v>13</v>
      </c>
      <c r="B14" s="13" t="s">
        <v>161</v>
      </c>
      <c r="C14" s="55">
        <v>2012</v>
      </c>
      <c r="D14" s="55" t="s">
        <v>122</v>
      </c>
      <c r="E14" s="55" t="s">
        <v>162</v>
      </c>
      <c r="F14" s="56" t="s">
        <v>145</v>
      </c>
      <c r="G14" s="55" t="s">
        <v>494</v>
      </c>
      <c r="H14" s="55">
        <v>65</v>
      </c>
      <c r="I14" s="55">
        <v>6</v>
      </c>
      <c r="J14" s="55"/>
      <c r="K14" s="55">
        <v>1.2</v>
      </c>
      <c r="L14" s="116">
        <v>8</v>
      </c>
      <c r="M14" s="107" t="s">
        <v>63</v>
      </c>
      <c r="N14" s="117">
        <v>1.2</v>
      </c>
      <c r="O14" s="118" t="s">
        <v>159</v>
      </c>
      <c r="P14" s="107" t="s">
        <v>63</v>
      </c>
      <c r="Q14" s="107" t="s">
        <v>63</v>
      </c>
      <c r="R14" s="56" t="s">
        <v>63</v>
      </c>
      <c r="S14" s="111" t="s">
        <v>63</v>
      </c>
      <c r="T14" s="172" t="s">
        <v>63</v>
      </c>
      <c r="U14" s="153" t="s">
        <v>63</v>
      </c>
      <c r="V14" s="153">
        <v>213000</v>
      </c>
      <c r="W14" s="153">
        <v>262144</v>
      </c>
      <c r="X14" s="153">
        <f>V14/(W14*0.065^2)</f>
        <v>192.31491540310648</v>
      </c>
      <c r="Y14" s="153">
        <f t="shared" ref="Y14:Y19" si="1">X14</f>
        <v>192.31491540310648</v>
      </c>
      <c r="Z14" s="55" t="s">
        <v>63</v>
      </c>
      <c r="AA14" s="55" t="s">
        <v>63</v>
      </c>
      <c r="AB14" s="55" t="s">
        <v>63</v>
      </c>
      <c r="AC14" s="55" t="s">
        <v>63</v>
      </c>
      <c r="AD14" s="55">
        <v>0.497</v>
      </c>
      <c r="AE14" s="55" t="s">
        <v>63</v>
      </c>
      <c r="AF14" s="55">
        <v>0.06</v>
      </c>
      <c r="AG14" s="55" t="s">
        <v>63</v>
      </c>
      <c r="AH14" s="107">
        <f t="shared" ref="AH14:AH19" si="2">AD14/AF14</f>
        <v>8.2833333333333332</v>
      </c>
      <c r="AI14" s="55" t="s">
        <v>63</v>
      </c>
      <c r="AJ14" s="55" t="s">
        <v>63</v>
      </c>
      <c r="AK14" s="55" t="s">
        <v>63</v>
      </c>
      <c r="AL14" s="55" t="s">
        <v>104</v>
      </c>
      <c r="AM14" s="151">
        <v>2048</v>
      </c>
      <c r="AN14" s="107" t="s">
        <v>59</v>
      </c>
      <c r="AO14" s="107"/>
      <c r="AP14" s="107"/>
      <c r="AQ14" s="87"/>
      <c r="AR14" s="90" t="s">
        <v>149</v>
      </c>
      <c r="AS14" s="91" t="s">
        <v>150</v>
      </c>
    </row>
    <row r="15" spans="1:45" ht="72.45" customHeight="1" x14ac:dyDescent="0.3">
      <c r="A15" s="148">
        <f t="shared" si="0"/>
        <v>14</v>
      </c>
      <c r="B15" s="13" t="s">
        <v>161</v>
      </c>
      <c r="C15" s="55">
        <v>2012</v>
      </c>
      <c r="D15" s="55" t="s">
        <v>122</v>
      </c>
      <c r="E15" s="55" t="s">
        <v>162</v>
      </c>
      <c r="F15" s="56" t="s">
        <v>498</v>
      </c>
      <c r="G15" s="55" t="s">
        <v>491</v>
      </c>
      <c r="H15" s="55">
        <v>65</v>
      </c>
      <c r="I15" s="55">
        <v>4</v>
      </c>
      <c r="J15" s="55"/>
      <c r="K15" s="55">
        <v>1.2</v>
      </c>
      <c r="L15" s="116">
        <v>4.5</v>
      </c>
      <c r="M15" s="107" t="s">
        <v>63</v>
      </c>
      <c r="N15" s="117">
        <v>1.2</v>
      </c>
      <c r="O15" s="118" t="s">
        <v>164</v>
      </c>
      <c r="P15" s="107" t="s">
        <v>63</v>
      </c>
      <c r="Q15" s="107" t="s">
        <v>63</v>
      </c>
      <c r="R15" s="56" t="s">
        <v>63</v>
      </c>
      <c r="S15" s="111" t="s">
        <v>63</v>
      </c>
      <c r="T15" s="172" t="s">
        <v>63</v>
      </c>
      <c r="U15" s="153" t="s">
        <v>63</v>
      </c>
      <c r="V15" s="156">
        <v>279000</v>
      </c>
      <c r="W15" s="153">
        <f>254*64</f>
        <v>16256</v>
      </c>
      <c r="X15" s="156">
        <f>V15/(H15*0.001)^2</f>
        <v>66035502.958579876</v>
      </c>
      <c r="Y15" s="153">
        <f t="shared" si="1"/>
        <v>66035502.958579876</v>
      </c>
      <c r="Z15" s="55" t="s">
        <v>63</v>
      </c>
      <c r="AA15" s="55" t="s">
        <v>63</v>
      </c>
      <c r="AB15" s="55" t="s">
        <v>63</v>
      </c>
      <c r="AC15" s="55" t="s">
        <v>63</v>
      </c>
      <c r="AD15" s="55">
        <v>0.47299999999999998</v>
      </c>
      <c r="AE15" s="55" t="s">
        <v>63</v>
      </c>
      <c r="AF15" s="55">
        <v>0.04</v>
      </c>
      <c r="AG15" s="55" t="s">
        <v>63</v>
      </c>
      <c r="AH15" s="107">
        <f t="shared" si="2"/>
        <v>11.824999999999999</v>
      </c>
      <c r="AI15" s="55" t="s">
        <v>63</v>
      </c>
      <c r="AJ15" s="55" t="s">
        <v>63</v>
      </c>
      <c r="AK15" s="55" t="s">
        <v>63</v>
      </c>
      <c r="AL15" s="55" t="s">
        <v>112</v>
      </c>
      <c r="AM15" s="151">
        <v>1.8E+19</v>
      </c>
      <c r="AN15" s="107" t="s">
        <v>61</v>
      </c>
      <c r="AO15" s="107" t="s">
        <v>61</v>
      </c>
      <c r="AP15" s="107"/>
      <c r="AQ15" s="87"/>
      <c r="AR15" s="90" t="s">
        <v>461</v>
      </c>
      <c r="AS15" s="91" t="s">
        <v>462</v>
      </c>
    </row>
    <row r="16" spans="1:45" ht="71.55" customHeight="1" x14ac:dyDescent="0.3">
      <c r="A16" s="148">
        <f t="shared" si="0"/>
        <v>15</v>
      </c>
      <c r="B16" s="13" t="s">
        <v>161</v>
      </c>
      <c r="C16" s="55">
        <v>2012</v>
      </c>
      <c r="D16" s="55" t="s">
        <v>122</v>
      </c>
      <c r="E16" s="55" t="s">
        <v>162</v>
      </c>
      <c r="F16" s="56" t="s">
        <v>499</v>
      </c>
      <c r="G16" s="55" t="s">
        <v>494</v>
      </c>
      <c r="H16" s="55">
        <v>65</v>
      </c>
      <c r="I16" s="55">
        <v>3.5</v>
      </c>
      <c r="J16" s="55"/>
      <c r="K16" s="55">
        <v>1.2</v>
      </c>
      <c r="L16" s="116">
        <v>28</v>
      </c>
      <c r="M16" s="107" t="s">
        <v>63</v>
      </c>
      <c r="N16" s="117">
        <v>1.2</v>
      </c>
      <c r="O16" s="118" t="s">
        <v>167</v>
      </c>
      <c r="P16" s="107" t="s">
        <v>63</v>
      </c>
      <c r="Q16" s="107" t="s">
        <v>63</v>
      </c>
      <c r="R16" s="56" t="s">
        <v>63</v>
      </c>
      <c r="S16" s="111" t="s">
        <v>63</v>
      </c>
      <c r="T16" s="172" t="s">
        <v>63</v>
      </c>
      <c r="U16" s="153" t="s">
        <v>63</v>
      </c>
      <c r="V16" s="153">
        <v>272000</v>
      </c>
      <c r="W16" s="153">
        <v>32768</v>
      </c>
      <c r="X16" s="153">
        <f>V16/(W16*0.065^2)</f>
        <v>1964.6819526627216</v>
      </c>
      <c r="Y16" s="153">
        <f t="shared" si="1"/>
        <v>1964.6819526627216</v>
      </c>
      <c r="Z16" s="55" t="s">
        <v>63</v>
      </c>
      <c r="AA16" s="55" t="s">
        <v>63</v>
      </c>
      <c r="AB16" s="55" t="s">
        <v>63</v>
      </c>
      <c r="AC16" s="55" t="s">
        <v>63</v>
      </c>
      <c r="AD16" s="55">
        <v>0.36899999999999999</v>
      </c>
      <c r="AE16" s="55" t="s">
        <v>63</v>
      </c>
      <c r="AF16" s="55">
        <v>3.5000000000000003E-2</v>
      </c>
      <c r="AG16" s="55" t="s">
        <v>63</v>
      </c>
      <c r="AH16" s="107">
        <f t="shared" si="2"/>
        <v>10.542857142857141</v>
      </c>
      <c r="AI16" s="55" t="s">
        <v>63</v>
      </c>
      <c r="AJ16" s="55" t="s">
        <v>63</v>
      </c>
      <c r="AK16" s="55" t="s">
        <v>63</v>
      </c>
      <c r="AL16" s="55" t="s">
        <v>104</v>
      </c>
      <c r="AM16" s="151">
        <v>256</v>
      </c>
      <c r="AN16" s="107" t="s">
        <v>59</v>
      </c>
      <c r="AO16" s="107"/>
      <c r="AP16" s="107"/>
      <c r="AQ16" s="87"/>
      <c r="AR16" s="90" t="s">
        <v>154</v>
      </c>
      <c r="AS16" s="91" t="s">
        <v>155</v>
      </c>
    </row>
    <row r="17" spans="1:45" ht="73.95" customHeight="1" x14ac:dyDescent="0.3">
      <c r="A17" s="148">
        <f t="shared" si="0"/>
        <v>16</v>
      </c>
      <c r="B17" s="13" t="s">
        <v>161</v>
      </c>
      <c r="C17" s="55">
        <v>2012</v>
      </c>
      <c r="D17" s="55" t="s">
        <v>122</v>
      </c>
      <c r="E17" s="55" t="s">
        <v>162</v>
      </c>
      <c r="F17" s="56" t="s">
        <v>168</v>
      </c>
      <c r="G17" s="55" t="s">
        <v>494</v>
      </c>
      <c r="H17" s="55">
        <v>65</v>
      </c>
      <c r="I17" s="55">
        <v>10</v>
      </c>
      <c r="J17" s="55"/>
      <c r="K17" s="55">
        <v>1.2</v>
      </c>
      <c r="L17" s="116">
        <v>33</v>
      </c>
      <c r="M17" s="107" t="s">
        <v>63</v>
      </c>
      <c r="N17" s="117">
        <v>1.2</v>
      </c>
      <c r="O17" s="118" t="s">
        <v>169</v>
      </c>
      <c r="P17" s="107" t="s">
        <v>63</v>
      </c>
      <c r="Q17" s="107" t="s">
        <v>63</v>
      </c>
      <c r="R17" s="56" t="s">
        <v>63</v>
      </c>
      <c r="S17" s="111" t="s">
        <v>63</v>
      </c>
      <c r="T17" s="172" t="s">
        <v>63</v>
      </c>
      <c r="U17" s="153" t="s">
        <v>63</v>
      </c>
      <c r="V17" s="153">
        <v>392000</v>
      </c>
      <c r="W17" s="153">
        <v>32768</v>
      </c>
      <c r="X17" s="153">
        <f>V17/(W17*0.065^2)</f>
        <v>2831.4534023668634</v>
      </c>
      <c r="Y17" s="153">
        <f t="shared" si="1"/>
        <v>2831.4534023668634</v>
      </c>
      <c r="Z17" s="55" t="s">
        <v>63</v>
      </c>
      <c r="AA17" s="55" t="s">
        <v>63</v>
      </c>
      <c r="AB17" s="55" t="s">
        <v>63</v>
      </c>
      <c r="AC17" s="55" t="s">
        <v>63</v>
      </c>
      <c r="AD17" s="55">
        <v>0.41799999999999998</v>
      </c>
      <c r="AE17" s="55" t="s">
        <v>63</v>
      </c>
      <c r="AF17" s="55">
        <v>0.1</v>
      </c>
      <c r="AG17" s="55" t="s">
        <v>63</v>
      </c>
      <c r="AH17" s="107">
        <f t="shared" si="2"/>
        <v>4.18</v>
      </c>
      <c r="AI17" s="55" t="s">
        <v>63</v>
      </c>
      <c r="AJ17" s="55" t="s">
        <v>63</v>
      </c>
      <c r="AK17" s="55" t="s">
        <v>63</v>
      </c>
      <c r="AL17" s="55" t="s">
        <v>104</v>
      </c>
      <c r="AM17" s="151">
        <v>256</v>
      </c>
      <c r="AN17" s="107" t="s">
        <v>59</v>
      </c>
      <c r="AO17" s="107"/>
      <c r="AP17" s="107"/>
      <c r="AQ17" s="87"/>
      <c r="AR17" s="90" t="s">
        <v>0</v>
      </c>
      <c r="AS17" s="91" t="s">
        <v>160</v>
      </c>
    </row>
    <row r="18" spans="1:45" ht="72" customHeight="1" x14ac:dyDescent="0.3">
      <c r="A18" s="148">
        <f t="shared" si="0"/>
        <v>17</v>
      </c>
      <c r="B18" s="13" t="s">
        <v>161</v>
      </c>
      <c r="C18" s="55">
        <v>2012</v>
      </c>
      <c r="D18" s="55" t="s">
        <v>122</v>
      </c>
      <c r="E18" s="55" t="s">
        <v>162</v>
      </c>
      <c r="F18" s="56" t="s">
        <v>504</v>
      </c>
      <c r="G18" s="55" t="s">
        <v>494</v>
      </c>
      <c r="H18" s="55">
        <v>65</v>
      </c>
      <c r="I18" s="55">
        <v>4.5</v>
      </c>
      <c r="J18" s="55"/>
      <c r="K18" s="55">
        <v>1.2</v>
      </c>
      <c r="L18" s="116">
        <v>20.5</v>
      </c>
      <c r="M18" s="107" t="s">
        <v>63</v>
      </c>
      <c r="N18" s="117">
        <v>1.2</v>
      </c>
      <c r="O18" s="118" t="s">
        <v>170</v>
      </c>
      <c r="P18" s="107" t="s">
        <v>63</v>
      </c>
      <c r="Q18" s="107" t="s">
        <v>63</v>
      </c>
      <c r="R18" s="56" t="s">
        <v>63</v>
      </c>
      <c r="S18" s="111" t="s">
        <v>63</v>
      </c>
      <c r="T18" s="172" t="s">
        <v>63</v>
      </c>
      <c r="U18" s="153" t="s">
        <v>63</v>
      </c>
      <c r="V18" s="153">
        <v>76000</v>
      </c>
      <c r="W18" s="153">
        <v>16384</v>
      </c>
      <c r="X18" s="153">
        <f>V18/(W18*0.065^2)</f>
        <v>1097.9105029585799</v>
      </c>
      <c r="Y18" s="153">
        <f t="shared" si="1"/>
        <v>1097.9105029585799</v>
      </c>
      <c r="Z18" s="55" t="s">
        <v>63</v>
      </c>
      <c r="AA18" s="55" t="s">
        <v>63</v>
      </c>
      <c r="AB18" s="55" t="s">
        <v>63</v>
      </c>
      <c r="AC18" s="55" t="s">
        <v>63</v>
      </c>
      <c r="AD18" s="55">
        <v>0.49099999999999999</v>
      </c>
      <c r="AE18" s="55" t="s">
        <v>63</v>
      </c>
      <c r="AF18" s="55">
        <v>4.4999999999999998E-2</v>
      </c>
      <c r="AG18" s="55" t="s">
        <v>63</v>
      </c>
      <c r="AH18" s="107">
        <f t="shared" si="2"/>
        <v>10.911111111111111</v>
      </c>
      <c r="AI18" s="55" t="s">
        <v>63</v>
      </c>
      <c r="AJ18" s="55" t="s">
        <v>63</v>
      </c>
      <c r="AK18" s="55" t="s">
        <v>63</v>
      </c>
      <c r="AL18" s="55" t="s">
        <v>104</v>
      </c>
      <c r="AM18" s="151">
        <v>256</v>
      </c>
      <c r="AN18" s="107" t="s">
        <v>59</v>
      </c>
      <c r="AO18" s="107"/>
      <c r="AP18" s="107"/>
      <c r="AQ18" s="87"/>
      <c r="AR18" s="90" t="s">
        <v>108</v>
      </c>
      <c r="AS18" s="91" t="s">
        <v>163</v>
      </c>
    </row>
    <row r="19" spans="1:45" ht="72.45" customHeight="1" x14ac:dyDescent="0.3">
      <c r="A19" s="148">
        <f t="shared" si="0"/>
        <v>18</v>
      </c>
      <c r="B19" s="13" t="s">
        <v>161</v>
      </c>
      <c r="C19" s="55">
        <v>2012</v>
      </c>
      <c r="D19" s="55" t="s">
        <v>122</v>
      </c>
      <c r="E19" s="55" t="s">
        <v>162</v>
      </c>
      <c r="F19" s="56" t="s">
        <v>171</v>
      </c>
      <c r="G19" s="55" t="s">
        <v>491</v>
      </c>
      <c r="H19" s="55">
        <v>65</v>
      </c>
      <c r="I19" s="55">
        <v>2.8</v>
      </c>
      <c r="J19" s="55"/>
      <c r="K19" s="55">
        <v>1.2</v>
      </c>
      <c r="L19" s="116">
        <v>3.9</v>
      </c>
      <c r="M19" s="107" t="s">
        <v>63</v>
      </c>
      <c r="N19" s="117">
        <v>1.2</v>
      </c>
      <c r="O19" s="118" t="s">
        <v>172</v>
      </c>
      <c r="P19" s="107" t="s">
        <v>63</v>
      </c>
      <c r="Q19" s="107" t="s">
        <v>63</v>
      </c>
      <c r="R19" s="56" t="s">
        <v>63</v>
      </c>
      <c r="S19" s="111" t="s">
        <v>63</v>
      </c>
      <c r="T19" s="172" t="s">
        <v>63</v>
      </c>
      <c r="U19" s="153" t="s">
        <v>63</v>
      </c>
      <c r="V19" s="153">
        <v>241000</v>
      </c>
      <c r="W19" s="153">
        <v>3840</v>
      </c>
      <c r="X19" s="153">
        <f>V19/(W19*0.065^2)</f>
        <v>14854.536489151873</v>
      </c>
      <c r="Y19" s="153">
        <f t="shared" si="1"/>
        <v>14854.536489151873</v>
      </c>
      <c r="Z19" s="55" t="s">
        <v>63</v>
      </c>
      <c r="AA19" s="55" t="s">
        <v>63</v>
      </c>
      <c r="AB19" s="55" t="s">
        <v>63</v>
      </c>
      <c r="AC19" s="55" t="s">
        <v>63</v>
      </c>
      <c r="AD19" s="55">
        <v>0.495</v>
      </c>
      <c r="AE19" s="55" t="s">
        <v>63</v>
      </c>
      <c r="AF19" s="55">
        <v>2.8000000000000001E-2</v>
      </c>
      <c r="AG19" s="55" t="s">
        <v>63</v>
      </c>
      <c r="AH19" s="107">
        <f t="shared" si="2"/>
        <v>17.678571428571427</v>
      </c>
      <c r="AI19" s="55" t="s">
        <v>63</v>
      </c>
      <c r="AJ19" s="55" t="s">
        <v>63</v>
      </c>
      <c r="AK19" s="55" t="s">
        <v>63</v>
      </c>
      <c r="AL19" s="55" t="s">
        <v>104</v>
      </c>
      <c r="AM19" s="151">
        <v>256</v>
      </c>
      <c r="AN19" s="107" t="s">
        <v>61</v>
      </c>
      <c r="AO19" s="107"/>
      <c r="AP19" s="107"/>
      <c r="AQ19" s="87"/>
      <c r="AR19" s="90" t="s">
        <v>525</v>
      </c>
      <c r="AS19" s="91" t="s">
        <v>529</v>
      </c>
    </row>
    <row r="20" spans="1:45" ht="72" x14ac:dyDescent="0.3">
      <c r="A20" s="148">
        <f t="shared" si="0"/>
        <v>19</v>
      </c>
      <c r="B20" s="9" t="s">
        <v>173</v>
      </c>
      <c r="C20" s="107">
        <v>2012</v>
      </c>
      <c r="D20" s="107" t="s">
        <v>108</v>
      </c>
      <c r="E20" s="107" t="s">
        <v>174</v>
      </c>
      <c r="F20" s="56" t="s">
        <v>175</v>
      </c>
      <c r="G20" s="107" t="s">
        <v>494</v>
      </c>
      <c r="H20" s="107">
        <v>32</v>
      </c>
      <c r="I20" s="107">
        <v>1E-3</v>
      </c>
      <c r="J20" s="107"/>
      <c r="K20" s="107" t="s">
        <v>63</v>
      </c>
      <c r="L20" s="108" t="s">
        <v>63</v>
      </c>
      <c r="M20" s="107">
        <v>1.0000000000000001E-5</v>
      </c>
      <c r="N20" s="109" t="s">
        <v>63</v>
      </c>
      <c r="O20" s="107" t="s">
        <v>63</v>
      </c>
      <c r="P20" s="107" t="s">
        <v>63</v>
      </c>
      <c r="Q20" s="107" t="s">
        <v>63</v>
      </c>
      <c r="R20" s="110" t="s">
        <v>63</v>
      </c>
      <c r="S20" s="111">
        <f>M20</f>
        <v>1.0000000000000001E-5</v>
      </c>
      <c r="T20" s="154" t="s">
        <v>63</v>
      </c>
      <c r="U20" s="154" t="s">
        <v>63</v>
      </c>
      <c r="V20" s="156">
        <v>10000</v>
      </c>
      <c r="W20" s="156">
        <f>1024*4</f>
        <v>4096</v>
      </c>
      <c r="X20" s="156">
        <f>V20/(W20*0.032^2)</f>
        <v>2384.185791015625</v>
      </c>
      <c r="Y20" s="156" t="s">
        <v>63</v>
      </c>
      <c r="Z20" s="107" t="s">
        <v>63</v>
      </c>
      <c r="AA20" s="107" t="s">
        <v>63</v>
      </c>
      <c r="AB20" s="107" t="s">
        <v>63</v>
      </c>
      <c r="AC20" s="107" t="s">
        <v>63</v>
      </c>
      <c r="AD20" s="107">
        <v>0.57999999999999996</v>
      </c>
      <c r="AE20" s="107">
        <v>0.76</v>
      </c>
      <c r="AF20" s="107" t="s">
        <v>63</v>
      </c>
      <c r="AG20" s="107" t="s">
        <v>63</v>
      </c>
      <c r="AH20" s="107" t="s">
        <v>63</v>
      </c>
      <c r="AI20" s="107" t="s">
        <v>63</v>
      </c>
      <c r="AJ20" s="107" t="s">
        <v>63</v>
      </c>
      <c r="AK20" s="107" t="s">
        <v>63</v>
      </c>
      <c r="AL20" s="107" t="s">
        <v>104</v>
      </c>
      <c r="AM20" s="151">
        <v>38</v>
      </c>
      <c r="AN20" s="107" t="s">
        <v>61</v>
      </c>
      <c r="AO20" s="107"/>
      <c r="AP20" s="107"/>
      <c r="AQ20" s="87"/>
      <c r="AR20" s="90" t="s">
        <v>165</v>
      </c>
      <c r="AS20" s="91" t="s">
        <v>166</v>
      </c>
    </row>
    <row r="21" spans="1:45" ht="86.4" x14ac:dyDescent="0.3">
      <c r="A21" s="148">
        <f t="shared" si="0"/>
        <v>20</v>
      </c>
      <c r="B21" s="9" t="s">
        <v>176</v>
      </c>
      <c r="C21" s="107">
        <v>2013</v>
      </c>
      <c r="D21" s="107" t="s">
        <v>23</v>
      </c>
      <c r="E21" s="107" t="s">
        <v>174</v>
      </c>
      <c r="F21" s="56" t="s">
        <v>177</v>
      </c>
      <c r="G21" s="107" t="s">
        <v>494</v>
      </c>
      <c r="H21" s="107">
        <v>32</v>
      </c>
      <c r="I21" s="107">
        <v>1E-3</v>
      </c>
      <c r="J21" s="107"/>
      <c r="K21" s="107">
        <v>0.9</v>
      </c>
      <c r="L21" s="108">
        <f>I21</f>
        <v>1E-3</v>
      </c>
      <c r="M21" s="107">
        <v>1E-4</v>
      </c>
      <c r="N21" s="109" t="s">
        <v>178</v>
      </c>
      <c r="O21" s="107" t="s">
        <v>179</v>
      </c>
      <c r="P21" s="107" t="s">
        <v>63</v>
      </c>
      <c r="Q21" s="107" t="s">
        <v>63</v>
      </c>
      <c r="R21" s="110" t="s">
        <v>63</v>
      </c>
      <c r="S21" s="111">
        <f>M21</f>
        <v>1E-4</v>
      </c>
      <c r="T21" s="154" t="s">
        <v>63</v>
      </c>
      <c r="U21" s="154" t="s">
        <v>63</v>
      </c>
      <c r="V21" s="154">
        <v>3.9E-2</v>
      </c>
      <c r="W21" s="154">
        <v>4096</v>
      </c>
      <c r="X21" s="154">
        <f>V21/(0.032^2)</f>
        <v>38.0859375</v>
      </c>
      <c r="Y21" s="154" t="s">
        <v>63</v>
      </c>
      <c r="Z21" s="112" t="s">
        <v>63</v>
      </c>
      <c r="AA21" s="112" t="s">
        <v>63</v>
      </c>
      <c r="AB21" s="112" t="s">
        <v>63</v>
      </c>
      <c r="AC21" s="112" t="s">
        <v>63</v>
      </c>
      <c r="AD21" s="112" t="s">
        <v>63</v>
      </c>
      <c r="AE21" s="112" t="s">
        <v>63</v>
      </c>
      <c r="AF21" s="112" t="s">
        <v>63</v>
      </c>
      <c r="AG21" s="112" t="s">
        <v>63</v>
      </c>
      <c r="AH21" s="112" t="s">
        <v>63</v>
      </c>
      <c r="AI21" s="112" t="s">
        <v>63</v>
      </c>
      <c r="AJ21" s="112" t="s">
        <v>63</v>
      </c>
      <c r="AK21" s="112" t="s">
        <v>63</v>
      </c>
      <c r="AL21" s="112" t="s">
        <v>104</v>
      </c>
      <c r="AM21" s="151">
        <v>1</v>
      </c>
      <c r="AN21" s="112" t="s">
        <v>61</v>
      </c>
      <c r="AO21" s="112"/>
      <c r="AP21" s="112"/>
      <c r="AQ21" s="87"/>
    </row>
    <row r="22" spans="1:45" ht="69.150000000000006" customHeight="1" x14ac:dyDescent="0.3">
      <c r="A22" s="148">
        <f t="shared" si="0"/>
        <v>21</v>
      </c>
      <c r="B22" s="9" t="s">
        <v>180</v>
      </c>
      <c r="C22" s="107">
        <v>2014</v>
      </c>
      <c r="D22" s="107" t="s">
        <v>117</v>
      </c>
      <c r="E22" s="107" t="s">
        <v>181</v>
      </c>
      <c r="F22" s="56" t="s">
        <v>557</v>
      </c>
      <c r="G22" s="107" t="s">
        <v>490</v>
      </c>
      <c r="H22" s="107">
        <v>65</v>
      </c>
      <c r="I22" s="107">
        <v>38.4</v>
      </c>
      <c r="J22" s="107"/>
      <c r="K22" s="107">
        <v>1.2</v>
      </c>
      <c r="L22" s="108">
        <v>38.4</v>
      </c>
      <c r="M22" s="107" t="s">
        <v>63</v>
      </c>
      <c r="N22" s="109" t="s">
        <v>182</v>
      </c>
      <c r="O22" s="115" t="s">
        <v>183</v>
      </c>
      <c r="P22" s="107" t="s">
        <v>63</v>
      </c>
      <c r="Q22" s="107" t="s">
        <v>63</v>
      </c>
      <c r="R22" s="110" t="s">
        <v>184</v>
      </c>
      <c r="S22" s="111">
        <f>0.000000005*100</f>
        <v>4.9999999999999998E-7</v>
      </c>
      <c r="T22" s="154">
        <f>128/1.15</f>
        <v>111.30434782608697</v>
      </c>
      <c r="U22" s="154" t="s">
        <v>63</v>
      </c>
      <c r="V22" s="154">
        <v>9700</v>
      </c>
      <c r="W22" s="154">
        <v>4096</v>
      </c>
      <c r="X22" s="154">
        <f>V22/(W22*(H22*0.001)^2)</f>
        <v>560.5122041420118</v>
      </c>
      <c r="Y22" s="154">
        <f>(9700+2*7700/(H22*0.001)^2)/(W22*0.75)</f>
        <v>1189.6713587894476</v>
      </c>
      <c r="Z22" s="112" t="s">
        <v>185</v>
      </c>
      <c r="AA22" s="112" t="s">
        <v>63</v>
      </c>
      <c r="AB22" s="112">
        <f>0.5-0.41</f>
        <v>9.0000000000000024E-2</v>
      </c>
      <c r="AC22" s="112" t="s">
        <v>63</v>
      </c>
      <c r="AD22" s="112" t="s">
        <v>186</v>
      </c>
      <c r="AE22" s="112" t="s">
        <v>63</v>
      </c>
      <c r="AF22" s="112" t="s">
        <v>63</v>
      </c>
      <c r="AG22" s="112" t="s">
        <v>63</v>
      </c>
      <c r="AH22" s="112" t="s">
        <v>63</v>
      </c>
      <c r="AI22" s="112" t="s">
        <v>63</v>
      </c>
      <c r="AJ22" s="112" t="s">
        <v>63</v>
      </c>
      <c r="AK22" s="112" t="s">
        <v>63</v>
      </c>
      <c r="AL22" s="112" t="s">
        <v>104</v>
      </c>
      <c r="AM22" s="151">
        <v>32</v>
      </c>
      <c r="AN22" s="112" t="s">
        <v>61</v>
      </c>
      <c r="AO22" s="112"/>
      <c r="AP22" s="112"/>
      <c r="AQ22" s="87"/>
    </row>
    <row r="23" spans="1:45" s="4" customFormat="1" ht="100.95" customHeight="1" x14ac:dyDescent="0.3">
      <c r="A23" s="148">
        <f t="shared" si="0"/>
        <v>22</v>
      </c>
      <c r="B23" s="9" t="s">
        <v>187</v>
      </c>
      <c r="C23" s="107">
        <v>2014</v>
      </c>
      <c r="D23" s="107" t="s">
        <v>99</v>
      </c>
      <c r="E23" s="107" t="s">
        <v>188</v>
      </c>
      <c r="F23" s="56" t="s">
        <v>496</v>
      </c>
      <c r="G23" s="107" t="s">
        <v>58</v>
      </c>
      <c r="H23" s="107">
        <v>22</v>
      </c>
      <c r="I23" s="107">
        <v>30</v>
      </c>
      <c r="J23" s="107">
        <v>5000</v>
      </c>
      <c r="K23" s="107">
        <v>0.8</v>
      </c>
      <c r="L23" s="108">
        <v>30</v>
      </c>
      <c r="M23" s="107">
        <v>30</v>
      </c>
      <c r="N23" s="109" t="s">
        <v>189</v>
      </c>
      <c r="O23" s="107" t="s">
        <v>190</v>
      </c>
      <c r="P23" s="107">
        <v>0.49</v>
      </c>
      <c r="Q23" s="107" t="s">
        <v>63</v>
      </c>
      <c r="R23" s="110" t="s">
        <v>191</v>
      </c>
      <c r="S23" s="111">
        <f>0.0097*100</f>
        <v>0.97</v>
      </c>
      <c r="T23" s="154">
        <v>133.33333333333334</v>
      </c>
      <c r="U23" s="156">
        <v>0.19</v>
      </c>
      <c r="V23" s="154">
        <v>24</v>
      </c>
      <c r="W23" s="154">
        <v>50000</v>
      </c>
      <c r="X23" s="154">
        <v>9632.2314049586785</v>
      </c>
      <c r="Y23" s="154" t="s">
        <v>63</v>
      </c>
      <c r="Z23" s="112">
        <v>0.48046875</v>
      </c>
      <c r="AA23" s="112">
        <v>3.515625E-2</v>
      </c>
      <c r="AB23" s="112">
        <v>1.953125E-2</v>
      </c>
      <c r="AC23" s="112">
        <v>0.99970000000000003</v>
      </c>
      <c r="AD23" s="112">
        <v>0.49</v>
      </c>
      <c r="AE23" s="112">
        <v>2.2539999999999998E-2</v>
      </c>
      <c r="AF23" s="112">
        <v>2.68359375E-2</v>
      </c>
      <c r="AG23" s="112" t="s">
        <v>63</v>
      </c>
      <c r="AH23" s="112">
        <v>18.25909752547307</v>
      </c>
      <c r="AI23" s="112" t="s">
        <v>63</v>
      </c>
      <c r="AJ23" s="112" t="s">
        <v>192</v>
      </c>
      <c r="AK23" s="112">
        <v>0.01</v>
      </c>
      <c r="AL23" s="112" t="s">
        <v>104</v>
      </c>
      <c r="AM23" s="151">
        <v>196</v>
      </c>
      <c r="AN23" s="112" t="s">
        <v>61</v>
      </c>
      <c r="AO23" s="112"/>
      <c r="AP23" s="112"/>
      <c r="AQ23" s="86"/>
      <c r="AR23"/>
      <c r="AS23"/>
    </row>
    <row r="24" spans="1:45" s="10" customFormat="1" ht="103.95" customHeight="1" x14ac:dyDescent="0.3">
      <c r="A24" s="148">
        <f t="shared" si="0"/>
        <v>23</v>
      </c>
      <c r="B24" s="9" t="s">
        <v>193</v>
      </c>
      <c r="C24" s="107">
        <v>2014</v>
      </c>
      <c r="D24" s="107" t="s">
        <v>122</v>
      </c>
      <c r="E24" s="107" t="s">
        <v>188</v>
      </c>
      <c r="F24" s="56" t="s">
        <v>496</v>
      </c>
      <c r="G24" s="107" t="s">
        <v>58</v>
      </c>
      <c r="H24" s="107">
        <v>22</v>
      </c>
      <c r="I24" s="107">
        <v>12.5</v>
      </c>
      <c r="J24" s="107"/>
      <c r="K24" s="107">
        <v>0.8</v>
      </c>
      <c r="L24" s="108">
        <v>12.5</v>
      </c>
      <c r="M24" s="107">
        <v>12.5</v>
      </c>
      <c r="N24" s="109" t="s">
        <v>189</v>
      </c>
      <c r="O24" s="107">
        <v>25</v>
      </c>
      <c r="P24" s="107" t="s">
        <v>63</v>
      </c>
      <c r="Q24" s="107" t="s">
        <v>63</v>
      </c>
      <c r="R24" s="110">
        <v>4</v>
      </c>
      <c r="S24" s="111">
        <f>0.0194*100</f>
        <v>1.94</v>
      </c>
      <c r="T24" s="154">
        <f>2000/2</f>
        <v>1000</v>
      </c>
      <c r="U24" s="156">
        <v>1.2999999999999999E-2</v>
      </c>
      <c r="V24" s="154">
        <f>3900*6000</f>
        <v>23400000</v>
      </c>
      <c r="W24" s="154">
        <v>258048</v>
      </c>
      <c r="X24" s="154">
        <f>V24/(W24*(0.04^2))</f>
        <v>56675.502232142855</v>
      </c>
      <c r="Y24" s="154">
        <f>X24</f>
        <v>56675.502232142855</v>
      </c>
      <c r="Z24" s="112" t="s">
        <v>63</v>
      </c>
      <c r="AA24" s="112" t="s">
        <v>63</v>
      </c>
      <c r="AB24" s="112" t="s">
        <v>63</v>
      </c>
      <c r="AC24" s="112" t="s">
        <v>63</v>
      </c>
      <c r="AD24" s="112" t="s">
        <v>63</v>
      </c>
      <c r="AE24" s="112" t="s">
        <v>63</v>
      </c>
      <c r="AF24" s="112" t="s">
        <v>63</v>
      </c>
      <c r="AG24" s="112" t="s">
        <v>63</v>
      </c>
      <c r="AH24" s="112" t="s">
        <v>63</v>
      </c>
      <c r="AI24" s="112" t="s">
        <v>63</v>
      </c>
      <c r="AJ24" s="112" t="s">
        <v>63</v>
      </c>
      <c r="AK24" s="112" t="s">
        <v>63</v>
      </c>
      <c r="AL24" s="112" t="s">
        <v>104</v>
      </c>
      <c r="AM24" s="151">
        <f>W24/256</f>
        <v>1008</v>
      </c>
      <c r="AN24" s="112" t="s">
        <v>61</v>
      </c>
      <c r="AO24" s="112"/>
      <c r="AP24" s="112"/>
      <c r="AQ24" s="88"/>
      <c r="AR24"/>
      <c r="AS24"/>
    </row>
    <row r="25" spans="1:45" ht="71.55" customHeight="1" x14ac:dyDescent="0.3">
      <c r="A25" s="148">
        <f t="shared" si="0"/>
        <v>24</v>
      </c>
      <c r="B25" s="13" t="s">
        <v>194</v>
      </c>
      <c r="C25" s="55">
        <v>2014</v>
      </c>
      <c r="D25" s="55" t="s">
        <v>132</v>
      </c>
      <c r="E25" s="55" t="s">
        <v>195</v>
      </c>
      <c r="F25" s="56" t="s">
        <v>196</v>
      </c>
      <c r="G25" s="55" t="s">
        <v>345</v>
      </c>
      <c r="H25" s="55">
        <v>180</v>
      </c>
      <c r="I25" s="55" t="s">
        <v>63</v>
      </c>
      <c r="J25" s="55"/>
      <c r="K25" s="55">
        <v>1.8</v>
      </c>
      <c r="L25" s="116" t="s">
        <v>63</v>
      </c>
      <c r="M25" s="111">
        <f>0.0001904*100</f>
        <v>1.9039999999999998E-2</v>
      </c>
      <c r="N25" s="117" t="s">
        <v>197</v>
      </c>
      <c r="O25" s="55" t="s">
        <v>198</v>
      </c>
      <c r="P25" s="107" t="s">
        <v>63</v>
      </c>
      <c r="Q25" s="107" t="s">
        <v>63</v>
      </c>
      <c r="R25" s="56">
        <v>6</v>
      </c>
      <c r="S25" s="111">
        <f>(0.0001904)*100</f>
        <v>1.9039999999999998E-2</v>
      </c>
      <c r="T25" s="172">
        <v>1</v>
      </c>
      <c r="U25" s="153" t="s">
        <v>63</v>
      </c>
      <c r="V25" s="154">
        <v>105650</v>
      </c>
      <c r="W25" s="154">
        <v>128</v>
      </c>
      <c r="X25" s="154">
        <f>V25/(W25*4*(0.014)^2)</f>
        <v>1052794.1645408163</v>
      </c>
      <c r="Y25" s="154">
        <f>X25*4</f>
        <v>4211176.6581632653</v>
      </c>
      <c r="Z25" s="112" t="s">
        <v>63</v>
      </c>
      <c r="AA25" s="112" t="s">
        <v>63</v>
      </c>
      <c r="AB25" s="112" t="s">
        <v>63</v>
      </c>
      <c r="AC25" s="112" t="s">
        <v>63</v>
      </c>
      <c r="AD25" s="112" t="s">
        <v>63</v>
      </c>
      <c r="AE25" s="112" t="s">
        <v>63</v>
      </c>
      <c r="AF25" s="112">
        <f>63.73/128</f>
        <v>0.49789062499999998</v>
      </c>
      <c r="AG25" s="112" t="s">
        <v>63</v>
      </c>
      <c r="AH25" s="112" t="s">
        <v>63</v>
      </c>
      <c r="AI25" s="112" t="s">
        <v>63</v>
      </c>
      <c r="AJ25" s="112" t="s">
        <v>63</v>
      </c>
      <c r="AK25" s="112" t="s">
        <v>63</v>
      </c>
      <c r="AL25" s="112" t="s">
        <v>104</v>
      </c>
      <c r="AM25" s="151">
        <v>1</v>
      </c>
      <c r="AN25" s="112" t="s">
        <v>61</v>
      </c>
      <c r="AO25" s="112"/>
      <c r="AP25" s="112"/>
      <c r="AQ25" s="87"/>
    </row>
    <row r="26" spans="1:45" s="4" customFormat="1" ht="87" customHeight="1" x14ac:dyDescent="0.3">
      <c r="A26" s="148">
        <f t="shared" si="0"/>
        <v>25</v>
      </c>
      <c r="B26" s="9" t="s">
        <v>199</v>
      </c>
      <c r="C26" s="107">
        <v>2015</v>
      </c>
      <c r="D26" s="107" t="s">
        <v>99</v>
      </c>
      <c r="E26" s="107" t="s">
        <v>15</v>
      </c>
      <c r="F26" s="56" t="s">
        <v>505</v>
      </c>
      <c r="G26" s="107" t="s">
        <v>493</v>
      </c>
      <c r="H26" s="107">
        <v>65</v>
      </c>
      <c r="I26" s="107">
        <v>1.73</v>
      </c>
      <c r="J26" s="107">
        <v>400</v>
      </c>
      <c r="K26" s="107">
        <v>1</v>
      </c>
      <c r="L26" s="108">
        <v>4.5599999999999996</v>
      </c>
      <c r="M26" s="107" t="s">
        <v>63</v>
      </c>
      <c r="N26" s="109" t="s">
        <v>200</v>
      </c>
      <c r="O26" s="107" t="s">
        <v>201</v>
      </c>
      <c r="P26" s="107">
        <v>1.27</v>
      </c>
      <c r="Q26" s="107">
        <v>0.47</v>
      </c>
      <c r="R26" s="110" t="s">
        <v>202</v>
      </c>
      <c r="S26" s="111" t="s">
        <v>63</v>
      </c>
      <c r="T26" s="154" t="s">
        <v>63</v>
      </c>
      <c r="U26" s="156">
        <v>1.4999999999999999E-2</v>
      </c>
      <c r="V26" s="154">
        <v>6000</v>
      </c>
      <c r="W26" s="154">
        <v>3096</v>
      </c>
      <c r="X26" s="154">
        <f>V26</f>
        <v>6000</v>
      </c>
      <c r="Y26" s="154"/>
      <c r="Z26" s="112">
        <f>129.49/256</f>
        <v>0.50582031250000004</v>
      </c>
      <c r="AA26" s="112" t="s">
        <v>63</v>
      </c>
      <c r="AB26" s="112">
        <f>ABS(Z26-0.5)</f>
        <v>5.8203125000000355E-3</v>
      </c>
      <c r="AC26" s="112">
        <v>0.99660000000000004</v>
      </c>
      <c r="AD26" s="112">
        <f>128.36/256</f>
        <v>0.50140625000000005</v>
      </c>
      <c r="AE26" s="112" t="s">
        <v>63</v>
      </c>
      <c r="AF26" s="112">
        <f>0.9176/256</f>
        <v>3.5843749999999999E-3</v>
      </c>
      <c r="AG26" s="112" t="s">
        <v>63</v>
      </c>
      <c r="AH26" s="112">
        <f t="shared" ref="AH26:AH32" si="3">AD26/AF26</f>
        <v>139.88666085440281</v>
      </c>
      <c r="AI26" s="112" t="s">
        <v>63</v>
      </c>
      <c r="AJ26" s="112" t="s">
        <v>192</v>
      </c>
      <c r="AK26" s="112">
        <v>3.6299999999999999E-2</v>
      </c>
      <c r="AL26" s="112" t="s">
        <v>104</v>
      </c>
      <c r="AM26" s="151">
        <v>12</v>
      </c>
      <c r="AN26" s="112" t="s">
        <v>61</v>
      </c>
      <c r="AO26" s="112"/>
      <c r="AP26" s="112"/>
      <c r="AQ26" s="86"/>
      <c r="AR26"/>
      <c r="AS26"/>
    </row>
    <row r="27" spans="1:45" s="4" customFormat="1" ht="75" customHeight="1" x14ac:dyDescent="0.3">
      <c r="A27" s="148">
        <f t="shared" si="0"/>
        <v>26</v>
      </c>
      <c r="B27" s="9" t="s">
        <v>203</v>
      </c>
      <c r="C27" s="107">
        <v>2015</v>
      </c>
      <c r="D27" s="107" t="s">
        <v>108</v>
      </c>
      <c r="E27" s="107" t="s">
        <v>306</v>
      </c>
      <c r="F27" s="56" t="s">
        <v>204</v>
      </c>
      <c r="G27" s="107" t="s">
        <v>490</v>
      </c>
      <c r="H27" s="107">
        <v>65</v>
      </c>
      <c r="I27" s="107">
        <v>7.1</v>
      </c>
      <c r="J27" s="107">
        <v>500</v>
      </c>
      <c r="K27" s="107">
        <v>1</v>
      </c>
      <c r="L27" s="108">
        <v>2</v>
      </c>
      <c r="M27" s="107" t="s">
        <v>63</v>
      </c>
      <c r="N27" s="109" t="s">
        <v>205</v>
      </c>
      <c r="O27" s="107" t="s">
        <v>125</v>
      </c>
      <c r="P27" s="107">
        <v>0.17</v>
      </c>
      <c r="Q27" s="107">
        <v>0.44</v>
      </c>
      <c r="R27" s="110" t="s">
        <v>63</v>
      </c>
      <c r="S27" s="111">
        <v>2</v>
      </c>
      <c r="T27" s="154">
        <v>10.199999999999999</v>
      </c>
      <c r="U27" s="156">
        <v>1.1000000000000001</v>
      </c>
      <c r="V27" s="154">
        <v>3.07</v>
      </c>
      <c r="W27" s="154">
        <v>256</v>
      </c>
      <c r="X27" s="154">
        <v>726.62721893491107</v>
      </c>
      <c r="Y27" s="154">
        <v>1756</v>
      </c>
      <c r="Z27" s="112">
        <v>0.49277343750000002</v>
      </c>
      <c r="AA27" s="112" t="s">
        <v>63</v>
      </c>
      <c r="AB27" s="112">
        <v>7.2265624999999778E-3</v>
      </c>
      <c r="AC27" s="112">
        <v>0.99980000000000002</v>
      </c>
      <c r="AD27" s="112">
        <v>0.50009999999999999</v>
      </c>
      <c r="AE27" s="112">
        <v>2.8000000000000001E-2</v>
      </c>
      <c r="AF27" s="112">
        <v>5.7000000000000002E-3</v>
      </c>
      <c r="AG27" s="112">
        <v>4.1999999999999997E-3</v>
      </c>
      <c r="AH27" s="112">
        <v>87.73684210526315</v>
      </c>
      <c r="AI27" s="112">
        <f>(AD27-3*AE27)/(AF27+3*AG27)</f>
        <v>22.737704918032787</v>
      </c>
      <c r="AJ27" s="112" t="s">
        <v>192</v>
      </c>
      <c r="AK27" s="112">
        <v>1.8800000000000001E-2</v>
      </c>
      <c r="AL27" s="112" t="s">
        <v>104</v>
      </c>
      <c r="AM27" s="151">
        <v>1</v>
      </c>
      <c r="AN27" s="112" t="s">
        <v>61</v>
      </c>
      <c r="AO27" s="112"/>
      <c r="AP27" s="112"/>
      <c r="AQ27" s="86"/>
      <c r="AR27"/>
      <c r="AS27"/>
    </row>
    <row r="28" spans="1:45" s="4" customFormat="1" ht="57.6" x14ac:dyDescent="0.3">
      <c r="A28" s="148">
        <f t="shared" si="0"/>
        <v>27</v>
      </c>
      <c r="B28" s="9" t="s">
        <v>206</v>
      </c>
      <c r="C28" s="107">
        <v>2015</v>
      </c>
      <c r="D28" s="107" t="s">
        <v>154</v>
      </c>
      <c r="E28" s="107" t="s">
        <v>207</v>
      </c>
      <c r="F28" s="56" t="s">
        <v>208</v>
      </c>
      <c r="G28" s="107" t="s">
        <v>490</v>
      </c>
      <c r="H28" s="107">
        <v>180</v>
      </c>
      <c r="I28" s="107">
        <v>0</v>
      </c>
      <c r="J28" s="107"/>
      <c r="K28" s="107">
        <v>1.8</v>
      </c>
      <c r="L28" s="108">
        <v>3.43</v>
      </c>
      <c r="M28" s="107">
        <f>L28</f>
        <v>3.43</v>
      </c>
      <c r="N28" s="109" t="s">
        <v>209</v>
      </c>
      <c r="O28" s="115" t="s">
        <v>210</v>
      </c>
      <c r="P28" s="107">
        <v>1.3</v>
      </c>
      <c r="Q28" s="107">
        <v>4.4000000000000004</v>
      </c>
      <c r="R28" s="110" t="s">
        <v>202</v>
      </c>
      <c r="S28" s="111" t="s">
        <v>63</v>
      </c>
      <c r="T28" s="154" t="s">
        <v>63</v>
      </c>
      <c r="U28" s="154" t="s">
        <v>63</v>
      </c>
      <c r="V28" s="154">
        <f>15*25/(0.018^2)</f>
        <v>1157407.4074074076</v>
      </c>
      <c r="W28" s="154" t="s">
        <v>63</v>
      </c>
      <c r="X28" s="154">
        <f>15*25/(0.18^2)</f>
        <v>11574.074074074075</v>
      </c>
      <c r="Y28" s="154">
        <f>31*55/(0.018^2)</f>
        <v>5262345.6790123461</v>
      </c>
      <c r="Z28" s="112">
        <f>49.94/100</f>
        <v>0.49939999999999996</v>
      </c>
      <c r="AA28" s="112" t="s">
        <v>211</v>
      </c>
      <c r="AB28" s="112">
        <f>ABS(Z28-0.5)</f>
        <v>6.0000000000004494E-4</v>
      </c>
      <c r="AC28" s="112" t="s">
        <v>63</v>
      </c>
      <c r="AD28" s="112">
        <v>0.50070000000000003</v>
      </c>
      <c r="AE28" s="112" t="s">
        <v>63</v>
      </c>
      <c r="AF28" s="112">
        <v>1.17</v>
      </c>
      <c r="AG28" s="112" t="s">
        <v>63</v>
      </c>
      <c r="AH28" s="112">
        <f t="shared" si="3"/>
        <v>0.42794871794871803</v>
      </c>
      <c r="AI28" s="112" t="s">
        <v>63</v>
      </c>
      <c r="AJ28" s="112" t="s">
        <v>63</v>
      </c>
      <c r="AK28" s="112" t="s">
        <v>63</v>
      </c>
      <c r="AL28" s="112" t="s">
        <v>104</v>
      </c>
      <c r="AM28" s="151">
        <v>1</v>
      </c>
      <c r="AN28" s="112" t="s">
        <v>61</v>
      </c>
      <c r="AO28" s="112"/>
      <c r="AP28" s="112"/>
      <c r="AQ28" s="86"/>
      <c r="AR28"/>
      <c r="AS28"/>
    </row>
    <row r="29" spans="1:45" ht="72.45" customHeight="1" x14ac:dyDescent="0.3">
      <c r="A29" s="148">
        <f t="shared" si="0"/>
        <v>28</v>
      </c>
      <c r="B29" s="9" t="s">
        <v>212</v>
      </c>
      <c r="C29" s="107">
        <v>2015</v>
      </c>
      <c r="D29" s="107" t="s">
        <v>99</v>
      </c>
      <c r="E29" s="107" t="s">
        <v>213</v>
      </c>
      <c r="F29" s="56" t="s">
        <v>63</v>
      </c>
      <c r="G29" s="107" t="s">
        <v>491</v>
      </c>
      <c r="H29" s="107">
        <v>40</v>
      </c>
      <c r="I29" s="107">
        <v>9</v>
      </c>
      <c r="J29" s="107">
        <v>1000</v>
      </c>
      <c r="K29" s="107">
        <v>0.9</v>
      </c>
      <c r="L29" s="108">
        <v>12.5</v>
      </c>
      <c r="M29" s="107">
        <v>12.5</v>
      </c>
      <c r="N29" s="109" t="s">
        <v>214</v>
      </c>
      <c r="O29" s="115" t="s">
        <v>103</v>
      </c>
      <c r="P29" s="107" t="s">
        <v>63</v>
      </c>
      <c r="Q29" s="107">
        <v>1.8</v>
      </c>
      <c r="R29" s="110">
        <v>4</v>
      </c>
      <c r="S29" s="111">
        <f>0.00000001*100</f>
        <v>9.9999999999999995E-7</v>
      </c>
      <c r="T29" s="154">
        <v>1.6</v>
      </c>
      <c r="U29" s="156">
        <v>17.75</v>
      </c>
      <c r="V29" s="154">
        <v>845</v>
      </c>
      <c r="W29" s="154">
        <v>256</v>
      </c>
      <c r="X29" s="154">
        <f>V29/(H29*0.001)^2</f>
        <v>528125</v>
      </c>
      <c r="Y29" s="154">
        <f>X29</f>
        <v>528125</v>
      </c>
      <c r="Z29" s="112" t="s">
        <v>63</v>
      </c>
      <c r="AA29" s="112" t="s">
        <v>63</v>
      </c>
      <c r="AB29" s="112" t="s">
        <v>63</v>
      </c>
      <c r="AC29" s="112" t="s">
        <v>63</v>
      </c>
      <c r="AD29" s="112">
        <v>0.50070000000000003</v>
      </c>
      <c r="AE29" s="112">
        <v>6.2700000000000006E-2</v>
      </c>
      <c r="AF29" s="112">
        <v>1.01E-2</v>
      </c>
      <c r="AG29" s="112">
        <v>6.3500000000000001E-2</v>
      </c>
      <c r="AH29" s="112">
        <v>49.57425742574258</v>
      </c>
      <c r="AI29" s="112">
        <f>(AD29-3*AE29)/(AF29+3*AG29)</f>
        <v>1.5583250249252243</v>
      </c>
      <c r="AJ29" s="112" t="s">
        <v>192</v>
      </c>
      <c r="AK29" s="112">
        <v>2.8299999999999999E-2</v>
      </c>
      <c r="AL29" s="112" t="s">
        <v>112</v>
      </c>
      <c r="AM29" s="151">
        <v>5.5000000000000003E+28</v>
      </c>
      <c r="AN29" s="112" t="s">
        <v>61</v>
      </c>
      <c r="AO29" s="112" t="s">
        <v>61</v>
      </c>
      <c r="AP29" s="112"/>
      <c r="AQ29" s="87"/>
    </row>
    <row r="30" spans="1:45" s="4" customFormat="1" ht="87.6" customHeight="1" x14ac:dyDescent="0.3">
      <c r="A30" s="148">
        <f t="shared" si="0"/>
        <v>29</v>
      </c>
      <c r="B30" s="9" t="s">
        <v>215</v>
      </c>
      <c r="C30" s="107">
        <v>2016</v>
      </c>
      <c r="D30" s="107" t="s">
        <v>99</v>
      </c>
      <c r="E30" s="107" t="s">
        <v>216</v>
      </c>
      <c r="F30" s="56" t="s">
        <v>63</v>
      </c>
      <c r="G30" s="107" t="s">
        <v>493</v>
      </c>
      <c r="H30" s="107">
        <v>45</v>
      </c>
      <c r="I30" s="107">
        <v>18.5</v>
      </c>
      <c r="J30" s="107"/>
      <c r="K30" s="107" t="s">
        <v>131</v>
      </c>
      <c r="L30" s="108" t="s">
        <v>63</v>
      </c>
      <c r="M30" s="107">
        <v>0.1</v>
      </c>
      <c r="N30" s="109" t="s">
        <v>217</v>
      </c>
      <c r="O30" s="115" t="s">
        <v>218</v>
      </c>
      <c r="P30" s="107" t="s">
        <v>63</v>
      </c>
      <c r="Q30" s="107">
        <v>0.15</v>
      </c>
      <c r="R30" s="110" t="s">
        <v>219</v>
      </c>
      <c r="S30" s="111">
        <f>2E-38*100</f>
        <v>1.9999999999999999E-36</v>
      </c>
      <c r="T30" s="154">
        <v>0.3125</v>
      </c>
      <c r="U30" s="156" t="s">
        <v>63</v>
      </c>
      <c r="V30" s="154" t="s">
        <v>63</v>
      </c>
      <c r="W30" s="154">
        <v>24</v>
      </c>
      <c r="X30" s="154">
        <f>5.292/(0.045^2)</f>
        <v>2613.3333333333335</v>
      </c>
      <c r="Y30" s="154">
        <f>X30*5</f>
        <v>13066.666666666668</v>
      </c>
      <c r="Z30" s="112">
        <v>0.53339999999999999</v>
      </c>
      <c r="AA30" s="112">
        <v>4.36E-2</v>
      </c>
      <c r="AB30" s="112">
        <f>ABS(Z30-0.5)</f>
        <v>3.3399999999999985E-2</v>
      </c>
      <c r="AC30" s="112">
        <v>0.99999800000000005</v>
      </c>
      <c r="AD30" s="112">
        <v>0.498</v>
      </c>
      <c r="AE30" s="112">
        <v>4.36E-2</v>
      </c>
      <c r="AF30" s="112">
        <v>1E-3</v>
      </c>
      <c r="AG30" s="112" t="s">
        <v>63</v>
      </c>
      <c r="AH30" s="112">
        <f t="shared" si="3"/>
        <v>498</v>
      </c>
      <c r="AI30" s="112" t="s">
        <v>63</v>
      </c>
      <c r="AJ30" s="112" t="s">
        <v>63</v>
      </c>
      <c r="AK30" s="112">
        <v>1.7999999999999999E-2</v>
      </c>
      <c r="AL30" s="112" t="s">
        <v>104</v>
      </c>
      <c r="AM30" s="151">
        <v>1</v>
      </c>
      <c r="AN30" s="112" t="s">
        <v>61</v>
      </c>
      <c r="AO30" s="112"/>
      <c r="AP30" s="112"/>
      <c r="AQ30" s="86"/>
      <c r="AR30"/>
      <c r="AS30"/>
    </row>
    <row r="31" spans="1:45" s="4" customFormat="1" ht="72" x14ac:dyDescent="0.3">
      <c r="A31" s="148">
        <f t="shared" si="0"/>
        <v>30</v>
      </c>
      <c r="B31" s="9" t="s">
        <v>220</v>
      </c>
      <c r="C31" s="107">
        <v>2016</v>
      </c>
      <c r="D31" s="107" t="s">
        <v>23</v>
      </c>
      <c r="E31" s="107" t="s">
        <v>15</v>
      </c>
      <c r="F31" s="56" t="s">
        <v>145</v>
      </c>
      <c r="G31" s="107" t="s">
        <v>494</v>
      </c>
      <c r="H31" s="107">
        <v>65</v>
      </c>
      <c r="I31" s="107">
        <v>16.66</v>
      </c>
      <c r="J31" s="107">
        <v>400</v>
      </c>
      <c r="K31" s="107">
        <v>1</v>
      </c>
      <c r="L31" s="108">
        <v>55.73</v>
      </c>
      <c r="M31" s="107" t="s">
        <v>63</v>
      </c>
      <c r="N31" s="109" t="s">
        <v>221</v>
      </c>
      <c r="O31" s="107" t="s">
        <v>222</v>
      </c>
      <c r="P31" s="107" t="s">
        <v>63</v>
      </c>
      <c r="Q31" s="107" t="s">
        <v>63</v>
      </c>
      <c r="R31" s="107" t="s">
        <v>63</v>
      </c>
      <c r="S31" s="111" t="s">
        <v>63</v>
      </c>
      <c r="T31" s="156" t="s">
        <v>63</v>
      </c>
      <c r="U31" s="156">
        <v>1.1000000000000001</v>
      </c>
      <c r="V31" s="154">
        <f>255*191</f>
        <v>48705</v>
      </c>
      <c r="W31" s="154">
        <f>16*1024</f>
        <v>16384</v>
      </c>
      <c r="X31" s="154">
        <v>806</v>
      </c>
      <c r="Y31" s="154">
        <f>X31</f>
        <v>806</v>
      </c>
      <c r="Z31" s="112">
        <f>157.21/256</f>
        <v>0.61410156250000003</v>
      </c>
      <c r="AA31" s="112" t="s">
        <v>63</v>
      </c>
      <c r="AB31" s="112">
        <f>ABS(Z31-0.5)</f>
        <v>0.11410156250000003</v>
      </c>
      <c r="AC31" s="112">
        <v>0.99029999999999996</v>
      </c>
      <c r="AD31" s="112">
        <f>85.02/256</f>
        <v>0.33210937499999998</v>
      </c>
      <c r="AE31" s="112" t="s">
        <v>63</v>
      </c>
      <c r="AF31" s="112">
        <f>15.42/256</f>
        <v>6.0234375E-2</v>
      </c>
      <c r="AG31" s="112" t="s">
        <v>63</v>
      </c>
      <c r="AH31" s="112">
        <f t="shared" si="3"/>
        <v>5.5136186770428015</v>
      </c>
      <c r="AI31" s="112" t="s">
        <v>63</v>
      </c>
      <c r="AJ31" s="112" t="s">
        <v>192</v>
      </c>
      <c r="AK31" s="112">
        <v>1.5599999999999999E-2</v>
      </c>
      <c r="AL31" s="112" t="s">
        <v>104</v>
      </c>
      <c r="AM31" s="151">
        <v>512</v>
      </c>
      <c r="AN31" s="112" t="s">
        <v>59</v>
      </c>
      <c r="AO31" s="112"/>
      <c r="AP31" s="112"/>
      <c r="AQ31" s="86"/>
      <c r="AR31"/>
      <c r="AS31"/>
    </row>
    <row r="32" spans="1:45" ht="72" x14ac:dyDescent="0.3">
      <c r="A32" s="148">
        <f t="shared" si="0"/>
        <v>31</v>
      </c>
      <c r="B32" s="9" t="s">
        <v>220</v>
      </c>
      <c r="C32" s="107">
        <v>2016</v>
      </c>
      <c r="D32" s="107" t="s">
        <v>23</v>
      </c>
      <c r="E32" s="107" t="s">
        <v>15</v>
      </c>
      <c r="F32" s="56" t="s">
        <v>171</v>
      </c>
      <c r="G32" s="107" t="s">
        <v>491</v>
      </c>
      <c r="H32" s="107">
        <v>65</v>
      </c>
      <c r="I32" s="107">
        <v>18.16</v>
      </c>
      <c r="J32" s="107">
        <v>400</v>
      </c>
      <c r="K32" s="107">
        <v>0.5</v>
      </c>
      <c r="L32" s="108">
        <v>53.9</v>
      </c>
      <c r="M32" s="107" t="s">
        <v>63</v>
      </c>
      <c r="N32" s="109" t="s">
        <v>223</v>
      </c>
      <c r="O32" s="107" t="s">
        <v>222</v>
      </c>
      <c r="P32" s="107" t="s">
        <v>63</v>
      </c>
      <c r="Q32" s="107" t="s">
        <v>63</v>
      </c>
      <c r="R32" s="107" t="s">
        <v>63</v>
      </c>
      <c r="S32" s="111" t="s">
        <v>63</v>
      </c>
      <c r="T32" s="156" t="s">
        <v>63</v>
      </c>
      <c r="U32" s="156">
        <v>0.47499999999999998</v>
      </c>
      <c r="V32" s="154">
        <f>490*210</f>
        <v>102900</v>
      </c>
      <c r="W32" s="154">
        <v>1024</v>
      </c>
      <c r="X32" s="154">
        <v>16642</v>
      </c>
      <c r="Y32" s="154">
        <v>23784</v>
      </c>
      <c r="Z32" s="112">
        <f>128.58/256</f>
        <v>0.50226562500000005</v>
      </c>
      <c r="AA32" s="112" t="s">
        <v>63</v>
      </c>
      <c r="AB32" s="112">
        <f>ABS(Z32-0.5)</f>
        <v>2.2656250000000488E-3</v>
      </c>
      <c r="AC32" s="112">
        <v>0.99470000000000003</v>
      </c>
      <c r="AD32" s="112">
        <f>121.28/256</f>
        <v>0.47375</v>
      </c>
      <c r="AE32" s="112" t="s">
        <v>63</v>
      </c>
      <c r="AF32" s="112">
        <f>11.72/256</f>
        <v>4.5781250000000002E-2</v>
      </c>
      <c r="AG32" s="112" t="s">
        <v>63</v>
      </c>
      <c r="AH32" s="112">
        <f t="shared" si="3"/>
        <v>10.348122866894197</v>
      </c>
      <c r="AI32" s="112" t="s">
        <v>63</v>
      </c>
      <c r="AJ32" s="112" t="s">
        <v>192</v>
      </c>
      <c r="AK32" s="112">
        <v>8.8400000000000006E-2</v>
      </c>
      <c r="AL32" s="112" t="s">
        <v>104</v>
      </c>
      <c r="AM32" s="151">
        <v>1024</v>
      </c>
      <c r="AN32" s="112" t="s">
        <v>61</v>
      </c>
      <c r="AO32" s="112"/>
      <c r="AP32" s="112"/>
      <c r="AQ32" s="87"/>
    </row>
    <row r="33" spans="1:43" ht="75" customHeight="1" x14ac:dyDescent="0.3">
      <c r="A33" s="148">
        <f t="shared" si="0"/>
        <v>32</v>
      </c>
      <c r="B33" s="9" t="s">
        <v>224</v>
      </c>
      <c r="C33" s="107">
        <v>2016</v>
      </c>
      <c r="D33" s="107" t="s">
        <v>23</v>
      </c>
      <c r="E33" s="107" t="s">
        <v>306</v>
      </c>
      <c r="F33" s="56" t="s">
        <v>204</v>
      </c>
      <c r="G33" s="107" t="s">
        <v>490</v>
      </c>
      <c r="H33" s="107">
        <v>65</v>
      </c>
      <c r="I33" s="107">
        <v>6.54</v>
      </c>
      <c r="J33" s="107"/>
      <c r="K33" s="107">
        <v>1</v>
      </c>
      <c r="L33" s="108">
        <v>6.54</v>
      </c>
      <c r="M33" s="107">
        <v>6.54</v>
      </c>
      <c r="N33" s="109" t="s">
        <v>205</v>
      </c>
      <c r="O33" s="107" t="s">
        <v>125</v>
      </c>
      <c r="P33" s="107">
        <v>0.13</v>
      </c>
      <c r="Q33" s="107">
        <v>0.44</v>
      </c>
      <c r="R33" s="107">
        <v>2</v>
      </c>
      <c r="S33" s="111">
        <v>2</v>
      </c>
      <c r="T33" s="156">
        <v>10.199999999999999</v>
      </c>
      <c r="U33" s="156">
        <v>6.02</v>
      </c>
      <c r="V33" s="154"/>
      <c r="W33" s="154"/>
      <c r="X33" s="154">
        <v>726.62721893491107</v>
      </c>
      <c r="Y33" s="154">
        <v>1756.2130177514791</v>
      </c>
      <c r="Z33" s="112"/>
      <c r="AA33" s="112"/>
      <c r="AB33" s="112"/>
      <c r="AC33" s="112"/>
      <c r="AD33" s="112">
        <v>0.50009999999999999</v>
      </c>
      <c r="AE33" s="112">
        <v>2.8000000000000001E-2</v>
      </c>
      <c r="AF33" s="112">
        <v>5.0000000000000001E-3</v>
      </c>
      <c r="AG33" s="112">
        <v>4.4999999999999997E-3</v>
      </c>
      <c r="AH33" s="112">
        <v>100.02</v>
      </c>
      <c r="AI33" s="112">
        <f>(AD33-3*AE33)/(AF33+3*AG33)</f>
        <v>22.491891891891893</v>
      </c>
      <c r="AJ33" s="112" t="s">
        <v>192</v>
      </c>
      <c r="AK33" s="112">
        <v>1.8800000000000001E-2</v>
      </c>
      <c r="AL33" s="112" t="s">
        <v>104</v>
      </c>
      <c r="AM33" s="151"/>
      <c r="AN33" s="112"/>
      <c r="AO33" s="112"/>
      <c r="AP33" s="112"/>
      <c r="AQ33" s="87"/>
    </row>
    <row r="34" spans="1:43" ht="88.2" customHeight="1" x14ac:dyDescent="0.3">
      <c r="A34" s="148">
        <f t="shared" si="0"/>
        <v>33</v>
      </c>
      <c r="B34" s="13" t="s">
        <v>225</v>
      </c>
      <c r="C34" s="55">
        <v>2016</v>
      </c>
      <c r="D34" s="55" t="s">
        <v>108</v>
      </c>
      <c r="E34" s="55" t="s">
        <v>188</v>
      </c>
      <c r="F34" s="56"/>
      <c r="G34" s="55" t="s">
        <v>58</v>
      </c>
      <c r="H34" s="55">
        <v>14</v>
      </c>
      <c r="I34" s="55">
        <v>5.76</v>
      </c>
      <c r="J34" s="55"/>
      <c r="K34" s="55">
        <v>0.65</v>
      </c>
      <c r="L34" s="116"/>
      <c r="M34" s="107">
        <v>5.76</v>
      </c>
      <c r="N34" s="114" t="s">
        <v>226</v>
      </c>
      <c r="O34" s="115" t="s">
        <v>227</v>
      </c>
      <c r="P34" s="107"/>
      <c r="Q34" s="107"/>
      <c r="R34" s="107" t="s">
        <v>236</v>
      </c>
      <c r="S34" s="111">
        <f>0.0146*100</f>
        <v>1.46</v>
      </c>
      <c r="T34" s="172"/>
      <c r="U34" s="153">
        <v>4.0000000000000001E-3</v>
      </c>
      <c r="V34" s="154"/>
      <c r="W34" s="154">
        <v>6144</v>
      </c>
      <c r="X34" s="154">
        <f>1.84/(0.014^2)</f>
        <v>9387.7551020408155</v>
      </c>
      <c r="Y34" s="154"/>
      <c r="Z34" s="112"/>
      <c r="AA34" s="112"/>
      <c r="AB34" s="112"/>
      <c r="AC34" s="112">
        <v>0.99992999999999999</v>
      </c>
      <c r="AD34" s="112">
        <v>0.48599999999999999</v>
      </c>
      <c r="AE34" s="112"/>
      <c r="AF34" s="112">
        <v>3.4000000000000002E-2</v>
      </c>
      <c r="AG34" s="112"/>
      <c r="AH34" s="112">
        <f>AD34/AF34</f>
        <v>14.294117647058822</v>
      </c>
      <c r="AI34" s="112"/>
      <c r="AJ34" s="112"/>
      <c r="AK34" s="112"/>
      <c r="AL34" s="112" t="s">
        <v>104</v>
      </c>
      <c r="AM34" s="151"/>
      <c r="AN34" s="112"/>
      <c r="AO34" s="112"/>
      <c r="AP34" s="112"/>
      <c r="AQ34" s="87"/>
    </row>
    <row r="35" spans="1:43" ht="86.4" x14ac:dyDescent="0.3">
      <c r="A35" s="148">
        <f t="shared" si="0"/>
        <v>34</v>
      </c>
      <c r="B35" s="13" t="s">
        <v>228</v>
      </c>
      <c r="C35" s="55">
        <v>2016</v>
      </c>
      <c r="D35" s="55" t="s">
        <v>165</v>
      </c>
      <c r="E35" s="55" t="s">
        <v>229</v>
      </c>
      <c r="F35" s="56" t="s">
        <v>230</v>
      </c>
      <c r="G35" s="55" t="s">
        <v>495</v>
      </c>
      <c r="H35" s="55">
        <v>40</v>
      </c>
      <c r="I35" s="55"/>
      <c r="J35" s="55"/>
      <c r="K35" s="55"/>
      <c r="L35" s="116"/>
      <c r="M35" s="111">
        <v>0.5</v>
      </c>
      <c r="N35" s="117" t="s">
        <v>231</v>
      </c>
      <c r="O35" s="55"/>
      <c r="P35" s="107"/>
      <c r="Q35" s="107"/>
      <c r="R35" s="56"/>
      <c r="S35" s="111">
        <v>0.5</v>
      </c>
      <c r="T35" s="172"/>
      <c r="U35" s="153" t="s">
        <v>63</v>
      </c>
      <c r="V35" s="154"/>
      <c r="W35" s="154"/>
      <c r="X35" s="154">
        <f>0.097/(0.04^2)</f>
        <v>60.625</v>
      </c>
      <c r="Y35" s="154"/>
      <c r="Z35" s="112"/>
      <c r="AA35" s="112"/>
      <c r="AB35" s="112"/>
      <c r="AC35" s="112"/>
      <c r="AD35" s="112">
        <v>0.4985</v>
      </c>
      <c r="AE35" s="112">
        <v>1.5800000000000002E-2</v>
      </c>
      <c r="AF35" s="112">
        <v>1.9E-3</v>
      </c>
      <c r="AG35" s="112">
        <v>0</v>
      </c>
      <c r="AH35" s="112"/>
      <c r="AI35" s="112"/>
      <c r="AJ35" s="112" t="s">
        <v>192</v>
      </c>
      <c r="AK35" s="112"/>
      <c r="AL35" s="112" t="s">
        <v>104</v>
      </c>
      <c r="AM35" s="151"/>
      <c r="AN35" s="112"/>
      <c r="AO35" s="112"/>
      <c r="AP35" s="112"/>
      <c r="AQ35" s="87"/>
    </row>
    <row r="36" spans="1:43" ht="72" x14ac:dyDescent="0.3">
      <c r="A36" s="148">
        <f t="shared" si="0"/>
        <v>35</v>
      </c>
      <c r="B36" s="13" t="s">
        <v>232</v>
      </c>
      <c r="C36" s="55">
        <v>2017</v>
      </c>
      <c r="D36" s="55" t="s">
        <v>99</v>
      </c>
      <c r="E36" s="55" t="s">
        <v>138</v>
      </c>
      <c r="F36" s="56" t="s">
        <v>233</v>
      </c>
      <c r="G36" s="55" t="s">
        <v>493</v>
      </c>
      <c r="H36" s="55">
        <v>180</v>
      </c>
      <c r="I36" s="55">
        <v>1.73</v>
      </c>
      <c r="J36" s="55">
        <v>2000</v>
      </c>
      <c r="K36" s="55">
        <v>1.2</v>
      </c>
      <c r="L36" s="116">
        <v>3.16</v>
      </c>
      <c r="M36" s="107">
        <f>0.0018*100</f>
        <v>0.18</v>
      </c>
      <c r="N36" s="109" t="s">
        <v>234</v>
      </c>
      <c r="O36" s="107" t="s">
        <v>235</v>
      </c>
      <c r="P36" s="107">
        <v>0.28999999999999998</v>
      </c>
      <c r="Q36" s="107">
        <v>0.21</v>
      </c>
      <c r="R36" s="110" t="s">
        <v>236</v>
      </c>
      <c r="S36" s="111">
        <f>0.0008*100</f>
        <v>0.08</v>
      </c>
      <c r="T36" s="172">
        <v>4832</v>
      </c>
      <c r="U36" s="153">
        <v>1.4E-2</v>
      </c>
      <c r="V36" s="154">
        <v>24.3978</v>
      </c>
      <c r="W36" s="154">
        <v>64</v>
      </c>
      <c r="X36" s="154">
        <v>782</v>
      </c>
      <c r="Y36" s="154">
        <v>1082</v>
      </c>
      <c r="Z36" s="112" t="s">
        <v>63</v>
      </c>
      <c r="AA36" s="112" t="s">
        <v>63</v>
      </c>
      <c r="AB36" s="112" t="s">
        <v>63</v>
      </c>
      <c r="AC36" s="112"/>
      <c r="AD36" s="112">
        <v>0.49890000000000001</v>
      </c>
      <c r="AE36" s="112">
        <v>6.2399999999999997E-2</v>
      </c>
      <c r="AF36" s="112">
        <v>6.9999999999999999E-4</v>
      </c>
      <c r="AG36" s="112">
        <v>3.2000000000000002E-3</v>
      </c>
      <c r="AH36" s="112">
        <v>712.71428571428578</v>
      </c>
      <c r="AI36" s="112">
        <f>(AD36-3*AE36)/(AF36+3*AG36)</f>
        <v>30.262135922330099</v>
      </c>
      <c r="AJ36" s="112" t="s">
        <v>63</v>
      </c>
      <c r="AK36" s="112">
        <v>1.67E-2</v>
      </c>
      <c r="AL36" s="112" t="s">
        <v>104</v>
      </c>
      <c r="AM36" s="151">
        <v>16</v>
      </c>
      <c r="AN36" s="112" t="s">
        <v>61</v>
      </c>
      <c r="AO36" s="112"/>
      <c r="AP36" s="112"/>
      <c r="AQ36" s="87"/>
    </row>
    <row r="37" spans="1:43" ht="74.400000000000006" customHeight="1" x14ac:dyDescent="0.3">
      <c r="A37" s="148">
        <f t="shared" si="0"/>
        <v>36</v>
      </c>
      <c r="B37" s="13" t="s">
        <v>232</v>
      </c>
      <c r="C37" s="55">
        <v>2017</v>
      </c>
      <c r="D37" s="55" t="s">
        <v>99</v>
      </c>
      <c r="E37" s="55" t="s">
        <v>138</v>
      </c>
      <c r="F37" s="56" t="s">
        <v>237</v>
      </c>
      <c r="G37" s="55" t="s">
        <v>493</v>
      </c>
      <c r="H37" s="55">
        <v>180</v>
      </c>
      <c r="I37" s="55">
        <v>1.67</v>
      </c>
      <c r="J37" s="55">
        <v>2000</v>
      </c>
      <c r="K37" s="55">
        <v>1.2</v>
      </c>
      <c r="L37" s="116">
        <v>2.0099999999999998</v>
      </c>
      <c r="M37" s="107">
        <f>0.0013*100</f>
        <v>0.13</v>
      </c>
      <c r="N37" s="117" t="s">
        <v>234</v>
      </c>
      <c r="O37" s="118" t="s">
        <v>235</v>
      </c>
      <c r="P37" s="107">
        <v>0.2</v>
      </c>
      <c r="Q37" s="107">
        <v>0.2</v>
      </c>
      <c r="R37" s="56" t="s">
        <v>236</v>
      </c>
      <c r="S37" s="111">
        <f>0.0005*100</f>
        <v>0.05</v>
      </c>
      <c r="T37" s="172">
        <v>4832</v>
      </c>
      <c r="U37" s="153">
        <v>1.0999999999999999E-2</v>
      </c>
      <c r="V37" s="154">
        <v>17.907800000000002</v>
      </c>
      <c r="W37" s="154">
        <v>64</v>
      </c>
      <c r="X37" s="154">
        <v>553</v>
      </c>
      <c r="Y37" s="154">
        <v>843</v>
      </c>
      <c r="Z37" s="112" t="s">
        <v>63</v>
      </c>
      <c r="AA37" s="112" t="s">
        <v>63</v>
      </c>
      <c r="AB37" s="112" t="s">
        <v>63</v>
      </c>
      <c r="AC37" s="112"/>
      <c r="AD37" s="112">
        <v>0.49880000000000002</v>
      </c>
      <c r="AE37" s="112">
        <v>6.3500000000000001E-2</v>
      </c>
      <c r="AF37" s="112">
        <v>8.0000000000000004E-4</v>
      </c>
      <c r="AG37" s="112">
        <v>3.8E-3</v>
      </c>
      <c r="AH37" s="112">
        <f>AD37/AF37</f>
        <v>623.5</v>
      </c>
      <c r="AI37" s="112">
        <f>(AD37-3*AE37)/(AF37+3*AG37)</f>
        <v>25.270491803278688</v>
      </c>
      <c r="AJ37" s="112" t="s">
        <v>63</v>
      </c>
      <c r="AK37" s="112">
        <v>1.7299999999999999E-2</v>
      </c>
      <c r="AL37" s="112" t="s">
        <v>104</v>
      </c>
      <c r="AM37" s="151">
        <v>16</v>
      </c>
      <c r="AN37" s="112" t="s">
        <v>61</v>
      </c>
      <c r="AO37" s="112"/>
      <c r="AP37" s="112"/>
      <c r="AQ37" s="87"/>
    </row>
    <row r="38" spans="1:43" ht="72.599999999999994" customHeight="1" x14ac:dyDescent="0.3">
      <c r="A38" s="148">
        <f t="shared" si="0"/>
        <v>37</v>
      </c>
      <c r="B38" s="13" t="s">
        <v>238</v>
      </c>
      <c r="C38" s="55">
        <v>2017</v>
      </c>
      <c r="D38" s="55" t="s">
        <v>239</v>
      </c>
      <c r="E38" s="55" t="s">
        <v>425</v>
      </c>
      <c r="F38" s="56" t="s">
        <v>240</v>
      </c>
      <c r="G38" s="55" t="s">
        <v>490</v>
      </c>
      <c r="H38" s="55">
        <v>350</v>
      </c>
      <c r="I38" s="55"/>
      <c r="J38" s="55"/>
      <c r="K38" s="55">
        <v>1.2</v>
      </c>
      <c r="L38" s="116"/>
      <c r="M38" s="107">
        <v>0.16</v>
      </c>
      <c r="N38" s="119" t="s">
        <v>241</v>
      </c>
      <c r="O38" s="118" t="s">
        <v>242</v>
      </c>
      <c r="P38" s="107">
        <v>1.25</v>
      </c>
      <c r="Q38" s="107">
        <v>1.18</v>
      </c>
      <c r="R38" s="110"/>
      <c r="S38" s="111" t="s">
        <v>63</v>
      </c>
      <c r="T38" s="172"/>
      <c r="U38" s="153">
        <v>3.36</v>
      </c>
      <c r="V38" s="154"/>
      <c r="W38" s="154"/>
      <c r="X38" s="154"/>
      <c r="Y38" s="154"/>
      <c r="Z38" s="112"/>
      <c r="AA38" s="112"/>
      <c r="AB38" s="112"/>
      <c r="AC38" s="112"/>
      <c r="AD38" s="112">
        <v>0.51480000000000004</v>
      </c>
      <c r="AE38" s="112"/>
      <c r="AF38" s="112"/>
      <c r="AG38" s="112"/>
      <c r="AH38" s="112"/>
      <c r="AI38" s="112"/>
      <c r="AJ38" s="112" t="s">
        <v>192</v>
      </c>
      <c r="AK38" s="112"/>
      <c r="AL38" s="112" t="s">
        <v>104</v>
      </c>
      <c r="AM38" s="151">
        <v>8128</v>
      </c>
      <c r="AN38" s="112"/>
      <c r="AO38" s="112"/>
      <c r="AP38" s="112"/>
      <c r="AQ38" s="87"/>
    </row>
    <row r="39" spans="1:43" ht="79.2" customHeight="1" x14ac:dyDescent="0.3">
      <c r="A39" s="148">
        <f t="shared" si="0"/>
        <v>38</v>
      </c>
      <c r="B39" s="13" t="s">
        <v>243</v>
      </c>
      <c r="C39" s="55">
        <v>2017</v>
      </c>
      <c r="D39" s="55" t="s">
        <v>239</v>
      </c>
      <c r="E39" s="55" t="s">
        <v>306</v>
      </c>
      <c r="F39" s="56" t="s">
        <v>244</v>
      </c>
      <c r="G39" s="55" t="s">
        <v>490</v>
      </c>
      <c r="H39" s="55">
        <v>65</v>
      </c>
      <c r="I39" s="55">
        <v>2.15</v>
      </c>
      <c r="J39" s="55">
        <v>10000</v>
      </c>
      <c r="K39" s="55">
        <v>1</v>
      </c>
      <c r="L39" s="116">
        <v>5.3</v>
      </c>
      <c r="M39" s="107">
        <v>0.63</v>
      </c>
      <c r="N39" s="119" t="s">
        <v>245</v>
      </c>
      <c r="O39" s="118" t="s">
        <v>246</v>
      </c>
      <c r="P39" s="107">
        <v>1.3</v>
      </c>
      <c r="Q39" s="107">
        <v>0.99</v>
      </c>
      <c r="R39" s="110"/>
      <c r="S39" s="111" t="s">
        <v>63</v>
      </c>
      <c r="T39" s="172"/>
      <c r="U39" s="153" t="s">
        <v>63</v>
      </c>
      <c r="V39" s="154"/>
      <c r="W39" s="154"/>
      <c r="X39" s="154">
        <v>150</v>
      </c>
      <c r="Y39" s="154"/>
      <c r="Z39" s="112"/>
      <c r="AA39" s="112"/>
      <c r="AB39" s="112"/>
      <c r="AC39" s="112"/>
      <c r="AD39" s="112">
        <v>0.498</v>
      </c>
      <c r="AE39" s="112"/>
      <c r="AF39" s="112"/>
      <c r="AG39" s="112"/>
      <c r="AH39" s="112"/>
      <c r="AI39" s="112"/>
      <c r="AJ39" s="112"/>
      <c r="AK39" s="112"/>
      <c r="AL39" s="112" t="s">
        <v>104</v>
      </c>
      <c r="AM39" s="151"/>
      <c r="AN39" s="112"/>
      <c r="AO39" s="112"/>
      <c r="AP39" s="112"/>
      <c r="AQ39" s="87"/>
    </row>
    <row r="40" spans="1:43" ht="85.05" customHeight="1" x14ac:dyDescent="0.3">
      <c r="A40" s="148">
        <f t="shared" si="0"/>
        <v>39</v>
      </c>
      <c r="B40" s="13" t="s">
        <v>247</v>
      </c>
      <c r="C40" s="55">
        <v>2017</v>
      </c>
      <c r="D40" s="55" t="s">
        <v>126</v>
      </c>
      <c r="E40" s="55" t="s">
        <v>248</v>
      </c>
      <c r="F40" s="56" t="s">
        <v>351</v>
      </c>
      <c r="G40" s="55" t="s">
        <v>490</v>
      </c>
      <c r="H40" s="55">
        <v>130</v>
      </c>
      <c r="I40" s="55">
        <f>100-69.9</f>
        <v>30.099999999999994</v>
      </c>
      <c r="J40" s="55">
        <v>100</v>
      </c>
      <c r="K40" s="55">
        <v>1.2</v>
      </c>
      <c r="L40" s="116">
        <v>0.96</v>
      </c>
      <c r="M40" s="107" t="s">
        <v>63</v>
      </c>
      <c r="N40" s="117" t="s">
        <v>249</v>
      </c>
      <c r="O40" s="55" t="s">
        <v>125</v>
      </c>
      <c r="P40" s="107"/>
      <c r="Q40" s="107"/>
      <c r="R40" s="110">
        <v>4</v>
      </c>
      <c r="S40" s="111" t="s">
        <v>63</v>
      </c>
      <c r="T40" s="172">
        <v>4</v>
      </c>
      <c r="U40" s="153">
        <v>34.5</v>
      </c>
      <c r="V40" s="154"/>
      <c r="W40" s="154"/>
      <c r="X40" s="154">
        <v>6500</v>
      </c>
      <c r="Y40" s="154"/>
      <c r="Z40" s="112"/>
      <c r="AA40" s="112"/>
      <c r="AB40" s="112"/>
      <c r="AC40" s="112"/>
      <c r="AD40" s="112">
        <v>0.48499999999999999</v>
      </c>
      <c r="AE40" s="112">
        <f>1.6/64</f>
        <v>2.5000000000000001E-2</v>
      </c>
      <c r="AF40" s="112">
        <v>0.15</v>
      </c>
      <c r="AG40" s="112"/>
      <c r="AH40" s="112"/>
      <c r="AI40" s="112"/>
      <c r="AJ40" s="112"/>
      <c r="AK40" s="112"/>
      <c r="AL40" s="112" t="s">
        <v>104</v>
      </c>
      <c r="AM40" s="151"/>
      <c r="AN40" s="112"/>
      <c r="AO40" s="112"/>
      <c r="AP40" s="112"/>
      <c r="AQ40" s="87"/>
    </row>
    <row r="41" spans="1:43" ht="73.05" customHeight="1" x14ac:dyDescent="0.3">
      <c r="A41" s="148">
        <f t="shared" si="0"/>
        <v>40</v>
      </c>
      <c r="B41" s="13" t="s">
        <v>250</v>
      </c>
      <c r="C41" s="55">
        <v>2017</v>
      </c>
      <c r="D41" s="55" t="s">
        <v>108</v>
      </c>
      <c r="E41" s="55" t="s">
        <v>251</v>
      </c>
      <c r="F41" s="56" t="s">
        <v>252</v>
      </c>
      <c r="G41" s="55" t="s">
        <v>490</v>
      </c>
      <c r="H41" s="55">
        <v>130</v>
      </c>
      <c r="I41" s="55"/>
      <c r="J41" s="55"/>
      <c r="K41" s="55">
        <v>1.2</v>
      </c>
      <c r="L41" s="116"/>
      <c r="M41" s="107">
        <v>9</v>
      </c>
      <c r="N41" s="109" t="s">
        <v>253</v>
      </c>
      <c r="O41" s="115" t="s">
        <v>254</v>
      </c>
      <c r="P41" s="107"/>
      <c r="Q41" s="107"/>
      <c r="R41" s="110">
        <v>7</v>
      </c>
      <c r="S41" s="111">
        <v>0.4</v>
      </c>
      <c r="T41" s="172">
        <v>6.0000000000000001E-3</v>
      </c>
      <c r="U41" s="153">
        <v>11</v>
      </c>
      <c r="V41" s="154">
        <v>44700</v>
      </c>
      <c r="W41" s="154"/>
      <c r="X41" s="154">
        <f>V41/(H41*0.001)^2</f>
        <v>2644970.4142011832</v>
      </c>
      <c r="Y41" s="154">
        <f>X41</f>
        <v>2644970.4142011832</v>
      </c>
      <c r="Z41" s="112"/>
      <c r="AA41" s="112"/>
      <c r="AB41" s="112"/>
      <c r="AC41" s="112"/>
      <c r="AD41" s="112">
        <v>0.499</v>
      </c>
      <c r="AE41" s="112">
        <v>4.2999999999999997E-2</v>
      </c>
      <c r="AF41" s="112">
        <v>5.8000000000000003E-2</v>
      </c>
      <c r="AG41" s="112">
        <v>3.7999999999999999E-2</v>
      </c>
      <c r="AH41" s="112">
        <f>AD41/AF41</f>
        <v>8.6034482758620694</v>
      </c>
      <c r="AI41" s="112">
        <f>(AD41-3*AE41)/(AF41+3*AG41)</f>
        <v>2.1511627906976747</v>
      </c>
      <c r="AJ41" s="112"/>
      <c r="AK41" s="112"/>
      <c r="AL41" s="112" t="s">
        <v>112</v>
      </c>
      <c r="AM41" s="151">
        <v>3.7E+19</v>
      </c>
      <c r="AN41" s="112" t="s">
        <v>61</v>
      </c>
      <c r="AO41" s="112" t="s">
        <v>59</v>
      </c>
      <c r="AP41" s="112">
        <v>40</v>
      </c>
      <c r="AQ41" s="87"/>
    </row>
    <row r="42" spans="1:43" ht="55.5" customHeight="1" x14ac:dyDescent="0.3">
      <c r="A42" s="148">
        <f t="shared" si="0"/>
        <v>41</v>
      </c>
      <c r="B42" s="13" t="s">
        <v>352</v>
      </c>
      <c r="C42" s="55">
        <v>2017</v>
      </c>
      <c r="D42" s="55" t="s">
        <v>108</v>
      </c>
      <c r="E42" s="55" t="s">
        <v>213</v>
      </c>
      <c r="F42" s="56" t="s">
        <v>354</v>
      </c>
      <c r="G42" s="55" t="s">
        <v>494</v>
      </c>
      <c r="H42" s="55">
        <v>28</v>
      </c>
      <c r="I42" s="55"/>
      <c r="J42" s="55"/>
      <c r="K42" s="55">
        <v>0.9</v>
      </c>
      <c r="L42" s="116"/>
      <c r="M42" s="107" t="s">
        <v>63</v>
      </c>
      <c r="N42" s="109" t="s">
        <v>353</v>
      </c>
      <c r="O42" s="115" t="s">
        <v>125</v>
      </c>
      <c r="P42" s="107">
        <f>(7.7-3.17)/2</f>
        <v>2.2650000000000001</v>
      </c>
      <c r="Q42" s="107">
        <f>(10.5-3.17)/5</f>
        <v>1.466</v>
      </c>
      <c r="R42" s="110"/>
      <c r="S42" s="111">
        <v>3.17</v>
      </c>
      <c r="T42" s="172">
        <v>1100</v>
      </c>
      <c r="U42" s="153">
        <v>9.7000000000000003E-2</v>
      </c>
      <c r="V42" s="154">
        <v>1140</v>
      </c>
      <c r="W42" s="154">
        <f>64*64</f>
        <v>4096</v>
      </c>
      <c r="X42" s="154">
        <v>1454081</v>
      </c>
      <c r="Y42" s="154">
        <f>X42</f>
        <v>1454081</v>
      </c>
      <c r="Z42" s="112"/>
      <c r="AA42" s="112"/>
      <c r="AB42" s="112"/>
      <c r="AC42" s="112"/>
      <c r="AD42" s="112">
        <v>0.49299999999999999</v>
      </c>
      <c r="AE42" s="112"/>
      <c r="AF42" s="112"/>
      <c r="AG42" s="112"/>
      <c r="AH42" s="112"/>
      <c r="AI42" s="112"/>
      <c r="AJ42" s="112"/>
      <c r="AK42" s="112"/>
      <c r="AL42" s="112" t="s">
        <v>112</v>
      </c>
      <c r="AM42" s="151">
        <v>117000000000</v>
      </c>
      <c r="AN42" s="112"/>
      <c r="AO42" s="112" t="s">
        <v>59</v>
      </c>
      <c r="AP42" s="112">
        <v>10.6</v>
      </c>
      <c r="AQ42" s="87"/>
    </row>
    <row r="43" spans="1:43" ht="87" customHeight="1" x14ac:dyDescent="0.3">
      <c r="A43" s="148">
        <f t="shared" si="0"/>
        <v>42</v>
      </c>
      <c r="B43" s="13" t="s">
        <v>255</v>
      </c>
      <c r="C43" s="55">
        <v>2017</v>
      </c>
      <c r="D43" s="55" t="s">
        <v>105</v>
      </c>
      <c r="E43" s="55" t="s">
        <v>15</v>
      </c>
      <c r="F43" s="56"/>
      <c r="G43" s="55" t="s">
        <v>493</v>
      </c>
      <c r="H43" s="55">
        <v>40</v>
      </c>
      <c r="I43" s="55">
        <v>2.5499999999999998</v>
      </c>
      <c r="J43" s="55">
        <v>500</v>
      </c>
      <c r="K43" s="55">
        <v>0.9</v>
      </c>
      <c r="L43" s="116">
        <v>2.8</v>
      </c>
      <c r="M43" s="107">
        <f>0.028*100</f>
        <v>2.8000000000000003</v>
      </c>
      <c r="N43" s="119" t="s">
        <v>256</v>
      </c>
      <c r="O43" s="55" t="s">
        <v>222</v>
      </c>
      <c r="P43" s="107">
        <v>0.94</v>
      </c>
      <c r="Q43" s="107">
        <v>0.15</v>
      </c>
      <c r="R43" s="110"/>
      <c r="S43" s="111" t="s">
        <v>63</v>
      </c>
      <c r="T43" s="172">
        <v>24000</v>
      </c>
      <c r="U43" s="153">
        <v>1.0200000000000001E-3</v>
      </c>
      <c r="V43" s="154"/>
      <c r="W43" s="154"/>
      <c r="X43" s="154">
        <f>7.23/(0.04^2)</f>
        <v>4518.75</v>
      </c>
      <c r="Y43" s="154"/>
      <c r="Z43" s="112"/>
      <c r="AA43" s="112"/>
      <c r="AB43" s="112"/>
      <c r="AC43" s="112">
        <v>0.99719999999999998</v>
      </c>
      <c r="AD43" s="112">
        <v>0.49070000000000003</v>
      </c>
      <c r="AE43" s="112">
        <v>1.12E-2</v>
      </c>
      <c r="AF43" s="112">
        <v>4.8999999999999998E-3</v>
      </c>
      <c r="AG43" s="112">
        <v>8.8999999999999995E-4</v>
      </c>
      <c r="AH43" s="112">
        <f>AD43/AF43</f>
        <v>100.14285714285715</v>
      </c>
      <c r="AI43" s="112">
        <f>(AD43-3*AE43)/(AF43+3*AG43)</f>
        <v>60.383091149273454</v>
      </c>
      <c r="AJ43" s="112"/>
      <c r="AK43" s="112">
        <v>7.7999999999999996E-3</v>
      </c>
      <c r="AL43" s="112" t="s">
        <v>104</v>
      </c>
      <c r="AM43" s="151">
        <v>16</v>
      </c>
      <c r="AN43" s="112"/>
      <c r="AO43" s="112"/>
      <c r="AP43" s="112"/>
      <c r="AQ43" s="87"/>
    </row>
    <row r="44" spans="1:43" ht="100.2" customHeight="1" x14ac:dyDescent="0.3">
      <c r="A44" s="148">
        <f t="shared" si="0"/>
        <v>43</v>
      </c>
      <c r="B44" s="13" t="s">
        <v>333</v>
      </c>
      <c r="C44" s="55">
        <v>2018</v>
      </c>
      <c r="D44" s="55" t="s">
        <v>99</v>
      </c>
      <c r="E44" s="55" t="s">
        <v>257</v>
      </c>
      <c r="F44" s="56"/>
      <c r="G44" s="55" t="s">
        <v>345</v>
      </c>
      <c r="H44" s="55">
        <v>55</v>
      </c>
      <c r="I44" s="55"/>
      <c r="J44" s="55"/>
      <c r="K44" s="55">
        <v>1</v>
      </c>
      <c r="L44" s="116"/>
      <c r="M44" s="111">
        <f>(0.00000000000364)*100</f>
        <v>3.6399999999999998E-10</v>
      </c>
      <c r="N44" s="119" t="s">
        <v>249</v>
      </c>
      <c r="O44" s="118" t="s">
        <v>258</v>
      </c>
      <c r="P44" s="107"/>
      <c r="Q44" s="107"/>
      <c r="R44" s="56"/>
      <c r="S44" s="111">
        <f>(0.00000000000364)*100</f>
        <v>3.6399999999999998E-10</v>
      </c>
      <c r="T44" s="172"/>
      <c r="U44" s="153">
        <v>5.2</v>
      </c>
      <c r="V44" s="154"/>
      <c r="W44" s="154"/>
      <c r="X44" s="154">
        <f>0.66/(0.055^2)</f>
        <v>218.18181818181819</v>
      </c>
      <c r="Y44" s="154"/>
      <c r="Z44" s="112"/>
      <c r="AA44" s="112"/>
      <c r="AB44" s="112"/>
      <c r="AC44" s="112"/>
      <c r="AD44" s="112">
        <v>0.49998999999999999</v>
      </c>
      <c r="AE44" s="112">
        <v>3.1260000000000003E-2</v>
      </c>
      <c r="AF44" s="112">
        <v>0</v>
      </c>
      <c r="AG44" s="112">
        <v>0</v>
      </c>
      <c r="AH44" s="112"/>
      <c r="AI44" s="112"/>
      <c r="AJ44" s="112" t="s">
        <v>192</v>
      </c>
      <c r="AK44" s="112">
        <v>7.6600000000000001E-3</v>
      </c>
      <c r="AL44" s="112" t="s">
        <v>104</v>
      </c>
      <c r="AM44" s="151"/>
      <c r="AN44" s="112"/>
      <c r="AO44" s="112"/>
      <c r="AP44" s="112"/>
      <c r="AQ44" s="87"/>
    </row>
    <row r="45" spans="1:43" ht="84.9" customHeight="1" x14ac:dyDescent="0.3">
      <c r="A45" s="148">
        <f t="shared" si="0"/>
        <v>44</v>
      </c>
      <c r="B45" s="52" t="s">
        <v>259</v>
      </c>
      <c r="C45" s="120">
        <v>2018</v>
      </c>
      <c r="D45" s="120" t="s">
        <v>23</v>
      </c>
      <c r="E45" s="120" t="s">
        <v>306</v>
      </c>
      <c r="F45" s="56" t="s">
        <v>558</v>
      </c>
      <c r="G45" s="120" t="s">
        <v>490</v>
      </c>
      <c r="H45" s="120">
        <v>65</v>
      </c>
      <c r="I45" s="120">
        <v>5.39</v>
      </c>
      <c r="J45" s="120"/>
      <c r="K45" s="120">
        <v>1</v>
      </c>
      <c r="L45" s="121"/>
      <c r="M45" s="107">
        <v>2.16</v>
      </c>
      <c r="N45" s="122" t="s">
        <v>260</v>
      </c>
      <c r="O45" s="123" t="s">
        <v>261</v>
      </c>
      <c r="P45" s="124"/>
      <c r="Q45" s="124">
        <v>1.1000000000000001</v>
      </c>
      <c r="R45" s="125" t="s">
        <v>236</v>
      </c>
      <c r="S45" s="111">
        <f>0.0062*100</f>
        <v>0.62</v>
      </c>
      <c r="T45" s="173"/>
      <c r="U45" s="155">
        <v>0.38</v>
      </c>
      <c r="V45" s="154"/>
      <c r="W45" s="154"/>
      <c r="X45" s="154">
        <v>600</v>
      </c>
      <c r="Y45" s="154"/>
      <c r="Z45" s="112"/>
      <c r="AA45" s="112"/>
      <c r="AB45" s="112"/>
      <c r="AC45" s="112"/>
      <c r="AD45" s="112">
        <v>0.502</v>
      </c>
      <c r="AE45" s="112">
        <v>3.4000000000000002E-2</v>
      </c>
      <c r="AF45" s="112">
        <v>1.5100000000000001E-3</v>
      </c>
      <c r="AG45" s="112">
        <v>2.5500000000000002E-3</v>
      </c>
      <c r="AH45" s="112">
        <v>100.02</v>
      </c>
      <c r="AI45" s="112">
        <f>(AD45-3*AE45)/(AF45+3*AG45)</f>
        <v>43.668122270742352</v>
      </c>
      <c r="AJ45" s="112" t="s">
        <v>192</v>
      </c>
      <c r="AK45" s="112"/>
      <c r="AL45" s="112" t="s">
        <v>104</v>
      </c>
      <c r="AM45" s="151"/>
      <c r="AN45" s="112"/>
      <c r="AO45" s="112"/>
      <c r="AP45" s="112"/>
      <c r="AQ45" s="87"/>
    </row>
    <row r="46" spans="1:43" ht="72" customHeight="1" x14ac:dyDescent="0.3">
      <c r="A46" s="148">
        <f t="shared" si="0"/>
        <v>45</v>
      </c>
      <c r="B46" s="52" t="s">
        <v>262</v>
      </c>
      <c r="C46" s="120">
        <v>2018</v>
      </c>
      <c r="D46" s="120" t="s">
        <v>99</v>
      </c>
      <c r="E46" s="120" t="s">
        <v>263</v>
      </c>
      <c r="F46" s="56" t="s">
        <v>264</v>
      </c>
      <c r="G46" s="120" t="s">
        <v>490</v>
      </c>
      <c r="H46" s="120">
        <v>180</v>
      </c>
      <c r="I46" s="120">
        <v>6.65</v>
      </c>
      <c r="J46" s="120">
        <v>1000</v>
      </c>
      <c r="K46" s="120">
        <v>1.2</v>
      </c>
      <c r="L46" s="121"/>
      <c r="M46" s="107">
        <v>0.72</v>
      </c>
      <c r="N46" s="126" t="s">
        <v>265</v>
      </c>
      <c r="O46" s="120" t="s">
        <v>125</v>
      </c>
      <c r="P46" s="124"/>
      <c r="Q46" s="124"/>
      <c r="R46" s="111" t="s">
        <v>266</v>
      </c>
      <c r="S46" s="111">
        <f>0.00004*100</f>
        <v>4.0000000000000001E-3</v>
      </c>
      <c r="T46" s="173">
        <v>1.7999999999999999E-2</v>
      </c>
      <c r="U46" s="155">
        <v>9.8000000000000007</v>
      </c>
      <c r="V46" s="154"/>
      <c r="W46" s="154"/>
      <c r="X46" s="154">
        <v>445</v>
      </c>
      <c r="Y46" s="154"/>
      <c r="Z46" s="112"/>
      <c r="AA46" s="112"/>
      <c r="AB46" s="112"/>
      <c r="AC46" s="112"/>
      <c r="AD46" s="112">
        <v>0.49199999999999999</v>
      </c>
      <c r="AE46" s="112"/>
      <c r="AF46" s="112">
        <v>7.1999999999999998E-3</v>
      </c>
      <c r="AG46" s="112"/>
      <c r="AH46" s="112">
        <f>AD46/AF46</f>
        <v>68.333333333333329</v>
      </c>
      <c r="AI46" s="112"/>
      <c r="AJ46" s="112"/>
      <c r="AK46" s="112">
        <v>2.2599999999999999E-2</v>
      </c>
      <c r="AL46" s="112" t="s">
        <v>104</v>
      </c>
      <c r="AM46" s="151"/>
      <c r="AN46" s="112"/>
      <c r="AO46" s="112"/>
      <c r="AP46" s="112"/>
      <c r="AQ46" s="87"/>
    </row>
    <row r="47" spans="1:43" ht="86.4" x14ac:dyDescent="0.3">
      <c r="A47" s="148">
        <f t="shared" si="0"/>
        <v>46</v>
      </c>
      <c r="B47" s="9" t="s">
        <v>341</v>
      </c>
      <c r="C47" s="55">
        <v>2018</v>
      </c>
      <c r="D47" s="55" t="s">
        <v>135</v>
      </c>
      <c r="E47" s="55" t="s">
        <v>162</v>
      </c>
      <c r="F47" s="56" t="s">
        <v>559</v>
      </c>
      <c r="G47" s="55" t="s">
        <v>490</v>
      </c>
      <c r="H47" s="55">
        <v>40</v>
      </c>
      <c r="I47" s="55">
        <v>4.9800000000000004</v>
      </c>
      <c r="J47" s="55">
        <v>5</v>
      </c>
      <c r="K47" s="55">
        <v>1.2</v>
      </c>
      <c r="L47" s="127" t="s">
        <v>63</v>
      </c>
      <c r="M47" s="107" t="s">
        <v>63</v>
      </c>
      <c r="N47" s="117" t="s">
        <v>267</v>
      </c>
      <c r="O47" s="128">
        <v>25125</v>
      </c>
      <c r="P47" s="129" t="s">
        <v>63</v>
      </c>
      <c r="Q47" s="129" t="s">
        <v>63</v>
      </c>
      <c r="R47" s="56">
        <v>6</v>
      </c>
      <c r="S47" s="111">
        <f>0.0664*100</f>
        <v>6.64</v>
      </c>
      <c r="T47" s="156" t="s">
        <v>63</v>
      </c>
      <c r="U47" s="156" t="s">
        <v>63</v>
      </c>
      <c r="V47" s="154" t="s">
        <v>63</v>
      </c>
      <c r="W47" s="154">
        <v>2048</v>
      </c>
      <c r="X47" s="154" t="s">
        <v>63</v>
      </c>
      <c r="Y47" s="154" t="s">
        <v>63</v>
      </c>
      <c r="Z47" s="112" t="s">
        <v>63</v>
      </c>
      <c r="AA47" s="112" t="s">
        <v>63</v>
      </c>
      <c r="AB47" s="112" t="s">
        <v>63</v>
      </c>
      <c r="AC47" s="112"/>
      <c r="AD47" s="112">
        <v>0.52700000000000002</v>
      </c>
      <c r="AE47" s="112"/>
      <c r="AF47" s="112"/>
      <c r="AG47" s="112"/>
      <c r="AH47" s="112"/>
      <c r="AI47" s="112"/>
      <c r="AJ47" s="112"/>
      <c r="AK47" s="112"/>
      <c r="AL47" s="112" t="s">
        <v>104</v>
      </c>
      <c r="AM47" s="151"/>
      <c r="AN47" s="112"/>
      <c r="AO47" s="112"/>
      <c r="AP47" s="112"/>
      <c r="AQ47" s="87"/>
    </row>
    <row r="48" spans="1:43" ht="84.6" customHeight="1" x14ac:dyDescent="0.3">
      <c r="A48" s="148">
        <f t="shared" si="0"/>
        <v>47</v>
      </c>
      <c r="B48" s="13" t="s">
        <v>268</v>
      </c>
      <c r="C48" s="55">
        <v>2018</v>
      </c>
      <c r="D48" s="55" t="s">
        <v>149</v>
      </c>
      <c r="E48" s="55" t="s">
        <v>269</v>
      </c>
      <c r="F48" s="56" t="s">
        <v>506</v>
      </c>
      <c r="G48" s="55" t="s">
        <v>491</v>
      </c>
      <c r="H48" s="55">
        <v>65</v>
      </c>
      <c r="I48" s="129" t="s">
        <v>63</v>
      </c>
      <c r="J48" s="55">
        <v>128</v>
      </c>
      <c r="K48" s="55">
        <v>0.5</v>
      </c>
      <c r="L48" s="127" t="s">
        <v>63</v>
      </c>
      <c r="M48" s="107" t="s">
        <v>63</v>
      </c>
      <c r="N48" s="109" t="s">
        <v>270</v>
      </c>
      <c r="O48" s="129" t="s">
        <v>63</v>
      </c>
      <c r="P48" s="129" t="s">
        <v>63</v>
      </c>
      <c r="Q48" s="129" t="s">
        <v>63</v>
      </c>
      <c r="R48" s="110">
        <v>9</v>
      </c>
      <c r="S48" s="111" t="s">
        <v>63</v>
      </c>
      <c r="T48" s="156" t="s">
        <v>63</v>
      </c>
      <c r="U48" s="156" t="s">
        <v>63</v>
      </c>
      <c r="V48" s="154" t="s">
        <v>63</v>
      </c>
      <c r="W48" s="154">
        <v>1024</v>
      </c>
      <c r="X48" s="154" t="s">
        <v>63</v>
      </c>
      <c r="Y48" s="154" t="s">
        <v>63</v>
      </c>
      <c r="Z48" s="112" t="s">
        <v>63</v>
      </c>
      <c r="AA48" s="112" t="s">
        <v>63</v>
      </c>
      <c r="AB48" s="112" t="s">
        <v>63</v>
      </c>
      <c r="AC48" s="112" t="s">
        <v>63</v>
      </c>
      <c r="AD48" s="112">
        <v>0.33100000000000002</v>
      </c>
      <c r="AE48" s="112">
        <v>6.0299999999999999E-2</v>
      </c>
      <c r="AF48" s="112">
        <v>3.4700000000000002E-2</v>
      </c>
      <c r="AG48" s="112">
        <v>1.67E-2</v>
      </c>
      <c r="AH48" s="112">
        <f>AD48/AF48</f>
        <v>9.5389048991354475</v>
      </c>
      <c r="AI48" s="112">
        <f>(AD48-3*AE48)/(AF48+3*AG48)</f>
        <v>1.7700471698113209</v>
      </c>
      <c r="AJ48" s="112" t="s">
        <v>63</v>
      </c>
      <c r="AK48" s="112" t="s">
        <v>63</v>
      </c>
      <c r="AL48" s="112" t="s">
        <v>104</v>
      </c>
      <c r="AM48" s="151"/>
      <c r="AN48" s="112"/>
      <c r="AO48" s="112"/>
      <c r="AP48" s="112"/>
      <c r="AQ48" s="87"/>
    </row>
    <row r="49" spans="1:43" ht="75" customHeight="1" x14ac:dyDescent="0.3">
      <c r="A49" s="148">
        <f t="shared" si="0"/>
        <v>48</v>
      </c>
      <c r="B49" s="13" t="s">
        <v>271</v>
      </c>
      <c r="C49" s="55">
        <v>2018</v>
      </c>
      <c r="D49" s="55" t="s">
        <v>23</v>
      </c>
      <c r="E49" s="55" t="s">
        <v>15</v>
      </c>
      <c r="F49" s="56" t="s">
        <v>505</v>
      </c>
      <c r="G49" s="55" t="s">
        <v>493</v>
      </c>
      <c r="H49" s="55">
        <v>40</v>
      </c>
      <c r="I49" s="118">
        <v>2.5499999999999998</v>
      </c>
      <c r="J49" s="55">
        <v>500</v>
      </c>
      <c r="K49" s="55">
        <v>0.9</v>
      </c>
      <c r="L49" s="130">
        <v>3.2</v>
      </c>
      <c r="M49" s="107">
        <v>3.2</v>
      </c>
      <c r="N49" s="117" t="s">
        <v>256</v>
      </c>
      <c r="O49" s="118" t="s">
        <v>210</v>
      </c>
      <c r="P49" s="115">
        <v>0.36</v>
      </c>
      <c r="Q49" s="115">
        <v>0.15</v>
      </c>
      <c r="R49" s="56"/>
      <c r="S49" s="111">
        <v>0.81</v>
      </c>
      <c r="T49" s="174">
        <v>24000</v>
      </c>
      <c r="U49" s="157">
        <v>1.0200000000000001E-3</v>
      </c>
      <c r="V49" s="154"/>
      <c r="W49" s="154"/>
      <c r="X49" s="154">
        <v>3643</v>
      </c>
      <c r="Y49" s="154"/>
      <c r="Z49" s="112"/>
      <c r="AA49" s="112"/>
      <c r="AB49" s="112"/>
      <c r="AC49" s="112">
        <v>0.99719999999999998</v>
      </c>
      <c r="AD49" s="112">
        <v>0.49070000000000003</v>
      </c>
      <c r="AE49" s="112">
        <v>1.12E-2</v>
      </c>
      <c r="AF49" s="112">
        <v>4.8999999999999998E-3</v>
      </c>
      <c r="AG49" s="112">
        <v>8.8999999999999995E-4</v>
      </c>
      <c r="AH49" s="112">
        <v>100.14285714285715</v>
      </c>
      <c r="AI49" s="112">
        <v>60.383091149273454</v>
      </c>
      <c r="AJ49" s="112" t="s">
        <v>59</v>
      </c>
      <c r="AK49" s="112">
        <v>7.3499999999999998E-3</v>
      </c>
      <c r="AL49" s="112" t="s">
        <v>104</v>
      </c>
      <c r="AM49" s="151">
        <v>16</v>
      </c>
      <c r="AN49" s="112"/>
      <c r="AO49" s="112"/>
      <c r="AP49" s="112"/>
      <c r="AQ49" s="87"/>
    </row>
    <row r="50" spans="1:43" ht="60" customHeight="1" x14ac:dyDescent="0.3">
      <c r="A50" s="148">
        <f t="shared" si="0"/>
        <v>49</v>
      </c>
      <c r="B50" s="13" t="s">
        <v>433</v>
      </c>
      <c r="C50" s="55">
        <v>2018</v>
      </c>
      <c r="D50" s="55" t="s">
        <v>23</v>
      </c>
      <c r="E50" s="55" t="s">
        <v>272</v>
      </c>
      <c r="F50" s="56" t="s">
        <v>273</v>
      </c>
      <c r="G50" s="55" t="s">
        <v>490</v>
      </c>
      <c r="H50" s="55">
        <v>65</v>
      </c>
      <c r="I50" s="118">
        <v>4.2699999999999996</v>
      </c>
      <c r="J50" s="55">
        <v>800</v>
      </c>
      <c r="K50" s="55">
        <v>3.15</v>
      </c>
      <c r="L50" s="130"/>
      <c r="M50" s="107">
        <v>0.251</v>
      </c>
      <c r="N50" s="114" t="s">
        <v>274</v>
      </c>
      <c r="O50" s="115" t="s">
        <v>275</v>
      </c>
      <c r="P50" s="115"/>
      <c r="Q50" s="115"/>
      <c r="R50" s="110">
        <v>7</v>
      </c>
      <c r="S50" s="111">
        <v>0.06</v>
      </c>
      <c r="T50" s="174"/>
      <c r="U50" s="157">
        <v>12</v>
      </c>
      <c r="V50" s="154">
        <f>217*256</f>
        <v>55552</v>
      </c>
      <c r="W50" s="154"/>
      <c r="X50" s="154"/>
      <c r="Y50" s="154"/>
      <c r="Z50" s="112">
        <v>0.498</v>
      </c>
      <c r="AA50" s="112"/>
      <c r="AB50" s="112"/>
      <c r="AC50" s="112"/>
      <c r="AD50" s="112">
        <v>0.49809999999999999</v>
      </c>
      <c r="AE50" s="112">
        <v>6.1400000000000003E-2</v>
      </c>
      <c r="AF50" s="112">
        <v>2.5100000000000001E-3</v>
      </c>
      <c r="AG50" s="112">
        <v>5.7000000000000002E-3</v>
      </c>
      <c r="AH50" s="112">
        <f>AD50/AF50</f>
        <v>198.44621513944222</v>
      </c>
      <c r="AI50" s="112">
        <f>(AD50-3*AE50)/(AF50+3*AG50)</f>
        <v>16.007139214686379</v>
      </c>
      <c r="AJ50" s="112" t="s">
        <v>59</v>
      </c>
      <c r="AK50" s="112"/>
      <c r="AL50" s="112" t="s">
        <v>104</v>
      </c>
      <c r="AM50" s="151">
        <v>200</v>
      </c>
      <c r="AN50" s="112"/>
      <c r="AO50" s="112"/>
      <c r="AP50" s="112"/>
      <c r="AQ50" s="87"/>
    </row>
    <row r="51" spans="1:43" ht="84.45" customHeight="1" x14ac:dyDescent="0.3">
      <c r="A51" s="148">
        <f t="shared" si="0"/>
        <v>50</v>
      </c>
      <c r="B51" s="13" t="s">
        <v>434</v>
      </c>
      <c r="C51" s="55">
        <v>2018</v>
      </c>
      <c r="D51" s="55" t="s">
        <v>154</v>
      </c>
      <c r="E51" s="55" t="s">
        <v>425</v>
      </c>
      <c r="F51" s="56" t="s">
        <v>435</v>
      </c>
      <c r="G51" s="55" t="s">
        <v>493</v>
      </c>
      <c r="H51" s="55">
        <v>40</v>
      </c>
      <c r="I51" s="118"/>
      <c r="J51" s="55">
        <v>1000</v>
      </c>
      <c r="K51" s="55">
        <v>0.7</v>
      </c>
      <c r="L51" s="130">
        <v>7.9</v>
      </c>
      <c r="M51" s="107"/>
      <c r="N51" s="109" t="s">
        <v>437</v>
      </c>
      <c r="O51" s="115" t="s">
        <v>436</v>
      </c>
      <c r="P51" s="115"/>
      <c r="Q51" s="115"/>
      <c r="R51" s="110"/>
      <c r="S51" s="111">
        <v>0.82</v>
      </c>
      <c r="T51" s="174">
        <v>0.5</v>
      </c>
      <c r="U51" s="157">
        <v>15.42</v>
      </c>
      <c r="V51" s="154">
        <v>4719</v>
      </c>
      <c r="W51" s="154">
        <v>64</v>
      </c>
      <c r="X51" s="154">
        <f>V51/(H51)^2*1000000</f>
        <v>2949375</v>
      </c>
      <c r="Y51" s="154">
        <f>X51</f>
        <v>2949375</v>
      </c>
      <c r="Z51" s="112"/>
      <c r="AA51" s="112"/>
      <c r="AB51" s="112"/>
      <c r="AC51" s="112"/>
      <c r="AD51" s="112">
        <v>0.50149999999999995</v>
      </c>
      <c r="AE51" s="112"/>
      <c r="AF51" s="112">
        <v>7.4000000000000003E-3</v>
      </c>
      <c r="AG51" s="112"/>
      <c r="AH51" s="112">
        <f>AD51/AF51</f>
        <v>67.77027027027026</v>
      </c>
      <c r="AI51" s="112"/>
      <c r="AJ51" s="112" t="s">
        <v>59</v>
      </c>
      <c r="AK51" s="112">
        <v>8.8999999999999999E-3</v>
      </c>
      <c r="AL51" s="112" t="s">
        <v>112</v>
      </c>
      <c r="AM51" s="151">
        <v>3.4E+38</v>
      </c>
      <c r="AN51" s="112" t="s">
        <v>61</v>
      </c>
      <c r="AO51" s="112" t="s">
        <v>59</v>
      </c>
      <c r="AP51" s="112">
        <v>48</v>
      </c>
      <c r="AQ51" s="87"/>
    </row>
    <row r="52" spans="1:43" ht="84.6" customHeight="1" x14ac:dyDescent="0.3">
      <c r="A52" s="148">
        <f t="shared" si="0"/>
        <v>51</v>
      </c>
      <c r="B52" s="13" t="s">
        <v>276</v>
      </c>
      <c r="C52" s="55">
        <v>2019</v>
      </c>
      <c r="D52" s="55" t="s">
        <v>23</v>
      </c>
      <c r="E52" s="55" t="s">
        <v>277</v>
      </c>
      <c r="F52" s="56" t="s">
        <v>507</v>
      </c>
      <c r="G52" s="55" t="s">
        <v>345</v>
      </c>
      <c r="H52" s="55">
        <v>40</v>
      </c>
      <c r="I52" s="118">
        <v>0</v>
      </c>
      <c r="J52" s="55">
        <v>1000</v>
      </c>
      <c r="K52" s="55">
        <v>0.9</v>
      </c>
      <c r="L52" s="130">
        <v>0.91</v>
      </c>
      <c r="M52" s="107">
        <v>0.02</v>
      </c>
      <c r="N52" s="109" t="s">
        <v>267</v>
      </c>
      <c r="O52" s="115" t="s">
        <v>278</v>
      </c>
      <c r="P52" s="115">
        <v>0.01</v>
      </c>
      <c r="Q52" s="115"/>
      <c r="R52" s="110">
        <v>3</v>
      </c>
      <c r="S52" s="111">
        <v>0.02</v>
      </c>
      <c r="T52" s="174">
        <v>40</v>
      </c>
      <c r="U52" s="157">
        <v>5.1799999999999999E-2</v>
      </c>
      <c r="V52" s="154"/>
      <c r="W52" s="154"/>
      <c r="X52" s="154">
        <v>4918</v>
      </c>
      <c r="Y52" s="154"/>
      <c r="Z52" s="112"/>
      <c r="AA52" s="112"/>
      <c r="AB52" s="112"/>
      <c r="AC52" s="112"/>
      <c r="AD52" s="112">
        <v>0.497</v>
      </c>
      <c r="AE52" s="112">
        <v>3.7999999999999999E-2</v>
      </c>
      <c r="AF52" s="112"/>
      <c r="AG52" s="112"/>
      <c r="AH52" s="112"/>
      <c r="AI52" s="112"/>
      <c r="AJ52" s="112" t="s">
        <v>59</v>
      </c>
      <c r="AK52" s="112">
        <v>0.04</v>
      </c>
      <c r="AL52" s="112" t="s">
        <v>104</v>
      </c>
      <c r="AM52" s="151">
        <v>32</v>
      </c>
      <c r="AN52" s="112" t="s">
        <v>59</v>
      </c>
      <c r="AO52" s="112"/>
      <c r="AP52" s="112"/>
      <c r="AQ52" s="87"/>
    </row>
    <row r="53" spans="1:43" ht="57.6" customHeight="1" x14ac:dyDescent="0.3">
      <c r="A53" s="148">
        <f t="shared" si="0"/>
        <v>52</v>
      </c>
      <c r="B53" s="9" t="s">
        <v>343</v>
      </c>
      <c r="C53" s="55">
        <v>2019</v>
      </c>
      <c r="D53" s="55" t="s">
        <v>99</v>
      </c>
      <c r="E53" s="55" t="s">
        <v>280</v>
      </c>
      <c r="F53" s="56" t="s">
        <v>508</v>
      </c>
      <c r="G53" s="55" t="s">
        <v>493</v>
      </c>
      <c r="H53" s="55">
        <v>65</v>
      </c>
      <c r="I53" s="118">
        <v>2.95</v>
      </c>
      <c r="J53" s="55">
        <v>2000</v>
      </c>
      <c r="K53" s="55">
        <v>1.2</v>
      </c>
      <c r="L53" s="130"/>
      <c r="M53" s="107">
        <v>0.3</v>
      </c>
      <c r="N53" s="109" t="s">
        <v>281</v>
      </c>
      <c r="O53" s="115" t="s">
        <v>282</v>
      </c>
      <c r="P53" s="115">
        <v>5.7000000000000002E-2</v>
      </c>
      <c r="Q53" s="115">
        <v>0.12</v>
      </c>
      <c r="R53" s="110">
        <v>8</v>
      </c>
      <c r="S53" s="111">
        <f>0.00182*100</f>
        <v>0.182</v>
      </c>
      <c r="T53" s="174">
        <v>1459</v>
      </c>
      <c r="U53" s="157">
        <v>6.2000000000000003E-5</v>
      </c>
      <c r="V53" s="154"/>
      <c r="W53" s="154"/>
      <c r="X53" s="154">
        <v>562</v>
      </c>
      <c r="Y53" s="154"/>
      <c r="Z53" s="112"/>
      <c r="AA53" s="112"/>
      <c r="AB53" s="112"/>
      <c r="AC53" s="112">
        <v>0.99980000000000002</v>
      </c>
      <c r="AD53" s="112">
        <v>0.49980000000000002</v>
      </c>
      <c r="AE53" s="112">
        <v>4.3999999999999997E-2</v>
      </c>
      <c r="AF53" s="112">
        <v>4.7000000000000002E-3</v>
      </c>
      <c r="AG53" s="112">
        <v>4.8999999999999998E-3</v>
      </c>
      <c r="AH53" s="112">
        <f>AD53/AF53</f>
        <v>106.34042553191489</v>
      </c>
      <c r="AI53" s="112">
        <f>(AD53-3*AE53)/(AF53+3*AG53)</f>
        <v>18.958762886597938</v>
      </c>
      <c r="AJ53" s="112" t="s">
        <v>59</v>
      </c>
      <c r="AK53" s="112">
        <v>1.4E-2</v>
      </c>
      <c r="AL53" s="112" t="s">
        <v>104</v>
      </c>
      <c r="AM53" s="151">
        <v>32</v>
      </c>
      <c r="AN53" s="112" t="s">
        <v>61</v>
      </c>
      <c r="AO53" s="112"/>
      <c r="AP53" s="112"/>
      <c r="AQ53" s="87"/>
    </row>
    <row r="54" spans="1:43" ht="102" customHeight="1" x14ac:dyDescent="0.3">
      <c r="A54" s="148">
        <f t="shared" si="0"/>
        <v>53</v>
      </c>
      <c r="B54" s="9" t="s">
        <v>336</v>
      </c>
      <c r="C54" s="55">
        <v>2019</v>
      </c>
      <c r="D54" s="55" t="s">
        <v>99</v>
      </c>
      <c r="E54" s="55" t="s">
        <v>335</v>
      </c>
      <c r="F54" s="56" t="s">
        <v>337</v>
      </c>
      <c r="G54" s="55" t="s">
        <v>495</v>
      </c>
      <c r="H54" s="55">
        <v>130</v>
      </c>
      <c r="I54" s="118">
        <f>(0.000006)*100</f>
        <v>6.0000000000000006E-4</v>
      </c>
      <c r="J54" s="55"/>
      <c r="K54" s="55">
        <v>5.5</v>
      </c>
      <c r="L54" s="130">
        <f>(0.000006)*100</f>
        <v>6.0000000000000006E-4</v>
      </c>
      <c r="M54" s="107">
        <f>(0.000006)*100</f>
        <v>6.0000000000000006E-4</v>
      </c>
      <c r="N54" s="109" t="s">
        <v>338</v>
      </c>
      <c r="O54" s="115" t="s">
        <v>339</v>
      </c>
      <c r="P54" s="115"/>
      <c r="Q54" s="115"/>
      <c r="R54" s="110"/>
      <c r="S54" s="111">
        <f>(0.000006)*100</f>
        <v>6.0000000000000006E-4</v>
      </c>
      <c r="T54" s="174"/>
      <c r="U54" s="157">
        <v>3.028</v>
      </c>
      <c r="V54" s="154">
        <v>2.86</v>
      </c>
      <c r="W54" s="154">
        <v>8192</v>
      </c>
      <c r="X54" s="154">
        <v>169.2307692307692</v>
      </c>
      <c r="Y54" s="154"/>
      <c r="Z54" s="112">
        <v>0.50009999999999999</v>
      </c>
      <c r="AA54" s="112"/>
      <c r="AB54" s="112"/>
      <c r="AC54" s="112">
        <v>0.99990000000000001</v>
      </c>
      <c r="AD54" s="112">
        <v>0.49990000000000001</v>
      </c>
      <c r="AE54" s="112">
        <v>4.3499999999999997E-2</v>
      </c>
      <c r="AF54" s="112">
        <v>0</v>
      </c>
      <c r="AG54" s="112">
        <v>0</v>
      </c>
      <c r="AH54" s="112"/>
      <c r="AI54" s="112"/>
      <c r="AJ54" s="112" t="s">
        <v>59</v>
      </c>
      <c r="AK54" s="112">
        <v>7.4999999999999997E-3</v>
      </c>
      <c r="AL54" s="112" t="s">
        <v>104</v>
      </c>
      <c r="AM54" s="151">
        <v>64</v>
      </c>
      <c r="AN54" s="112" t="s">
        <v>61</v>
      </c>
      <c r="AO54" s="112"/>
      <c r="AP54" s="112"/>
      <c r="AQ54" s="87"/>
    </row>
    <row r="55" spans="1:43" ht="113.55" customHeight="1" x14ac:dyDescent="0.3">
      <c r="A55" s="148">
        <f t="shared" si="0"/>
        <v>54</v>
      </c>
      <c r="B55" s="9" t="s">
        <v>445</v>
      </c>
      <c r="C55" s="55">
        <v>2019</v>
      </c>
      <c r="D55" s="55" t="s">
        <v>23</v>
      </c>
      <c r="E55" s="55" t="s">
        <v>444</v>
      </c>
      <c r="F55" s="56" t="s">
        <v>500</v>
      </c>
      <c r="G55" s="55" t="s">
        <v>58</v>
      </c>
      <c r="H55" s="55">
        <v>14</v>
      </c>
      <c r="I55" s="118"/>
      <c r="J55" s="55">
        <v>5000</v>
      </c>
      <c r="K55" s="55">
        <v>0.65</v>
      </c>
      <c r="L55" s="130">
        <v>6.09</v>
      </c>
      <c r="M55" s="107"/>
      <c r="N55" s="109" t="s">
        <v>226</v>
      </c>
      <c r="O55" s="115" t="s">
        <v>227</v>
      </c>
      <c r="P55" s="115"/>
      <c r="Q55" s="115"/>
      <c r="R55" s="110" t="s">
        <v>191</v>
      </c>
      <c r="S55" s="111">
        <v>2.8</v>
      </c>
      <c r="T55" s="174">
        <v>560</v>
      </c>
      <c r="U55" s="157">
        <v>0.46</v>
      </c>
      <c r="V55" s="154">
        <f>2114/W55</f>
        <v>4.12890625</v>
      </c>
      <c r="W55" s="154">
        <v>512</v>
      </c>
      <c r="X55" s="154">
        <f>2114/(W55*(H55)^2)*1000000</f>
        <v>21065.848214285717</v>
      </c>
      <c r="Y55" s="154">
        <f>2114/(W55*(H55)^2)*1000000</f>
        <v>21065.848214285717</v>
      </c>
      <c r="Z55" s="112"/>
      <c r="AA55" s="112"/>
      <c r="AB55" s="112"/>
      <c r="AC55" s="112">
        <v>0.99960000000000004</v>
      </c>
      <c r="AD55" s="112"/>
      <c r="AE55" s="112"/>
      <c r="AF55" s="112"/>
      <c r="AG55" s="112"/>
      <c r="AH55" s="112">
        <v>14.8</v>
      </c>
      <c r="AI55" s="112"/>
      <c r="AJ55" s="112" t="s">
        <v>59</v>
      </c>
      <c r="AK55" s="112"/>
      <c r="AL55" s="112" t="s">
        <v>104</v>
      </c>
      <c r="AM55" s="151"/>
      <c r="AN55" s="112" t="s">
        <v>61</v>
      </c>
      <c r="AO55" s="112"/>
      <c r="AP55" s="112"/>
      <c r="AQ55" s="87"/>
    </row>
    <row r="56" spans="1:43" ht="99.45" customHeight="1" x14ac:dyDescent="0.3">
      <c r="A56" s="148">
        <f t="shared" si="0"/>
        <v>55</v>
      </c>
      <c r="B56" s="13" t="s">
        <v>560</v>
      </c>
      <c r="C56" s="55">
        <v>2020</v>
      </c>
      <c r="D56" s="55" t="s">
        <v>99</v>
      </c>
      <c r="E56" s="55" t="s">
        <v>216</v>
      </c>
      <c r="F56" s="56" t="s">
        <v>305</v>
      </c>
      <c r="G56" s="107" t="s">
        <v>493</v>
      </c>
      <c r="H56" s="55">
        <v>28</v>
      </c>
      <c r="I56" s="118">
        <v>25</v>
      </c>
      <c r="J56" s="55"/>
      <c r="K56" s="55">
        <v>0.9</v>
      </c>
      <c r="L56" s="130"/>
      <c r="M56" s="107">
        <v>10.5</v>
      </c>
      <c r="N56" s="109" t="s">
        <v>303</v>
      </c>
      <c r="O56" s="115" t="s">
        <v>258</v>
      </c>
      <c r="P56" s="115"/>
      <c r="Q56" s="115"/>
      <c r="R56" s="110" t="s">
        <v>219</v>
      </c>
      <c r="S56" s="111">
        <v>8.8999999999999996E-2</v>
      </c>
      <c r="T56" s="174">
        <v>128</v>
      </c>
      <c r="U56" s="157" t="s">
        <v>63</v>
      </c>
      <c r="V56" s="154">
        <v>2.09</v>
      </c>
      <c r="W56" s="154">
        <v>1024</v>
      </c>
      <c r="X56" s="154">
        <v>2665</v>
      </c>
      <c r="Y56" s="154"/>
      <c r="Z56" s="112">
        <v>0.48130000000000001</v>
      </c>
      <c r="AA56" s="112"/>
      <c r="AB56" s="112"/>
      <c r="AC56" s="112">
        <v>0.99929999999999997</v>
      </c>
      <c r="AD56" s="112">
        <v>0.49780000000000002</v>
      </c>
      <c r="AE56" s="112">
        <v>8.2000000000000007E-3</v>
      </c>
      <c r="AF56" s="112">
        <v>9.7000000000000003E-3</v>
      </c>
      <c r="AG56" s="112"/>
      <c r="AH56" s="112">
        <f t="shared" ref="AH56:AH63" si="4">AD56/AF56</f>
        <v>51.319587628865982</v>
      </c>
      <c r="AI56" s="112"/>
      <c r="AJ56" s="112" t="s">
        <v>59</v>
      </c>
      <c r="AK56" s="112"/>
      <c r="AL56" s="112" t="s">
        <v>104</v>
      </c>
      <c r="AM56" s="151"/>
      <c r="AN56" s="112" t="s">
        <v>61</v>
      </c>
      <c r="AO56" s="112"/>
      <c r="AP56" s="112"/>
      <c r="AQ56" s="87"/>
    </row>
    <row r="57" spans="1:43" ht="57.6" customHeight="1" x14ac:dyDescent="0.3">
      <c r="A57" s="148">
        <f t="shared" si="0"/>
        <v>56</v>
      </c>
      <c r="B57" s="52" t="s">
        <v>316</v>
      </c>
      <c r="C57" s="120">
        <v>2020</v>
      </c>
      <c r="D57" s="55" t="s">
        <v>23</v>
      </c>
      <c r="E57" s="120" t="s">
        <v>317</v>
      </c>
      <c r="F57" s="56" t="s">
        <v>318</v>
      </c>
      <c r="G57" s="124" t="s">
        <v>491</v>
      </c>
      <c r="H57" s="120">
        <v>28</v>
      </c>
      <c r="I57" s="131">
        <v>1.4</v>
      </c>
      <c r="J57" s="120">
        <v>1000</v>
      </c>
      <c r="K57" s="120">
        <v>0.9</v>
      </c>
      <c r="L57" s="132"/>
      <c r="M57" s="107">
        <v>1.4</v>
      </c>
      <c r="N57" s="122" t="s">
        <v>319</v>
      </c>
      <c r="O57" s="115" t="s">
        <v>210</v>
      </c>
      <c r="P57" s="123">
        <v>5.5E-2</v>
      </c>
      <c r="Q57" s="123">
        <v>5.1999999999999998E-3</v>
      </c>
      <c r="R57" s="125" t="s">
        <v>266</v>
      </c>
      <c r="S57" s="111">
        <v>7.8E-2</v>
      </c>
      <c r="T57" s="175"/>
      <c r="U57" s="158">
        <v>2.15</v>
      </c>
      <c r="V57" s="154">
        <v>26</v>
      </c>
      <c r="W57" s="154"/>
      <c r="X57" s="154">
        <f>(V57/(H57*H57))*1000000</f>
        <v>33163.265306122448</v>
      </c>
      <c r="Y57" s="154"/>
      <c r="Z57" s="112">
        <v>0.50600000000000001</v>
      </c>
      <c r="AA57" s="112"/>
      <c r="AB57" s="112"/>
      <c r="AC57" s="112">
        <v>0.99980000000000002</v>
      </c>
      <c r="AD57" s="112">
        <v>0.49940000000000001</v>
      </c>
      <c r="AE57" s="112">
        <v>4.6699999999999998E-2</v>
      </c>
      <c r="AF57" s="112">
        <v>7.0399999999999998E-4</v>
      </c>
      <c r="AG57" s="112">
        <v>2.03E-4</v>
      </c>
      <c r="AH57" s="112">
        <f t="shared" si="4"/>
        <v>709.375</v>
      </c>
      <c r="AI57" s="112">
        <f>(AD57-3*AE57)/(AF57+3*AG57)</f>
        <v>273.64813404417367</v>
      </c>
      <c r="AJ57" s="112" t="s">
        <v>59</v>
      </c>
      <c r="AK57" s="112"/>
      <c r="AL57" s="112" t="s">
        <v>104</v>
      </c>
      <c r="AM57" s="151"/>
      <c r="AN57" s="112" t="s">
        <v>61</v>
      </c>
      <c r="AO57" s="112"/>
      <c r="AP57" s="112"/>
      <c r="AQ57" s="87"/>
    </row>
    <row r="58" spans="1:43" ht="71.55" customHeight="1" x14ac:dyDescent="0.3">
      <c r="A58" s="148">
        <f t="shared" si="0"/>
        <v>57</v>
      </c>
      <c r="B58" s="83" t="s">
        <v>439</v>
      </c>
      <c r="C58" s="120">
        <v>2020</v>
      </c>
      <c r="D58" s="120" t="s">
        <v>405</v>
      </c>
      <c r="E58" s="120" t="s">
        <v>440</v>
      </c>
      <c r="F58" s="56" t="s">
        <v>501</v>
      </c>
      <c r="G58" s="124" t="s">
        <v>495</v>
      </c>
      <c r="H58" s="120">
        <v>55</v>
      </c>
      <c r="I58" s="131"/>
      <c r="J58" s="120"/>
      <c r="K58" s="120"/>
      <c r="L58" s="132"/>
      <c r="M58" s="107"/>
      <c r="N58" s="122"/>
      <c r="O58" s="115" t="s">
        <v>222</v>
      </c>
      <c r="P58" s="123"/>
      <c r="Q58" s="123"/>
      <c r="R58" s="125"/>
      <c r="S58" s="111">
        <v>5</v>
      </c>
      <c r="T58" s="175">
        <v>192.3</v>
      </c>
      <c r="U58" s="158">
        <v>0.57999999999999996</v>
      </c>
      <c r="V58" s="154">
        <v>24200</v>
      </c>
      <c r="W58" s="154"/>
      <c r="X58" s="154">
        <f>(V58/(H58*H58))*1000000</f>
        <v>8000000</v>
      </c>
      <c r="Y58" s="154">
        <f>X58</f>
        <v>8000000</v>
      </c>
      <c r="Z58" s="112"/>
      <c r="AA58" s="112"/>
      <c r="AB58" s="112"/>
      <c r="AC58" s="112">
        <v>0.99997999999999998</v>
      </c>
      <c r="AD58" s="112"/>
      <c r="AE58" s="112"/>
      <c r="AF58" s="112"/>
      <c r="AG58" s="112"/>
      <c r="AH58" s="112"/>
      <c r="AI58" s="112"/>
      <c r="AJ58" s="112" t="s">
        <v>59</v>
      </c>
      <c r="AK58" s="112"/>
      <c r="AL58" s="112" t="s">
        <v>112</v>
      </c>
      <c r="AM58" s="151">
        <v>9.9999999999999996E+210</v>
      </c>
      <c r="AN58" s="112" t="s">
        <v>61</v>
      </c>
      <c r="AO58" s="112" t="s">
        <v>59</v>
      </c>
      <c r="AP58" s="112" t="s">
        <v>43</v>
      </c>
      <c r="AQ58" s="87"/>
    </row>
    <row r="59" spans="1:43" ht="87" customHeight="1" x14ac:dyDescent="0.3">
      <c r="A59" s="148">
        <f t="shared" si="0"/>
        <v>58</v>
      </c>
      <c r="B59" s="83" t="s">
        <v>429</v>
      </c>
      <c r="C59" s="120">
        <v>2020</v>
      </c>
      <c r="D59" s="120" t="s">
        <v>108</v>
      </c>
      <c r="E59" s="120" t="s">
        <v>188</v>
      </c>
      <c r="F59" s="56" t="s">
        <v>430</v>
      </c>
      <c r="G59" s="124" t="s">
        <v>58</v>
      </c>
      <c r="H59" s="120">
        <v>14</v>
      </c>
      <c r="I59" s="131">
        <v>12.8</v>
      </c>
      <c r="J59" s="120"/>
      <c r="K59" s="120">
        <v>0.75</v>
      </c>
      <c r="L59" s="132">
        <v>14.5</v>
      </c>
      <c r="M59" s="107">
        <v>0.19</v>
      </c>
      <c r="N59" s="122" t="s">
        <v>431</v>
      </c>
      <c r="O59" s="115" t="s">
        <v>261</v>
      </c>
      <c r="P59" s="123"/>
      <c r="Q59" s="123">
        <v>1.37</v>
      </c>
      <c r="R59" s="125">
        <v>4</v>
      </c>
      <c r="S59" s="111">
        <v>0.26</v>
      </c>
      <c r="T59" s="175">
        <v>106.7</v>
      </c>
      <c r="U59" s="158">
        <v>97.08</v>
      </c>
      <c r="V59" s="154">
        <v>4662</v>
      </c>
      <c r="W59" s="154">
        <v>64</v>
      </c>
      <c r="X59" s="154">
        <f>(5827/(H59*H59))*1000000</f>
        <v>29729591.836734693</v>
      </c>
      <c r="Y59" s="154">
        <f>X59</f>
        <v>29729591.836734693</v>
      </c>
      <c r="Z59" s="112"/>
      <c r="AA59" s="112"/>
      <c r="AB59" s="112"/>
      <c r="AC59" s="112"/>
      <c r="AD59" s="112">
        <v>0.498</v>
      </c>
      <c r="AE59" s="112"/>
      <c r="AF59" s="112"/>
      <c r="AG59" s="112"/>
      <c r="AH59" s="112"/>
      <c r="AI59" s="112"/>
      <c r="AJ59" s="112" t="s">
        <v>59</v>
      </c>
      <c r="AK59" s="112"/>
      <c r="AL59" s="112" t="s">
        <v>112</v>
      </c>
      <c r="AM59" s="151">
        <v>3.0000000000000001E+28</v>
      </c>
      <c r="AN59" s="112" t="s">
        <v>61</v>
      </c>
      <c r="AO59" s="112" t="s">
        <v>59</v>
      </c>
      <c r="AP59" s="112" t="s">
        <v>43</v>
      </c>
      <c r="AQ59" s="87"/>
    </row>
    <row r="60" spans="1:43" ht="85.5" customHeight="1" x14ac:dyDescent="0.3">
      <c r="A60" s="148">
        <f t="shared" si="0"/>
        <v>59</v>
      </c>
      <c r="B60" s="13" t="s">
        <v>587</v>
      </c>
      <c r="C60" s="120">
        <v>2020</v>
      </c>
      <c r="D60" s="120" t="s">
        <v>23</v>
      </c>
      <c r="E60" s="120" t="s">
        <v>503</v>
      </c>
      <c r="F60" s="56" t="s">
        <v>502</v>
      </c>
      <c r="G60" s="124" t="s">
        <v>494</v>
      </c>
      <c r="H60" s="120">
        <v>130</v>
      </c>
      <c r="I60" s="131">
        <v>2.14</v>
      </c>
      <c r="J60" s="120">
        <v>2000</v>
      </c>
      <c r="K60" s="120">
        <v>1.4</v>
      </c>
      <c r="L60" s="132"/>
      <c r="M60" s="107">
        <v>0.21</v>
      </c>
      <c r="N60" s="122" t="s">
        <v>249</v>
      </c>
      <c r="O60" s="115" t="s">
        <v>235</v>
      </c>
      <c r="P60" s="123">
        <v>0.78</v>
      </c>
      <c r="Q60" s="123">
        <v>0.75</v>
      </c>
      <c r="R60" s="125" t="s">
        <v>588</v>
      </c>
      <c r="S60" s="135">
        <f>0.000000599*100</f>
        <v>5.9899999999999999E-5</v>
      </c>
      <c r="T60" s="175">
        <v>32</v>
      </c>
      <c r="U60" s="158">
        <v>128</v>
      </c>
      <c r="V60" s="154">
        <f>(173*297)/1000</f>
        <v>51.381</v>
      </c>
      <c r="W60" s="154">
        <v>1000</v>
      </c>
      <c r="X60" s="154">
        <v>373</v>
      </c>
      <c r="Y60" s="154">
        <f>V60/(0.13^2)</f>
        <v>3040.2958579881652</v>
      </c>
      <c r="Z60" s="112"/>
      <c r="AA60" s="112"/>
      <c r="AB60" s="112"/>
      <c r="AC60" s="112"/>
      <c r="AD60" s="112">
        <v>0.49230000000000002</v>
      </c>
      <c r="AE60" s="112">
        <v>1.6199999999999999E-2</v>
      </c>
      <c r="AF60" s="112">
        <v>3.0000000000000001E-3</v>
      </c>
      <c r="AG60" s="112">
        <v>1.6000000000000001E-3</v>
      </c>
      <c r="AH60" s="112">
        <f t="shared" si="4"/>
        <v>164.1</v>
      </c>
      <c r="AI60" s="112">
        <f>(AD60-3*AE60)/(AF60+3*AG60)</f>
        <v>56.884615384615387</v>
      </c>
      <c r="AJ60" s="112" t="s">
        <v>59</v>
      </c>
      <c r="AK60" s="112">
        <v>2.2800000000000001E-2</v>
      </c>
      <c r="AL60" s="112" t="s">
        <v>104</v>
      </c>
      <c r="AM60" s="151"/>
      <c r="AN60" s="112" t="s">
        <v>61</v>
      </c>
      <c r="AO60" s="112"/>
      <c r="AP60" s="112"/>
      <c r="AQ60" s="87"/>
    </row>
    <row r="61" spans="1:43" ht="78" customHeight="1" x14ac:dyDescent="0.3">
      <c r="A61" s="148">
        <f t="shared" si="0"/>
        <v>60</v>
      </c>
      <c r="B61" s="13" t="s">
        <v>334</v>
      </c>
      <c r="C61" s="120">
        <v>2020</v>
      </c>
      <c r="D61" s="120" t="s">
        <v>23</v>
      </c>
      <c r="E61" s="120" t="s">
        <v>503</v>
      </c>
      <c r="F61" s="56" t="s">
        <v>502</v>
      </c>
      <c r="G61" s="124" t="s">
        <v>494</v>
      </c>
      <c r="H61" s="120">
        <v>130</v>
      </c>
      <c r="I61" s="131">
        <v>2.71</v>
      </c>
      <c r="J61" s="120">
        <v>1000</v>
      </c>
      <c r="K61" s="120">
        <v>0.6</v>
      </c>
      <c r="L61" s="132"/>
      <c r="M61" s="107">
        <v>0.28999999999999998</v>
      </c>
      <c r="N61" s="122" t="s">
        <v>320</v>
      </c>
      <c r="O61" s="115" t="s">
        <v>235</v>
      </c>
      <c r="P61" s="123">
        <v>1</v>
      </c>
      <c r="Q61" s="123">
        <v>0.5</v>
      </c>
      <c r="R61" s="125">
        <v>3</v>
      </c>
      <c r="S61" s="135">
        <f>0.000000391*100</f>
        <v>3.9100000000000002E-5</v>
      </c>
      <c r="T61" s="175">
        <v>96</v>
      </c>
      <c r="U61" s="158">
        <v>1.5299999999999999E-2</v>
      </c>
      <c r="V61" s="154">
        <v>8.4</v>
      </c>
      <c r="W61" s="154">
        <v>1024</v>
      </c>
      <c r="X61" s="154">
        <v>497</v>
      </c>
      <c r="Y61" s="154">
        <v>2307</v>
      </c>
      <c r="Z61" s="112"/>
      <c r="AA61" s="112"/>
      <c r="AB61" s="112"/>
      <c r="AC61" s="112"/>
      <c r="AD61" s="112">
        <v>0.48730000000000001</v>
      </c>
      <c r="AE61" s="112">
        <v>1.5900000000000001E-2</v>
      </c>
      <c r="AF61" s="112">
        <v>4.7099999999999998E-3</v>
      </c>
      <c r="AG61" s="112">
        <v>1.8E-3</v>
      </c>
      <c r="AH61" s="112">
        <f t="shared" si="4"/>
        <v>103.46072186836518</v>
      </c>
      <c r="AI61" s="112">
        <f>(AD61-3*AE61)/(AF61+3*AG61)</f>
        <v>43.481701285855586</v>
      </c>
      <c r="AJ61" s="112"/>
      <c r="AK61" s="112"/>
      <c r="AL61" s="112" t="s">
        <v>104</v>
      </c>
      <c r="AM61" s="151">
        <v>64</v>
      </c>
      <c r="AN61" s="112" t="s">
        <v>61</v>
      </c>
      <c r="AO61" s="112"/>
      <c r="AP61" s="112"/>
      <c r="AQ61" s="87"/>
    </row>
    <row r="62" spans="1:43" ht="74.400000000000006" customHeight="1" x14ac:dyDescent="0.3">
      <c r="A62" s="148">
        <f t="shared" si="0"/>
        <v>61</v>
      </c>
      <c r="B62" s="9" t="s">
        <v>340</v>
      </c>
      <c r="C62" s="120">
        <v>2020</v>
      </c>
      <c r="D62" s="120" t="s">
        <v>23</v>
      </c>
      <c r="E62" s="120" t="s">
        <v>15</v>
      </c>
      <c r="F62" s="56" t="s">
        <v>358</v>
      </c>
      <c r="G62" s="55" t="s">
        <v>493</v>
      </c>
      <c r="H62" s="55">
        <v>40</v>
      </c>
      <c r="I62" s="118">
        <v>2.25</v>
      </c>
      <c r="J62" s="55">
        <v>500</v>
      </c>
      <c r="K62" s="55">
        <v>0.9</v>
      </c>
      <c r="L62" s="130">
        <v>3.2</v>
      </c>
      <c r="M62" s="107">
        <v>0.8</v>
      </c>
      <c r="N62" s="109" t="s">
        <v>279</v>
      </c>
      <c r="O62" s="115" t="s">
        <v>222</v>
      </c>
      <c r="P62" s="115"/>
      <c r="Q62" s="115"/>
      <c r="R62" s="110" t="s">
        <v>326</v>
      </c>
      <c r="S62" s="111">
        <f>0.000005*100</f>
        <v>5.0000000000000001E-4</v>
      </c>
      <c r="T62" s="174"/>
      <c r="U62" s="157">
        <v>1E-3</v>
      </c>
      <c r="V62" s="154">
        <v>5.83</v>
      </c>
      <c r="W62" s="154">
        <v>1024</v>
      </c>
      <c r="X62" s="154">
        <v>3643</v>
      </c>
      <c r="Y62" s="154"/>
      <c r="Z62" s="112"/>
      <c r="AA62" s="112"/>
      <c r="AB62" s="112"/>
      <c r="AC62" s="112">
        <v>0.99750000000000005</v>
      </c>
      <c r="AD62" s="112">
        <v>0.49199999999999999</v>
      </c>
      <c r="AE62" s="112"/>
      <c r="AF62" s="112">
        <v>3.7000000000000002E-3</v>
      </c>
      <c r="AG62" s="112"/>
      <c r="AH62" s="112">
        <f t="shared" si="4"/>
        <v>132.97297297297297</v>
      </c>
      <c r="AI62" s="112"/>
      <c r="AJ62" s="112"/>
      <c r="AK62" s="112"/>
      <c r="AL62" s="112" t="s">
        <v>104</v>
      </c>
      <c r="AM62" s="151"/>
      <c r="AN62" s="112" t="s">
        <v>61</v>
      </c>
      <c r="AO62" s="112"/>
      <c r="AP62" s="112"/>
      <c r="AQ62" s="87"/>
    </row>
    <row r="63" spans="1:43" ht="86.4" x14ac:dyDescent="0.3">
      <c r="A63" s="148">
        <f t="shared" si="0"/>
        <v>62</v>
      </c>
      <c r="B63" s="13" t="s">
        <v>344</v>
      </c>
      <c r="C63" s="120">
        <v>2021</v>
      </c>
      <c r="D63" s="120" t="s">
        <v>99</v>
      </c>
      <c r="E63" s="120" t="s">
        <v>15</v>
      </c>
      <c r="F63" s="56" t="s">
        <v>640</v>
      </c>
      <c r="G63" s="124" t="s">
        <v>494</v>
      </c>
      <c r="H63" s="120">
        <v>28</v>
      </c>
      <c r="I63" s="131">
        <v>12</v>
      </c>
      <c r="J63" s="120">
        <v>2000</v>
      </c>
      <c r="K63" s="120">
        <v>0.9</v>
      </c>
      <c r="L63" s="132">
        <v>14</v>
      </c>
      <c r="M63" s="107">
        <v>1.8</v>
      </c>
      <c r="N63" s="122" t="s">
        <v>279</v>
      </c>
      <c r="O63" s="115" t="s">
        <v>322</v>
      </c>
      <c r="P63" s="123">
        <v>0.5</v>
      </c>
      <c r="Q63" s="123">
        <v>0.1</v>
      </c>
      <c r="R63" s="125"/>
      <c r="S63" s="111" t="s">
        <v>63</v>
      </c>
      <c r="T63" s="175">
        <v>10160</v>
      </c>
      <c r="U63" s="158">
        <v>7.8E-2</v>
      </c>
      <c r="V63" s="154">
        <v>0.88200000000000001</v>
      </c>
      <c r="W63" s="154">
        <v>16384</v>
      </c>
      <c r="X63" s="154">
        <v>1125</v>
      </c>
      <c r="Y63" s="154">
        <v>1125</v>
      </c>
      <c r="Z63" s="112">
        <v>0.502</v>
      </c>
      <c r="AA63" s="112"/>
      <c r="AB63" s="112"/>
      <c r="AC63" s="112">
        <v>0.99997999999999998</v>
      </c>
      <c r="AD63" s="112">
        <v>0.503</v>
      </c>
      <c r="AE63" s="112"/>
      <c r="AF63" s="112">
        <v>1.6E-2</v>
      </c>
      <c r="AG63" s="112"/>
      <c r="AH63" s="112">
        <f t="shared" si="4"/>
        <v>31.4375</v>
      </c>
      <c r="AI63" s="112"/>
      <c r="AJ63" s="112" t="s">
        <v>59</v>
      </c>
      <c r="AK63" s="112">
        <v>7.0000000000000001E-3</v>
      </c>
      <c r="AL63" s="112" t="s">
        <v>104</v>
      </c>
      <c r="AM63" s="151">
        <v>256</v>
      </c>
      <c r="AN63" s="112" t="s">
        <v>61</v>
      </c>
      <c r="AO63" s="112"/>
      <c r="AP63" s="112"/>
      <c r="AQ63" s="87"/>
    </row>
    <row r="64" spans="1:43" ht="104.55" customHeight="1" x14ac:dyDescent="0.3">
      <c r="A64" s="148">
        <f t="shared" si="0"/>
        <v>63</v>
      </c>
      <c r="B64" s="63" t="s">
        <v>357</v>
      </c>
      <c r="C64" s="120">
        <v>2021</v>
      </c>
      <c r="D64" s="120" t="s">
        <v>99</v>
      </c>
      <c r="E64" s="120" t="s">
        <v>503</v>
      </c>
      <c r="F64" s="56" t="s">
        <v>502</v>
      </c>
      <c r="G64" s="124" t="s">
        <v>494</v>
      </c>
      <c r="H64" s="120">
        <v>130</v>
      </c>
      <c r="I64" s="131"/>
      <c r="J64" s="120"/>
      <c r="K64" s="120">
        <v>1.5</v>
      </c>
      <c r="L64" s="132"/>
      <c r="M64" s="107">
        <v>0.73</v>
      </c>
      <c r="N64" s="126" t="s">
        <v>324</v>
      </c>
      <c r="O64" s="118" t="s">
        <v>325</v>
      </c>
      <c r="P64" s="123"/>
      <c r="Q64" s="123"/>
      <c r="R64" s="111" t="s">
        <v>576</v>
      </c>
      <c r="S64" s="111">
        <f>0.000014*100</f>
        <v>1.4E-3</v>
      </c>
      <c r="T64" s="175"/>
      <c r="U64" s="158">
        <v>54.9</v>
      </c>
      <c r="V64" s="154">
        <v>104273</v>
      </c>
      <c r="W64" s="154">
        <v>1760</v>
      </c>
      <c r="X64" s="154">
        <v>6170000</v>
      </c>
      <c r="Y64" s="154">
        <f>X64</f>
        <v>6170000</v>
      </c>
      <c r="Z64" s="112"/>
      <c r="AA64" s="112"/>
      <c r="AB64" s="112"/>
      <c r="AC64" s="112"/>
      <c r="AD64" s="112">
        <v>0.5</v>
      </c>
      <c r="AE64" s="112"/>
      <c r="AF64" s="112"/>
      <c r="AG64" s="112"/>
      <c r="AH64" s="112"/>
      <c r="AI64" s="112"/>
      <c r="AJ64" s="112" t="s">
        <v>59</v>
      </c>
      <c r="AK64" s="112">
        <v>1.55E-2</v>
      </c>
      <c r="AL64" s="112" t="s">
        <v>112</v>
      </c>
      <c r="AM64" s="151"/>
      <c r="AN64" s="112" t="s">
        <v>61</v>
      </c>
      <c r="AO64" s="112" t="s">
        <v>59</v>
      </c>
      <c r="AP64" s="112">
        <v>50.26</v>
      </c>
      <c r="AQ64" s="87"/>
    </row>
    <row r="65" spans="1:43" ht="86.4" x14ac:dyDescent="0.3">
      <c r="A65" s="148">
        <f t="shared" si="0"/>
        <v>64</v>
      </c>
      <c r="B65" s="54" t="s">
        <v>328</v>
      </c>
      <c r="C65" s="120">
        <v>2021</v>
      </c>
      <c r="D65" s="120" t="s">
        <v>99</v>
      </c>
      <c r="E65" s="120" t="s">
        <v>637</v>
      </c>
      <c r="F65" s="56" t="s">
        <v>634</v>
      </c>
      <c r="G65" s="120" t="s">
        <v>496</v>
      </c>
      <c r="H65" s="120">
        <v>40</v>
      </c>
      <c r="I65" s="131">
        <v>0.2</v>
      </c>
      <c r="J65" s="120">
        <v>2000</v>
      </c>
      <c r="K65" s="120">
        <v>0.9</v>
      </c>
      <c r="L65" s="132"/>
      <c r="M65" s="107">
        <v>2.7E-2</v>
      </c>
      <c r="N65" s="126" t="s">
        <v>281</v>
      </c>
      <c r="O65" s="118" t="s">
        <v>210</v>
      </c>
      <c r="P65" s="123">
        <v>2.7E-4</v>
      </c>
      <c r="Q65" s="123">
        <v>1.0699999999999999E-5</v>
      </c>
      <c r="R65" s="111" t="s">
        <v>327</v>
      </c>
      <c r="S65" s="111">
        <v>1.9E-3</v>
      </c>
      <c r="T65" s="175"/>
      <c r="U65" s="158">
        <v>3.9E-2</v>
      </c>
      <c r="V65" s="154">
        <f>3.42*10.2</f>
        <v>34.884</v>
      </c>
      <c r="W65" s="154">
        <v>128</v>
      </c>
      <c r="X65" s="154">
        <v>594</v>
      </c>
      <c r="Y65" s="154"/>
      <c r="Z65" s="112"/>
      <c r="AA65" s="112"/>
      <c r="AB65" s="112"/>
      <c r="AC65" s="112"/>
      <c r="AD65" s="112">
        <v>0.49630000000000002</v>
      </c>
      <c r="AE65" s="112">
        <v>4.7E-2</v>
      </c>
      <c r="AF65" s="112">
        <v>4.4999999999999999E-4</v>
      </c>
      <c r="AG65" s="112">
        <v>1.8E-3</v>
      </c>
      <c r="AH65" s="112">
        <f>AD65/AF65</f>
        <v>1102.8888888888889</v>
      </c>
      <c r="AI65" s="112">
        <f>(AD65-3*AE65)/(AF65+3*AG65)</f>
        <v>60.735042735042732</v>
      </c>
      <c r="AJ65" s="112" t="s">
        <v>59</v>
      </c>
      <c r="AK65" s="112">
        <v>4.2200000000000001E-2</v>
      </c>
      <c r="AL65" s="112" t="s">
        <v>104</v>
      </c>
      <c r="AM65" s="151"/>
      <c r="AN65" s="112" t="s">
        <v>61</v>
      </c>
      <c r="AO65" s="112"/>
      <c r="AP65" s="112"/>
      <c r="AQ65" s="87"/>
    </row>
    <row r="66" spans="1:43" ht="86.4" x14ac:dyDescent="0.3">
      <c r="A66" s="148">
        <f>A65+1</f>
        <v>65</v>
      </c>
      <c r="B66" s="53" t="s">
        <v>342</v>
      </c>
      <c r="C66" s="120">
        <v>2021</v>
      </c>
      <c r="D66" s="120" t="s">
        <v>99</v>
      </c>
      <c r="E66" s="120" t="s">
        <v>280</v>
      </c>
      <c r="F66" s="56"/>
      <c r="G66" s="120" t="s">
        <v>493</v>
      </c>
      <c r="H66" s="120">
        <v>65</v>
      </c>
      <c r="I66" s="131">
        <v>2.83</v>
      </c>
      <c r="J66" s="120">
        <v>2000</v>
      </c>
      <c r="K66" s="120">
        <v>1.2</v>
      </c>
      <c r="L66" s="132"/>
      <c r="M66" s="107">
        <f>0.0029*100</f>
        <v>0.28999999999999998</v>
      </c>
      <c r="N66" s="126" t="s">
        <v>281</v>
      </c>
      <c r="O66" s="118" t="s">
        <v>210</v>
      </c>
      <c r="P66" s="123"/>
      <c r="Q66" s="123"/>
      <c r="R66" s="111" t="s">
        <v>236</v>
      </c>
      <c r="S66" s="111">
        <f>0.0000000334*100</f>
        <v>3.3400000000000002E-6</v>
      </c>
      <c r="T66" s="175">
        <v>22750</v>
      </c>
      <c r="U66" s="158">
        <v>6.0000000000000002E-5</v>
      </c>
      <c r="V66" s="154">
        <v>2.5</v>
      </c>
      <c r="W66" s="154"/>
      <c r="X66" s="154">
        <v>594</v>
      </c>
      <c r="Y66" s="154"/>
      <c r="Z66" s="112"/>
      <c r="AA66" s="112"/>
      <c r="AB66" s="112"/>
      <c r="AC66" s="112"/>
      <c r="AD66" s="112">
        <v>0.5</v>
      </c>
      <c r="AE66" s="112">
        <v>4.2200000000000001E-2</v>
      </c>
      <c r="AF66" s="112">
        <v>3.8E-3</v>
      </c>
      <c r="AG66" s="112">
        <v>4.4000000000000003E-3</v>
      </c>
      <c r="AH66" s="112">
        <f>AD66/AF66</f>
        <v>131.57894736842104</v>
      </c>
      <c r="AI66" s="112">
        <f>(AD66-3*AE66)/(AF66+3*AG66)</f>
        <v>21.964705882352941</v>
      </c>
      <c r="AJ66" s="112" t="s">
        <v>59</v>
      </c>
      <c r="AK66" s="112">
        <v>8.0999999999999996E-3</v>
      </c>
      <c r="AL66" s="112" t="s">
        <v>104</v>
      </c>
      <c r="AM66" s="151"/>
      <c r="AN66" s="112" t="s">
        <v>61</v>
      </c>
      <c r="AO66" s="112"/>
      <c r="AP66" s="112"/>
      <c r="AQ66" s="87"/>
    </row>
    <row r="67" spans="1:43" ht="64.95" customHeight="1" x14ac:dyDescent="0.3">
      <c r="A67" s="148">
        <f t="shared" si="0"/>
        <v>66</v>
      </c>
      <c r="B67" s="53" t="s">
        <v>404</v>
      </c>
      <c r="C67" s="120">
        <v>2021</v>
      </c>
      <c r="D67" s="120" t="s">
        <v>405</v>
      </c>
      <c r="E67" s="111" t="s">
        <v>406</v>
      </c>
      <c r="F67" s="56" t="s">
        <v>337</v>
      </c>
      <c r="G67" s="120" t="s">
        <v>495</v>
      </c>
      <c r="H67" s="120" t="s">
        <v>63</v>
      </c>
      <c r="I67" s="131"/>
      <c r="J67" s="133">
        <v>10000000</v>
      </c>
      <c r="K67" s="131" t="s">
        <v>407</v>
      </c>
      <c r="L67" s="131"/>
      <c r="M67" s="111" t="s">
        <v>63</v>
      </c>
      <c r="N67" s="118"/>
      <c r="O67" s="118" t="s">
        <v>408</v>
      </c>
      <c r="P67" s="131"/>
      <c r="Q67" s="111"/>
      <c r="R67" s="111"/>
      <c r="S67" s="134">
        <f>0.0000001*100</f>
        <v>9.9999999999999991E-6</v>
      </c>
      <c r="T67" s="175"/>
      <c r="U67" s="158">
        <v>0.14399999999999999</v>
      </c>
      <c r="V67" s="154"/>
      <c r="W67" s="154"/>
      <c r="X67" s="154"/>
      <c r="Y67" s="154"/>
      <c r="Z67" s="112"/>
      <c r="AA67" s="112"/>
      <c r="AB67" s="112"/>
      <c r="AC67" s="112"/>
      <c r="AD67" s="112">
        <v>0.50019999999999998</v>
      </c>
      <c r="AE67" s="112"/>
      <c r="AF67" s="112">
        <v>0</v>
      </c>
      <c r="AG67" s="112"/>
      <c r="AH67" s="112"/>
      <c r="AI67" s="112"/>
      <c r="AJ67" s="112" t="s">
        <v>61</v>
      </c>
      <c r="AK67" s="112"/>
      <c r="AL67" s="112" t="s">
        <v>112</v>
      </c>
      <c r="AM67" s="151">
        <v>4290000000</v>
      </c>
      <c r="AN67" s="112" t="s">
        <v>61</v>
      </c>
      <c r="AO67" s="112" t="s">
        <v>59</v>
      </c>
      <c r="AP67" s="112">
        <v>53.6</v>
      </c>
      <c r="AQ67" s="87"/>
    </row>
    <row r="68" spans="1:43" ht="86.4" x14ac:dyDescent="0.3">
      <c r="A68" s="148">
        <f t="shared" ref="A68:A87" si="5">A67+1</f>
        <v>67</v>
      </c>
      <c r="B68" s="82" t="s">
        <v>409</v>
      </c>
      <c r="C68" s="120">
        <v>2021</v>
      </c>
      <c r="D68" s="120" t="s">
        <v>154</v>
      </c>
      <c r="E68" s="55" t="s">
        <v>248</v>
      </c>
      <c r="F68" s="56" t="s">
        <v>196</v>
      </c>
      <c r="G68" s="120" t="s">
        <v>345</v>
      </c>
      <c r="H68" s="120">
        <v>65</v>
      </c>
      <c r="I68" s="131">
        <v>1.44</v>
      </c>
      <c r="J68" s="133">
        <v>5000</v>
      </c>
      <c r="K68" s="131">
        <v>1.2</v>
      </c>
      <c r="L68" s="131">
        <f>I68+0.55*2+0.51*5.3</f>
        <v>5.2430000000000003</v>
      </c>
      <c r="M68" s="111">
        <v>0.12</v>
      </c>
      <c r="N68" s="126" t="s">
        <v>410</v>
      </c>
      <c r="O68" s="118" t="s">
        <v>141</v>
      </c>
      <c r="P68" s="131">
        <v>0.57999999999999996</v>
      </c>
      <c r="Q68" s="111">
        <v>0.53</v>
      </c>
      <c r="R68" s="111">
        <v>10</v>
      </c>
      <c r="S68" s="134">
        <f>M68+P68*2+Q68*5.3</f>
        <v>4.0890000000000004</v>
      </c>
      <c r="T68" s="175">
        <v>0.66700000000000004</v>
      </c>
      <c r="U68" s="158">
        <v>746.5</v>
      </c>
      <c r="V68" s="154"/>
      <c r="W68" s="154">
        <v>320</v>
      </c>
      <c r="X68" s="154">
        <v>1187</v>
      </c>
      <c r="Y68" s="154"/>
      <c r="Z68" s="112"/>
      <c r="AA68" s="112"/>
      <c r="AB68" s="112"/>
      <c r="AC68" s="112"/>
      <c r="AD68" s="112">
        <v>0.498</v>
      </c>
      <c r="AE68" s="112"/>
      <c r="AF68" s="112">
        <v>1.6000000000000001E-3</v>
      </c>
      <c r="AG68" s="112"/>
      <c r="AH68" s="112">
        <f t="shared" ref="AH68:AH73" si="6">AD68/AF68</f>
        <v>311.25</v>
      </c>
      <c r="AI68" s="112"/>
      <c r="AJ68" s="112" t="s">
        <v>59</v>
      </c>
      <c r="AK68" s="112">
        <v>2.5700000000000001E-2</v>
      </c>
      <c r="AL68" s="112" t="s">
        <v>104</v>
      </c>
      <c r="AM68" s="151"/>
      <c r="AN68" s="112" t="s">
        <v>61</v>
      </c>
      <c r="AO68" s="112"/>
      <c r="AP68" s="112"/>
      <c r="AQ68" s="87"/>
    </row>
    <row r="69" spans="1:43" ht="72" x14ac:dyDescent="0.3">
      <c r="A69" s="148">
        <f t="shared" si="5"/>
        <v>68</v>
      </c>
      <c r="B69" s="82" t="s">
        <v>575</v>
      </c>
      <c r="C69" s="120">
        <v>2021</v>
      </c>
      <c r="D69" s="120" t="s">
        <v>413</v>
      </c>
      <c r="E69" s="111" t="s">
        <v>414</v>
      </c>
      <c r="F69" s="56" t="s">
        <v>502</v>
      </c>
      <c r="G69" s="120" t="s">
        <v>492</v>
      </c>
      <c r="H69" s="120">
        <v>65</v>
      </c>
      <c r="I69" s="131"/>
      <c r="J69" s="133"/>
      <c r="K69" s="131">
        <v>1.2</v>
      </c>
      <c r="L69" s="131"/>
      <c r="M69" s="111">
        <v>13.7</v>
      </c>
      <c r="N69" s="126" t="s">
        <v>415</v>
      </c>
      <c r="O69" s="118" t="s">
        <v>416</v>
      </c>
      <c r="P69" s="131">
        <v>3.43</v>
      </c>
      <c r="Q69" s="111">
        <v>1.83</v>
      </c>
      <c r="R69" s="111"/>
      <c r="S69" s="134">
        <v>0.9</v>
      </c>
      <c r="T69" s="175">
        <v>1600</v>
      </c>
      <c r="U69" s="158">
        <v>8.2000000000000003E-2</v>
      </c>
      <c r="V69" s="154">
        <v>91000</v>
      </c>
      <c r="W69" s="154">
        <v>1024</v>
      </c>
      <c r="X69" s="154">
        <v>6170000</v>
      </c>
      <c r="Y69" s="154">
        <f>36*308/(H69*0.001)^2</f>
        <v>2624378.6982248519</v>
      </c>
      <c r="Z69" s="112"/>
      <c r="AA69" s="112"/>
      <c r="AB69" s="112"/>
      <c r="AC69" s="112"/>
      <c r="AD69" s="112">
        <v>0.48930000000000001</v>
      </c>
      <c r="AE69" s="112">
        <v>1.9E-2</v>
      </c>
      <c r="AF69" s="112">
        <v>2.4E-2</v>
      </c>
      <c r="AG69" s="112">
        <v>1.11E-2</v>
      </c>
      <c r="AH69" s="112">
        <f t="shared" si="6"/>
        <v>20.387499999999999</v>
      </c>
      <c r="AI69" s="112">
        <f>(AD69-3*AE69)/(AF69+3*AG69)</f>
        <v>7.5445026178010473</v>
      </c>
      <c r="AJ69" s="112" t="s">
        <v>61</v>
      </c>
      <c r="AK69" s="112"/>
      <c r="AL69" s="112" t="s">
        <v>112</v>
      </c>
      <c r="AM69" s="151">
        <v>5.4599999999999999E+26</v>
      </c>
      <c r="AN69" s="112" t="s">
        <v>61</v>
      </c>
      <c r="AO69" s="112" t="s">
        <v>59</v>
      </c>
      <c r="AP69" s="112">
        <v>25.6</v>
      </c>
      <c r="AQ69" s="87"/>
    </row>
    <row r="70" spans="1:43" ht="57.6" x14ac:dyDescent="0.3">
      <c r="A70" s="148">
        <f t="shared" si="5"/>
        <v>69</v>
      </c>
      <c r="B70" s="82" t="s">
        <v>448</v>
      </c>
      <c r="C70" s="120">
        <v>2021</v>
      </c>
      <c r="D70" s="120" t="s">
        <v>105</v>
      </c>
      <c r="E70" s="111" t="s">
        <v>636</v>
      </c>
      <c r="F70" s="56" t="s">
        <v>509</v>
      </c>
      <c r="G70" s="120" t="s">
        <v>58</v>
      </c>
      <c r="H70" s="120">
        <v>65</v>
      </c>
      <c r="I70" s="131"/>
      <c r="J70" s="133">
        <v>10000</v>
      </c>
      <c r="K70" s="131">
        <v>1.2</v>
      </c>
      <c r="L70" s="131">
        <v>5.83</v>
      </c>
      <c r="M70" s="111"/>
      <c r="N70" s="126" t="s">
        <v>253</v>
      </c>
      <c r="O70" s="118" t="s">
        <v>421</v>
      </c>
      <c r="P70" s="131"/>
      <c r="Q70" s="111"/>
      <c r="R70" s="111"/>
      <c r="S70" s="134">
        <f>0.0000067*100</f>
        <v>6.7000000000000002E-4</v>
      </c>
      <c r="T70" s="175">
        <v>0.52</v>
      </c>
      <c r="U70" s="158">
        <v>0.46</v>
      </c>
      <c r="V70" s="154"/>
      <c r="W70" s="154"/>
      <c r="X70" s="154"/>
      <c r="Y70" s="154"/>
      <c r="Z70" s="112"/>
      <c r="AA70" s="112"/>
      <c r="AB70" s="112"/>
      <c r="AC70" s="112"/>
      <c r="AD70" s="112">
        <v>0.49959999999999999</v>
      </c>
      <c r="AE70" s="112">
        <v>2.4199999999999999E-2</v>
      </c>
      <c r="AF70" s="112">
        <v>9.1000000000000004E-3</v>
      </c>
      <c r="AG70" s="112">
        <v>2.5000000000000001E-3</v>
      </c>
      <c r="AH70" s="112">
        <f t="shared" si="6"/>
        <v>54.901098901098898</v>
      </c>
      <c r="AI70" s="112">
        <f>(AD70-3*AE70)/(AF70+3*AG70)</f>
        <v>25.722891566265059</v>
      </c>
      <c r="AJ70" s="112" t="s">
        <v>59</v>
      </c>
      <c r="AK70" s="112"/>
      <c r="AL70" s="112" t="s">
        <v>112</v>
      </c>
      <c r="AM70" s="151">
        <v>1.8E+19</v>
      </c>
      <c r="AN70" s="112" t="s">
        <v>61</v>
      </c>
      <c r="AO70" s="112" t="s">
        <v>59</v>
      </c>
      <c r="AP70" s="112" t="s">
        <v>43</v>
      </c>
      <c r="AQ70" s="87"/>
    </row>
    <row r="71" spans="1:43" ht="43.2" x14ac:dyDescent="0.3">
      <c r="A71" s="148">
        <f t="shared" si="5"/>
        <v>70</v>
      </c>
      <c r="B71" s="82" t="s">
        <v>449</v>
      </c>
      <c r="C71" s="120">
        <v>2021</v>
      </c>
      <c r="D71" s="120" t="s">
        <v>105</v>
      </c>
      <c r="E71" s="111" t="s">
        <v>425</v>
      </c>
      <c r="F71" s="56" t="s">
        <v>591</v>
      </c>
      <c r="G71" s="120" t="s">
        <v>494</v>
      </c>
      <c r="H71" s="120">
        <v>40</v>
      </c>
      <c r="I71" s="131"/>
      <c r="J71" s="133"/>
      <c r="K71" s="131">
        <v>1</v>
      </c>
      <c r="L71" s="131">
        <v>8.23</v>
      </c>
      <c r="M71" s="111"/>
      <c r="N71" s="126" t="s">
        <v>214</v>
      </c>
      <c r="O71" s="118" t="s">
        <v>422</v>
      </c>
      <c r="P71" s="131"/>
      <c r="Q71" s="111"/>
      <c r="R71" s="111">
        <v>4</v>
      </c>
      <c r="S71" s="134">
        <v>2.4</v>
      </c>
      <c r="T71" s="175">
        <v>8000</v>
      </c>
      <c r="U71" s="158">
        <v>0.127</v>
      </c>
      <c r="V71" s="154"/>
      <c r="W71" s="154"/>
      <c r="X71" s="154">
        <v>4052625</v>
      </c>
      <c r="Y71" s="154">
        <f>X71</f>
        <v>4052625</v>
      </c>
      <c r="Z71" s="112"/>
      <c r="AA71" s="112"/>
      <c r="AB71" s="112"/>
      <c r="AC71" s="112"/>
      <c r="AD71" s="112">
        <v>0.49640000000000001</v>
      </c>
      <c r="AE71" s="112"/>
      <c r="AF71" s="112">
        <v>0.44929999999999998</v>
      </c>
      <c r="AG71" s="112"/>
      <c r="AH71" s="112">
        <f t="shared" si="6"/>
        <v>1.1048297351435568</v>
      </c>
      <c r="AI71" s="112"/>
      <c r="AJ71" s="112" t="s">
        <v>61</v>
      </c>
      <c r="AK71" s="112"/>
      <c r="AL71" s="112" t="s">
        <v>112</v>
      </c>
      <c r="AM71" s="151">
        <v>4010000000000000</v>
      </c>
      <c r="AN71" s="112" t="s">
        <v>61</v>
      </c>
      <c r="AO71" s="112" t="s">
        <v>61</v>
      </c>
      <c r="AP71" s="112"/>
      <c r="AQ71" s="87"/>
    </row>
    <row r="72" spans="1:43" ht="115.2" x14ac:dyDescent="0.3">
      <c r="A72" s="148">
        <f t="shared" si="5"/>
        <v>71</v>
      </c>
      <c r="B72" s="146" t="s">
        <v>521</v>
      </c>
      <c r="C72" s="120">
        <v>2021</v>
      </c>
      <c r="D72" s="120" t="s">
        <v>522</v>
      </c>
      <c r="E72" s="111" t="s">
        <v>523</v>
      </c>
      <c r="F72" s="56" t="s">
        <v>524</v>
      </c>
      <c r="G72" s="120" t="s">
        <v>345</v>
      </c>
      <c r="H72" s="120"/>
      <c r="I72" s="131"/>
      <c r="J72" s="133">
        <v>2000</v>
      </c>
      <c r="K72" s="131">
        <v>2</v>
      </c>
      <c r="L72" s="131">
        <v>2.41</v>
      </c>
      <c r="M72" s="111">
        <v>1.65</v>
      </c>
      <c r="N72" s="126">
        <v>2</v>
      </c>
      <c r="O72" s="118" t="s">
        <v>278</v>
      </c>
      <c r="P72" s="131"/>
      <c r="Q72" s="111"/>
      <c r="R72" s="111" t="s">
        <v>236</v>
      </c>
      <c r="S72" s="134">
        <v>4.5999999999999999E-2</v>
      </c>
      <c r="T72" s="175"/>
      <c r="U72" s="158"/>
      <c r="V72" s="154"/>
      <c r="W72" s="154">
        <v>1024</v>
      </c>
      <c r="X72" s="154">
        <v>2</v>
      </c>
      <c r="Y72" s="154"/>
      <c r="Z72" s="112"/>
      <c r="AA72" s="112"/>
      <c r="AB72" s="112"/>
      <c r="AC72" s="112"/>
      <c r="AD72" s="112">
        <v>0.49970999999999999</v>
      </c>
      <c r="AE72" s="112">
        <v>3.5700000000000003E-2</v>
      </c>
      <c r="AF72" s="112">
        <v>3.8999999999999999E-4</v>
      </c>
      <c r="AG72" s="112">
        <v>1.1000000000000001E-3</v>
      </c>
      <c r="AH72" s="112">
        <f t="shared" si="6"/>
        <v>1281.3076923076924</v>
      </c>
      <c r="AI72" s="112">
        <f>(AD72-3*AE72)/(AF72+3*AG72)</f>
        <v>106.39837398373983</v>
      </c>
      <c r="AJ72" s="112" t="s">
        <v>59</v>
      </c>
      <c r="AK72" s="112">
        <v>3.4000000000000002E-2</v>
      </c>
      <c r="AL72" s="112" t="s">
        <v>112</v>
      </c>
      <c r="AM72" s="151"/>
      <c r="AN72" s="112" t="s">
        <v>61</v>
      </c>
      <c r="AO72" s="112" t="s">
        <v>59</v>
      </c>
      <c r="AP72" s="112" t="s">
        <v>43</v>
      </c>
      <c r="AQ72" s="87"/>
    </row>
    <row r="73" spans="1:43" ht="84" customHeight="1" x14ac:dyDescent="0.3">
      <c r="A73" s="148">
        <f t="shared" si="5"/>
        <v>72</v>
      </c>
      <c r="B73" s="82" t="s">
        <v>423</v>
      </c>
      <c r="C73" s="120">
        <v>2022</v>
      </c>
      <c r="D73" s="120" t="s">
        <v>154</v>
      </c>
      <c r="E73" s="111" t="s">
        <v>424</v>
      </c>
      <c r="F73" s="56" t="s">
        <v>508</v>
      </c>
      <c r="G73" s="120" t="s">
        <v>493</v>
      </c>
      <c r="H73" s="120">
        <v>28</v>
      </c>
      <c r="I73" s="131"/>
      <c r="J73" s="133"/>
      <c r="K73" s="131"/>
      <c r="L73" s="131">
        <v>10.4</v>
      </c>
      <c r="M73" s="111"/>
      <c r="N73" s="126" t="s">
        <v>353</v>
      </c>
      <c r="O73" s="118" t="s">
        <v>426</v>
      </c>
      <c r="P73" s="131"/>
      <c r="Q73" s="111"/>
      <c r="R73" s="111">
        <v>4</v>
      </c>
      <c r="S73" s="134"/>
      <c r="T73" s="175">
        <v>2</v>
      </c>
      <c r="U73" s="158">
        <v>0.22</v>
      </c>
      <c r="V73" s="154">
        <v>188</v>
      </c>
      <c r="W73" s="154">
        <v>65</v>
      </c>
      <c r="X73" s="154">
        <v>239857</v>
      </c>
      <c r="Y73" s="154">
        <f>X73</f>
        <v>239857</v>
      </c>
      <c r="Z73" s="112"/>
      <c r="AA73" s="112"/>
      <c r="AB73" s="112"/>
      <c r="AC73" s="112"/>
      <c r="AD73" s="112">
        <v>0.50860000000000005</v>
      </c>
      <c r="AE73" s="112"/>
      <c r="AF73" s="112">
        <v>9.1000000000000004E-3</v>
      </c>
      <c r="AG73" s="112"/>
      <c r="AH73" s="112">
        <f t="shared" si="6"/>
        <v>55.890109890109891</v>
      </c>
      <c r="AI73" s="112"/>
      <c r="AJ73" s="112"/>
      <c r="AK73" s="112"/>
      <c r="AL73" s="112" t="s">
        <v>112</v>
      </c>
      <c r="AM73" s="151">
        <v>3.7E+19</v>
      </c>
      <c r="AN73" s="112"/>
      <c r="AO73" s="112" t="s">
        <v>59</v>
      </c>
      <c r="AP73" s="112">
        <v>49.96</v>
      </c>
      <c r="AQ73" s="87"/>
    </row>
    <row r="74" spans="1:43" ht="72" x14ac:dyDescent="0.3">
      <c r="A74" s="148">
        <f t="shared" si="5"/>
        <v>73</v>
      </c>
      <c r="B74" s="82" t="s">
        <v>563</v>
      </c>
      <c r="C74" s="120">
        <v>2022</v>
      </c>
      <c r="D74" s="120" t="s">
        <v>405</v>
      </c>
      <c r="E74" s="111" t="s">
        <v>335</v>
      </c>
      <c r="F74" s="56" t="s">
        <v>510</v>
      </c>
      <c r="G74" s="55" t="s">
        <v>495</v>
      </c>
      <c r="H74" s="120">
        <v>40</v>
      </c>
      <c r="I74" s="131"/>
      <c r="J74" s="133">
        <v>100000000</v>
      </c>
      <c r="K74" s="131">
        <v>3.4</v>
      </c>
      <c r="L74" s="131"/>
      <c r="M74" s="135">
        <v>9.7599999999999998E-4</v>
      </c>
      <c r="N74" s="126" t="s">
        <v>438</v>
      </c>
      <c r="O74" s="118" t="s">
        <v>282</v>
      </c>
      <c r="P74" s="131"/>
      <c r="Q74" s="111"/>
      <c r="R74" s="111"/>
      <c r="S74" s="134">
        <f>(1/102400)*100</f>
        <v>9.765625E-4</v>
      </c>
      <c r="T74" s="175"/>
      <c r="U74" s="158"/>
      <c r="V74" s="154"/>
      <c r="W74" s="154"/>
      <c r="X74" s="154"/>
      <c r="Y74" s="154"/>
      <c r="Z74" s="112"/>
      <c r="AA74" s="112"/>
      <c r="AB74" s="112"/>
      <c r="AC74" s="112"/>
      <c r="AD74" s="112">
        <v>0.50001300000000004</v>
      </c>
      <c r="AE74" s="112">
        <v>3.1609999999999999E-2</v>
      </c>
      <c r="AF74" s="112"/>
      <c r="AG74" s="112"/>
      <c r="AH74" s="112"/>
      <c r="AI74" s="112"/>
      <c r="AJ74" s="112" t="s">
        <v>59</v>
      </c>
      <c r="AK74" s="112">
        <v>6.3E-3</v>
      </c>
      <c r="AL74" s="112" t="s">
        <v>104</v>
      </c>
      <c r="AM74" s="151"/>
      <c r="AN74" s="112" t="s">
        <v>61</v>
      </c>
      <c r="AO74" s="112"/>
      <c r="AP74" s="112"/>
      <c r="AQ74" s="87"/>
    </row>
    <row r="75" spans="1:43" ht="72" x14ac:dyDescent="0.3">
      <c r="A75" s="148">
        <f t="shared" si="5"/>
        <v>74</v>
      </c>
      <c r="B75" s="82" t="s">
        <v>441</v>
      </c>
      <c r="C75" s="124">
        <v>2022</v>
      </c>
      <c r="D75" s="124" t="s">
        <v>23</v>
      </c>
      <c r="E75" s="125" t="s">
        <v>442</v>
      </c>
      <c r="F75" s="56" t="s">
        <v>443</v>
      </c>
      <c r="G75" s="124" t="s">
        <v>493</v>
      </c>
      <c r="H75" s="124">
        <v>180</v>
      </c>
      <c r="I75" s="123">
        <v>0.6</v>
      </c>
      <c r="J75" s="136">
        <v>500</v>
      </c>
      <c r="K75" s="123">
        <v>1.8</v>
      </c>
      <c r="L75" s="131">
        <v>2.2999999999999998</v>
      </c>
      <c r="M75" s="135">
        <v>0.13</v>
      </c>
      <c r="N75" s="126" t="s">
        <v>446</v>
      </c>
      <c r="O75" s="118" t="s">
        <v>447</v>
      </c>
      <c r="P75" s="131">
        <v>6.3E-2</v>
      </c>
      <c r="Q75" s="111">
        <v>0.16</v>
      </c>
      <c r="R75" s="111"/>
      <c r="S75" s="134">
        <v>1.1000000000000001</v>
      </c>
      <c r="T75" s="175"/>
      <c r="U75" s="158"/>
      <c r="V75" s="154">
        <v>234</v>
      </c>
      <c r="W75" s="154">
        <v>256</v>
      </c>
      <c r="X75" s="154">
        <v>7200</v>
      </c>
      <c r="Y75" s="154">
        <v>1172</v>
      </c>
      <c r="Z75" s="112"/>
      <c r="AA75" s="112"/>
      <c r="AB75" s="112"/>
      <c r="AC75" s="112"/>
      <c r="AD75" s="112">
        <v>0.49299999999999999</v>
      </c>
      <c r="AE75" s="112">
        <v>2.1999999999999999E-2</v>
      </c>
      <c r="AF75" s="112">
        <v>1.6000000000000001E-3</v>
      </c>
      <c r="AG75" s="112">
        <v>3.0000000000000001E-3</v>
      </c>
      <c r="AH75" s="112">
        <f>AD75/AF75</f>
        <v>308.125</v>
      </c>
      <c r="AI75" s="112">
        <f>(AD75-3*AE75)/(AF75+3*AG75)</f>
        <v>40.283018867924518</v>
      </c>
      <c r="AJ75" s="112" t="s">
        <v>59</v>
      </c>
      <c r="AK75" s="112">
        <v>4.7199999999999999E-2</v>
      </c>
      <c r="AL75" s="112" t="s">
        <v>104</v>
      </c>
      <c r="AM75" s="151"/>
      <c r="AN75" s="112" t="s">
        <v>61</v>
      </c>
      <c r="AO75" s="112"/>
      <c r="AP75" s="112"/>
      <c r="AQ75" s="87"/>
    </row>
    <row r="76" spans="1:43" ht="86.4" x14ac:dyDescent="0.3">
      <c r="A76" s="148">
        <f t="shared" si="5"/>
        <v>75</v>
      </c>
      <c r="B76" s="82" t="s">
        <v>561</v>
      </c>
      <c r="C76" s="124">
        <v>2022</v>
      </c>
      <c r="D76" s="124" t="s">
        <v>450</v>
      </c>
      <c r="E76" s="125" t="s">
        <v>453</v>
      </c>
      <c r="F76" s="56" t="s">
        <v>454</v>
      </c>
      <c r="G76" s="124" t="s">
        <v>494</v>
      </c>
      <c r="H76" s="124">
        <v>65</v>
      </c>
      <c r="I76" s="123">
        <v>9.06</v>
      </c>
      <c r="J76" s="136">
        <v>2000</v>
      </c>
      <c r="K76" s="123">
        <v>1.1000000000000001</v>
      </c>
      <c r="L76" s="131">
        <v>16.46</v>
      </c>
      <c r="M76" s="135">
        <v>1.1000000000000001</v>
      </c>
      <c r="N76" s="126" t="s">
        <v>231</v>
      </c>
      <c r="O76" s="118" t="s">
        <v>125</v>
      </c>
      <c r="P76" s="131"/>
      <c r="Q76" s="111"/>
      <c r="R76" s="111">
        <v>2</v>
      </c>
      <c r="S76" s="134">
        <f>(0.00000003)*100</f>
        <v>2.9999999999999997E-6</v>
      </c>
      <c r="T76" s="175"/>
      <c r="U76" s="158">
        <v>1.67</v>
      </c>
      <c r="V76" s="154">
        <v>1.6679999999999999</v>
      </c>
      <c r="W76" s="154">
        <v>2048</v>
      </c>
      <c r="X76" s="154">
        <v>394</v>
      </c>
      <c r="Y76" s="154">
        <f>4.443/(H76)^2*1000000</f>
        <v>1051.5976331360946</v>
      </c>
      <c r="Z76" s="112"/>
      <c r="AA76" s="112"/>
      <c r="AB76" s="112"/>
      <c r="AC76" s="112"/>
      <c r="AD76" s="112">
        <v>0.49940000000000001</v>
      </c>
      <c r="AE76" s="112">
        <v>1.1299999999999999E-2</v>
      </c>
      <c r="AF76" s="112">
        <v>1.34E-2</v>
      </c>
      <c r="AG76" s="112">
        <v>2.0999999999999999E-3</v>
      </c>
      <c r="AH76" s="112">
        <f>AD76/AF76</f>
        <v>37.268656716417908</v>
      </c>
      <c r="AI76" s="112">
        <f>(AD76-3*AE76)/(AF76+3*AG76)</f>
        <v>23.62944162436548</v>
      </c>
      <c r="AJ76" s="112" t="s">
        <v>59</v>
      </c>
      <c r="AK76" s="112">
        <v>1.35E-2</v>
      </c>
      <c r="AL76" s="112" t="s">
        <v>104</v>
      </c>
      <c r="AM76" s="151">
        <v>2000</v>
      </c>
      <c r="AN76" s="112"/>
      <c r="AO76" s="112"/>
      <c r="AP76" s="112"/>
      <c r="AQ76" s="87"/>
    </row>
    <row r="77" spans="1:43" ht="43.2" x14ac:dyDescent="0.3">
      <c r="A77" s="148">
        <f t="shared" si="5"/>
        <v>76</v>
      </c>
      <c r="B77" s="82" t="s">
        <v>569</v>
      </c>
      <c r="C77" s="124">
        <v>2022</v>
      </c>
      <c r="D77" s="124" t="s">
        <v>113</v>
      </c>
      <c r="E77" s="125" t="s">
        <v>280</v>
      </c>
      <c r="F77" s="56" t="s">
        <v>511</v>
      </c>
      <c r="G77" s="124" t="s">
        <v>493</v>
      </c>
      <c r="H77" s="124">
        <v>65</v>
      </c>
      <c r="I77" s="123"/>
      <c r="J77" s="136">
        <v>1000</v>
      </c>
      <c r="K77" s="123">
        <v>1.2</v>
      </c>
      <c r="L77" s="131"/>
      <c r="M77" s="135">
        <v>50</v>
      </c>
      <c r="N77" s="126" t="s">
        <v>249</v>
      </c>
      <c r="O77" s="118" t="s">
        <v>210</v>
      </c>
      <c r="P77" s="131"/>
      <c r="Q77" s="111"/>
      <c r="R77" s="111"/>
      <c r="S77" s="134">
        <f>0.00000004*100</f>
        <v>3.9999999999999998E-6</v>
      </c>
      <c r="T77" s="175">
        <v>540</v>
      </c>
      <c r="U77" s="158">
        <v>4.17</v>
      </c>
      <c r="V77" s="154">
        <v>116400</v>
      </c>
      <c r="W77" s="154">
        <v>4096</v>
      </c>
      <c r="X77" s="154">
        <v>27550000</v>
      </c>
      <c r="Y77" s="154">
        <f>X77</f>
        <v>27550000</v>
      </c>
      <c r="Z77" s="112"/>
      <c r="AA77" s="112"/>
      <c r="AB77" s="112"/>
      <c r="AC77" s="112"/>
      <c r="AD77" s="112">
        <v>0.4995</v>
      </c>
      <c r="AE77" s="112">
        <v>6.4000000000000003E-3</v>
      </c>
      <c r="AF77" s="112"/>
      <c r="AG77" s="112"/>
      <c r="AH77" s="112"/>
      <c r="AI77" s="112"/>
      <c r="AJ77" s="112" t="s">
        <v>59</v>
      </c>
      <c r="AK77" s="112">
        <v>6.3E-3</v>
      </c>
      <c r="AL77" s="112" t="s">
        <v>112</v>
      </c>
      <c r="AM77" s="151">
        <v>1.84E+19</v>
      </c>
      <c r="AN77" s="112" t="s">
        <v>61</v>
      </c>
      <c r="AO77" s="112" t="s">
        <v>59</v>
      </c>
      <c r="AP77" s="112" t="s">
        <v>43</v>
      </c>
      <c r="AQ77" s="87"/>
    </row>
    <row r="78" spans="1:43" ht="72" x14ac:dyDescent="0.3">
      <c r="A78" s="216">
        <f t="shared" si="5"/>
        <v>77</v>
      </c>
      <c r="B78" s="82" t="s">
        <v>624</v>
      </c>
      <c r="C78" s="124">
        <v>2022</v>
      </c>
      <c r="D78" s="124" t="s">
        <v>122</v>
      </c>
      <c r="E78" s="125" t="s">
        <v>503</v>
      </c>
      <c r="F78" s="56" t="s">
        <v>600</v>
      </c>
      <c r="G78" s="124" t="s">
        <v>496</v>
      </c>
      <c r="H78" s="124">
        <v>130</v>
      </c>
      <c r="I78" s="123" t="s">
        <v>601</v>
      </c>
      <c r="J78" s="136">
        <v>500</v>
      </c>
      <c r="K78" s="123">
        <v>0.5</v>
      </c>
      <c r="L78" s="131" t="s">
        <v>601</v>
      </c>
      <c r="M78" s="135">
        <v>0.5</v>
      </c>
      <c r="N78" s="126" t="s">
        <v>602</v>
      </c>
      <c r="O78" s="131">
        <f>-40-120</f>
        <v>-160</v>
      </c>
      <c r="P78" s="131" t="s">
        <v>601</v>
      </c>
      <c r="Q78" s="111" t="s">
        <v>601</v>
      </c>
      <c r="R78" s="111">
        <v>3</v>
      </c>
      <c r="S78" s="134" t="s">
        <v>603</v>
      </c>
      <c r="T78" s="175">
        <v>0.2</v>
      </c>
      <c r="U78" s="158">
        <v>2.17</v>
      </c>
      <c r="V78" s="213">
        <v>282000000</v>
      </c>
      <c r="W78" s="213">
        <v>5</v>
      </c>
      <c r="X78" s="213">
        <v>16700000</v>
      </c>
      <c r="Y78" s="213">
        <v>16700000</v>
      </c>
      <c r="Z78" s="214" t="s">
        <v>601</v>
      </c>
      <c r="AA78" s="214" t="s">
        <v>601</v>
      </c>
      <c r="AB78" s="214" t="s">
        <v>601</v>
      </c>
      <c r="AC78" s="214" t="s">
        <v>63</v>
      </c>
      <c r="AD78" s="214" t="s">
        <v>601</v>
      </c>
      <c r="AE78" s="214" t="s">
        <v>601</v>
      </c>
      <c r="AF78" s="214" t="s">
        <v>601</v>
      </c>
      <c r="AG78" s="214" t="s">
        <v>601</v>
      </c>
      <c r="AH78" s="214" t="s">
        <v>601</v>
      </c>
      <c r="AI78" s="214" t="s">
        <v>601</v>
      </c>
      <c r="AJ78" s="214" t="s">
        <v>59</v>
      </c>
      <c r="AK78" s="214">
        <v>1.3899999999999999E-2</v>
      </c>
      <c r="AL78" s="214" t="s">
        <v>112</v>
      </c>
      <c r="AM78" s="215">
        <v>1.2699999999999999E+30</v>
      </c>
      <c r="AN78" s="214" t="s">
        <v>601</v>
      </c>
      <c r="AO78" s="214" t="s">
        <v>601</v>
      </c>
      <c r="AP78" s="214">
        <v>0.50029999999999997</v>
      </c>
      <c r="AQ78" s="87"/>
    </row>
    <row r="79" spans="1:43" ht="72" x14ac:dyDescent="0.3">
      <c r="A79" s="148">
        <f t="shared" si="5"/>
        <v>78</v>
      </c>
      <c r="B79" s="82" t="s">
        <v>630</v>
      </c>
      <c r="C79" s="124">
        <v>2022</v>
      </c>
      <c r="D79" s="124" t="s">
        <v>122</v>
      </c>
      <c r="E79" s="125" t="s">
        <v>610</v>
      </c>
      <c r="F79" s="56" t="s">
        <v>611</v>
      </c>
      <c r="G79" s="124" t="s">
        <v>490</v>
      </c>
      <c r="H79" s="124">
        <v>65</v>
      </c>
      <c r="I79" s="123">
        <v>6.89</v>
      </c>
      <c r="J79" s="136">
        <v>4000</v>
      </c>
      <c r="K79" s="123">
        <v>1.2</v>
      </c>
      <c r="L79" s="131" t="s">
        <v>601</v>
      </c>
      <c r="M79" s="135">
        <v>0.77</v>
      </c>
      <c r="N79" s="126" t="s">
        <v>267</v>
      </c>
      <c r="O79" s="131" t="s">
        <v>261</v>
      </c>
      <c r="P79" s="131" t="s">
        <v>601</v>
      </c>
      <c r="Q79" s="111" t="s">
        <v>601</v>
      </c>
      <c r="R79" s="111">
        <v>4</v>
      </c>
      <c r="S79" s="134">
        <v>0</v>
      </c>
      <c r="T79" s="175" t="s">
        <v>601</v>
      </c>
      <c r="U79" s="158">
        <v>1.4E-5</v>
      </c>
      <c r="V79" s="213" t="s">
        <v>601</v>
      </c>
      <c r="W79" s="213">
        <v>1152</v>
      </c>
      <c r="X79" s="213">
        <v>950</v>
      </c>
      <c r="Y79" s="213" t="s">
        <v>601</v>
      </c>
      <c r="Z79" s="214" t="s">
        <v>601</v>
      </c>
      <c r="AA79" s="214" t="s">
        <v>601</v>
      </c>
      <c r="AB79" s="214" t="s">
        <v>601</v>
      </c>
      <c r="AC79" s="214" t="s">
        <v>601</v>
      </c>
      <c r="AD79" s="214">
        <v>0.50090000000000001</v>
      </c>
      <c r="AE79" s="214">
        <v>1.4999999999999999E-2</v>
      </c>
      <c r="AF79" s="214">
        <v>1.1900000000000001E-2</v>
      </c>
      <c r="AG79" s="214">
        <v>3.7000000000000002E-3</v>
      </c>
      <c r="AH79" s="214">
        <v>42</v>
      </c>
      <c r="AI79" s="214" t="s">
        <v>601</v>
      </c>
      <c r="AJ79" s="214" t="s">
        <v>59</v>
      </c>
      <c r="AK79" s="214">
        <v>1.34E-2</v>
      </c>
      <c r="AL79" s="214" t="s">
        <v>104</v>
      </c>
      <c r="AM79" s="215" t="s">
        <v>63</v>
      </c>
      <c r="AN79" s="214" t="s">
        <v>601</v>
      </c>
      <c r="AO79" s="214" t="s">
        <v>601</v>
      </c>
      <c r="AP79" s="214" t="s">
        <v>63</v>
      </c>
      <c r="AQ79" s="87"/>
    </row>
    <row r="80" spans="1:43" ht="72" x14ac:dyDescent="0.3">
      <c r="A80" s="148">
        <f t="shared" si="5"/>
        <v>79</v>
      </c>
      <c r="B80" s="82" t="s">
        <v>629</v>
      </c>
      <c r="C80" s="124">
        <v>2022</v>
      </c>
      <c r="D80" s="124" t="s">
        <v>604</v>
      </c>
      <c r="E80" s="125" t="s">
        <v>605</v>
      </c>
      <c r="F80" s="56" t="s">
        <v>145</v>
      </c>
      <c r="G80" s="124" t="s">
        <v>494</v>
      </c>
      <c r="H80" s="124">
        <v>65</v>
      </c>
      <c r="I80" s="123" t="s">
        <v>601</v>
      </c>
      <c r="J80" s="136" t="s">
        <v>601</v>
      </c>
      <c r="K80" s="123">
        <v>0.8</v>
      </c>
      <c r="L80" s="131" t="s">
        <v>601</v>
      </c>
      <c r="M80" s="135">
        <v>3</v>
      </c>
      <c r="N80" s="126" t="s">
        <v>606</v>
      </c>
      <c r="O80" s="131">
        <f>-10-80</f>
        <v>-90</v>
      </c>
      <c r="P80" s="131">
        <v>66.667000000000002</v>
      </c>
      <c r="Q80" s="111">
        <v>61.110999999999997</v>
      </c>
      <c r="R80" s="111" t="s">
        <v>601</v>
      </c>
      <c r="S80" s="134" t="s">
        <v>601</v>
      </c>
      <c r="T80" s="175">
        <v>4000</v>
      </c>
      <c r="U80" s="158">
        <v>81000</v>
      </c>
      <c r="V80" s="213">
        <v>5.2</v>
      </c>
      <c r="W80" s="213" t="s">
        <v>607</v>
      </c>
      <c r="X80" s="213">
        <v>1230.77</v>
      </c>
      <c r="Y80" s="213" t="s">
        <v>63</v>
      </c>
      <c r="Z80" s="214" t="s">
        <v>601</v>
      </c>
      <c r="AA80" s="214" t="s">
        <v>601</v>
      </c>
      <c r="AB80" s="214" t="s">
        <v>601</v>
      </c>
      <c r="AC80" s="214" t="s">
        <v>601</v>
      </c>
      <c r="AD80" s="214">
        <v>0.49469999999999997</v>
      </c>
      <c r="AE80" s="214">
        <v>0.01</v>
      </c>
      <c r="AF80" s="214" t="s">
        <v>601</v>
      </c>
      <c r="AG80" s="214" t="s">
        <v>601</v>
      </c>
      <c r="AH80" s="214" t="s">
        <v>601</v>
      </c>
      <c r="AI80" s="214" t="s">
        <v>601</v>
      </c>
      <c r="AJ80" s="214" t="s">
        <v>59</v>
      </c>
      <c r="AK80" s="214">
        <v>0.05</v>
      </c>
      <c r="AL80" s="214" t="s">
        <v>112</v>
      </c>
      <c r="AM80" s="215" t="s">
        <v>63</v>
      </c>
      <c r="AN80" s="214" t="s">
        <v>601</v>
      </c>
      <c r="AO80" s="214" t="s">
        <v>601</v>
      </c>
      <c r="AP80" s="214" t="s">
        <v>63</v>
      </c>
      <c r="AQ80" s="87"/>
    </row>
    <row r="81" spans="1:43" ht="86.4" x14ac:dyDescent="0.3">
      <c r="A81" s="148">
        <f t="shared" si="5"/>
        <v>80</v>
      </c>
      <c r="B81" s="82" t="s">
        <v>625</v>
      </c>
      <c r="C81" s="124">
        <v>2022</v>
      </c>
      <c r="D81" s="124" t="s">
        <v>23</v>
      </c>
      <c r="E81" s="125" t="s">
        <v>638</v>
      </c>
      <c r="F81" s="56" t="s">
        <v>623</v>
      </c>
      <c r="G81" s="124" t="s">
        <v>490</v>
      </c>
      <c r="H81" s="124">
        <v>180</v>
      </c>
      <c r="I81" s="123">
        <v>7.851</v>
      </c>
      <c r="J81" s="136">
        <v>2000</v>
      </c>
      <c r="K81" s="123">
        <v>1.7</v>
      </c>
      <c r="L81" s="131" t="s">
        <v>601</v>
      </c>
      <c r="M81" s="135">
        <v>0.79800000000000004</v>
      </c>
      <c r="N81" s="126" t="s">
        <v>608</v>
      </c>
      <c r="O81" s="131">
        <f>-20-80</f>
        <v>-100</v>
      </c>
      <c r="P81" s="131">
        <v>0.36799999999999999</v>
      </c>
      <c r="Q81" s="111">
        <v>0.35</v>
      </c>
      <c r="R81" s="111" t="s">
        <v>609</v>
      </c>
      <c r="S81" s="134">
        <v>1.391</v>
      </c>
      <c r="T81" s="175">
        <v>1.31E-3</v>
      </c>
      <c r="U81" s="158">
        <v>168</v>
      </c>
      <c r="V81" s="213" t="s">
        <v>601</v>
      </c>
      <c r="W81" s="213">
        <v>2048</v>
      </c>
      <c r="X81" s="213">
        <v>20</v>
      </c>
      <c r="Y81" s="213" t="s">
        <v>601</v>
      </c>
      <c r="Z81" s="214" t="s">
        <v>601</v>
      </c>
      <c r="AA81" s="214" t="s">
        <v>601</v>
      </c>
      <c r="AB81" s="214" t="s">
        <v>601</v>
      </c>
      <c r="AC81" s="214" t="s">
        <v>601</v>
      </c>
      <c r="AD81" s="214">
        <v>0.49980000000000002</v>
      </c>
      <c r="AE81" s="214">
        <v>1.1299999999999999E-2</v>
      </c>
      <c r="AF81" s="214">
        <v>8.0000000000000002E-3</v>
      </c>
      <c r="AG81" s="214">
        <v>2E-3</v>
      </c>
      <c r="AH81" s="214">
        <v>62.64</v>
      </c>
      <c r="AI81" s="214" t="s">
        <v>601</v>
      </c>
      <c r="AJ81" s="214" t="s">
        <v>59</v>
      </c>
      <c r="AK81" s="214">
        <v>1.4E-2</v>
      </c>
      <c r="AL81" s="214" t="s">
        <v>104</v>
      </c>
      <c r="AM81" s="215" t="s">
        <v>63</v>
      </c>
      <c r="AN81" s="214" t="s">
        <v>601</v>
      </c>
      <c r="AO81" s="214" t="s">
        <v>601</v>
      </c>
      <c r="AP81" s="214" t="s">
        <v>63</v>
      </c>
      <c r="AQ81" s="87"/>
    </row>
    <row r="82" spans="1:43" ht="86.4" x14ac:dyDescent="0.3">
      <c r="A82" s="148">
        <f t="shared" si="5"/>
        <v>81</v>
      </c>
      <c r="B82" s="82" t="s">
        <v>632</v>
      </c>
      <c r="C82" s="124">
        <v>2022</v>
      </c>
      <c r="D82" s="124" t="s">
        <v>604</v>
      </c>
      <c r="E82" s="125" t="s">
        <v>636</v>
      </c>
      <c r="F82" s="56" t="s">
        <v>612</v>
      </c>
      <c r="G82" s="124" t="s">
        <v>496</v>
      </c>
      <c r="H82" s="124">
        <v>65</v>
      </c>
      <c r="I82" s="123" t="s">
        <v>601</v>
      </c>
      <c r="J82" s="136">
        <v>50000</v>
      </c>
      <c r="K82" s="123">
        <v>0.5</v>
      </c>
      <c r="L82" s="131" t="s">
        <v>601</v>
      </c>
      <c r="M82" s="135" t="s">
        <v>601</v>
      </c>
      <c r="N82" s="126" t="s">
        <v>613</v>
      </c>
      <c r="O82" s="131">
        <f>-20-120</f>
        <v>-140</v>
      </c>
      <c r="P82" s="131" t="s">
        <v>601</v>
      </c>
      <c r="Q82" s="111" t="s">
        <v>601</v>
      </c>
      <c r="R82" s="111">
        <v>2</v>
      </c>
      <c r="S82" s="134">
        <v>8.9000000000000003E-11</v>
      </c>
      <c r="T82" s="175">
        <v>2</v>
      </c>
      <c r="U82" s="158">
        <v>3.05</v>
      </c>
      <c r="V82" s="213">
        <v>75000</v>
      </c>
      <c r="W82" s="213">
        <v>500</v>
      </c>
      <c r="X82" s="213">
        <v>17800000</v>
      </c>
      <c r="Y82" s="213" t="s">
        <v>601</v>
      </c>
      <c r="Z82" s="214">
        <v>0.50080000000000002</v>
      </c>
      <c r="AA82" s="214">
        <v>3.0999999999999999E-3</v>
      </c>
      <c r="AB82" s="214" t="s">
        <v>601</v>
      </c>
      <c r="AC82" s="214" t="s">
        <v>601</v>
      </c>
      <c r="AD82" s="214">
        <v>0.49990000000000001</v>
      </c>
      <c r="AE82" s="214">
        <v>5.1000000000000004E-3</v>
      </c>
      <c r="AF82" s="214" t="s">
        <v>601</v>
      </c>
      <c r="AG82" s="214" t="s">
        <v>601</v>
      </c>
      <c r="AH82" s="214" t="s">
        <v>601</v>
      </c>
      <c r="AI82" s="214" t="s">
        <v>601</v>
      </c>
      <c r="AJ82" s="214" t="s">
        <v>59</v>
      </c>
      <c r="AK82" s="214">
        <v>8.6E-3</v>
      </c>
      <c r="AL82" s="214" t="s">
        <v>614</v>
      </c>
      <c r="AM82" s="215">
        <v>1.58E+18</v>
      </c>
      <c r="AN82" s="214" t="s">
        <v>601</v>
      </c>
      <c r="AO82" s="214" t="s">
        <v>601</v>
      </c>
      <c r="AP82" s="214">
        <v>0.50019999999999998</v>
      </c>
      <c r="AQ82" s="87"/>
    </row>
    <row r="83" spans="1:43" ht="72" x14ac:dyDescent="0.3">
      <c r="A83" s="148">
        <f t="shared" si="5"/>
        <v>82</v>
      </c>
      <c r="B83" s="82" t="s">
        <v>626</v>
      </c>
      <c r="C83" s="124">
        <v>2022</v>
      </c>
      <c r="D83" s="124" t="s">
        <v>604</v>
      </c>
      <c r="E83" s="125" t="s">
        <v>636</v>
      </c>
      <c r="F83" s="56" t="s">
        <v>615</v>
      </c>
      <c r="G83" s="124" t="s">
        <v>493</v>
      </c>
      <c r="H83" s="124">
        <v>65</v>
      </c>
      <c r="I83" s="123">
        <v>3.09</v>
      </c>
      <c r="J83" s="136">
        <v>5000</v>
      </c>
      <c r="K83" s="123">
        <v>1.2</v>
      </c>
      <c r="L83" s="131" t="s">
        <v>601</v>
      </c>
      <c r="M83" s="135" t="s">
        <v>601</v>
      </c>
      <c r="N83" s="126" t="s">
        <v>616</v>
      </c>
      <c r="O83" s="131">
        <f>-30-125</f>
        <v>-155</v>
      </c>
      <c r="P83" s="131" t="s">
        <v>601</v>
      </c>
      <c r="Q83" s="111" t="s">
        <v>601</v>
      </c>
      <c r="R83" s="111" t="s">
        <v>601</v>
      </c>
      <c r="S83" s="134" t="s">
        <v>601</v>
      </c>
      <c r="T83" s="175">
        <v>20</v>
      </c>
      <c r="U83" s="158">
        <v>18.75</v>
      </c>
      <c r="V83" s="213">
        <v>15.279</v>
      </c>
      <c r="W83" s="213">
        <v>448</v>
      </c>
      <c r="X83" s="213">
        <v>3616.33</v>
      </c>
      <c r="Y83" s="213" t="s">
        <v>601</v>
      </c>
      <c r="Z83" s="214" t="s">
        <v>601</v>
      </c>
      <c r="AA83" s="214" t="s">
        <v>601</v>
      </c>
      <c r="AB83" s="214" t="s">
        <v>601</v>
      </c>
      <c r="AC83" s="214" t="s">
        <v>601</v>
      </c>
      <c r="AD83" s="214">
        <v>49.922970999999997</v>
      </c>
      <c r="AE83" s="214">
        <v>1.261884</v>
      </c>
      <c r="AF83" s="214">
        <v>0.580017</v>
      </c>
      <c r="AG83" s="214">
        <v>0.30967600000000001</v>
      </c>
      <c r="AH83" s="214">
        <v>86</v>
      </c>
      <c r="AI83" s="214" t="s">
        <v>601</v>
      </c>
      <c r="AJ83" s="214" t="s">
        <v>59</v>
      </c>
      <c r="AK83" s="214">
        <v>6.6940000000000003E-3</v>
      </c>
      <c r="AL83" s="214" t="s">
        <v>112</v>
      </c>
      <c r="AM83" s="215">
        <v>1.2E+21</v>
      </c>
      <c r="AN83" s="214" t="s">
        <v>601</v>
      </c>
      <c r="AO83" s="214" t="s">
        <v>601</v>
      </c>
      <c r="AP83" s="214">
        <v>0.50719999999999998</v>
      </c>
      <c r="AQ83" s="87"/>
    </row>
    <row r="84" spans="1:43" ht="86.4" x14ac:dyDescent="0.3">
      <c r="A84" s="148">
        <f t="shared" si="5"/>
        <v>83</v>
      </c>
      <c r="B84" s="82" t="s">
        <v>631</v>
      </c>
      <c r="C84" s="124">
        <v>2023</v>
      </c>
      <c r="D84" s="124" t="s">
        <v>604</v>
      </c>
      <c r="E84" s="125" t="s">
        <v>424</v>
      </c>
      <c r="F84" s="124" t="s">
        <v>498</v>
      </c>
      <c r="G84" s="124" t="s">
        <v>491</v>
      </c>
      <c r="H84" s="124">
        <v>28</v>
      </c>
      <c r="I84" s="123" t="s">
        <v>601</v>
      </c>
      <c r="J84" s="136">
        <v>1000</v>
      </c>
      <c r="K84" s="123">
        <v>0.9</v>
      </c>
      <c r="L84" s="131" t="s">
        <v>601</v>
      </c>
      <c r="M84" s="135">
        <v>1.6000000000000001E-3</v>
      </c>
      <c r="N84" s="126" t="s">
        <v>214</v>
      </c>
      <c r="O84" s="131">
        <f>-50-125</f>
        <v>-175</v>
      </c>
      <c r="P84" s="131" t="s">
        <v>601</v>
      </c>
      <c r="Q84" s="111" t="s">
        <v>601</v>
      </c>
      <c r="R84" s="111" t="s">
        <v>617</v>
      </c>
      <c r="S84" s="134">
        <v>0.16</v>
      </c>
      <c r="T84" s="175">
        <v>115000</v>
      </c>
      <c r="U84" s="158">
        <v>1.29E-2</v>
      </c>
      <c r="V84" s="213" t="s">
        <v>601</v>
      </c>
      <c r="W84" s="213" t="s">
        <v>601</v>
      </c>
      <c r="X84" s="213">
        <v>5143</v>
      </c>
      <c r="Y84" s="213" t="s">
        <v>601</v>
      </c>
      <c r="Z84" s="214">
        <v>0.50160000000000005</v>
      </c>
      <c r="AA84" s="214" t="s">
        <v>601</v>
      </c>
      <c r="AB84" s="214" t="s">
        <v>601</v>
      </c>
      <c r="AC84" s="214" t="s">
        <v>601</v>
      </c>
      <c r="AD84" s="214">
        <v>0.50160000000000005</v>
      </c>
      <c r="AE84" s="214">
        <v>4.7899999999999998E-2</v>
      </c>
      <c r="AF84" s="214">
        <v>6.6400000000000001E-5</v>
      </c>
      <c r="AG84" s="214">
        <v>3.5799999999999997E-4</v>
      </c>
      <c r="AH84" s="214">
        <v>30572</v>
      </c>
      <c r="AI84" s="214" t="s">
        <v>601</v>
      </c>
      <c r="AJ84" s="214" t="s">
        <v>59</v>
      </c>
      <c r="AK84" s="214">
        <v>3.8739999999999997E-2</v>
      </c>
      <c r="AL84" s="214" t="s">
        <v>104</v>
      </c>
      <c r="AM84" s="215" t="s">
        <v>63</v>
      </c>
      <c r="AN84" s="214" t="s">
        <v>601</v>
      </c>
      <c r="AO84" s="214" t="s">
        <v>601</v>
      </c>
      <c r="AP84" s="214" t="s">
        <v>63</v>
      </c>
      <c r="AQ84" s="87"/>
    </row>
    <row r="85" spans="1:43" ht="100.8" x14ac:dyDescent="0.3">
      <c r="A85" s="148">
        <f>A84+1</f>
        <v>84</v>
      </c>
      <c r="B85" s="82" t="s">
        <v>633</v>
      </c>
      <c r="C85" s="124">
        <v>2023</v>
      </c>
      <c r="D85" s="124" t="s">
        <v>108</v>
      </c>
      <c r="E85" s="125" t="s">
        <v>15</v>
      </c>
      <c r="F85" s="56" t="s">
        <v>641</v>
      </c>
      <c r="G85" s="124" t="s">
        <v>145</v>
      </c>
      <c r="H85" s="124">
        <v>28</v>
      </c>
      <c r="I85" s="123">
        <v>4.2</v>
      </c>
      <c r="J85" s="136">
        <v>1000</v>
      </c>
      <c r="K85" s="123">
        <v>0.65</v>
      </c>
      <c r="L85" s="131">
        <v>9.1</v>
      </c>
      <c r="M85" s="135">
        <v>0.42</v>
      </c>
      <c r="N85" s="126" t="s">
        <v>618</v>
      </c>
      <c r="O85" s="131" t="s">
        <v>619</v>
      </c>
      <c r="P85" s="131" t="s">
        <v>601</v>
      </c>
      <c r="Q85" s="111" t="s">
        <v>601</v>
      </c>
      <c r="R85" s="111">
        <v>4</v>
      </c>
      <c r="S85" s="134">
        <v>1.54E-7</v>
      </c>
      <c r="T85" s="175">
        <v>25.6</v>
      </c>
      <c r="U85" s="158">
        <v>7.4999999999999997E-2</v>
      </c>
      <c r="V85" s="213">
        <v>0.34639999999999999</v>
      </c>
      <c r="W85" s="213">
        <v>8192</v>
      </c>
      <c r="X85" s="213">
        <v>442</v>
      </c>
      <c r="Y85" s="213" t="s">
        <v>601</v>
      </c>
      <c r="Z85" s="214">
        <v>0.497</v>
      </c>
      <c r="AA85" s="214">
        <v>3.7999999999999999E-2</v>
      </c>
      <c r="AB85" s="214" t="s">
        <v>601</v>
      </c>
      <c r="AC85" s="214">
        <v>0.99990000000000001</v>
      </c>
      <c r="AD85" s="214">
        <v>0.50109999999999999</v>
      </c>
      <c r="AE85" s="214">
        <v>5.0000000000000001E-3</v>
      </c>
      <c r="AF85" s="214">
        <v>1.8700000000000001E-2</v>
      </c>
      <c r="AG85" s="214">
        <v>6.0000000000000001E-3</v>
      </c>
      <c r="AH85" s="214">
        <v>27</v>
      </c>
      <c r="AI85" s="214" t="s">
        <v>601</v>
      </c>
      <c r="AJ85" s="214" t="s">
        <v>59</v>
      </c>
      <c r="AK85" s="214">
        <v>2.2499999999999999E-2</v>
      </c>
      <c r="AL85" s="214" t="s">
        <v>104</v>
      </c>
      <c r="AM85" s="215" t="s">
        <v>63</v>
      </c>
      <c r="AN85" s="214" t="s">
        <v>61</v>
      </c>
      <c r="AO85" s="214" t="s">
        <v>601</v>
      </c>
      <c r="AP85" s="214" t="s">
        <v>63</v>
      </c>
      <c r="AQ85" s="87"/>
    </row>
    <row r="86" spans="1:43" ht="72" x14ac:dyDescent="0.3">
      <c r="A86" s="148">
        <f t="shared" si="5"/>
        <v>85</v>
      </c>
      <c r="B86" s="82" t="s">
        <v>627</v>
      </c>
      <c r="C86" s="124">
        <v>2023</v>
      </c>
      <c r="D86" s="124" t="s">
        <v>23</v>
      </c>
      <c r="E86" s="125" t="s">
        <v>280</v>
      </c>
      <c r="F86" s="56" t="s">
        <v>639</v>
      </c>
      <c r="G86" s="55" t="s">
        <v>493</v>
      </c>
      <c r="H86" s="124">
        <v>65</v>
      </c>
      <c r="I86" s="123">
        <v>3.2</v>
      </c>
      <c r="J86" s="136">
        <v>20000</v>
      </c>
      <c r="K86" s="123">
        <v>1.2</v>
      </c>
      <c r="L86" s="131" t="s">
        <v>601</v>
      </c>
      <c r="M86" s="135">
        <v>2.8999999999999998E-3</v>
      </c>
      <c r="N86" s="126" t="s">
        <v>281</v>
      </c>
      <c r="O86" s="131">
        <f>-20-125</f>
        <v>-145</v>
      </c>
      <c r="P86" s="131" t="s">
        <v>601</v>
      </c>
      <c r="Q86" s="111" t="s">
        <v>601</v>
      </c>
      <c r="R86" s="111">
        <v>4</v>
      </c>
      <c r="S86" s="134" t="s">
        <v>620</v>
      </c>
      <c r="T86" s="175">
        <v>22800</v>
      </c>
      <c r="U86" s="158">
        <v>5.5999999999999999E-5</v>
      </c>
      <c r="V86" s="213">
        <v>4.3899999999999997</v>
      </c>
      <c r="W86" s="213">
        <v>4096</v>
      </c>
      <c r="X86" s="213">
        <v>1040</v>
      </c>
      <c r="Y86" s="213" t="s">
        <v>601</v>
      </c>
      <c r="Z86" s="214" t="s">
        <v>601</v>
      </c>
      <c r="AA86" s="214" t="s">
        <v>601</v>
      </c>
      <c r="AB86" s="214" t="s">
        <v>601</v>
      </c>
      <c r="AC86" s="214" t="s">
        <v>601</v>
      </c>
      <c r="AD86" s="214">
        <v>0.5</v>
      </c>
      <c r="AE86" s="214">
        <v>4.2200000000000001E-2</v>
      </c>
      <c r="AF86" s="214">
        <v>3.8E-3</v>
      </c>
      <c r="AG86" s="214">
        <v>4.4000000000000003E-3</v>
      </c>
      <c r="AH86" s="214">
        <v>131</v>
      </c>
      <c r="AI86" s="214" t="s">
        <v>601</v>
      </c>
      <c r="AJ86" s="214" t="s">
        <v>59</v>
      </c>
      <c r="AK86" s="214">
        <v>8.0999999999999996E-3</v>
      </c>
      <c r="AL86" s="214" t="s">
        <v>104</v>
      </c>
      <c r="AM86" s="215" t="s">
        <v>63</v>
      </c>
      <c r="AN86" s="214" t="s">
        <v>601</v>
      </c>
      <c r="AO86" s="214" t="s">
        <v>601</v>
      </c>
      <c r="AP86" s="214" t="s">
        <v>63</v>
      </c>
      <c r="AQ86" s="87"/>
    </row>
    <row r="87" spans="1:43" ht="86.4" x14ac:dyDescent="0.3">
      <c r="A87" s="148">
        <f t="shared" si="5"/>
        <v>86</v>
      </c>
      <c r="B87" s="82" t="s">
        <v>628</v>
      </c>
      <c r="C87" s="124">
        <v>2023</v>
      </c>
      <c r="D87" s="124" t="s">
        <v>23</v>
      </c>
      <c r="E87" s="125" t="s">
        <v>635</v>
      </c>
      <c r="F87" s="124" t="s">
        <v>621</v>
      </c>
      <c r="G87" s="124" t="s">
        <v>345</v>
      </c>
      <c r="H87" s="124">
        <v>100</v>
      </c>
      <c r="I87" s="123" t="s">
        <v>601</v>
      </c>
      <c r="J87" s="136">
        <v>47000</v>
      </c>
      <c r="K87" s="123" t="s">
        <v>601</v>
      </c>
      <c r="L87" s="131">
        <v>1.77E-2</v>
      </c>
      <c r="M87" s="135" t="s">
        <v>601</v>
      </c>
      <c r="N87" s="126" t="s">
        <v>622</v>
      </c>
      <c r="O87" s="131">
        <f>-55-260</f>
        <v>-315</v>
      </c>
      <c r="P87" s="131" t="s">
        <v>601</v>
      </c>
      <c r="Q87" s="111" t="s">
        <v>601</v>
      </c>
      <c r="R87" s="111">
        <v>4</v>
      </c>
      <c r="S87" s="134">
        <v>4.3000000000000001E-7</v>
      </c>
      <c r="T87" s="175" t="s">
        <v>601</v>
      </c>
      <c r="U87" s="158">
        <v>5.0599999999999999E-2</v>
      </c>
      <c r="V87" s="213" t="s">
        <v>601</v>
      </c>
      <c r="W87" s="213">
        <v>2080</v>
      </c>
      <c r="X87" s="213">
        <v>325</v>
      </c>
      <c r="Y87" s="213" t="s">
        <v>601</v>
      </c>
      <c r="Z87" s="214" t="s">
        <v>601</v>
      </c>
      <c r="AA87" s="214" t="s">
        <v>601</v>
      </c>
      <c r="AB87" s="214" t="s">
        <v>601</v>
      </c>
      <c r="AC87" s="214">
        <v>0.99419999999999997</v>
      </c>
      <c r="AD87" s="214">
        <v>0.49990000000000001</v>
      </c>
      <c r="AE87" s="214">
        <v>4.4600000000000001E-2</v>
      </c>
      <c r="AF87" s="214" t="s">
        <v>601</v>
      </c>
      <c r="AG87" s="214" t="s">
        <v>601</v>
      </c>
      <c r="AH87" s="214" t="s">
        <v>601</v>
      </c>
      <c r="AI87" s="214" t="s">
        <v>601</v>
      </c>
      <c r="AJ87" s="214" t="s">
        <v>59</v>
      </c>
      <c r="AK87" s="214" t="s">
        <v>601</v>
      </c>
      <c r="AL87" s="214" t="s">
        <v>104</v>
      </c>
      <c r="AM87" s="215" t="s">
        <v>63</v>
      </c>
      <c r="AN87" s="214" t="s">
        <v>601</v>
      </c>
      <c r="AO87" s="214" t="s">
        <v>601</v>
      </c>
      <c r="AP87" s="214" t="s">
        <v>63</v>
      </c>
      <c r="AQ87" s="87"/>
    </row>
    <row r="88" spans="1:43" ht="15" thickBot="1" x14ac:dyDescent="0.35">
      <c r="A88" s="14"/>
      <c r="B88" s="15"/>
      <c r="C88" s="16"/>
      <c r="D88" s="16"/>
      <c r="E88" s="16"/>
      <c r="F88" s="16"/>
      <c r="G88" s="16"/>
      <c r="H88" s="16"/>
      <c r="I88" s="16"/>
      <c r="J88" s="16"/>
      <c r="K88" s="16"/>
      <c r="L88" s="16"/>
      <c r="M88" s="79"/>
      <c r="N88" s="16"/>
      <c r="O88" s="16"/>
      <c r="P88" s="18"/>
      <c r="Q88" s="18"/>
      <c r="R88" s="17"/>
      <c r="S88" s="79"/>
      <c r="T88" s="176"/>
      <c r="U88" s="177"/>
      <c r="V88" s="177"/>
      <c r="W88" s="177"/>
      <c r="X88" s="177"/>
      <c r="Y88" s="177"/>
      <c r="Z88" s="16"/>
      <c r="AA88" s="16"/>
      <c r="AB88" s="18"/>
      <c r="AC88" s="79"/>
      <c r="AD88" s="16"/>
      <c r="AE88" s="16"/>
      <c r="AF88" s="16"/>
      <c r="AG88" s="16"/>
      <c r="AH88" s="18"/>
      <c r="AI88" s="18"/>
      <c r="AJ88" s="16"/>
      <c r="AK88" s="16"/>
      <c r="AL88" s="16"/>
      <c r="AM88" s="18"/>
      <c r="AN88" s="18"/>
      <c r="AO88" s="18"/>
      <c r="AP88" s="18"/>
      <c r="AQ88" s="89"/>
    </row>
  </sheetData>
  <sheetProtection algorithmName="SHA-512" hashValue="CQe1XXYI59RPo8dFynrENsYKULRnGhVcA37CSx3gEbphlDnxT3j/JMrQJSxnAu+WzTgjVQ39aSt4p2j9tGL31A==" saltValue="5BSqmLZaPzDUwBtoBI843Q==" spinCount="100000" sheet="1" formatRows="0" insertColumns="0" insertRows="0" insertHyperlinks="0" deleteColumns="0" deleteRows="0" selectLockedCells="1" sort="0" autoFilter="0" pivotTables="0" selectUnlockedCells="1"/>
  <autoFilter ref="A1:AP87" xr:uid="{00000000-0009-0000-0000-000000000000}"/>
  <pageMargins left="0.70866141732283472" right="0.70866141732283472" top="0.74803149606299213" bottom="0.74803149606299213" header="0.31496062992125984" footer="0.31496062992125984"/>
  <pageSetup paperSize="9" scale="36" fitToWidth="2" fitToHeight="2" orientation="landscape" horizontalDpi="4294967292" r:id="rId1"/>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W40"/>
  <sheetViews>
    <sheetView zoomScale="92" zoomScaleNormal="145" workbookViewId="0">
      <pane ySplit="1" topLeftCell="A30" activePane="bottomLeft" state="frozen"/>
      <selection activeCell="O84" sqref="O84"/>
      <selection pane="bottomLeft" activeCell="O84" sqref="O84"/>
    </sheetView>
  </sheetViews>
  <sheetFormatPr defaultRowHeight="14.4" x14ac:dyDescent="0.3"/>
  <cols>
    <col min="2" max="2" width="42.6640625" customWidth="1"/>
    <col min="3" max="3" width="9.109375" bestFit="1" customWidth="1"/>
    <col min="4" max="4" width="15.5546875" bestFit="1" customWidth="1"/>
    <col min="5" max="5" width="28.77734375" customWidth="1"/>
    <col min="6" max="6" width="23.21875" customWidth="1"/>
    <col min="7" max="7" width="25.88671875" bestFit="1" customWidth="1"/>
    <col min="8" max="8" width="25.109375" bestFit="1" customWidth="1"/>
    <col min="9" max="9" width="25.88671875" bestFit="1" customWidth="1"/>
    <col min="10" max="10" width="36.33203125" bestFit="1" customWidth="1"/>
    <col min="11" max="11" width="37" bestFit="1" customWidth="1"/>
    <col min="12" max="12" width="18.6640625" bestFit="1" customWidth="1"/>
    <col min="13" max="13" width="18.5546875" bestFit="1" customWidth="1"/>
    <col min="14" max="14" width="14.33203125" bestFit="1" customWidth="1"/>
    <col min="15" max="15" width="13.33203125" bestFit="1" customWidth="1"/>
    <col min="16" max="16" width="30.5546875" bestFit="1" customWidth="1"/>
    <col min="17" max="17" width="31.33203125" bestFit="1" customWidth="1"/>
    <col min="18" max="18" width="16.5546875" bestFit="1" customWidth="1"/>
    <col min="19" max="19" width="30" bestFit="1" customWidth="1"/>
    <col min="20" max="20" width="27.44140625" bestFit="1" customWidth="1"/>
    <col min="21" max="21" width="34.44140625" bestFit="1" customWidth="1"/>
    <col min="22" max="22" width="35" bestFit="1" customWidth="1"/>
  </cols>
  <sheetData>
    <row r="1" spans="1:23" ht="16.8" thickBot="1" x14ac:dyDescent="0.35">
      <c r="A1" s="102" t="s">
        <v>81</v>
      </c>
      <c r="B1" s="103" t="s">
        <v>20</v>
      </c>
      <c r="C1" s="103" t="s">
        <v>54</v>
      </c>
      <c r="D1" s="103" t="s">
        <v>457</v>
      </c>
      <c r="E1" s="103" t="s">
        <v>463</v>
      </c>
      <c r="F1" s="103" t="s">
        <v>85</v>
      </c>
      <c r="G1" s="103" t="s">
        <v>7</v>
      </c>
      <c r="H1" s="103" t="s">
        <v>464</v>
      </c>
      <c r="I1" s="103" t="s">
        <v>465</v>
      </c>
      <c r="J1" s="103" t="s">
        <v>466</v>
      </c>
      <c r="K1" s="103" t="s">
        <v>467</v>
      </c>
      <c r="L1" s="103" t="s">
        <v>518</v>
      </c>
      <c r="M1" s="103" t="s">
        <v>519</v>
      </c>
      <c r="N1" s="103" t="s">
        <v>514</v>
      </c>
      <c r="O1" s="103" t="s">
        <v>468</v>
      </c>
      <c r="P1" s="103" t="s">
        <v>469</v>
      </c>
      <c r="Q1" s="103" t="s">
        <v>470</v>
      </c>
      <c r="R1" s="103" t="s">
        <v>56</v>
      </c>
      <c r="S1" s="103" t="s">
        <v>471</v>
      </c>
      <c r="T1" s="103" t="s">
        <v>472</v>
      </c>
      <c r="U1" s="103" t="s">
        <v>473</v>
      </c>
      <c r="V1" s="104" t="s">
        <v>57</v>
      </c>
      <c r="W1" s="95"/>
    </row>
    <row r="2" spans="1:23" ht="72" x14ac:dyDescent="0.3">
      <c r="A2" s="98">
        <v>1</v>
      </c>
      <c r="B2" s="99" t="s">
        <v>459</v>
      </c>
      <c r="C2" s="100">
        <v>2003</v>
      </c>
      <c r="D2" s="100" t="s">
        <v>461</v>
      </c>
      <c r="E2" s="101" t="s">
        <v>66</v>
      </c>
      <c r="F2" s="101" t="s">
        <v>66</v>
      </c>
      <c r="G2" s="100">
        <v>180</v>
      </c>
      <c r="H2" s="100">
        <v>1.8</v>
      </c>
      <c r="I2" s="100">
        <v>1.8</v>
      </c>
      <c r="J2" s="100">
        <v>10</v>
      </c>
      <c r="K2" s="100">
        <v>10</v>
      </c>
      <c r="L2" s="150">
        <v>2.3E-3</v>
      </c>
      <c r="M2" s="150"/>
      <c r="N2" s="100">
        <v>1600</v>
      </c>
      <c r="O2" s="100">
        <f>N2*1000000/((G2*0.001)^2)</f>
        <v>49382716049.382721</v>
      </c>
      <c r="P2" s="152">
        <f>1000000000000*L2/(J2*1000000)</f>
        <v>230</v>
      </c>
      <c r="Q2" s="152">
        <f>1000000000000*L2/(K2*1000000)</f>
        <v>230</v>
      </c>
      <c r="R2" s="101" t="s">
        <v>59</v>
      </c>
      <c r="S2" s="100"/>
      <c r="T2" s="101"/>
      <c r="U2" s="100"/>
      <c r="V2" s="101"/>
      <c r="W2" s="87"/>
    </row>
    <row r="3" spans="1:23" ht="72" x14ac:dyDescent="0.3">
      <c r="A3" s="64">
        <f>A2+1</f>
        <v>2</v>
      </c>
      <c r="B3" s="92" t="s">
        <v>460</v>
      </c>
      <c r="C3" s="55">
        <v>2004</v>
      </c>
      <c r="D3" s="55" t="s">
        <v>23</v>
      </c>
      <c r="E3" s="56" t="s">
        <v>73</v>
      </c>
      <c r="F3" s="56" t="s">
        <v>329</v>
      </c>
      <c r="G3" s="55"/>
      <c r="H3" s="55">
        <v>5</v>
      </c>
      <c r="I3" s="55">
        <v>5</v>
      </c>
      <c r="J3" s="55">
        <v>0.05</v>
      </c>
      <c r="K3" s="55">
        <v>0.05</v>
      </c>
      <c r="L3" s="94"/>
      <c r="M3" s="94"/>
      <c r="N3" s="100">
        <v>0</v>
      </c>
      <c r="O3" s="55"/>
      <c r="P3" s="149"/>
      <c r="Q3" s="149"/>
      <c r="R3" s="56"/>
      <c r="S3" s="55"/>
      <c r="T3" s="56" t="s">
        <v>61</v>
      </c>
      <c r="U3" s="55"/>
      <c r="V3" s="56"/>
      <c r="W3" s="87"/>
    </row>
    <row r="4" spans="1:23" ht="72" x14ac:dyDescent="0.3">
      <c r="A4" s="64">
        <f t="shared" ref="A4:A39" si="0">A3+1</f>
        <v>3</v>
      </c>
      <c r="B4" s="92" t="s">
        <v>474</v>
      </c>
      <c r="C4" s="55">
        <v>2006</v>
      </c>
      <c r="D4" s="55" t="s">
        <v>99</v>
      </c>
      <c r="E4" s="56" t="s">
        <v>72</v>
      </c>
      <c r="F4" s="56" t="s">
        <v>329</v>
      </c>
      <c r="G4" s="56">
        <v>120</v>
      </c>
      <c r="H4" s="55">
        <v>1.2</v>
      </c>
      <c r="I4" s="55">
        <v>1.7</v>
      </c>
      <c r="J4" s="55">
        <v>0.2</v>
      </c>
      <c r="K4" s="55"/>
      <c r="L4" s="94">
        <v>5.0000000000000002E-5</v>
      </c>
      <c r="M4" s="94"/>
      <c r="N4" s="100">
        <v>9000</v>
      </c>
      <c r="O4" s="55">
        <f t="shared" ref="O4:O11" si="1">N4*1000000/((G4*0.001)^2)</f>
        <v>625000000000</v>
      </c>
      <c r="P4" s="149">
        <f>1000000000000*L4/(J4*1000000)</f>
        <v>250</v>
      </c>
      <c r="Q4" s="149"/>
      <c r="R4" s="56"/>
      <c r="S4" s="55"/>
      <c r="T4" s="56" t="s">
        <v>62</v>
      </c>
      <c r="U4" s="55"/>
      <c r="V4" s="56"/>
      <c r="W4" s="87"/>
    </row>
    <row r="5" spans="1:23" ht="57.6" x14ac:dyDescent="0.3">
      <c r="A5" s="64">
        <f t="shared" si="0"/>
        <v>4</v>
      </c>
      <c r="B5" s="92" t="s">
        <v>475</v>
      </c>
      <c r="C5" s="55">
        <v>2006</v>
      </c>
      <c r="D5" s="55" t="s">
        <v>122</v>
      </c>
      <c r="E5" s="56" t="s">
        <v>76</v>
      </c>
      <c r="F5" s="56" t="s">
        <v>330</v>
      </c>
      <c r="G5" s="56">
        <v>350</v>
      </c>
      <c r="H5" s="55">
        <v>3.3</v>
      </c>
      <c r="I5" s="55">
        <v>3.3</v>
      </c>
      <c r="J5" s="55">
        <v>40</v>
      </c>
      <c r="K5" s="55">
        <v>40</v>
      </c>
      <c r="L5" s="94">
        <v>0.03</v>
      </c>
      <c r="M5" s="94">
        <v>0.03</v>
      </c>
      <c r="N5" s="100">
        <v>520000</v>
      </c>
      <c r="O5" s="55">
        <f t="shared" si="1"/>
        <v>4244897959183.6724</v>
      </c>
      <c r="P5" s="149">
        <f>1000000000000*L5/(J5*1000000)</f>
        <v>750</v>
      </c>
      <c r="Q5" s="149"/>
      <c r="R5" s="56" t="s">
        <v>59</v>
      </c>
      <c r="S5" s="55"/>
      <c r="T5" s="56" t="s">
        <v>67</v>
      </c>
      <c r="U5" s="55"/>
      <c r="V5" s="56"/>
      <c r="W5" s="87"/>
    </row>
    <row r="6" spans="1:23" ht="57.6" x14ac:dyDescent="0.3">
      <c r="A6" s="64">
        <f t="shared" si="0"/>
        <v>5</v>
      </c>
      <c r="B6" s="92" t="s">
        <v>476</v>
      </c>
      <c r="C6" s="55">
        <v>2007</v>
      </c>
      <c r="D6" s="55" t="s">
        <v>113</v>
      </c>
      <c r="E6" s="56" t="s">
        <v>74</v>
      </c>
      <c r="F6" s="56" t="s">
        <v>496</v>
      </c>
      <c r="G6" s="55">
        <v>65</v>
      </c>
      <c r="H6" s="55"/>
      <c r="I6" s="55">
        <v>1.8</v>
      </c>
      <c r="J6" s="55"/>
      <c r="K6" s="55">
        <v>2</v>
      </c>
      <c r="L6" s="94"/>
      <c r="M6" s="94"/>
      <c r="N6" s="100">
        <v>210000</v>
      </c>
      <c r="O6" s="55">
        <f t="shared" si="1"/>
        <v>49704142011834.313</v>
      </c>
      <c r="P6" s="149"/>
      <c r="Q6" s="149"/>
      <c r="R6" s="56" t="s">
        <v>59</v>
      </c>
      <c r="S6" s="55"/>
      <c r="T6" s="56" t="s">
        <v>61</v>
      </c>
      <c r="U6" s="55"/>
      <c r="V6" s="56"/>
      <c r="W6" s="87"/>
    </row>
    <row r="7" spans="1:23" ht="57.6" x14ac:dyDescent="0.3">
      <c r="A7" s="64">
        <f t="shared" si="0"/>
        <v>6</v>
      </c>
      <c r="B7" s="92" t="s">
        <v>458</v>
      </c>
      <c r="C7" s="55">
        <v>2008</v>
      </c>
      <c r="D7" s="55" t="s">
        <v>154</v>
      </c>
      <c r="E7" s="56" t="s">
        <v>66</v>
      </c>
      <c r="F7" s="56" t="s">
        <v>66</v>
      </c>
      <c r="G7" s="55">
        <v>90</v>
      </c>
      <c r="H7" s="55">
        <v>1.2</v>
      </c>
      <c r="I7" s="55">
        <v>1.2</v>
      </c>
      <c r="J7" s="55">
        <v>1.74</v>
      </c>
      <c r="K7" s="55">
        <v>1.74</v>
      </c>
      <c r="L7" s="94">
        <v>2.4000000000000001E-4</v>
      </c>
      <c r="M7" s="94"/>
      <c r="N7" s="100">
        <v>13000</v>
      </c>
      <c r="O7" s="55">
        <f t="shared" si="1"/>
        <v>1604938271604.9385</v>
      </c>
      <c r="P7" s="149">
        <f>1000000000000*L7/(J7*1000000)</f>
        <v>137.93103448275863</v>
      </c>
      <c r="Q7" s="149">
        <f>1000000000000*L7/(K7*1000000)</f>
        <v>137.93103448275863</v>
      </c>
      <c r="R7" s="56" t="s">
        <v>59</v>
      </c>
      <c r="S7" s="55"/>
      <c r="T7" s="56" t="s">
        <v>70</v>
      </c>
      <c r="U7" s="55"/>
      <c r="V7" s="56"/>
      <c r="W7" s="87"/>
    </row>
    <row r="8" spans="1:23" ht="57.6" x14ac:dyDescent="0.3">
      <c r="A8" s="64">
        <f t="shared" si="0"/>
        <v>7</v>
      </c>
      <c r="B8" s="92" t="s">
        <v>477</v>
      </c>
      <c r="C8" s="55">
        <v>2008</v>
      </c>
      <c r="D8" s="55" t="s">
        <v>23</v>
      </c>
      <c r="E8" s="56" t="s">
        <v>58</v>
      </c>
      <c r="F8" s="56" t="s">
        <v>496</v>
      </c>
      <c r="G8" s="56">
        <v>130</v>
      </c>
      <c r="H8" s="55">
        <v>1.2</v>
      </c>
      <c r="I8" s="55">
        <v>1.2</v>
      </c>
      <c r="J8" s="55">
        <v>0.2</v>
      </c>
      <c r="K8" s="55">
        <v>0.2</v>
      </c>
      <c r="L8" s="94">
        <v>1E-3</v>
      </c>
      <c r="M8" s="94"/>
      <c r="N8" s="100">
        <v>145000</v>
      </c>
      <c r="O8" s="55">
        <f t="shared" si="1"/>
        <v>8579881656804.7324</v>
      </c>
      <c r="P8" s="149">
        <f>1000000000000*L8/(J8*1000000)</f>
        <v>5000</v>
      </c>
      <c r="Q8" s="149">
        <f>1000000000000*L8/(K8*1000000)</f>
        <v>5000</v>
      </c>
      <c r="R8" s="56" t="s">
        <v>61</v>
      </c>
      <c r="S8" s="55"/>
      <c r="T8" s="56"/>
      <c r="U8" s="55"/>
      <c r="V8" s="56"/>
      <c r="W8" s="87"/>
    </row>
    <row r="9" spans="1:23" ht="72" x14ac:dyDescent="0.3">
      <c r="A9" s="64">
        <f t="shared" si="0"/>
        <v>8</v>
      </c>
      <c r="B9" s="92" t="s">
        <v>478</v>
      </c>
      <c r="C9" s="55">
        <v>2008</v>
      </c>
      <c r="D9" s="55" t="s">
        <v>99</v>
      </c>
      <c r="E9" s="56" t="s">
        <v>71</v>
      </c>
      <c r="F9" s="56" t="s">
        <v>329</v>
      </c>
      <c r="G9" s="55">
        <v>250</v>
      </c>
      <c r="H9" s="55"/>
      <c r="I9" s="55"/>
      <c r="J9" s="55">
        <v>0.5</v>
      </c>
      <c r="K9" s="55">
        <v>2</v>
      </c>
      <c r="L9" s="94">
        <v>1.9E-3</v>
      </c>
      <c r="M9" s="94">
        <v>1.9E-3</v>
      </c>
      <c r="N9" s="100">
        <v>1220</v>
      </c>
      <c r="O9" s="55">
        <f t="shared" si="1"/>
        <v>19520000000</v>
      </c>
      <c r="P9" s="149">
        <f>1000000000000*L9/(J9*1000000)</f>
        <v>3800</v>
      </c>
      <c r="Q9" s="149"/>
      <c r="R9" s="56" t="s">
        <v>59</v>
      </c>
      <c r="S9" s="55"/>
      <c r="T9" s="56" t="s">
        <v>61</v>
      </c>
      <c r="U9" s="55"/>
      <c r="V9" s="56"/>
      <c r="W9" s="87"/>
    </row>
    <row r="10" spans="1:23" ht="57.6" x14ac:dyDescent="0.3">
      <c r="A10" s="64">
        <f t="shared" si="0"/>
        <v>9</v>
      </c>
      <c r="B10" s="92" t="s">
        <v>479</v>
      </c>
      <c r="C10" s="55">
        <v>2011</v>
      </c>
      <c r="D10" s="55" t="s">
        <v>108</v>
      </c>
      <c r="E10" s="56" t="s">
        <v>75</v>
      </c>
      <c r="F10" s="56" t="s">
        <v>345</v>
      </c>
      <c r="G10" s="55">
        <v>65</v>
      </c>
      <c r="H10" s="55"/>
      <c r="I10" s="55"/>
      <c r="J10" s="55">
        <v>1.0999999999999999E-2</v>
      </c>
      <c r="K10" s="55">
        <v>1.0999999999999999E-2</v>
      </c>
      <c r="L10" s="94">
        <v>2E-3</v>
      </c>
      <c r="M10" s="94"/>
      <c r="N10" s="100">
        <v>1200</v>
      </c>
      <c r="O10" s="55">
        <f t="shared" si="1"/>
        <v>284023668639.05322</v>
      </c>
      <c r="P10" s="149">
        <f>1000000000000*L10/(J10*1000000)</f>
        <v>181818.18181818182</v>
      </c>
      <c r="Q10" s="149"/>
      <c r="R10" s="56" t="s">
        <v>59</v>
      </c>
      <c r="S10" s="55"/>
      <c r="T10" s="56" t="s">
        <v>61</v>
      </c>
      <c r="U10" s="55"/>
      <c r="V10" s="56"/>
      <c r="W10" s="87"/>
    </row>
    <row r="11" spans="1:23" ht="86.4" x14ac:dyDescent="0.3">
      <c r="A11" s="64">
        <f t="shared" si="0"/>
        <v>10</v>
      </c>
      <c r="B11" s="92" t="s">
        <v>480</v>
      </c>
      <c r="C11" s="55">
        <v>2012</v>
      </c>
      <c r="D11" s="55" t="s">
        <v>23</v>
      </c>
      <c r="E11" s="56" t="s">
        <v>58</v>
      </c>
      <c r="F11" s="56" t="s">
        <v>58</v>
      </c>
      <c r="G11" s="55">
        <v>45</v>
      </c>
      <c r="H11" s="55">
        <v>0.28000000000000003</v>
      </c>
      <c r="I11" s="55">
        <v>1.1000000000000001</v>
      </c>
      <c r="J11" s="55">
        <v>14</v>
      </c>
      <c r="K11" s="55">
        <v>2400</v>
      </c>
      <c r="L11" s="94">
        <v>5.5999999999999997E-6</v>
      </c>
      <c r="M11" s="94">
        <v>7.0000000000000001E-3</v>
      </c>
      <c r="N11" s="100">
        <v>4003.9999999999995</v>
      </c>
      <c r="O11" s="55">
        <f t="shared" si="1"/>
        <v>1977283950617.2839</v>
      </c>
      <c r="P11" s="149">
        <f>1000000000000*L11/(J11*1000000)</f>
        <v>0.4</v>
      </c>
      <c r="Q11" s="149">
        <f>1000000000000*M11/(K11*1000000)</f>
        <v>2.9166666666666665</v>
      </c>
      <c r="R11" s="56" t="s">
        <v>59</v>
      </c>
      <c r="S11" s="55"/>
      <c r="T11" s="56" t="s">
        <v>60</v>
      </c>
      <c r="U11" s="55"/>
      <c r="V11" s="56"/>
      <c r="W11" s="87"/>
    </row>
    <row r="12" spans="1:23" ht="72" x14ac:dyDescent="0.3">
      <c r="A12" s="64">
        <f t="shared" si="0"/>
        <v>11</v>
      </c>
      <c r="B12" s="92" t="s">
        <v>481</v>
      </c>
      <c r="C12" s="55">
        <v>2014</v>
      </c>
      <c r="D12" s="55" t="s">
        <v>99</v>
      </c>
      <c r="E12" s="56" t="s">
        <v>66</v>
      </c>
      <c r="F12" s="56" t="s">
        <v>66</v>
      </c>
      <c r="G12" s="55">
        <v>28</v>
      </c>
      <c r="H12" s="55">
        <v>0.9</v>
      </c>
      <c r="I12" s="55">
        <v>0.9</v>
      </c>
      <c r="J12" s="55">
        <v>23.16</v>
      </c>
      <c r="K12" s="55">
        <v>23.16</v>
      </c>
      <c r="L12" s="94"/>
      <c r="M12" s="94"/>
      <c r="N12" s="100">
        <v>370.04800000000006</v>
      </c>
      <c r="O12" s="55">
        <v>472000</v>
      </c>
      <c r="P12" s="149">
        <v>23</v>
      </c>
      <c r="Q12" s="149">
        <v>23</v>
      </c>
      <c r="R12" s="56" t="s">
        <v>59</v>
      </c>
      <c r="S12" s="55" t="s">
        <v>61</v>
      </c>
      <c r="T12" s="56" t="s">
        <v>61</v>
      </c>
      <c r="U12" s="55" t="s">
        <v>59</v>
      </c>
      <c r="V12" s="56" t="s">
        <v>63</v>
      </c>
      <c r="W12" s="87"/>
    </row>
    <row r="13" spans="1:23" ht="43.2" x14ac:dyDescent="0.3">
      <c r="A13" s="64">
        <f t="shared" si="0"/>
        <v>12</v>
      </c>
      <c r="B13" s="92" t="s">
        <v>482</v>
      </c>
      <c r="C13" s="55">
        <v>2014</v>
      </c>
      <c r="D13" s="55" t="s">
        <v>105</v>
      </c>
      <c r="E13" s="56" t="s">
        <v>66</v>
      </c>
      <c r="F13" s="56" t="s">
        <v>66</v>
      </c>
      <c r="G13" s="55">
        <v>40</v>
      </c>
      <c r="H13" s="55">
        <v>0.8</v>
      </c>
      <c r="I13" s="55">
        <v>0.8</v>
      </c>
      <c r="J13" s="55">
        <v>0.5</v>
      </c>
      <c r="K13" s="55">
        <v>0.5</v>
      </c>
      <c r="L13" s="94">
        <v>2.1400000000000001E-7</v>
      </c>
      <c r="M13" s="94">
        <v>2.1400000000000001E-7</v>
      </c>
      <c r="N13" s="100">
        <v>1400</v>
      </c>
      <c r="O13" s="55">
        <f>N13*1000000/((G13*0.001)^2)</f>
        <v>875000000000</v>
      </c>
      <c r="P13" s="149">
        <f>1000000000000*L13/(J13*1000000)</f>
        <v>0.42799999999999999</v>
      </c>
      <c r="Q13" s="149"/>
      <c r="R13" s="56" t="s">
        <v>59</v>
      </c>
      <c r="S13" s="55"/>
      <c r="T13" s="56" t="s">
        <v>61</v>
      </c>
      <c r="U13" s="55"/>
      <c r="V13" s="56"/>
      <c r="W13" s="87"/>
    </row>
    <row r="14" spans="1:23" ht="43.2" x14ac:dyDescent="0.3">
      <c r="A14" s="64">
        <f t="shared" si="0"/>
        <v>13</v>
      </c>
      <c r="B14" s="92" t="s">
        <v>483</v>
      </c>
      <c r="C14" s="55">
        <v>2014</v>
      </c>
      <c r="D14" s="55" t="s">
        <v>126</v>
      </c>
      <c r="E14" s="56" t="s">
        <v>78</v>
      </c>
      <c r="F14" s="56" t="s">
        <v>330</v>
      </c>
      <c r="G14" s="55">
        <v>45</v>
      </c>
      <c r="H14" s="55">
        <v>1</v>
      </c>
      <c r="I14" s="55">
        <v>1</v>
      </c>
      <c r="J14" s="55">
        <v>127</v>
      </c>
      <c r="K14" s="55">
        <v>127</v>
      </c>
      <c r="L14" s="94"/>
      <c r="M14" s="94"/>
      <c r="N14" s="100">
        <v>93.149999999999991</v>
      </c>
      <c r="O14" s="55">
        <v>46000</v>
      </c>
      <c r="P14" s="149">
        <v>8.6</v>
      </c>
      <c r="Q14" s="149"/>
      <c r="R14" s="56" t="s">
        <v>79</v>
      </c>
      <c r="S14" s="55"/>
      <c r="T14" s="56"/>
      <c r="U14" s="55"/>
      <c r="V14" s="56"/>
      <c r="W14" s="87"/>
    </row>
    <row r="15" spans="1:23" ht="72" x14ac:dyDescent="0.3">
      <c r="A15" s="64">
        <f t="shared" si="0"/>
        <v>14</v>
      </c>
      <c r="B15" s="92" t="s">
        <v>484</v>
      </c>
      <c r="C15" s="55">
        <v>2016</v>
      </c>
      <c r="D15" s="55" t="s">
        <v>23</v>
      </c>
      <c r="E15" s="56" t="s">
        <v>58</v>
      </c>
      <c r="F15" s="56" t="s">
        <v>496</v>
      </c>
      <c r="G15" s="56">
        <v>14</v>
      </c>
      <c r="H15" s="55">
        <v>0.4</v>
      </c>
      <c r="I15" s="55">
        <v>0.75</v>
      </c>
      <c r="J15" s="55">
        <v>8.6</v>
      </c>
      <c r="K15" s="55">
        <v>162.5</v>
      </c>
      <c r="L15" s="94"/>
      <c r="M15" s="94"/>
      <c r="N15" s="100">
        <v>1009.4</v>
      </c>
      <c r="O15" s="55">
        <v>5150000</v>
      </c>
      <c r="P15" s="149">
        <v>23</v>
      </c>
      <c r="Q15" s="149">
        <v>23</v>
      </c>
      <c r="R15" s="56" t="s">
        <v>59</v>
      </c>
      <c r="S15" s="55" t="s">
        <v>61</v>
      </c>
      <c r="T15" s="56" t="s">
        <v>69</v>
      </c>
      <c r="U15" s="55" t="s">
        <v>59</v>
      </c>
      <c r="V15" s="56" t="s">
        <v>59</v>
      </c>
      <c r="W15" s="87"/>
    </row>
    <row r="16" spans="1:23" ht="72" x14ac:dyDescent="0.3">
      <c r="A16" s="64">
        <f t="shared" si="0"/>
        <v>15</v>
      </c>
      <c r="B16" s="92" t="s">
        <v>485</v>
      </c>
      <c r="C16" s="55">
        <v>2016</v>
      </c>
      <c r="D16" s="55" t="s">
        <v>23</v>
      </c>
      <c r="E16" s="56" t="s">
        <v>66</v>
      </c>
      <c r="F16" s="56" t="s">
        <v>66</v>
      </c>
      <c r="G16" s="55">
        <v>40</v>
      </c>
      <c r="H16" s="55">
        <v>0.6</v>
      </c>
      <c r="I16" s="55">
        <v>0.6</v>
      </c>
      <c r="J16" s="55">
        <v>2</v>
      </c>
      <c r="K16" s="55">
        <v>2</v>
      </c>
      <c r="L16" s="94"/>
      <c r="M16" s="94"/>
      <c r="N16" s="100">
        <v>830.4</v>
      </c>
      <c r="O16" s="55">
        <v>519000</v>
      </c>
      <c r="P16" s="149">
        <v>11</v>
      </c>
      <c r="Q16" s="149">
        <v>23</v>
      </c>
      <c r="R16" s="56" t="s">
        <v>59</v>
      </c>
      <c r="S16" s="55" t="s">
        <v>59</v>
      </c>
      <c r="T16" s="56" t="s">
        <v>61</v>
      </c>
      <c r="U16" s="55" t="s">
        <v>59</v>
      </c>
      <c r="V16" s="56" t="s">
        <v>59</v>
      </c>
      <c r="W16" s="87"/>
    </row>
    <row r="17" spans="1:23" ht="72" x14ac:dyDescent="0.3">
      <c r="A17" s="64">
        <f t="shared" si="0"/>
        <v>16</v>
      </c>
      <c r="B17" s="92" t="s">
        <v>486</v>
      </c>
      <c r="C17" s="55">
        <v>2016</v>
      </c>
      <c r="D17" s="55" t="s">
        <v>99</v>
      </c>
      <c r="E17" s="56" t="s">
        <v>80</v>
      </c>
      <c r="F17" s="56" t="s">
        <v>345</v>
      </c>
      <c r="G17" s="55">
        <v>150</v>
      </c>
      <c r="H17" s="55">
        <v>2</v>
      </c>
      <c r="I17" s="55">
        <v>2</v>
      </c>
      <c r="J17" s="55">
        <v>128</v>
      </c>
      <c r="K17" s="55">
        <v>128</v>
      </c>
      <c r="L17" s="94"/>
      <c r="M17" s="94"/>
      <c r="N17" s="100">
        <v>1102500</v>
      </c>
      <c r="O17" s="55">
        <v>49000000</v>
      </c>
      <c r="P17" s="149"/>
      <c r="Q17" s="149"/>
      <c r="R17" s="56"/>
      <c r="S17" s="55"/>
      <c r="T17" s="56"/>
      <c r="U17" s="55"/>
      <c r="V17" s="56"/>
      <c r="W17" s="87"/>
    </row>
    <row r="18" spans="1:23" ht="57.6" x14ac:dyDescent="0.3">
      <c r="A18" s="64">
        <f t="shared" si="0"/>
        <v>17</v>
      </c>
      <c r="B18" s="92" t="s">
        <v>487</v>
      </c>
      <c r="C18" s="55">
        <v>2017</v>
      </c>
      <c r="D18" s="55" t="s">
        <v>99</v>
      </c>
      <c r="E18" s="56" t="s">
        <v>66</v>
      </c>
      <c r="F18" s="56" t="s">
        <v>66</v>
      </c>
      <c r="G18" s="55">
        <v>65</v>
      </c>
      <c r="H18" s="55">
        <v>1.08</v>
      </c>
      <c r="I18" s="55">
        <v>1.2</v>
      </c>
      <c r="J18" s="55">
        <v>8.1999999999999993</v>
      </c>
      <c r="K18" s="55">
        <v>9.9</v>
      </c>
      <c r="L18" s="94"/>
      <c r="M18" s="94"/>
      <c r="N18" s="100">
        <v>921.05000000000007</v>
      </c>
      <c r="O18" s="55">
        <v>218000</v>
      </c>
      <c r="P18" s="149">
        <v>35.5</v>
      </c>
      <c r="Q18" s="149">
        <v>42.2</v>
      </c>
      <c r="R18" s="56" t="s">
        <v>59</v>
      </c>
      <c r="S18" s="55" t="s">
        <v>61</v>
      </c>
      <c r="T18" s="56" t="s">
        <v>67</v>
      </c>
      <c r="U18" s="55" t="s">
        <v>59</v>
      </c>
      <c r="V18" s="56" t="s">
        <v>63</v>
      </c>
      <c r="W18" s="87"/>
    </row>
    <row r="19" spans="1:23" ht="86.4" x14ac:dyDescent="0.3">
      <c r="A19" s="64">
        <f t="shared" si="0"/>
        <v>18</v>
      </c>
      <c r="B19" s="92" t="s">
        <v>488</v>
      </c>
      <c r="C19" s="55">
        <v>2017</v>
      </c>
      <c r="D19" s="55" t="s">
        <v>23</v>
      </c>
      <c r="E19" s="56" t="s">
        <v>68</v>
      </c>
      <c r="F19" s="56" t="s">
        <v>496</v>
      </c>
      <c r="G19" s="55">
        <v>65</v>
      </c>
      <c r="H19" s="55">
        <v>1.2</v>
      </c>
      <c r="I19" s="55">
        <v>1.2</v>
      </c>
      <c r="J19" s="55">
        <v>3000</v>
      </c>
      <c r="K19" s="55">
        <v>3000</v>
      </c>
      <c r="L19" s="94"/>
      <c r="M19" s="94"/>
      <c r="N19" s="100">
        <v>1605.5000000000002</v>
      </c>
      <c r="O19" s="55">
        <v>380000</v>
      </c>
      <c r="P19" s="149">
        <v>1.6</v>
      </c>
      <c r="Q19" s="149">
        <v>1.6</v>
      </c>
      <c r="R19" s="56" t="s">
        <v>59</v>
      </c>
      <c r="S19" s="55" t="s">
        <v>59</v>
      </c>
      <c r="T19" s="56" t="s">
        <v>61</v>
      </c>
      <c r="U19" s="55" t="s">
        <v>63</v>
      </c>
      <c r="V19" s="56" t="s">
        <v>63</v>
      </c>
      <c r="W19" s="87"/>
    </row>
    <row r="20" spans="1:23" ht="72" x14ac:dyDescent="0.3">
      <c r="A20" s="64">
        <f t="shared" si="0"/>
        <v>19</v>
      </c>
      <c r="B20" s="146" t="s">
        <v>516</v>
      </c>
      <c r="C20" s="55">
        <v>2017</v>
      </c>
      <c r="D20" s="55" t="s">
        <v>23</v>
      </c>
      <c r="E20" s="56" t="s">
        <v>517</v>
      </c>
      <c r="F20" s="56" t="s">
        <v>330</v>
      </c>
      <c r="G20" s="55">
        <v>180</v>
      </c>
      <c r="H20" s="55">
        <v>0.6</v>
      </c>
      <c r="I20" s="55">
        <v>0.85</v>
      </c>
      <c r="J20" s="55"/>
      <c r="K20" s="55">
        <v>0.27</v>
      </c>
      <c r="L20" s="94">
        <v>8.2000000000000006E-8</v>
      </c>
      <c r="M20" s="94">
        <v>8.2000000000000006E-8</v>
      </c>
      <c r="N20" s="100">
        <v>210000</v>
      </c>
      <c r="O20" s="55">
        <v>6481000</v>
      </c>
      <c r="P20" s="149">
        <v>0.3</v>
      </c>
      <c r="Q20" s="149"/>
      <c r="R20" s="56" t="s">
        <v>59</v>
      </c>
      <c r="S20" s="55" t="s">
        <v>59</v>
      </c>
      <c r="T20" s="56" t="s">
        <v>67</v>
      </c>
      <c r="U20" s="55" t="s">
        <v>59</v>
      </c>
      <c r="V20" s="56" t="s">
        <v>61</v>
      </c>
      <c r="W20" s="87"/>
    </row>
    <row r="21" spans="1:23" ht="57.6" x14ac:dyDescent="0.3">
      <c r="A21" s="64">
        <f t="shared" si="0"/>
        <v>20</v>
      </c>
      <c r="B21" s="92" t="s">
        <v>520</v>
      </c>
      <c r="C21" s="55">
        <v>2017</v>
      </c>
      <c r="D21" s="55" t="s">
        <v>105</v>
      </c>
      <c r="E21" s="56" t="s">
        <v>77</v>
      </c>
      <c r="F21" s="56" t="s">
        <v>330</v>
      </c>
      <c r="G21" s="55">
        <v>65</v>
      </c>
      <c r="H21" s="55">
        <v>0.3</v>
      </c>
      <c r="I21" s="55">
        <v>1</v>
      </c>
      <c r="J21" s="55">
        <v>0.05</v>
      </c>
      <c r="K21" s="55">
        <v>67</v>
      </c>
      <c r="L21" s="94"/>
      <c r="M21" s="94"/>
      <c r="N21" s="100">
        <v>557.70000000000005</v>
      </c>
      <c r="O21" s="55">
        <v>132000</v>
      </c>
      <c r="P21" s="149">
        <v>2.5000000000000001E-2</v>
      </c>
      <c r="Q21" s="149">
        <v>1.85</v>
      </c>
      <c r="R21" s="56" t="s">
        <v>59</v>
      </c>
      <c r="S21" s="55" t="s">
        <v>61</v>
      </c>
      <c r="T21" s="56" t="s">
        <v>70</v>
      </c>
      <c r="U21" s="55" t="s">
        <v>59</v>
      </c>
      <c r="V21" s="56" t="s">
        <v>61</v>
      </c>
      <c r="W21" s="87"/>
    </row>
    <row r="22" spans="1:23" ht="57.6" x14ac:dyDescent="0.3">
      <c r="A22" s="64">
        <f t="shared" si="0"/>
        <v>21</v>
      </c>
      <c r="B22" s="92" t="s">
        <v>515</v>
      </c>
      <c r="C22" s="55">
        <v>2018</v>
      </c>
      <c r="D22" s="55" t="s">
        <v>108</v>
      </c>
      <c r="E22" s="56" t="s">
        <v>64</v>
      </c>
      <c r="F22" s="56" t="s">
        <v>345</v>
      </c>
      <c r="G22" s="55">
        <v>28</v>
      </c>
      <c r="H22" s="55" t="s">
        <v>65</v>
      </c>
      <c r="I22" s="55" t="s">
        <v>65</v>
      </c>
      <c r="J22" s="55">
        <v>25</v>
      </c>
      <c r="K22" s="55">
        <v>66</v>
      </c>
      <c r="L22" s="94"/>
      <c r="M22" s="94"/>
      <c r="N22" s="100">
        <v>180</v>
      </c>
      <c r="O22" s="55">
        <f>180/(0.028*0.028)</f>
        <v>229591.83673469385</v>
      </c>
      <c r="P22" s="149">
        <v>11</v>
      </c>
      <c r="Q22" s="149">
        <v>18</v>
      </c>
      <c r="R22" s="56" t="s">
        <v>59</v>
      </c>
      <c r="S22" s="55" t="s">
        <v>59</v>
      </c>
      <c r="T22" s="56" t="s">
        <v>61</v>
      </c>
      <c r="U22" s="55" t="s">
        <v>65</v>
      </c>
      <c r="V22" s="56" t="s">
        <v>59</v>
      </c>
      <c r="W22" s="87"/>
    </row>
    <row r="23" spans="1:23" ht="72" x14ac:dyDescent="0.3">
      <c r="A23" s="64">
        <f t="shared" si="0"/>
        <v>22</v>
      </c>
      <c r="B23" s="92" t="s">
        <v>599</v>
      </c>
      <c r="C23" s="55">
        <v>2018</v>
      </c>
      <c r="D23" s="55" t="s">
        <v>108</v>
      </c>
      <c r="E23" s="56" t="s">
        <v>58</v>
      </c>
      <c r="F23" s="56" t="s">
        <v>58</v>
      </c>
      <c r="G23" s="56">
        <v>65</v>
      </c>
      <c r="H23" s="55">
        <v>0.53</v>
      </c>
      <c r="I23" s="55">
        <v>1</v>
      </c>
      <c r="J23" s="55">
        <v>3.2</v>
      </c>
      <c r="K23" s="55">
        <v>86</v>
      </c>
      <c r="L23" s="94"/>
      <c r="M23" s="94"/>
      <c r="N23" s="100">
        <v>10013.250000000002</v>
      </c>
      <c r="O23" s="55">
        <v>2370000</v>
      </c>
      <c r="P23" s="149">
        <v>2.58</v>
      </c>
      <c r="Q23" s="149">
        <v>6.08</v>
      </c>
      <c r="R23" s="56" t="s">
        <v>59</v>
      </c>
      <c r="S23" s="55" t="s">
        <v>59</v>
      </c>
      <c r="T23" s="56" t="s">
        <v>60</v>
      </c>
      <c r="U23" s="55" t="s">
        <v>59</v>
      </c>
      <c r="V23" s="56" t="s">
        <v>59</v>
      </c>
      <c r="W23" s="87"/>
    </row>
    <row r="24" spans="1:23" ht="115.2" x14ac:dyDescent="0.3">
      <c r="A24" s="64">
        <f t="shared" si="0"/>
        <v>23</v>
      </c>
      <c r="B24" s="93" t="s">
        <v>445</v>
      </c>
      <c r="C24" s="55">
        <v>2019</v>
      </c>
      <c r="D24" s="55" t="s">
        <v>23</v>
      </c>
      <c r="E24" s="56" t="s">
        <v>500</v>
      </c>
      <c r="F24" s="56" t="s">
        <v>58</v>
      </c>
      <c r="G24" s="55">
        <v>14</v>
      </c>
      <c r="H24" s="55">
        <v>0.55000000000000004</v>
      </c>
      <c r="I24" s="55">
        <v>0.75</v>
      </c>
      <c r="J24" s="55">
        <v>1480</v>
      </c>
      <c r="K24" s="55">
        <v>1480</v>
      </c>
      <c r="L24" s="94"/>
      <c r="M24" s="94"/>
      <c r="N24" s="100">
        <v>2116.7999999999997</v>
      </c>
      <c r="O24" s="55">
        <v>10800000</v>
      </c>
      <c r="P24" s="149">
        <v>2.5</v>
      </c>
      <c r="Q24" s="149">
        <v>2.5</v>
      </c>
      <c r="R24" s="56" t="s">
        <v>59</v>
      </c>
      <c r="S24" s="55" t="s">
        <v>61</v>
      </c>
      <c r="T24" s="56" t="s">
        <v>323</v>
      </c>
      <c r="U24" s="55" t="s">
        <v>59</v>
      </c>
      <c r="V24" s="56" t="s">
        <v>63</v>
      </c>
      <c r="W24" s="87"/>
    </row>
    <row r="25" spans="1:23" ht="72" x14ac:dyDescent="0.3">
      <c r="A25" s="64">
        <f t="shared" si="0"/>
        <v>24</v>
      </c>
      <c r="B25" s="92" t="s">
        <v>455</v>
      </c>
      <c r="C25" s="55">
        <v>2020</v>
      </c>
      <c r="D25" s="55" t="s">
        <v>23</v>
      </c>
      <c r="E25" s="56" t="s">
        <v>315</v>
      </c>
      <c r="F25" s="56" t="s">
        <v>58</v>
      </c>
      <c r="G25" s="55">
        <v>40</v>
      </c>
      <c r="H25" s="55">
        <v>0.7</v>
      </c>
      <c r="I25" s="55">
        <v>1.1000000000000001</v>
      </c>
      <c r="J25" s="55"/>
      <c r="K25" s="55">
        <v>128</v>
      </c>
      <c r="L25" s="94"/>
      <c r="M25" s="94"/>
      <c r="N25" s="100">
        <v>688</v>
      </c>
      <c r="O25" s="55">
        <v>430000</v>
      </c>
      <c r="P25" s="149">
        <v>2.5</v>
      </c>
      <c r="Q25" s="149"/>
      <c r="R25" s="56" t="s">
        <v>59</v>
      </c>
      <c r="S25" s="55" t="s">
        <v>61</v>
      </c>
      <c r="T25" s="56" t="s">
        <v>67</v>
      </c>
      <c r="U25" s="55" t="s">
        <v>59</v>
      </c>
      <c r="V25" s="56" t="s">
        <v>59</v>
      </c>
      <c r="W25" s="87"/>
    </row>
    <row r="26" spans="1:23" ht="72" x14ac:dyDescent="0.3">
      <c r="A26" s="64">
        <f t="shared" si="0"/>
        <v>25</v>
      </c>
      <c r="B26" s="83" t="s">
        <v>512</v>
      </c>
      <c r="C26" s="55">
        <v>2020</v>
      </c>
      <c r="D26" s="55" t="s">
        <v>405</v>
      </c>
      <c r="E26" s="56" t="s">
        <v>513</v>
      </c>
      <c r="F26" s="120" t="s">
        <v>501</v>
      </c>
      <c r="G26" s="55">
        <v>55</v>
      </c>
      <c r="H26" s="55">
        <v>1.35</v>
      </c>
      <c r="I26" s="55">
        <v>1.35</v>
      </c>
      <c r="J26" s="55">
        <v>192.3</v>
      </c>
      <c r="K26" s="55">
        <v>192.3</v>
      </c>
      <c r="L26" s="94"/>
      <c r="M26" s="94"/>
      <c r="N26" s="100">
        <v>24200</v>
      </c>
      <c r="O26" s="94">
        <v>8000000</v>
      </c>
      <c r="P26" s="149">
        <v>0.57999999999999996</v>
      </c>
      <c r="Q26" s="149">
        <v>0.57999999999999996</v>
      </c>
      <c r="R26" s="56" t="s">
        <v>59</v>
      </c>
      <c r="S26" s="55" t="s">
        <v>59</v>
      </c>
      <c r="T26" s="56" t="s">
        <v>67</v>
      </c>
      <c r="U26" s="55" t="s">
        <v>61</v>
      </c>
      <c r="V26" s="56" t="s">
        <v>61</v>
      </c>
      <c r="W26" s="87"/>
    </row>
    <row r="27" spans="1:23" ht="72" x14ac:dyDescent="0.3">
      <c r="A27" s="64">
        <f t="shared" si="0"/>
        <v>26</v>
      </c>
      <c r="B27" s="92" t="s">
        <v>456</v>
      </c>
      <c r="C27" s="55">
        <v>2020</v>
      </c>
      <c r="D27" s="55" t="s">
        <v>450</v>
      </c>
      <c r="E27" s="56" t="s">
        <v>586</v>
      </c>
      <c r="F27" s="56" t="s">
        <v>66</v>
      </c>
      <c r="G27" s="55">
        <v>65</v>
      </c>
      <c r="H27" s="55">
        <v>0.8</v>
      </c>
      <c r="I27" s="55">
        <v>1.2</v>
      </c>
      <c r="J27" s="55"/>
      <c r="K27" s="55">
        <v>52</v>
      </c>
      <c r="L27" s="94"/>
      <c r="M27" s="94"/>
      <c r="N27" s="100">
        <v>59999.998175000001</v>
      </c>
      <c r="O27" s="55">
        <v>14201183</v>
      </c>
      <c r="P27" s="149">
        <v>6.9</v>
      </c>
      <c r="Q27" s="149"/>
      <c r="R27" s="56" t="s">
        <v>59</v>
      </c>
      <c r="S27" s="55" t="s">
        <v>61</v>
      </c>
      <c r="T27" s="56" t="s">
        <v>67</v>
      </c>
      <c r="U27" s="55" t="s">
        <v>59</v>
      </c>
      <c r="V27" s="56" t="s">
        <v>59</v>
      </c>
      <c r="W27" s="87"/>
    </row>
    <row r="28" spans="1:23" ht="86.4" x14ac:dyDescent="0.3">
      <c r="A28" s="64">
        <f t="shared" si="0"/>
        <v>27</v>
      </c>
      <c r="B28" s="92" t="s">
        <v>359</v>
      </c>
      <c r="C28" s="55">
        <v>2021</v>
      </c>
      <c r="D28" s="55" t="s">
        <v>99</v>
      </c>
      <c r="E28" s="56" t="s">
        <v>568</v>
      </c>
      <c r="F28" s="56" t="s">
        <v>66</v>
      </c>
      <c r="G28" s="55">
        <v>28</v>
      </c>
      <c r="H28" s="55">
        <v>0.8</v>
      </c>
      <c r="I28" s="55">
        <v>1</v>
      </c>
      <c r="J28" s="55"/>
      <c r="K28" s="55">
        <v>3.6</v>
      </c>
      <c r="L28" s="94"/>
      <c r="M28" s="94"/>
      <c r="N28" s="100">
        <v>15399.999888</v>
      </c>
      <c r="O28" s="55">
        <v>19642857</v>
      </c>
      <c r="P28" s="149">
        <v>9.6</v>
      </c>
      <c r="Q28" s="149"/>
      <c r="R28" s="56" t="s">
        <v>59</v>
      </c>
      <c r="S28" s="55" t="s">
        <v>61</v>
      </c>
      <c r="T28" s="56" t="s">
        <v>323</v>
      </c>
      <c r="U28" s="55" t="s">
        <v>59</v>
      </c>
      <c r="V28" s="56" t="s">
        <v>59</v>
      </c>
      <c r="W28" s="87"/>
    </row>
    <row r="29" spans="1:23" ht="86.4" x14ac:dyDescent="0.3">
      <c r="A29" s="64">
        <f t="shared" si="0"/>
        <v>28</v>
      </c>
      <c r="B29" s="146" t="s">
        <v>540</v>
      </c>
      <c r="C29" s="55">
        <v>2021</v>
      </c>
      <c r="D29" s="55" t="s">
        <v>541</v>
      </c>
      <c r="E29" s="56" t="s">
        <v>543</v>
      </c>
      <c r="F29" s="56" t="s">
        <v>58</v>
      </c>
      <c r="G29" s="55"/>
      <c r="H29" s="55">
        <v>1.1399999999999999</v>
      </c>
      <c r="I29" s="55">
        <v>1.26</v>
      </c>
      <c r="J29" s="55"/>
      <c r="K29" s="55">
        <v>46.41</v>
      </c>
      <c r="L29" s="94"/>
      <c r="M29" s="94"/>
      <c r="N29" s="100"/>
      <c r="O29" s="55"/>
      <c r="P29" s="149"/>
      <c r="Q29" s="149"/>
      <c r="R29" s="56" t="s">
        <v>59</v>
      </c>
      <c r="S29" s="55" t="s">
        <v>59</v>
      </c>
      <c r="T29" s="56" t="s">
        <v>544</v>
      </c>
      <c r="U29" s="55" t="s">
        <v>61</v>
      </c>
      <c r="V29" s="56" t="s">
        <v>59</v>
      </c>
      <c r="W29" s="87"/>
    </row>
    <row r="30" spans="1:23" ht="72" x14ac:dyDescent="0.3">
      <c r="A30" s="64">
        <f t="shared" si="0"/>
        <v>29</v>
      </c>
      <c r="B30" s="92" t="s">
        <v>489</v>
      </c>
      <c r="C30" s="55">
        <v>2021</v>
      </c>
      <c r="D30" s="55" t="s">
        <v>108</v>
      </c>
      <c r="E30" s="55" t="s">
        <v>58</v>
      </c>
      <c r="F30" s="56" t="s">
        <v>58</v>
      </c>
      <c r="G30" s="55">
        <v>130</v>
      </c>
      <c r="H30" s="55">
        <v>0.3</v>
      </c>
      <c r="I30" s="55">
        <v>1</v>
      </c>
      <c r="J30" s="94">
        <v>0.01</v>
      </c>
      <c r="K30" s="55">
        <v>2.39</v>
      </c>
      <c r="L30" s="94"/>
      <c r="M30" s="94"/>
      <c r="N30" s="100">
        <v>5560.1</v>
      </c>
      <c r="O30" s="94">
        <v>329000</v>
      </c>
      <c r="P30" s="149">
        <v>0.186</v>
      </c>
      <c r="Q30" s="149"/>
      <c r="R30" s="55" t="s">
        <v>61</v>
      </c>
      <c r="S30" s="55" t="s">
        <v>61</v>
      </c>
      <c r="T30" s="55" t="s">
        <v>332</v>
      </c>
      <c r="U30" s="55" t="s">
        <v>59</v>
      </c>
      <c r="V30" s="55" t="s">
        <v>59</v>
      </c>
      <c r="W30" s="87"/>
    </row>
    <row r="31" spans="1:23" ht="72" x14ac:dyDescent="0.3">
      <c r="A31" s="64">
        <f t="shared" si="0"/>
        <v>30</v>
      </c>
      <c r="B31" s="146" t="s">
        <v>528</v>
      </c>
      <c r="C31" s="55">
        <v>2021</v>
      </c>
      <c r="D31" s="55" t="s">
        <v>122</v>
      </c>
      <c r="E31" s="56" t="s">
        <v>531</v>
      </c>
      <c r="F31" s="56" t="s">
        <v>58</v>
      </c>
      <c r="G31" s="55">
        <v>65</v>
      </c>
      <c r="H31" s="55"/>
      <c r="I31" s="55"/>
      <c r="J31" s="94"/>
      <c r="K31" s="55"/>
      <c r="L31" s="94"/>
      <c r="M31" s="94"/>
      <c r="N31" s="100"/>
      <c r="O31" s="94"/>
      <c r="P31" s="149"/>
      <c r="Q31" s="149"/>
      <c r="R31" s="55" t="s">
        <v>59</v>
      </c>
      <c r="S31" s="55" t="s">
        <v>61</v>
      </c>
      <c r="T31" s="56" t="s">
        <v>530</v>
      </c>
      <c r="U31" s="55" t="s">
        <v>61</v>
      </c>
      <c r="V31" s="55" t="s">
        <v>61</v>
      </c>
      <c r="W31" s="87"/>
    </row>
    <row r="32" spans="1:23" ht="72" x14ac:dyDescent="0.3">
      <c r="A32" s="64">
        <f t="shared" si="0"/>
        <v>31</v>
      </c>
      <c r="B32" s="146" t="s">
        <v>532</v>
      </c>
      <c r="C32" s="55">
        <v>2021</v>
      </c>
      <c r="D32" s="55" t="s">
        <v>105</v>
      </c>
      <c r="E32" s="56" t="s">
        <v>533</v>
      </c>
      <c r="F32" s="56" t="s">
        <v>66</v>
      </c>
      <c r="G32" s="55">
        <v>40</v>
      </c>
      <c r="H32" s="55">
        <v>0.8</v>
      </c>
      <c r="I32" s="55">
        <v>1.2</v>
      </c>
      <c r="J32" s="94">
        <v>45</v>
      </c>
      <c r="K32" s="55">
        <v>45</v>
      </c>
      <c r="L32" s="94"/>
      <c r="M32" s="94"/>
      <c r="N32" s="100">
        <v>4335</v>
      </c>
      <c r="O32" s="94">
        <v>2709375</v>
      </c>
      <c r="P32" s="149">
        <v>1.48</v>
      </c>
      <c r="Q32" s="149">
        <v>1.48</v>
      </c>
      <c r="R32" s="55" t="s">
        <v>59</v>
      </c>
      <c r="S32" s="55"/>
      <c r="T32" s="56" t="s">
        <v>67</v>
      </c>
      <c r="U32" s="55" t="s">
        <v>59</v>
      </c>
      <c r="V32" s="55" t="s">
        <v>59</v>
      </c>
      <c r="W32" s="87"/>
    </row>
    <row r="33" spans="1:23" ht="100.8" x14ac:dyDescent="0.3">
      <c r="A33" s="64">
        <f t="shared" si="0"/>
        <v>32</v>
      </c>
      <c r="B33" s="146" t="s">
        <v>521</v>
      </c>
      <c r="C33" s="55">
        <v>2021</v>
      </c>
      <c r="D33" s="55" t="s">
        <v>522</v>
      </c>
      <c r="E33" s="56" t="s">
        <v>524</v>
      </c>
      <c r="F33" s="56" t="s">
        <v>329</v>
      </c>
      <c r="G33" s="55"/>
      <c r="H33" s="55">
        <v>2</v>
      </c>
      <c r="I33" s="55">
        <v>2</v>
      </c>
      <c r="J33" s="94"/>
      <c r="K33" s="55"/>
      <c r="L33" s="94"/>
      <c r="M33" s="94"/>
      <c r="N33" s="100"/>
      <c r="O33" s="94"/>
      <c r="P33" s="149"/>
      <c r="Q33" s="149"/>
      <c r="R33" s="55" t="s">
        <v>59</v>
      </c>
      <c r="S33" s="55" t="s">
        <v>61</v>
      </c>
      <c r="T33" s="55" t="s">
        <v>61</v>
      </c>
      <c r="U33" s="55" t="s">
        <v>61</v>
      </c>
      <c r="V33" s="55" t="s">
        <v>59</v>
      </c>
      <c r="W33" s="87"/>
    </row>
    <row r="34" spans="1:23" ht="100.8" x14ac:dyDescent="0.3">
      <c r="A34" s="64">
        <f t="shared" si="0"/>
        <v>33</v>
      </c>
      <c r="B34" s="146" t="s">
        <v>534</v>
      </c>
      <c r="C34" s="55">
        <v>2022</v>
      </c>
      <c r="D34" s="55" t="s">
        <v>154</v>
      </c>
      <c r="E34" s="56" t="s">
        <v>567</v>
      </c>
      <c r="F34" s="56" t="s">
        <v>66</v>
      </c>
      <c r="G34" s="55">
        <v>65</v>
      </c>
      <c r="H34" s="55">
        <v>1.1000000000000001</v>
      </c>
      <c r="I34" s="55">
        <v>1.3</v>
      </c>
      <c r="J34" s="94">
        <v>52</v>
      </c>
      <c r="K34" s="55">
        <v>52</v>
      </c>
      <c r="L34" s="94"/>
      <c r="M34" s="150">
        <v>2.5999999999999998E-4</v>
      </c>
      <c r="N34" s="100">
        <v>366</v>
      </c>
      <c r="O34" s="94">
        <v>87000</v>
      </c>
      <c r="P34" s="149">
        <v>5</v>
      </c>
      <c r="Q34" s="149">
        <v>5</v>
      </c>
      <c r="R34" s="55" t="s">
        <v>59</v>
      </c>
      <c r="S34" s="55" t="s">
        <v>59</v>
      </c>
      <c r="T34" s="55" t="s">
        <v>61</v>
      </c>
      <c r="U34" s="55" t="s">
        <v>59</v>
      </c>
      <c r="V34" s="55" t="s">
        <v>59</v>
      </c>
      <c r="W34" s="87"/>
    </row>
    <row r="35" spans="1:23" ht="72" x14ac:dyDescent="0.3">
      <c r="A35" s="64">
        <f t="shared" si="0"/>
        <v>34</v>
      </c>
      <c r="B35" s="92" t="s">
        <v>563</v>
      </c>
      <c r="C35" s="55">
        <v>2022</v>
      </c>
      <c r="D35" s="55" t="s">
        <v>108</v>
      </c>
      <c r="E35" s="56" t="s">
        <v>510</v>
      </c>
      <c r="F35" s="56" t="s">
        <v>329</v>
      </c>
      <c r="G35" s="55">
        <v>40</v>
      </c>
      <c r="H35" s="55">
        <v>0.9</v>
      </c>
      <c r="I35" s="55">
        <v>1.3</v>
      </c>
      <c r="J35" s="94">
        <v>1.5</v>
      </c>
      <c r="K35" s="55">
        <v>1.5</v>
      </c>
      <c r="L35" s="94"/>
      <c r="M35" s="94"/>
      <c r="N35" s="100"/>
      <c r="O35" s="94"/>
      <c r="P35" s="149"/>
      <c r="Q35" s="149"/>
      <c r="R35" s="55" t="s">
        <v>59</v>
      </c>
      <c r="S35" s="55" t="s">
        <v>61</v>
      </c>
      <c r="T35" s="55" t="s">
        <v>61</v>
      </c>
      <c r="U35" s="55" t="s">
        <v>59</v>
      </c>
      <c r="V35" s="55" t="s">
        <v>59</v>
      </c>
      <c r="W35" s="87"/>
    </row>
    <row r="36" spans="1:23" ht="72" x14ac:dyDescent="0.3">
      <c r="A36" s="64">
        <f t="shared" si="0"/>
        <v>35</v>
      </c>
      <c r="B36" s="92" t="s">
        <v>526</v>
      </c>
      <c r="C36" s="55">
        <v>2022</v>
      </c>
      <c r="D36" s="55" t="s">
        <v>525</v>
      </c>
      <c r="E36" s="56" t="s">
        <v>58</v>
      </c>
      <c r="F36" s="56" t="s">
        <v>58</v>
      </c>
      <c r="G36" s="55">
        <v>130</v>
      </c>
      <c r="H36" s="55">
        <v>0.3</v>
      </c>
      <c r="I36" s="55">
        <v>1</v>
      </c>
      <c r="J36" s="94"/>
      <c r="K36" s="55">
        <v>1.3</v>
      </c>
      <c r="L36" s="94"/>
      <c r="M36" s="94"/>
      <c r="N36" s="150">
        <v>5343</v>
      </c>
      <c r="O36" s="94">
        <v>316000</v>
      </c>
      <c r="P36" s="149">
        <v>0.11600000000000001</v>
      </c>
      <c r="Q36" s="149"/>
      <c r="R36" s="55" t="s">
        <v>59</v>
      </c>
      <c r="S36" s="55" t="s">
        <v>61</v>
      </c>
      <c r="T36" s="56" t="s">
        <v>527</v>
      </c>
      <c r="U36" s="55" t="s">
        <v>59</v>
      </c>
      <c r="V36" s="55" t="s">
        <v>59</v>
      </c>
      <c r="W36" s="87"/>
    </row>
    <row r="37" spans="1:23" ht="72" x14ac:dyDescent="0.3">
      <c r="A37" s="64">
        <f t="shared" si="0"/>
        <v>36</v>
      </c>
      <c r="B37" s="92" t="s">
        <v>535</v>
      </c>
      <c r="C37" s="55">
        <v>2022</v>
      </c>
      <c r="D37" s="55" t="s">
        <v>536</v>
      </c>
      <c r="E37" s="56" t="s">
        <v>537</v>
      </c>
      <c r="F37" s="56" t="s">
        <v>66</v>
      </c>
      <c r="G37" s="55">
        <v>40</v>
      </c>
      <c r="H37" s="55">
        <v>0.5</v>
      </c>
      <c r="I37" s="55">
        <v>1.4</v>
      </c>
      <c r="J37" s="55">
        <v>6.3</v>
      </c>
      <c r="K37" s="55"/>
      <c r="L37" s="94">
        <v>6.7000000000000002E-5</v>
      </c>
      <c r="M37" s="94"/>
      <c r="N37" s="150">
        <v>305.60000000000002</v>
      </c>
      <c r="O37" s="94">
        <v>191000</v>
      </c>
      <c r="P37" s="149">
        <v>10.7</v>
      </c>
      <c r="Q37" s="149"/>
      <c r="R37" s="55" t="s">
        <v>59</v>
      </c>
      <c r="S37" s="55" t="s">
        <v>61</v>
      </c>
      <c r="T37" s="56" t="s">
        <v>61</v>
      </c>
      <c r="U37" s="55" t="s">
        <v>59</v>
      </c>
      <c r="V37" s="55" t="s">
        <v>59</v>
      </c>
      <c r="W37" s="87"/>
    </row>
    <row r="38" spans="1:23" ht="72" x14ac:dyDescent="0.3">
      <c r="A38" s="64">
        <f t="shared" si="0"/>
        <v>37</v>
      </c>
      <c r="B38" s="92" t="s">
        <v>593</v>
      </c>
      <c r="C38" s="55">
        <v>2023</v>
      </c>
      <c r="D38" s="55" t="s">
        <v>594</v>
      </c>
      <c r="E38" s="55" t="s">
        <v>595</v>
      </c>
      <c r="F38" s="55" t="s">
        <v>66</v>
      </c>
      <c r="G38" s="55">
        <v>40</v>
      </c>
      <c r="H38" s="55">
        <v>0.8</v>
      </c>
      <c r="I38" s="55">
        <v>1.4</v>
      </c>
      <c r="J38" s="55">
        <v>20</v>
      </c>
      <c r="K38" s="55">
        <v>53</v>
      </c>
      <c r="L38" s="94">
        <v>9.7999999999999997E-5</v>
      </c>
      <c r="M38" s="94">
        <v>1.3300000000000001E-4</v>
      </c>
      <c r="N38" s="55"/>
      <c r="O38" s="94">
        <v>340000</v>
      </c>
      <c r="P38" s="55">
        <v>2.5</v>
      </c>
      <c r="Q38" s="55">
        <v>132</v>
      </c>
      <c r="R38" s="55" t="s">
        <v>59</v>
      </c>
      <c r="S38" s="55" t="s">
        <v>61</v>
      </c>
      <c r="T38" s="55" t="s">
        <v>67</v>
      </c>
      <c r="U38" s="55" t="s">
        <v>59</v>
      </c>
      <c r="V38" s="55" t="s">
        <v>59</v>
      </c>
      <c r="W38" s="87"/>
    </row>
    <row r="39" spans="1:23" ht="43.2" x14ac:dyDescent="0.3">
      <c r="A39" s="64">
        <f t="shared" si="0"/>
        <v>38</v>
      </c>
      <c r="B39" s="92" t="s">
        <v>596</v>
      </c>
      <c r="C39" s="55">
        <v>2023</v>
      </c>
      <c r="D39" s="55" t="s">
        <v>108</v>
      </c>
      <c r="E39" s="55" t="s">
        <v>597</v>
      </c>
      <c r="F39" s="55" t="s">
        <v>66</v>
      </c>
      <c r="G39" s="55">
        <v>65</v>
      </c>
      <c r="H39" s="55">
        <v>0.7</v>
      </c>
      <c r="I39" s="55">
        <v>1.2</v>
      </c>
      <c r="J39" s="55">
        <v>37.42</v>
      </c>
      <c r="K39" s="55">
        <v>100.8</v>
      </c>
      <c r="L39" s="94"/>
      <c r="M39" s="94">
        <v>2.7499999999999998E-3</v>
      </c>
      <c r="N39" s="94"/>
      <c r="O39" s="94">
        <v>1810000</v>
      </c>
      <c r="P39" s="55">
        <v>3.67</v>
      </c>
      <c r="Q39" s="55">
        <v>27.28</v>
      </c>
      <c r="R39" s="55" t="s">
        <v>59</v>
      </c>
      <c r="S39" s="55" t="s">
        <v>598</v>
      </c>
      <c r="T39" s="55" t="s">
        <v>61</v>
      </c>
      <c r="U39" s="55" t="s">
        <v>59</v>
      </c>
      <c r="V39" s="55" t="s">
        <v>59</v>
      </c>
      <c r="W39" s="87"/>
    </row>
    <row r="40" spans="1:23" ht="15" thickBot="1" x14ac:dyDescent="0.35">
      <c r="A40" s="96"/>
      <c r="B40" s="97"/>
      <c r="C40" s="97"/>
      <c r="D40" s="97"/>
      <c r="E40" s="97"/>
      <c r="F40" s="97"/>
      <c r="G40" s="97"/>
      <c r="H40" s="97"/>
      <c r="I40" s="97"/>
      <c r="J40" s="97"/>
      <c r="K40" s="97"/>
      <c r="L40" s="97"/>
      <c r="M40" s="97"/>
      <c r="N40" s="97"/>
      <c r="O40" s="97"/>
      <c r="P40" s="97"/>
      <c r="Q40" s="97"/>
      <c r="R40" s="97"/>
      <c r="S40" s="97"/>
      <c r="T40" s="97"/>
      <c r="U40" s="97"/>
      <c r="V40" s="97"/>
      <c r="W40" s="89"/>
    </row>
  </sheetData>
  <sheetProtection algorithmName="SHA-512" hashValue="jel6/bcRPooKbkd1IiSZacv4uOCuLDlezaMUaBgO6IYZ6i0oeGXkCGAgPg6y3exowUVAKSFdVf2wKNLdkWY0tw==" saltValue="IbUyK0MDFIp6ICKB5WWSuA==" spinCount="100000" sheet="1" formatRows="0" insertColumns="0" insertRows="0" insertHyperlinks="0" deleteColumns="0" deleteRows="0" selectLockedCells="1" sort="0" autoFilter="0" pivotTables="0" selectUnlockedCells="1"/>
  <autoFilter ref="A1:V37" xr:uid="{00000000-0009-0000-0000-000001000000}"/>
  <pageMargins left="0.7" right="0.7" top="0.75" bottom="0.75" header="0.3" footer="0.3"/>
  <pageSetup paperSize="9"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B2:P15"/>
  <sheetViews>
    <sheetView workbookViewId="0">
      <selection activeCell="O84" sqref="O84"/>
    </sheetView>
  </sheetViews>
  <sheetFormatPr defaultRowHeight="14.4" x14ac:dyDescent="0.3"/>
  <cols>
    <col min="2" max="2" width="11.6640625" customWidth="1"/>
    <col min="3" max="3" width="85.88671875" bestFit="1" customWidth="1"/>
    <col min="4" max="4" width="25.88671875" bestFit="1" customWidth="1"/>
    <col min="5" max="5" width="7.109375" bestFit="1" customWidth="1"/>
    <col min="6" max="6" width="15.88671875" bestFit="1" customWidth="1"/>
    <col min="7" max="7" width="12.44140625" bestFit="1" customWidth="1"/>
    <col min="8" max="8" width="29.33203125" bestFit="1" customWidth="1"/>
    <col min="9" max="9" width="18.6640625" bestFit="1" customWidth="1"/>
    <col min="10" max="10" width="17.6640625" bestFit="1" customWidth="1"/>
    <col min="11" max="11" width="20.6640625" bestFit="1" customWidth="1"/>
    <col min="12" max="12" width="19.109375" bestFit="1" customWidth="1"/>
    <col min="13" max="13" width="14.44140625" bestFit="1" customWidth="1"/>
    <col min="14" max="14" width="28.6640625" bestFit="1" customWidth="1"/>
    <col min="15" max="15" width="23" bestFit="1" customWidth="1"/>
    <col min="16" max="16" width="41.88671875" bestFit="1" customWidth="1"/>
  </cols>
  <sheetData>
    <row r="2" spans="2:16" ht="24" customHeight="1" x14ac:dyDescent="0.3">
      <c r="B2" s="49" t="s">
        <v>4</v>
      </c>
      <c r="C2" s="49" t="s">
        <v>20</v>
      </c>
      <c r="D2" s="49" t="s">
        <v>5</v>
      </c>
      <c r="E2" s="49" t="s">
        <v>54</v>
      </c>
      <c r="F2" s="49" t="s">
        <v>9</v>
      </c>
      <c r="G2" s="49" t="s">
        <v>6</v>
      </c>
      <c r="H2" s="49" t="s">
        <v>21</v>
      </c>
      <c r="I2" s="49" t="s">
        <v>18</v>
      </c>
      <c r="J2" s="49" t="s">
        <v>19</v>
      </c>
      <c r="K2" s="49" t="s">
        <v>7</v>
      </c>
      <c r="L2" s="49" t="s">
        <v>321</v>
      </c>
      <c r="M2" s="49" t="s">
        <v>8</v>
      </c>
      <c r="N2" s="49" t="s">
        <v>34</v>
      </c>
      <c r="O2" s="49" t="s">
        <v>31</v>
      </c>
      <c r="P2" s="49" t="s">
        <v>17</v>
      </c>
    </row>
    <row r="3" spans="2:16" ht="82.5" customHeight="1" x14ac:dyDescent="0.3">
      <c r="B3" s="1">
        <v>1</v>
      </c>
      <c r="C3" s="2" t="s">
        <v>22</v>
      </c>
      <c r="D3" s="1" t="s">
        <v>23</v>
      </c>
      <c r="E3" s="1">
        <v>2015</v>
      </c>
      <c r="F3" s="1" t="s">
        <v>10</v>
      </c>
      <c r="G3" s="1" t="s">
        <v>2</v>
      </c>
      <c r="H3" s="1" t="s">
        <v>24</v>
      </c>
      <c r="I3" s="1">
        <v>128</v>
      </c>
      <c r="J3" s="1">
        <v>128</v>
      </c>
      <c r="K3" s="1">
        <v>22</v>
      </c>
      <c r="L3" s="1">
        <v>4.54</v>
      </c>
      <c r="M3" s="1" t="s">
        <v>41</v>
      </c>
      <c r="N3" s="1">
        <v>507</v>
      </c>
      <c r="O3" s="1" t="s">
        <v>42</v>
      </c>
      <c r="P3" s="1" t="s">
        <v>40</v>
      </c>
    </row>
    <row r="4" spans="2:16" ht="43.2" x14ac:dyDescent="0.3">
      <c r="B4" s="1">
        <f>B3+1</f>
        <v>2</v>
      </c>
      <c r="C4" s="2" t="s">
        <v>25</v>
      </c>
      <c r="D4" s="1" t="s">
        <v>0</v>
      </c>
      <c r="E4" s="1">
        <v>2015</v>
      </c>
      <c r="F4" s="1" t="s">
        <v>15</v>
      </c>
      <c r="G4" s="1" t="s">
        <v>2</v>
      </c>
      <c r="H4" s="1" t="s">
        <v>26</v>
      </c>
      <c r="I4" s="1">
        <v>128</v>
      </c>
      <c r="J4" s="1">
        <v>128</v>
      </c>
      <c r="K4" s="1">
        <v>65</v>
      </c>
      <c r="L4" s="1">
        <v>1.89</v>
      </c>
      <c r="M4" s="1" t="s">
        <v>35</v>
      </c>
      <c r="N4" s="1">
        <v>100</v>
      </c>
      <c r="O4" s="1" t="s">
        <v>32</v>
      </c>
      <c r="P4" s="3" t="s">
        <v>43</v>
      </c>
    </row>
    <row r="5" spans="2:16" ht="43.2" x14ac:dyDescent="0.3">
      <c r="B5" s="1">
        <f t="shared" ref="B5:B15" si="0">B4+1</f>
        <v>3</v>
      </c>
      <c r="C5" s="2" t="s">
        <v>27</v>
      </c>
      <c r="D5" s="1" t="s">
        <v>12</v>
      </c>
      <c r="E5" s="1">
        <v>2016</v>
      </c>
      <c r="F5" s="1" t="s">
        <v>16</v>
      </c>
      <c r="G5" s="1" t="s">
        <v>2</v>
      </c>
      <c r="H5" s="1" t="s">
        <v>26</v>
      </c>
      <c r="I5" s="1">
        <v>128</v>
      </c>
      <c r="J5" s="1">
        <v>128</v>
      </c>
      <c r="K5" s="1">
        <v>40</v>
      </c>
      <c r="L5" s="1">
        <v>2.68</v>
      </c>
      <c r="M5" s="1" t="s">
        <v>37</v>
      </c>
      <c r="N5" s="1">
        <v>432</v>
      </c>
      <c r="O5" s="1" t="s">
        <v>38</v>
      </c>
      <c r="P5" s="3" t="s">
        <v>43</v>
      </c>
    </row>
    <row r="6" spans="2:16" ht="28.8" x14ac:dyDescent="0.3">
      <c r="B6" s="1">
        <f t="shared" si="0"/>
        <v>4</v>
      </c>
      <c r="C6" s="2" t="s">
        <v>28</v>
      </c>
      <c r="D6" s="1" t="s">
        <v>12</v>
      </c>
      <c r="E6" s="1">
        <v>2017</v>
      </c>
      <c r="F6" s="2" t="s">
        <v>53</v>
      </c>
      <c r="G6" s="1" t="s">
        <v>3</v>
      </c>
      <c r="H6" s="1" t="s">
        <v>24</v>
      </c>
      <c r="I6" s="1">
        <v>128</v>
      </c>
      <c r="J6" s="1">
        <v>128</v>
      </c>
      <c r="K6" s="1">
        <v>28</v>
      </c>
      <c r="L6" s="1">
        <v>9.44</v>
      </c>
      <c r="M6" s="1" t="s">
        <v>36</v>
      </c>
      <c r="N6" s="1">
        <v>25600</v>
      </c>
      <c r="O6" s="1" t="s">
        <v>39</v>
      </c>
      <c r="P6" s="1" t="s">
        <v>40</v>
      </c>
    </row>
    <row r="7" spans="2:16" ht="28.8" x14ac:dyDescent="0.3">
      <c r="B7" s="1">
        <f t="shared" si="0"/>
        <v>5</v>
      </c>
      <c r="C7" s="2" t="s">
        <v>30</v>
      </c>
      <c r="D7" s="1" t="s">
        <v>1</v>
      </c>
      <c r="E7" s="1">
        <v>2018</v>
      </c>
      <c r="F7" s="1" t="s">
        <v>15</v>
      </c>
      <c r="G7" s="1" t="s">
        <v>14</v>
      </c>
      <c r="H7" s="1" t="s">
        <v>26</v>
      </c>
      <c r="I7" s="1">
        <v>32</v>
      </c>
      <c r="J7" s="1">
        <v>64</v>
      </c>
      <c r="K7" s="1">
        <v>40</v>
      </c>
      <c r="L7" s="1">
        <v>0.43</v>
      </c>
      <c r="M7" s="1" t="s">
        <v>29</v>
      </c>
      <c r="N7" s="1">
        <v>443</v>
      </c>
      <c r="O7" s="1" t="s">
        <v>33</v>
      </c>
      <c r="P7" s="3" t="s">
        <v>43</v>
      </c>
    </row>
    <row r="8" spans="2:16" ht="43.2" x14ac:dyDescent="0.3">
      <c r="B8" s="1">
        <f t="shared" si="0"/>
        <v>6</v>
      </c>
      <c r="C8" s="2" t="s">
        <v>44</v>
      </c>
      <c r="D8" s="1" t="s">
        <v>13</v>
      </c>
      <c r="E8" s="1">
        <v>2018</v>
      </c>
      <c r="F8" s="1" t="s">
        <v>10</v>
      </c>
      <c r="G8" s="1" t="s">
        <v>14</v>
      </c>
      <c r="H8" s="1" t="s">
        <v>26</v>
      </c>
      <c r="I8" s="1">
        <v>32</v>
      </c>
      <c r="J8" s="1">
        <v>64</v>
      </c>
      <c r="K8" s="1">
        <v>14</v>
      </c>
      <c r="L8" s="1">
        <v>0.7</v>
      </c>
      <c r="M8" s="1" t="s">
        <v>45</v>
      </c>
      <c r="N8" s="1">
        <v>4240</v>
      </c>
      <c r="O8" s="1" t="s">
        <v>46</v>
      </c>
      <c r="P8" s="1" t="s">
        <v>40</v>
      </c>
    </row>
    <row r="9" spans="2:16" ht="43.2" x14ac:dyDescent="0.3">
      <c r="B9" s="1">
        <f t="shared" si="0"/>
        <v>7</v>
      </c>
      <c r="C9" s="2" t="s">
        <v>47</v>
      </c>
      <c r="D9" s="1" t="s">
        <v>12</v>
      </c>
      <c r="E9" s="1">
        <v>2018</v>
      </c>
      <c r="F9" s="1" t="s">
        <v>10</v>
      </c>
      <c r="G9" s="1" t="s">
        <v>2</v>
      </c>
      <c r="H9" s="1" t="s">
        <v>26</v>
      </c>
      <c r="I9" s="1">
        <v>128</v>
      </c>
      <c r="J9" s="1">
        <v>128</v>
      </c>
      <c r="K9" s="1">
        <v>14</v>
      </c>
      <c r="L9" s="1">
        <v>46.69</v>
      </c>
      <c r="M9" s="1" t="s">
        <v>45</v>
      </c>
      <c r="N9" s="1">
        <v>3174</v>
      </c>
      <c r="O9" s="1" t="s">
        <v>48</v>
      </c>
      <c r="P9" s="1" t="s">
        <v>11</v>
      </c>
    </row>
    <row r="10" spans="2:16" ht="43.2" x14ac:dyDescent="0.3">
      <c r="B10" s="1">
        <f t="shared" si="0"/>
        <v>8</v>
      </c>
      <c r="C10" s="2" t="s">
        <v>51</v>
      </c>
      <c r="D10" s="1" t="s">
        <v>12</v>
      </c>
      <c r="E10" s="1">
        <v>2019</v>
      </c>
      <c r="F10" s="2" t="s">
        <v>52</v>
      </c>
      <c r="G10" s="1" t="s">
        <v>2</v>
      </c>
      <c r="H10" s="1" t="s">
        <v>26</v>
      </c>
      <c r="I10" s="1">
        <v>128</v>
      </c>
      <c r="J10" s="1">
        <v>128</v>
      </c>
      <c r="K10" s="1">
        <v>28</v>
      </c>
      <c r="L10" s="1">
        <v>3.95</v>
      </c>
      <c r="M10" s="1" t="s">
        <v>49</v>
      </c>
      <c r="N10" s="1">
        <v>991</v>
      </c>
      <c r="O10" s="1" t="s">
        <v>50</v>
      </c>
      <c r="P10" s="1" t="s">
        <v>43</v>
      </c>
    </row>
    <row r="11" spans="2:16" ht="28.8" x14ac:dyDescent="0.3">
      <c r="B11" s="1">
        <f t="shared" si="0"/>
        <v>9</v>
      </c>
      <c r="C11" s="2" t="s">
        <v>307</v>
      </c>
      <c r="D11" s="1" t="s">
        <v>239</v>
      </c>
      <c r="E11" s="1">
        <v>2020</v>
      </c>
      <c r="F11" s="2" t="s">
        <v>15</v>
      </c>
      <c r="G11" s="1" t="s">
        <v>14</v>
      </c>
      <c r="H11" s="1" t="s">
        <v>26</v>
      </c>
      <c r="I11" s="1">
        <v>32</v>
      </c>
      <c r="J11" s="1" t="s">
        <v>310</v>
      </c>
      <c r="K11" s="1">
        <v>40</v>
      </c>
      <c r="L11" s="1">
        <v>0.78800000000000003</v>
      </c>
      <c r="M11" s="1" t="s">
        <v>37</v>
      </c>
      <c r="N11" s="1">
        <v>530</v>
      </c>
      <c r="O11" s="1" t="s">
        <v>308</v>
      </c>
      <c r="P11" s="1" t="s">
        <v>309</v>
      </c>
    </row>
    <row r="12" spans="2:16" ht="43.2" x14ac:dyDescent="0.3">
      <c r="B12" s="1">
        <f t="shared" si="0"/>
        <v>10</v>
      </c>
      <c r="C12" s="2" t="s">
        <v>311</v>
      </c>
      <c r="D12" s="1" t="s">
        <v>0</v>
      </c>
      <c r="E12" s="1">
        <v>2020</v>
      </c>
      <c r="F12" s="2" t="s">
        <v>312</v>
      </c>
      <c r="G12" s="1" t="s">
        <v>2</v>
      </c>
      <c r="H12" s="1" t="s">
        <v>26</v>
      </c>
      <c r="I12" s="1">
        <v>128</v>
      </c>
      <c r="J12" s="1">
        <v>128</v>
      </c>
      <c r="K12" s="1">
        <v>16</v>
      </c>
      <c r="L12" s="1">
        <v>3.51</v>
      </c>
      <c r="M12" s="1" t="s">
        <v>314</v>
      </c>
      <c r="N12" s="1">
        <v>16</v>
      </c>
      <c r="O12" s="1" t="s">
        <v>313</v>
      </c>
      <c r="P12" s="3" t="s">
        <v>43</v>
      </c>
    </row>
    <row r="13" spans="2:16" ht="43.2" x14ac:dyDescent="0.3">
      <c r="B13" s="1">
        <f t="shared" si="0"/>
        <v>11</v>
      </c>
      <c r="C13" s="2" t="s">
        <v>360</v>
      </c>
      <c r="D13" s="1" t="s">
        <v>23</v>
      </c>
      <c r="E13" s="1">
        <v>2020</v>
      </c>
      <c r="F13" s="1" t="s">
        <v>10</v>
      </c>
      <c r="G13" s="1" t="s">
        <v>2</v>
      </c>
      <c r="H13" s="1" t="s">
        <v>26</v>
      </c>
      <c r="I13" s="1">
        <v>128</v>
      </c>
      <c r="J13" s="1">
        <v>128</v>
      </c>
      <c r="K13" s="1">
        <v>16</v>
      </c>
      <c r="L13" s="1">
        <v>25</v>
      </c>
      <c r="M13" s="1" t="s">
        <v>361</v>
      </c>
      <c r="N13" s="1">
        <v>1100</v>
      </c>
      <c r="O13" s="1" t="s">
        <v>362</v>
      </c>
      <c r="P13" s="3" t="s">
        <v>363</v>
      </c>
    </row>
    <row r="14" spans="2:16" ht="43.2" x14ac:dyDescent="0.3">
      <c r="B14" s="1">
        <f t="shared" si="0"/>
        <v>12</v>
      </c>
      <c r="C14" s="2" t="s">
        <v>364</v>
      </c>
      <c r="D14" s="1" t="s">
        <v>23</v>
      </c>
      <c r="E14" s="1">
        <v>2021</v>
      </c>
      <c r="F14" s="1" t="s">
        <v>10</v>
      </c>
      <c r="G14" s="1" t="s">
        <v>2</v>
      </c>
      <c r="H14" s="1" t="s">
        <v>26</v>
      </c>
      <c r="I14" s="1">
        <v>128</v>
      </c>
      <c r="J14" s="1">
        <v>128</v>
      </c>
      <c r="K14" s="1">
        <v>14</v>
      </c>
      <c r="L14" s="1">
        <v>25</v>
      </c>
      <c r="M14" s="1" t="s">
        <v>361</v>
      </c>
      <c r="N14" s="1">
        <v>1100</v>
      </c>
      <c r="O14" s="1" t="s">
        <v>362</v>
      </c>
      <c r="P14" s="2" t="s">
        <v>365</v>
      </c>
    </row>
    <row r="15" spans="2:16" ht="43.2" x14ac:dyDescent="0.3">
      <c r="B15" s="1">
        <f t="shared" si="0"/>
        <v>13</v>
      </c>
      <c r="C15" s="2" t="s">
        <v>366</v>
      </c>
      <c r="D15" s="1" t="s">
        <v>23</v>
      </c>
      <c r="E15" s="1">
        <v>2021</v>
      </c>
      <c r="F15" s="2" t="s">
        <v>367</v>
      </c>
      <c r="G15" s="1" t="s">
        <v>2</v>
      </c>
      <c r="H15" s="1" t="s">
        <v>26</v>
      </c>
      <c r="I15" s="1">
        <v>128</v>
      </c>
      <c r="J15" s="1">
        <v>256</v>
      </c>
      <c r="K15" s="1">
        <v>65</v>
      </c>
      <c r="L15" s="1">
        <v>48.52</v>
      </c>
      <c r="M15" s="1">
        <v>0.8</v>
      </c>
      <c r="N15" s="1"/>
      <c r="O15" s="1"/>
      <c r="P15" s="3" t="s">
        <v>363</v>
      </c>
    </row>
  </sheetData>
  <sheetProtection algorithmName="SHA-512" hashValue="qWEFyZKUrpymAZ44GuUXeqpfgoFkzRuFbHK/ssSrq59BpyK6hrOCvkzAnDOwsswO6fpTLvgNEH/4bRLIw0bZJg==" saltValue="ErBQ2OWnEJ8w89HKZGPssA==" spinCount="100000" sheet="1" formatRows="0" insertColumns="0" insertRows="0" insertHyperlinks="0" deleteColumns="0" deleteRows="0" selectLockedCells="1" sort="0" autoFilter="0" pivotTables="0" selectUnlockedCells="1"/>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B1:I39"/>
  <sheetViews>
    <sheetView topLeftCell="A4" workbookViewId="0">
      <selection activeCell="O84" sqref="O84"/>
    </sheetView>
  </sheetViews>
  <sheetFormatPr defaultColWidth="9.33203125" defaultRowHeight="14.4" x14ac:dyDescent="0.3"/>
  <cols>
    <col min="1" max="1" width="3.33203125" style="24" customWidth="1"/>
    <col min="2" max="2" width="53.109375" style="24" customWidth="1"/>
    <col min="3" max="3" width="3.33203125" style="26" customWidth="1"/>
    <col min="4" max="4" width="58.6640625" style="24" customWidth="1"/>
    <col min="5" max="5" width="14.33203125" style="24" customWidth="1"/>
    <col min="6" max="6" width="10.44140625" style="24" customWidth="1"/>
    <col min="7" max="8" width="9.33203125" style="24"/>
    <col min="9" max="9" width="45.5546875" style="24" customWidth="1"/>
    <col min="10" max="16384" width="9.33203125" style="24"/>
  </cols>
  <sheetData>
    <row r="1" spans="2:9" ht="15" thickBot="1" x14ac:dyDescent="0.35"/>
    <row r="2" spans="2:9" ht="18" x14ac:dyDescent="0.35">
      <c r="B2" s="27" t="s">
        <v>283</v>
      </c>
      <c r="C2" s="28"/>
      <c r="D2" s="29"/>
      <c r="E2" s="29"/>
      <c r="F2" s="30"/>
      <c r="H2" s="27" t="s">
        <v>381</v>
      </c>
      <c r="I2" s="30"/>
    </row>
    <row r="3" spans="2:9" x14ac:dyDescent="0.3">
      <c r="B3" s="31"/>
      <c r="F3" s="32"/>
      <c r="H3" s="33"/>
      <c r="I3" s="32"/>
    </row>
    <row r="4" spans="2:9" x14ac:dyDescent="0.3">
      <c r="B4" s="221" t="s">
        <v>368</v>
      </c>
      <c r="C4" s="219" t="s">
        <v>284</v>
      </c>
      <c r="D4" s="34" t="s">
        <v>285</v>
      </c>
      <c r="F4" s="32"/>
      <c r="H4" s="35">
        <v>1</v>
      </c>
      <c r="I4" s="32" t="s">
        <v>574</v>
      </c>
    </row>
    <row r="5" spans="2:9" x14ac:dyDescent="0.3">
      <c r="B5" s="221"/>
      <c r="C5" s="219"/>
      <c r="D5" s="36" t="s">
        <v>286</v>
      </c>
      <c r="F5" s="32"/>
      <c r="H5" s="35">
        <v>2</v>
      </c>
      <c r="I5" s="32" t="s">
        <v>304</v>
      </c>
    </row>
    <row r="6" spans="2:9" x14ac:dyDescent="0.3">
      <c r="B6" s="37"/>
      <c r="C6" s="38"/>
      <c r="F6" s="32"/>
      <c r="H6" s="35">
        <v>3</v>
      </c>
      <c r="I6" s="32" t="s">
        <v>287</v>
      </c>
    </row>
    <row r="7" spans="2:9" x14ac:dyDescent="0.3">
      <c r="B7" s="221" t="s">
        <v>369</v>
      </c>
      <c r="C7" s="219" t="s">
        <v>284</v>
      </c>
      <c r="D7" s="34" t="s">
        <v>288</v>
      </c>
      <c r="F7" s="32"/>
      <c r="H7" s="35">
        <v>4</v>
      </c>
      <c r="I7" s="32" t="s">
        <v>289</v>
      </c>
    </row>
    <row r="8" spans="2:9" x14ac:dyDescent="0.3">
      <c r="B8" s="221"/>
      <c r="C8" s="219"/>
      <c r="D8" s="36" t="s">
        <v>286</v>
      </c>
      <c r="F8" s="32"/>
      <c r="H8" s="35">
        <v>5</v>
      </c>
      <c r="I8" s="32" t="s">
        <v>290</v>
      </c>
    </row>
    <row r="9" spans="2:9" x14ac:dyDescent="0.3">
      <c r="B9" s="72"/>
      <c r="C9" s="73"/>
      <c r="D9" s="36"/>
      <c r="F9" s="32"/>
      <c r="H9" s="35">
        <v>6</v>
      </c>
      <c r="I9" s="32" t="s">
        <v>291</v>
      </c>
    </row>
    <row r="10" spans="2:9" ht="14.4" customHeight="1" x14ac:dyDescent="0.3">
      <c r="B10" s="72" t="s">
        <v>373</v>
      </c>
      <c r="C10" s="38"/>
      <c r="D10" s="42" t="s">
        <v>370</v>
      </c>
      <c r="F10" s="32"/>
      <c r="H10" s="35">
        <v>7</v>
      </c>
      <c r="I10" s="32" t="s">
        <v>293</v>
      </c>
    </row>
    <row r="11" spans="2:9" x14ac:dyDescent="0.3">
      <c r="B11" s="72"/>
      <c r="C11" s="39"/>
      <c r="D11" s="74"/>
      <c r="F11" s="32"/>
      <c r="H11" s="35">
        <v>8</v>
      </c>
      <c r="I11" s="32" t="s">
        <v>294</v>
      </c>
    </row>
    <row r="12" spans="2:9" x14ac:dyDescent="0.3">
      <c r="B12" s="72" t="s">
        <v>374</v>
      </c>
      <c r="C12" s="39"/>
      <c r="D12" s="218" t="s">
        <v>292</v>
      </c>
      <c r="F12" s="32"/>
      <c r="H12" s="35">
        <v>9</v>
      </c>
      <c r="I12" s="32" t="s">
        <v>295</v>
      </c>
    </row>
    <row r="13" spans="2:9" ht="16.2" x14ac:dyDescent="0.3">
      <c r="B13" s="72" t="s">
        <v>376</v>
      </c>
      <c r="C13" s="39"/>
      <c r="D13" s="218"/>
      <c r="F13" s="32"/>
      <c r="H13" s="35">
        <v>10</v>
      </c>
      <c r="I13" s="32" t="s">
        <v>411</v>
      </c>
    </row>
    <row r="14" spans="2:9" ht="15" thickBot="1" x14ac:dyDescent="0.35">
      <c r="B14" s="72"/>
      <c r="C14" s="38"/>
      <c r="D14" s="75"/>
      <c r="F14" s="32"/>
      <c r="H14" s="40"/>
      <c r="I14" s="41"/>
    </row>
    <row r="15" spans="2:9" ht="22.2" customHeight="1" x14ac:dyDescent="0.3">
      <c r="B15" s="72" t="s">
        <v>377</v>
      </c>
      <c r="C15" s="38"/>
      <c r="D15" s="217" t="s">
        <v>379</v>
      </c>
      <c r="F15" s="32"/>
      <c r="H15" s="36"/>
    </row>
    <row r="16" spans="2:9" ht="16.8" customHeight="1" x14ac:dyDescent="0.3">
      <c r="B16" s="72" t="s">
        <v>378</v>
      </c>
      <c r="C16" s="38"/>
      <c r="D16" s="217"/>
      <c r="F16" s="32"/>
      <c r="H16" s="36"/>
    </row>
    <row r="17" spans="2:8" x14ac:dyDescent="0.3">
      <c r="B17" s="37"/>
      <c r="C17" s="38"/>
      <c r="F17" s="32"/>
      <c r="H17" s="36"/>
    </row>
    <row r="18" spans="2:8" ht="28.95" customHeight="1" x14ac:dyDescent="0.3">
      <c r="B18" s="43" t="s">
        <v>380</v>
      </c>
      <c r="C18" s="78"/>
      <c r="D18" s="77" t="s">
        <v>571</v>
      </c>
      <c r="F18" s="32"/>
      <c r="H18" s="36"/>
    </row>
    <row r="19" spans="2:8" x14ac:dyDescent="0.3">
      <c r="B19" s="37"/>
      <c r="F19" s="32"/>
      <c r="H19" s="36"/>
    </row>
    <row r="20" spans="2:8" ht="63" customHeight="1" x14ac:dyDescent="0.3">
      <c r="B20" s="43" t="s">
        <v>382</v>
      </c>
      <c r="C20" s="38"/>
      <c r="D20" s="198" t="s">
        <v>573</v>
      </c>
      <c r="F20" s="32"/>
      <c r="H20" s="36"/>
    </row>
    <row r="21" spans="2:8" x14ac:dyDescent="0.3">
      <c r="B21" s="37"/>
      <c r="C21" s="38"/>
      <c r="F21" s="32"/>
      <c r="H21" s="36"/>
    </row>
    <row r="22" spans="2:8" ht="45" x14ac:dyDescent="0.3">
      <c r="B22" s="43" t="s">
        <v>383</v>
      </c>
      <c r="C22" s="38"/>
      <c r="D22" s="74" t="s">
        <v>420</v>
      </c>
      <c r="E22" s="74"/>
      <c r="F22" s="32"/>
      <c r="H22" s="36"/>
    </row>
    <row r="23" spans="2:8" ht="47.55" customHeight="1" x14ac:dyDescent="0.3">
      <c r="B23" s="43" t="s">
        <v>384</v>
      </c>
      <c r="D23" s="74" t="s">
        <v>419</v>
      </c>
      <c r="F23" s="32"/>
      <c r="H23" s="36"/>
    </row>
    <row r="24" spans="2:8" x14ac:dyDescent="0.3">
      <c r="B24" s="33"/>
      <c r="F24" s="32"/>
      <c r="H24" s="36"/>
    </row>
    <row r="25" spans="2:8" x14ac:dyDescent="0.3">
      <c r="B25" s="72" t="s">
        <v>391</v>
      </c>
      <c r="C25" s="44" t="s">
        <v>284</v>
      </c>
      <c r="D25" s="24" t="s">
        <v>394</v>
      </c>
      <c r="F25" s="32"/>
      <c r="H25" s="36"/>
    </row>
    <row r="26" spans="2:8" x14ac:dyDescent="0.3">
      <c r="B26" s="72" t="s">
        <v>392</v>
      </c>
      <c r="C26" s="44" t="s">
        <v>284</v>
      </c>
      <c r="D26" s="24" t="s">
        <v>296</v>
      </c>
      <c r="F26" s="32"/>
      <c r="H26" s="36"/>
    </row>
    <row r="27" spans="2:8" x14ac:dyDescent="0.3">
      <c r="B27" s="72" t="s">
        <v>396</v>
      </c>
      <c r="D27" s="24" t="s">
        <v>397</v>
      </c>
      <c r="F27" s="32"/>
      <c r="H27" s="36"/>
    </row>
    <row r="28" spans="2:8" x14ac:dyDescent="0.3">
      <c r="B28" s="72"/>
      <c r="F28" s="32"/>
      <c r="H28" s="36"/>
    </row>
    <row r="29" spans="2:8" ht="30" customHeight="1" x14ac:dyDescent="0.3">
      <c r="B29" s="43" t="s">
        <v>387</v>
      </c>
      <c r="D29" s="218" t="s">
        <v>297</v>
      </c>
      <c r="E29" s="74"/>
      <c r="F29" s="45"/>
      <c r="H29" s="36"/>
    </row>
    <row r="30" spans="2:8" x14ac:dyDescent="0.3">
      <c r="B30" s="43" t="s">
        <v>388</v>
      </c>
      <c r="D30" s="218"/>
      <c r="E30" s="74"/>
      <c r="F30" s="45"/>
      <c r="H30" s="36"/>
    </row>
    <row r="31" spans="2:8" x14ac:dyDescent="0.3">
      <c r="B31" s="43"/>
      <c r="D31" s="76"/>
      <c r="E31" s="74"/>
      <c r="F31" s="45"/>
      <c r="H31" s="36"/>
    </row>
    <row r="32" spans="2:8" x14ac:dyDescent="0.3">
      <c r="B32" s="220" t="s">
        <v>389</v>
      </c>
      <c r="C32" s="219" t="s">
        <v>284</v>
      </c>
      <c r="D32" s="34" t="s">
        <v>298</v>
      </c>
      <c r="E32" s="74"/>
      <c r="F32" s="45"/>
      <c r="H32" s="36"/>
    </row>
    <row r="33" spans="2:8" x14ac:dyDescent="0.3">
      <c r="B33" s="220"/>
      <c r="C33" s="219"/>
      <c r="D33" s="36" t="s">
        <v>299</v>
      </c>
      <c r="E33" s="74"/>
      <c r="F33" s="45"/>
      <c r="H33" s="36"/>
    </row>
    <row r="34" spans="2:8" ht="4.2" customHeight="1" x14ac:dyDescent="0.3">
      <c r="B34" s="33"/>
      <c r="F34" s="32"/>
      <c r="H34" s="36"/>
    </row>
    <row r="35" spans="2:8" x14ac:dyDescent="0.3">
      <c r="B35" s="220" t="s">
        <v>390</v>
      </c>
      <c r="C35" s="219" t="s">
        <v>284</v>
      </c>
      <c r="D35" s="34" t="s">
        <v>300</v>
      </c>
      <c r="F35" s="32"/>
      <c r="H35" s="36"/>
    </row>
    <row r="36" spans="2:8" x14ac:dyDescent="0.3">
      <c r="B36" s="220"/>
      <c r="C36" s="219"/>
      <c r="D36" s="36" t="s">
        <v>301</v>
      </c>
      <c r="F36" s="32"/>
      <c r="H36" s="36"/>
    </row>
    <row r="37" spans="2:8" x14ac:dyDescent="0.3">
      <c r="B37" s="33"/>
      <c r="F37" s="32"/>
      <c r="H37" s="36"/>
    </row>
    <row r="38" spans="2:8" ht="28.8" x14ac:dyDescent="0.3">
      <c r="B38" s="43" t="s">
        <v>393</v>
      </c>
      <c r="D38" s="74" t="s">
        <v>302</v>
      </c>
      <c r="E38" s="74"/>
      <c r="F38" s="32"/>
      <c r="H38" s="36"/>
    </row>
    <row r="39" spans="2:8" ht="15" thickBot="1" x14ac:dyDescent="0.35">
      <c r="B39" s="46"/>
      <c r="C39" s="47"/>
      <c r="D39" s="48"/>
      <c r="E39" s="48"/>
      <c r="F39" s="41"/>
    </row>
  </sheetData>
  <sheetProtection algorithmName="SHA-512" hashValue="DDr/wAtLDTqe9K+EMxMqt5xsoO1CBg8glTGWiSP3tOqauFh9jIagKH24uGQAvk2jciX+d9GemmbvYjKULqSTQA==" saltValue="IdqUvjTC4GxG7GYUffQwYA==" spinCount="100000" sheet="1" formatCells="0" formatColumns="0" formatRows="0" insertColumns="0" insertRows="0" insertHyperlinks="0" deleteColumns="0" deleteRows="0" sort="0" autoFilter="0" pivotTables="0"/>
  <mergeCells count="11">
    <mergeCell ref="B35:B36"/>
    <mergeCell ref="B32:B33"/>
    <mergeCell ref="B4:B5"/>
    <mergeCell ref="C4:C5"/>
    <mergeCell ref="B7:B8"/>
    <mergeCell ref="C7:C8"/>
    <mergeCell ref="D15:D16"/>
    <mergeCell ref="D12:D13"/>
    <mergeCell ref="D29:D30"/>
    <mergeCell ref="C32:C33"/>
    <mergeCell ref="C35:C36"/>
  </mergeCells>
  <pageMargins left="0.7" right="0.7" top="0.75" bottom="0.75" header="0.3" footer="0.3"/>
  <pageSetup paperSize="9" orientation="portrait" horizontalDpi="4294967293" verticalDpi="4294967293"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C193"/>
  <sheetViews>
    <sheetView topLeftCell="A113" zoomScale="130" zoomScaleNormal="130" workbookViewId="0">
      <selection activeCell="O84" sqref="O84"/>
    </sheetView>
  </sheetViews>
  <sheetFormatPr defaultRowHeight="14.4" x14ac:dyDescent="0.3"/>
  <cols>
    <col min="1" max="1" width="46.33203125" customWidth="1"/>
    <col min="13" max="26" width="8.77734375" hidden="1" customWidth="1"/>
    <col min="27" max="27" width="19.77734375" customWidth="1"/>
    <col min="28" max="28" width="10.44140625" customWidth="1"/>
  </cols>
  <sheetData>
    <row r="1" spans="1:29" ht="23.4" x14ac:dyDescent="0.45">
      <c r="A1" s="51" t="s">
        <v>548</v>
      </c>
      <c r="C1" s="24"/>
      <c r="D1" s="24"/>
      <c r="E1" s="24"/>
      <c r="F1" s="24"/>
      <c r="G1" s="24"/>
      <c r="H1" s="24"/>
      <c r="I1" s="24"/>
      <c r="J1" s="24"/>
      <c r="K1" s="24"/>
      <c r="L1" s="24"/>
    </row>
    <row r="2" spans="1:29" ht="23.4" x14ac:dyDescent="0.45">
      <c r="A2" s="51"/>
      <c r="C2" s="24"/>
      <c r="D2" s="24"/>
      <c r="E2" s="24"/>
      <c r="F2" s="24"/>
      <c r="G2" s="24"/>
      <c r="H2" s="24"/>
      <c r="I2" s="24"/>
      <c r="J2" s="24"/>
      <c r="K2" s="24"/>
      <c r="L2" s="24"/>
    </row>
    <row r="3" spans="1:29" ht="14.4" customHeight="1" x14ac:dyDescent="0.3">
      <c r="A3" s="225" t="s">
        <v>562</v>
      </c>
      <c r="C3" s="24"/>
      <c r="D3" s="24"/>
      <c r="E3" s="24"/>
      <c r="F3" s="24"/>
      <c r="G3" s="24"/>
      <c r="H3" s="24"/>
      <c r="I3" s="24"/>
      <c r="J3" s="24"/>
      <c r="K3" s="24"/>
      <c r="L3" s="24"/>
    </row>
    <row r="4" spans="1:29" ht="15" customHeight="1" x14ac:dyDescent="0.3">
      <c r="A4" s="225"/>
      <c r="C4" s="24"/>
      <c r="D4" s="24"/>
      <c r="E4" s="24"/>
      <c r="F4" s="24"/>
      <c r="G4" s="24"/>
      <c r="H4" s="24"/>
      <c r="I4" s="24"/>
      <c r="J4" s="24"/>
      <c r="K4" s="24"/>
      <c r="L4" s="24"/>
    </row>
    <row r="5" spans="1:29" ht="15" customHeight="1" x14ac:dyDescent="0.3">
      <c r="A5" s="225"/>
      <c r="C5" s="24"/>
      <c r="D5" s="24"/>
      <c r="E5" s="24"/>
      <c r="F5" s="24"/>
      <c r="G5" s="24"/>
      <c r="H5" s="24"/>
      <c r="I5" s="24"/>
      <c r="J5" s="24"/>
      <c r="K5" s="24"/>
      <c r="L5" s="24"/>
    </row>
    <row r="6" spans="1:29" ht="15" customHeight="1" x14ac:dyDescent="0.3">
      <c r="A6" s="225"/>
      <c r="C6" s="24"/>
      <c r="D6" s="24"/>
      <c r="E6" s="24"/>
      <c r="F6" s="24"/>
      <c r="G6" s="24"/>
      <c r="H6" s="24"/>
      <c r="I6" s="24"/>
      <c r="J6" s="24"/>
      <c r="K6" s="24"/>
      <c r="L6" s="24"/>
    </row>
    <row r="7" spans="1:29" ht="15" customHeight="1" x14ac:dyDescent="0.3">
      <c r="A7" s="225"/>
      <c r="C7" s="24"/>
      <c r="D7" s="24"/>
      <c r="E7" s="24"/>
      <c r="F7" s="24"/>
      <c r="G7" s="24"/>
      <c r="H7" s="24"/>
      <c r="I7" s="24"/>
      <c r="J7" s="24"/>
      <c r="K7" s="24"/>
      <c r="L7" s="24"/>
    </row>
    <row r="8" spans="1:29" ht="15" customHeight="1" x14ac:dyDescent="0.3">
      <c r="A8" s="225"/>
      <c r="C8" s="24"/>
      <c r="D8" s="24"/>
      <c r="E8" s="24"/>
      <c r="F8" s="24"/>
      <c r="G8" s="24"/>
      <c r="H8" s="24"/>
      <c r="I8" s="24"/>
      <c r="J8" s="24"/>
      <c r="K8" s="24"/>
      <c r="L8" s="24"/>
    </row>
    <row r="9" spans="1:29" ht="15" customHeight="1" x14ac:dyDescent="0.3">
      <c r="A9" s="225"/>
      <c r="C9" s="24"/>
      <c r="D9" s="24"/>
      <c r="E9" s="24"/>
      <c r="F9" s="24"/>
      <c r="G9" s="24"/>
      <c r="H9" s="24"/>
      <c r="I9" s="24"/>
      <c r="J9" s="24"/>
      <c r="K9" s="24"/>
      <c r="L9" s="24"/>
      <c r="M9" s="179" t="s">
        <v>549</v>
      </c>
      <c r="N9" s="180"/>
      <c r="O9" s="180"/>
      <c r="T9" s="179" t="s">
        <v>552</v>
      </c>
      <c r="U9" s="180"/>
      <c r="V9" s="180"/>
      <c r="AA9" s="159" t="s">
        <v>550</v>
      </c>
    </row>
    <row r="10" spans="1:29" ht="19.95" customHeight="1" x14ac:dyDescent="0.3">
      <c r="A10" s="225"/>
      <c r="C10" s="24"/>
      <c r="D10" s="24"/>
      <c r="E10" s="24"/>
      <c r="F10" s="24"/>
      <c r="G10" s="24"/>
      <c r="H10" s="24"/>
      <c r="I10" s="24"/>
      <c r="J10" s="24"/>
      <c r="K10" s="24"/>
      <c r="L10" s="24"/>
      <c r="M10" s="180" t="s">
        <v>490</v>
      </c>
      <c r="N10" s="180">
        <f t="array" ref="N10">-(1-EXP(SLOPE(IF(ISNUMBER(PUF_Data!E$4:E$89),LN(PUF_Data!E$4:E$89)),PUF_Data!D$4:D$89)))*100</f>
        <v>-10.866386880041201</v>
      </c>
      <c r="O10" s="180" t="s">
        <v>356</v>
      </c>
      <c r="P10" s="61"/>
      <c r="S10" s="61"/>
      <c r="T10" s="180" t="s">
        <v>490</v>
      </c>
      <c r="U10" s="180">
        <f t="array" ref="U10">-(1-EXP(SLOPE(IF(ISNUMBER(PUF_Data!E$4:E$89),LN(PUF_Data!E$4:E$89)),PUF_Data!D$4:D$89)))*100</f>
        <v>-10.866386880041201</v>
      </c>
      <c r="V10" s="180" t="s">
        <v>356</v>
      </c>
      <c r="W10" s="61"/>
      <c r="X10" s="61"/>
      <c r="Y10" s="61"/>
      <c r="Z10" s="61"/>
      <c r="AA10" s="61" t="s">
        <v>490</v>
      </c>
      <c r="AB10" s="183">
        <f>U10</f>
        <v>-10.866386880041201</v>
      </c>
      <c r="AC10" s="61" t="s">
        <v>356</v>
      </c>
    </row>
    <row r="11" spans="1:29" ht="15" customHeight="1" x14ac:dyDescent="0.3">
      <c r="A11" s="225"/>
      <c r="C11" s="24"/>
      <c r="D11" s="24"/>
      <c r="E11" s="24"/>
      <c r="F11" s="24"/>
      <c r="G11" s="24"/>
      <c r="H11" s="24"/>
      <c r="I11" s="24"/>
      <c r="J11" s="24"/>
      <c r="K11" s="24"/>
      <c r="L11" s="24"/>
      <c r="M11" s="180" t="s">
        <v>491</v>
      </c>
      <c r="N11" s="180">
        <f t="array" ref="N11">-(1-EXP(SLOPE(IF(ISNUMBER(PUF_Data!F$4:F$89),LN(PUF_Data!F$4:F$89)),PUF_Data!D$4:D$89)))*100</f>
        <v>-5.5976555144919837</v>
      </c>
      <c r="O11" s="180" t="s">
        <v>356</v>
      </c>
      <c r="P11" s="59"/>
      <c r="S11" s="59"/>
      <c r="T11" s="180" t="s">
        <v>491</v>
      </c>
      <c r="U11" s="180">
        <f t="array" ref="U11">-(1-EXP(SLOPE(IF(ISNUMBER(PUF_Data!F$4:F$89),LN(PUF_Data!F$4:F$89)),PUF_Data!D$4:D$89)))*100</f>
        <v>-5.5976555144919837</v>
      </c>
      <c r="V11" s="180" t="s">
        <v>356</v>
      </c>
      <c r="W11" s="59"/>
      <c r="X11" s="59"/>
      <c r="Y11" s="59"/>
      <c r="Z11" s="59"/>
      <c r="AA11" s="59" t="s">
        <v>491</v>
      </c>
      <c r="AB11" s="184">
        <f t="shared" ref="AB11:AB14" si="0">U11</f>
        <v>-5.5976555144919837</v>
      </c>
      <c r="AC11" s="59" t="s">
        <v>356</v>
      </c>
    </row>
    <row r="12" spans="1:29" ht="15" customHeight="1" x14ac:dyDescent="0.3">
      <c r="A12" s="225"/>
      <c r="C12" s="24"/>
      <c r="D12" s="24"/>
      <c r="E12" s="24"/>
      <c r="F12" s="24"/>
      <c r="G12" s="24"/>
      <c r="H12" s="24"/>
      <c r="I12" s="24"/>
      <c r="J12" s="24"/>
      <c r="K12" s="24"/>
      <c r="L12" s="24"/>
      <c r="M12" s="180" t="s">
        <v>494</v>
      </c>
      <c r="N12" s="180">
        <f t="array" ref="N12">-(1-EXP(SLOPE(IF(ISNUMBER(PUF_Data!G$4:G$89),LN(PUF_Data!G$4:G$89)),PUF_Data!D$4:D$89)))*100</f>
        <v>-7.5443339340590665</v>
      </c>
      <c r="O12" s="180" t="s">
        <v>356</v>
      </c>
      <c r="P12" s="58"/>
      <c r="S12" s="58"/>
      <c r="T12" s="180" t="s">
        <v>494</v>
      </c>
      <c r="U12" s="180">
        <f t="array" ref="U12">-(1-EXP(SLOPE(IF(ISNUMBER(PUF_Data!G$4:G$89),LN(PUF_Data!G$4:G$89)),PUF_Data!D$4:D$89)))*100</f>
        <v>-7.5443339340590665</v>
      </c>
      <c r="V12" s="180" t="s">
        <v>356</v>
      </c>
      <c r="W12" s="58"/>
      <c r="X12" s="58"/>
      <c r="Y12" s="58"/>
      <c r="Z12" s="58"/>
      <c r="AA12" s="58" t="s">
        <v>494</v>
      </c>
      <c r="AB12" s="185">
        <f t="shared" si="0"/>
        <v>-7.5443339340590665</v>
      </c>
      <c r="AC12" s="58" t="s">
        <v>356</v>
      </c>
    </row>
    <row r="13" spans="1:29" ht="15" customHeight="1" x14ac:dyDescent="0.3">
      <c r="A13" s="225"/>
      <c r="C13" s="24"/>
      <c r="D13" s="24"/>
      <c r="E13" s="24"/>
      <c r="F13" s="24"/>
      <c r="G13" s="24"/>
      <c r="H13" s="24"/>
      <c r="I13" s="24"/>
      <c r="J13" s="24"/>
      <c r="K13" s="24"/>
      <c r="L13" s="24"/>
      <c r="M13" s="180" t="s">
        <v>58</v>
      </c>
      <c r="N13" s="180">
        <f t="array" ref="N13">-(1-EXP(SLOPE(IF(ISNUMBER(PUF_Data!H$4:H$89),LN(PUF_Data!H$4:H$89)),PUF_Data!D$4:D$89)))*100</f>
        <v>-3.31442744878232</v>
      </c>
      <c r="O13" s="180" t="s">
        <v>356</v>
      </c>
      <c r="P13" s="60"/>
      <c r="S13" s="60"/>
      <c r="T13" s="180" t="s">
        <v>58</v>
      </c>
      <c r="U13" s="180">
        <f t="array" ref="U13">-(1-EXP(SLOPE(IF(ISNUMBER(PUF_Data!H$4:H$89),LN(PUF_Data!H$4:H$89)),PUF_Data!D$4:D$89)))*100</f>
        <v>-3.31442744878232</v>
      </c>
      <c r="V13" s="180" t="s">
        <v>356</v>
      </c>
      <c r="W13" s="60"/>
      <c r="X13" s="60"/>
      <c r="Y13" s="60"/>
      <c r="Z13" s="60"/>
      <c r="AA13" s="60" t="s">
        <v>58</v>
      </c>
      <c r="AB13" s="186">
        <f t="shared" si="0"/>
        <v>-3.31442744878232</v>
      </c>
      <c r="AC13" s="60" t="s">
        <v>356</v>
      </c>
    </row>
    <row r="14" spans="1:29" ht="15" customHeight="1" x14ac:dyDescent="0.3">
      <c r="A14" s="225"/>
      <c r="C14" s="24"/>
      <c r="D14" s="24"/>
      <c r="E14" s="24"/>
      <c r="F14" s="24"/>
      <c r="G14" s="24"/>
      <c r="H14" s="24"/>
      <c r="I14" s="24"/>
      <c r="J14" s="24"/>
      <c r="K14" s="24"/>
      <c r="L14" s="24"/>
      <c r="M14" s="180" t="s">
        <v>493</v>
      </c>
      <c r="N14" s="180">
        <f t="array" ref="N14">-(1-EXP(SLOPE(IF(ISNUMBER(PUF_Data!I$4:I$89),LN(PUF_Data!I$4:I$89)),PUF_Data!D$4:D$89)))*100</f>
        <v>-4.8528533331032691</v>
      </c>
      <c r="O14" s="180" t="s">
        <v>356</v>
      </c>
      <c r="P14" s="4"/>
      <c r="S14" s="4"/>
      <c r="T14" s="180" t="s">
        <v>493</v>
      </c>
      <c r="U14" s="180">
        <f t="array" ref="U14">-(1-EXP(SLOPE(IF(ISNUMBER(PUF_Data!I$4:I$89),LN(PUF_Data!I$4:I$89)),PUF_Data!D$4:D$89)))*100</f>
        <v>-4.8528533331032691</v>
      </c>
      <c r="V14" s="180" t="s">
        <v>356</v>
      </c>
      <c r="W14" s="4"/>
      <c r="X14" s="4"/>
      <c r="Y14" s="4"/>
      <c r="Z14" s="4"/>
      <c r="AA14" s="4" t="s">
        <v>493</v>
      </c>
      <c r="AB14" s="187">
        <f t="shared" si="0"/>
        <v>-4.8528533331032691</v>
      </c>
      <c r="AC14" s="4" t="s">
        <v>356</v>
      </c>
    </row>
    <row r="15" spans="1:29" ht="15" customHeight="1" x14ac:dyDescent="0.3">
      <c r="A15" s="225"/>
      <c r="C15" s="24"/>
      <c r="D15" s="24"/>
      <c r="E15" s="24"/>
      <c r="F15" s="24"/>
      <c r="G15" s="24"/>
      <c r="H15" s="24"/>
      <c r="I15" s="24"/>
      <c r="J15" s="24"/>
      <c r="K15" s="24"/>
      <c r="L15" s="24"/>
      <c r="M15" s="180" t="s">
        <v>495</v>
      </c>
      <c r="N15" s="180">
        <f t="array" ref="N15">-(1-EXP(SLOPE(IF(ISNUMBER(PUF_Data!J$4:J$89),LN(PUF_Data!J$4:J$89)),PUF_Data!D$4:D$89)))*100</f>
        <v>40.80211949804908</v>
      </c>
      <c r="O15" s="180" t="s">
        <v>356</v>
      </c>
      <c r="S15" s="62"/>
      <c r="T15" s="180" t="s">
        <v>495</v>
      </c>
      <c r="U15" s="180"/>
      <c r="V15" s="180" t="s">
        <v>356</v>
      </c>
      <c r="W15" s="62"/>
      <c r="X15" s="62"/>
      <c r="Y15" s="62"/>
      <c r="Z15" s="62"/>
      <c r="AA15" s="62" t="s">
        <v>495</v>
      </c>
      <c r="AB15" s="188"/>
      <c r="AC15" s="62" t="s">
        <v>356</v>
      </c>
    </row>
    <row r="16" spans="1:29" ht="15" customHeight="1" x14ac:dyDescent="0.3">
      <c r="A16" s="225"/>
      <c r="C16" s="24"/>
      <c r="D16" s="24"/>
      <c r="E16" s="24"/>
      <c r="F16" s="24"/>
      <c r="G16" s="24"/>
      <c r="H16" s="24"/>
      <c r="I16" s="24"/>
      <c r="J16" s="24"/>
      <c r="K16" s="24"/>
      <c r="L16" s="24"/>
      <c r="M16" s="180" t="s">
        <v>496</v>
      </c>
      <c r="N16" s="180" t="e">
        <f t="array" ref="N16">-(1-EXP(SLOPE(IF(ISNUMBER(PUF_Data!K$4:K$89),LN(PUF_Data!K$4:K$89)),PUF_Data!D$4:D$89)))*100</f>
        <v>#DIV/0!</v>
      </c>
      <c r="O16" s="180" t="s">
        <v>356</v>
      </c>
      <c r="S16" s="105"/>
      <c r="T16" s="180" t="s">
        <v>496</v>
      </c>
      <c r="U16" s="180"/>
      <c r="V16" s="180" t="s">
        <v>356</v>
      </c>
      <c r="W16" s="105"/>
      <c r="X16" s="105"/>
      <c r="Y16" s="105"/>
      <c r="Z16" s="105"/>
      <c r="AA16" s="105" t="s">
        <v>496</v>
      </c>
      <c r="AB16" s="183"/>
      <c r="AC16" s="105" t="s">
        <v>356</v>
      </c>
    </row>
    <row r="17" spans="1:29" ht="15" customHeight="1" x14ac:dyDescent="0.3">
      <c r="A17" s="225"/>
      <c r="C17" s="24"/>
      <c r="D17" s="24"/>
      <c r="E17" s="24"/>
      <c r="F17" s="24"/>
      <c r="G17" s="24"/>
      <c r="H17" s="24"/>
      <c r="I17" s="24"/>
      <c r="J17" s="24"/>
      <c r="K17" s="24"/>
      <c r="L17" s="24"/>
      <c r="M17" s="180" t="s">
        <v>345</v>
      </c>
      <c r="N17" s="180">
        <f t="array" ref="N17">-(1-EXP(SLOPE(IF(ISNUMBER(PUF_Data!L$4:L$89),LN(PUF_Data!L$4:L$89)),PUF_Data!D$4:D$89)))*100</f>
        <v>-20.292566226202645</v>
      </c>
      <c r="O17" s="180" t="s">
        <v>356</v>
      </c>
      <c r="T17" s="180" t="s">
        <v>345</v>
      </c>
      <c r="U17" s="180"/>
      <c r="V17" s="180" t="s">
        <v>356</v>
      </c>
      <c r="AA17" t="s">
        <v>345</v>
      </c>
      <c r="AB17" s="189"/>
      <c r="AC17" t="s">
        <v>356</v>
      </c>
    </row>
    <row r="18" spans="1:29" ht="15" customHeight="1" x14ac:dyDescent="0.3">
      <c r="A18" s="225"/>
      <c r="C18" s="24"/>
      <c r="D18" s="24"/>
      <c r="E18" s="24"/>
      <c r="F18" s="24"/>
      <c r="G18" s="24"/>
      <c r="H18" s="24"/>
      <c r="I18" s="24"/>
      <c r="J18" s="24"/>
      <c r="K18" s="24"/>
      <c r="L18" s="24"/>
      <c r="O18" s="60"/>
      <c r="AB18" s="189"/>
    </row>
    <row r="19" spans="1:29" x14ac:dyDescent="0.3">
      <c r="A19" s="225"/>
      <c r="C19" s="24"/>
      <c r="D19" s="24"/>
      <c r="E19" s="24"/>
      <c r="F19" s="24"/>
      <c r="G19" s="24"/>
      <c r="H19" s="24"/>
      <c r="I19" s="24"/>
      <c r="J19" s="24"/>
      <c r="K19" s="24"/>
      <c r="L19" s="24"/>
      <c r="O19" s="4"/>
      <c r="AB19" s="189"/>
    </row>
    <row r="20" spans="1:29" x14ac:dyDescent="0.3">
      <c r="C20" s="24"/>
      <c r="D20" s="24"/>
      <c r="E20" s="24"/>
      <c r="F20" s="24"/>
      <c r="G20" s="24"/>
      <c r="H20" s="24"/>
      <c r="I20" s="24"/>
      <c r="J20" s="24"/>
      <c r="K20" s="24"/>
      <c r="L20" s="24"/>
      <c r="AB20" s="189"/>
    </row>
    <row r="21" spans="1:29" x14ac:dyDescent="0.3">
      <c r="C21" s="24"/>
      <c r="D21" s="24"/>
      <c r="E21" s="24"/>
      <c r="F21" s="24"/>
      <c r="G21" s="24"/>
      <c r="H21" s="24"/>
      <c r="I21" s="24"/>
      <c r="J21" s="24"/>
      <c r="K21" s="24"/>
      <c r="L21" s="24"/>
      <c r="AB21" s="189"/>
    </row>
    <row r="22" spans="1:29" x14ac:dyDescent="0.3">
      <c r="C22" s="24"/>
      <c r="D22" s="24"/>
      <c r="E22" s="24"/>
      <c r="F22" s="24"/>
      <c r="G22" s="24"/>
      <c r="H22" s="24"/>
      <c r="I22" s="24"/>
      <c r="J22" s="24"/>
      <c r="K22" s="24"/>
      <c r="L22" s="24"/>
      <c r="AB22" s="189"/>
    </row>
    <row r="23" spans="1:29" x14ac:dyDescent="0.3">
      <c r="C23" s="24"/>
      <c r="D23" s="24"/>
      <c r="E23" s="24"/>
      <c r="F23" s="24"/>
      <c r="G23" s="24"/>
      <c r="H23" s="24"/>
      <c r="I23" s="24"/>
      <c r="J23" s="24"/>
      <c r="K23" s="24"/>
      <c r="L23" s="24"/>
      <c r="AB23" s="189"/>
    </row>
    <row r="24" spans="1:29" ht="14.4" customHeight="1" x14ac:dyDescent="0.3">
      <c r="A24" s="224" t="s">
        <v>572</v>
      </c>
      <c r="C24" s="24"/>
      <c r="D24" s="24"/>
      <c r="E24" s="24"/>
      <c r="F24" s="24"/>
      <c r="G24" s="24"/>
      <c r="H24" s="24"/>
      <c r="I24" s="24"/>
      <c r="J24" s="24"/>
      <c r="K24" s="24"/>
      <c r="L24" s="24"/>
      <c r="AB24" s="189"/>
    </row>
    <row r="25" spans="1:29" ht="15" customHeight="1" x14ac:dyDescent="0.3">
      <c r="A25" s="224"/>
      <c r="C25" s="24"/>
      <c r="D25" s="24"/>
      <c r="E25" s="24"/>
      <c r="F25" s="24"/>
      <c r="G25" s="24"/>
      <c r="H25" s="24"/>
      <c r="I25" s="24"/>
      <c r="J25" s="24"/>
      <c r="K25" s="24"/>
      <c r="L25" s="24"/>
      <c r="AB25" s="189"/>
    </row>
    <row r="26" spans="1:29" ht="14.4" customHeight="1" x14ac:dyDescent="0.3">
      <c r="A26" s="224"/>
      <c r="C26" s="24"/>
      <c r="D26" s="24"/>
      <c r="E26" s="24"/>
      <c r="F26" s="24"/>
      <c r="G26" s="24"/>
      <c r="H26" s="24"/>
      <c r="I26" s="24"/>
      <c r="J26" s="24"/>
      <c r="K26" s="24"/>
      <c r="L26" s="24"/>
      <c r="AB26" s="189"/>
    </row>
    <row r="27" spans="1:29" ht="15" customHeight="1" x14ac:dyDescent="0.3">
      <c r="A27" s="224"/>
      <c r="C27" s="24"/>
      <c r="D27" s="24"/>
      <c r="E27" s="24"/>
      <c r="F27" s="24"/>
      <c r="G27" s="24"/>
      <c r="H27" s="24"/>
      <c r="I27" s="24"/>
      <c r="J27" s="24"/>
      <c r="K27" s="24"/>
      <c r="L27" s="24"/>
      <c r="AB27" s="189"/>
    </row>
    <row r="28" spans="1:29" ht="15" customHeight="1" x14ac:dyDescent="0.3">
      <c r="A28" s="224"/>
      <c r="C28" s="24"/>
      <c r="D28" s="24"/>
      <c r="E28" s="24"/>
      <c r="F28" s="24"/>
      <c r="G28" s="24"/>
      <c r="H28" s="24"/>
      <c r="I28" s="24"/>
      <c r="J28" s="24"/>
      <c r="K28" s="24"/>
      <c r="L28" s="24"/>
      <c r="AB28" s="189"/>
    </row>
    <row r="29" spans="1:29" ht="15" customHeight="1" x14ac:dyDescent="0.3">
      <c r="A29" s="224"/>
      <c r="C29" s="24"/>
      <c r="D29" s="24"/>
      <c r="E29" s="24"/>
      <c r="F29" s="24"/>
      <c r="G29" s="24"/>
      <c r="H29" s="24"/>
      <c r="I29" s="24"/>
      <c r="J29" s="24"/>
      <c r="K29" s="24"/>
      <c r="L29" s="24"/>
      <c r="AB29" s="189"/>
    </row>
    <row r="30" spans="1:29" ht="15" customHeight="1" x14ac:dyDescent="0.3">
      <c r="A30" s="224"/>
      <c r="C30" s="24"/>
      <c r="D30" s="24"/>
      <c r="E30" s="24"/>
      <c r="F30" s="24"/>
      <c r="G30" s="24"/>
      <c r="H30" s="24"/>
      <c r="I30" s="24"/>
      <c r="J30" s="24"/>
      <c r="K30" s="24"/>
      <c r="L30" s="24"/>
      <c r="AB30" s="189"/>
    </row>
    <row r="31" spans="1:29" ht="15" customHeight="1" x14ac:dyDescent="0.3">
      <c r="A31" s="224"/>
      <c r="C31" s="24"/>
      <c r="D31" s="24"/>
      <c r="E31" s="24"/>
      <c r="F31" s="24"/>
      <c r="G31" s="24"/>
      <c r="H31" s="24"/>
      <c r="I31" s="24"/>
      <c r="J31" s="24"/>
      <c r="K31" s="24"/>
      <c r="L31" s="24"/>
      <c r="M31" s="179" t="s">
        <v>549</v>
      </c>
      <c r="N31" s="180"/>
      <c r="O31" s="180"/>
      <c r="T31" s="179" t="s">
        <v>552</v>
      </c>
      <c r="U31" s="180"/>
      <c r="V31" s="180"/>
      <c r="AA31" s="159" t="s">
        <v>550</v>
      </c>
      <c r="AB31" s="189"/>
    </row>
    <row r="32" spans="1:29" ht="14.4" customHeight="1" x14ac:dyDescent="0.3">
      <c r="A32" s="224"/>
      <c r="C32" s="24"/>
      <c r="D32" s="24"/>
      <c r="E32" s="24"/>
      <c r="F32" s="24"/>
      <c r="G32" s="24"/>
      <c r="H32" s="24"/>
      <c r="I32" s="24"/>
      <c r="J32" s="24"/>
      <c r="K32" s="24"/>
      <c r="L32" s="24"/>
      <c r="M32" s="180" t="s">
        <v>490</v>
      </c>
      <c r="N32" s="180">
        <f t="array" ref="N32">-(1-EXP(SLOPE(IF(ISNUMBER(PUF_Data!O$4:O$89),LN(PUF_Data!O$4:O$89)),PUF_Data!D$4:D$89)))*100</f>
        <v>35.549479937820138</v>
      </c>
      <c r="O32" s="180" t="s">
        <v>356</v>
      </c>
      <c r="P32" s="61"/>
      <c r="S32" s="61"/>
      <c r="T32" s="180" t="s">
        <v>490</v>
      </c>
      <c r="U32" s="180">
        <f t="array" ref="U32">-(1-EXP(SLOPE(IF(ISNUMBER(PUF_Data!O$4:O$89),LN(PUF_Data!O$4:O$89)),PUF_Data!D$4:D$89)))*100</f>
        <v>35.549479937820138</v>
      </c>
      <c r="V32" s="180" t="s">
        <v>356</v>
      </c>
      <c r="W32" s="61"/>
      <c r="X32" s="61"/>
      <c r="Y32" s="61"/>
      <c r="Z32" s="61"/>
      <c r="AA32" s="61" t="s">
        <v>490</v>
      </c>
      <c r="AB32" s="183">
        <f>U32</f>
        <v>35.549479937820138</v>
      </c>
      <c r="AC32" s="61" t="s">
        <v>356</v>
      </c>
    </row>
    <row r="33" spans="1:29" ht="15" customHeight="1" x14ac:dyDescent="0.3">
      <c r="A33" s="224"/>
      <c r="C33" s="24"/>
      <c r="D33" s="24"/>
      <c r="E33" s="24"/>
      <c r="F33" s="24"/>
      <c r="G33" s="24"/>
      <c r="H33" s="24"/>
      <c r="I33" s="24"/>
      <c r="J33" s="24"/>
      <c r="K33" s="24"/>
      <c r="L33" s="24"/>
      <c r="M33" s="180" t="s">
        <v>491</v>
      </c>
      <c r="N33" s="180">
        <f t="array" ref="N33">-(1-EXP(SLOPE(IF(ISNUMBER(PUF_Data!P$4:P$89),LN(PUF_Data!P$4:P$89)),PUF_Data!D$4:D$89)))*100</f>
        <v>-89.544840828505798</v>
      </c>
      <c r="O33" s="180" t="s">
        <v>356</v>
      </c>
      <c r="P33" s="59"/>
      <c r="S33" s="59"/>
      <c r="T33" s="180" t="s">
        <v>491</v>
      </c>
      <c r="U33" s="180"/>
      <c r="V33" s="180" t="s">
        <v>356</v>
      </c>
      <c r="W33" s="59"/>
      <c r="X33" s="59"/>
      <c r="Y33" s="59"/>
      <c r="Z33" s="59"/>
      <c r="AA33" s="59" t="s">
        <v>491</v>
      </c>
      <c r="AB33" s="184"/>
      <c r="AC33" s="59" t="s">
        <v>356</v>
      </c>
    </row>
    <row r="34" spans="1:29" ht="15" customHeight="1" x14ac:dyDescent="0.3">
      <c r="A34" s="224"/>
      <c r="C34" s="24"/>
      <c r="D34" s="24"/>
      <c r="E34" s="24"/>
      <c r="F34" s="24"/>
      <c r="G34" s="24"/>
      <c r="H34" s="24"/>
      <c r="I34" s="24"/>
      <c r="J34" s="24"/>
      <c r="K34" s="24"/>
      <c r="L34" s="24"/>
      <c r="M34" s="180" t="s">
        <v>494</v>
      </c>
      <c r="N34" s="180">
        <f t="array" ref="N34">-(1-EXP(SLOPE(IF(ISNUMBER(PUF_Data!Q$4:Q$89),LN(PUF_Data!Q$4:Q$89)),PUF_Data!D$4:D$89)))*100</f>
        <v>10.083195648720821</v>
      </c>
      <c r="O34" s="180" t="s">
        <v>356</v>
      </c>
      <c r="P34" s="58"/>
      <c r="S34" s="58"/>
      <c r="T34" s="180" t="s">
        <v>494</v>
      </c>
      <c r="U34" s="180">
        <f t="array" ref="U34">-(1-EXP(SLOPE(IF(ISNUMBER(PUF_Data!Q$4:Q$89),LN(PUF_Data!Q$4:Q$89)),PUF_Data!D$4:D$89)))*100</f>
        <v>10.083195648720821</v>
      </c>
      <c r="V34" s="180" t="s">
        <v>356</v>
      </c>
      <c r="W34" s="58"/>
      <c r="X34" s="58"/>
      <c r="Y34" s="58"/>
      <c r="Z34" s="58"/>
      <c r="AA34" s="58" t="s">
        <v>494</v>
      </c>
      <c r="AB34" s="185">
        <f>U34</f>
        <v>10.083195648720821</v>
      </c>
      <c r="AC34" s="58" t="s">
        <v>356</v>
      </c>
    </row>
    <row r="35" spans="1:29" ht="15" customHeight="1" x14ac:dyDescent="0.3">
      <c r="A35" s="224"/>
      <c r="D35" s="24"/>
      <c r="E35" s="24"/>
      <c r="F35" s="24"/>
      <c r="G35" s="24"/>
      <c r="H35" s="24"/>
      <c r="I35" s="24"/>
      <c r="J35" s="24"/>
      <c r="K35" s="24"/>
      <c r="L35" s="24"/>
      <c r="M35" s="180" t="s">
        <v>58</v>
      </c>
      <c r="N35" s="180">
        <f t="array" ref="N35">-(1-EXP(SLOPE(IF(ISNUMBER(PUF_Data!R$4:R$89),LN(PUF_Data!R$4:R$89)),PUF_Data!D$4:D$89)))*100</f>
        <v>151.39097294363754</v>
      </c>
      <c r="O35" s="180" t="s">
        <v>356</v>
      </c>
      <c r="P35" s="60"/>
      <c r="S35" s="60"/>
      <c r="T35" s="180" t="s">
        <v>58</v>
      </c>
      <c r="U35" s="180">
        <f t="array" ref="U35">-(1-EXP(SLOPE(IF(ISNUMBER(PUF_Data!R$4:R$89),LN(PUF_Data!R$4:R$89)),PUF_Data!D$4:D$89)))*100</f>
        <v>151.39097294363754</v>
      </c>
      <c r="V35" s="180" t="s">
        <v>356</v>
      </c>
      <c r="W35" s="60"/>
      <c r="X35" s="60"/>
      <c r="Y35" s="60"/>
      <c r="Z35" s="60"/>
      <c r="AA35" s="60" t="s">
        <v>58</v>
      </c>
      <c r="AB35" s="186">
        <f t="shared" ref="AB35:AB36" si="1">U35</f>
        <v>151.39097294363754</v>
      </c>
      <c r="AC35" s="60" t="s">
        <v>356</v>
      </c>
    </row>
    <row r="36" spans="1:29" ht="15" customHeight="1" x14ac:dyDescent="0.3">
      <c r="A36" s="224"/>
      <c r="C36" s="24"/>
      <c r="D36" s="24"/>
      <c r="E36" s="24"/>
      <c r="F36" s="24"/>
      <c r="G36" s="24"/>
      <c r="H36" s="24"/>
      <c r="I36" s="24"/>
      <c r="J36" s="24"/>
      <c r="K36" s="24"/>
      <c r="L36" s="24"/>
      <c r="M36" s="180" t="s">
        <v>493</v>
      </c>
      <c r="N36" s="180">
        <f t="array" ref="N36">-(1-EXP(SLOPE(IF(ISNUMBER(PUF_Data!S$4:S$89),LN(PUF_Data!S$4:S$89)),PUF_Data!D$4:D$89)))*100</f>
        <v>-28.227689535399016</v>
      </c>
      <c r="O36" s="180" t="s">
        <v>356</v>
      </c>
      <c r="P36" s="4"/>
      <c r="S36" s="4"/>
      <c r="T36" s="180" t="s">
        <v>493</v>
      </c>
      <c r="U36" s="180">
        <f t="array" ref="U36">-(1-EXP(SLOPE(IF(ISNUMBER(PUF_Data!S$4:S$89),LN(PUF_Data!S$4:S$89)),PUF_Data!D$4:D$89)))*100</f>
        <v>-28.227689535399016</v>
      </c>
      <c r="V36" s="180" t="s">
        <v>356</v>
      </c>
      <c r="W36" s="4"/>
      <c r="X36" s="4"/>
      <c r="Y36" s="4"/>
      <c r="Z36" s="4"/>
      <c r="AA36" s="4" t="s">
        <v>493</v>
      </c>
      <c r="AB36" s="187">
        <f t="shared" si="1"/>
        <v>-28.227689535399016</v>
      </c>
      <c r="AC36" s="4" t="s">
        <v>356</v>
      </c>
    </row>
    <row r="37" spans="1:29" ht="15" customHeight="1" x14ac:dyDescent="0.3">
      <c r="A37" s="224"/>
      <c r="C37" s="24"/>
      <c r="D37" s="24"/>
      <c r="E37" s="24"/>
      <c r="F37" s="24"/>
      <c r="G37" s="24"/>
      <c r="H37" s="24"/>
      <c r="I37" s="24"/>
      <c r="J37" s="24"/>
      <c r="K37" s="24"/>
      <c r="L37" s="24"/>
      <c r="M37" s="180" t="s">
        <v>495</v>
      </c>
      <c r="N37" s="180">
        <f t="array" ref="N37">-(1-EXP(SLOPE(IF(ISNUMBER(PUF_Data!T$4:T$89),LN(PUF_Data!T$4:T$89)),PUF_Data!D$4:D$89)))*100</f>
        <v>-64.648055868096193</v>
      </c>
      <c r="O37" s="180" t="s">
        <v>356</v>
      </c>
      <c r="S37" s="62"/>
      <c r="T37" s="180" t="s">
        <v>495</v>
      </c>
      <c r="U37" s="180"/>
      <c r="V37" s="180" t="s">
        <v>356</v>
      </c>
      <c r="W37" s="62"/>
      <c r="X37" s="62"/>
      <c r="Y37" s="62"/>
      <c r="Z37" s="62"/>
      <c r="AA37" s="62" t="s">
        <v>495</v>
      </c>
      <c r="AB37" s="188"/>
      <c r="AC37" s="62" t="s">
        <v>356</v>
      </c>
    </row>
    <row r="38" spans="1:29" ht="15" customHeight="1" x14ac:dyDescent="0.3">
      <c r="A38" s="224"/>
      <c r="C38" s="24"/>
      <c r="D38" s="24"/>
      <c r="E38" s="24"/>
      <c r="F38" s="24"/>
      <c r="G38" s="24"/>
      <c r="H38" s="24"/>
      <c r="I38" s="24"/>
      <c r="J38" s="24"/>
      <c r="K38" s="24"/>
      <c r="L38" s="24"/>
      <c r="M38" s="180" t="s">
        <v>496</v>
      </c>
      <c r="N38" s="180" t="e">
        <f t="array" ref="N38">-(1-EXP(SLOPE(IF(ISNUMBER(PUF_Data!U$4:U$89),LN(PUF_Data!U$4:U$89)),PUF_Data!D$4:D$89)))*100</f>
        <v>#DIV/0!</v>
      </c>
      <c r="O38" s="180" t="s">
        <v>356</v>
      </c>
      <c r="S38" s="105"/>
      <c r="T38" s="180" t="s">
        <v>496</v>
      </c>
      <c r="U38" s="180"/>
      <c r="V38" s="180" t="s">
        <v>356</v>
      </c>
      <c r="W38" s="105"/>
      <c r="X38" s="105"/>
      <c r="Y38" s="105"/>
      <c r="Z38" s="105"/>
      <c r="AA38" s="105" t="s">
        <v>496</v>
      </c>
      <c r="AB38" s="190"/>
      <c r="AC38" s="105" t="s">
        <v>356</v>
      </c>
    </row>
    <row r="39" spans="1:29" ht="15" customHeight="1" x14ac:dyDescent="0.3">
      <c r="A39" s="224"/>
      <c r="C39" s="24"/>
      <c r="D39" s="24"/>
      <c r="E39" s="24"/>
      <c r="F39" s="24"/>
      <c r="G39" s="24"/>
      <c r="H39" s="24"/>
      <c r="I39" s="24"/>
      <c r="J39" s="24"/>
      <c r="K39" s="24"/>
      <c r="L39" s="24"/>
      <c r="M39" s="180" t="s">
        <v>345</v>
      </c>
      <c r="N39" s="180">
        <f t="array" ref="N39">-(1-EXP(SLOPE(IF(ISNUMBER(PUF_Data!V$4:V$89),LN(PUF_Data!V$4:V$89)),PUF_Data!D$4:D$89)))*100</f>
        <v>23.900570492311534</v>
      </c>
      <c r="O39" s="180" t="s">
        <v>356</v>
      </c>
      <c r="T39" s="180" t="s">
        <v>345</v>
      </c>
      <c r="U39" s="180"/>
      <c r="V39" s="180" t="s">
        <v>356</v>
      </c>
      <c r="AA39" t="s">
        <v>345</v>
      </c>
      <c r="AB39" s="189"/>
      <c r="AC39" t="s">
        <v>356</v>
      </c>
    </row>
    <row r="40" spans="1:29" ht="15" customHeight="1" x14ac:dyDescent="0.3">
      <c r="A40" s="224"/>
      <c r="C40" s="24"/>
      <c r="D40" s="24"/>
      <c r="E40" s="24"/>
      <c r="F40" s="24"/>
      <c r="G40" s="24"/>
      <c r="H40" s="24"/>
      <c r="I40" s="24"/>
      <c r="J40" s="24"/>
      <c r="K40" s="24"/>
      <c r="L40" s="24"/>
      <c r="AB40" s="189"/>
    </row>
    <row r="41" spans="1:29" ht="15" customHeight="1" x14ac:dyDescent="0.3">
      <c r="A41" s="224"/>
      <c r="C41" s="24"/>
      <c r="D41" s="24"/>
      <c r="E41" s="24"/>
      <c r="F41" s="24"/>
      <c r="G41" s="24"/>
      <c r="H41" s="24"/>
      <c r="I41" s="24"/>
      <c r="J41" s="24"/>
      <c r="K41" s="24"/>
      <c r="L41" s="24"/>
      <c r="AB41" s="189"/>
    </row>
    <row r="42" spans="1:29" ht="15" customHeight="1" x14ac:dyDescent="0.3">
      <c r="A42" s="81"/>
      <c r="C42" s="24"/>
      <c r="D42" s="24"/>
      <c r="E42" s="24"/>
      <c r="F42" s="24"/>
      <c r="G42" s="24"/>
      <c r="H42" s="24"/>
      <c r="I42" s="24"/>
      <c r="J42" s="24"/>
      <c r="K42" s="24"/>
      <c r="L42" s="24"/>
      <c r="AB42" s="189"/>
    </row>
    <row r="43" spans="1:29" ht="15" customHeight="1" x14ac:dyDescent="0.3">
      <c r="A43" s="25"/>
      <c r="C43" s="24"/>
      <c r="D43" s="24"/>
      <c r="E43" s="24"/>
      <c r="F43" s="24"/>
      <c r="G43" s="24"/>
      <c r="H43" s="24"/>
      <c r="I43" s="24"/>
      <c r="J43" s="24"/>
      <c r="K43" s="24"/>
      <c r="L43" s="24"/>
      <c r="AB43" s="189"/>
    </row>
    <row r="44" spans="1:29" x14ac:dyDescent="0.3">
      <c r="C44" s="24"/>
      <c r="D44" s="24"/>
      <c r="E44" s="24"/>
      <c r="F44" s="24"/>
      <c r="G44" s="24"/>
      <c r="H44" s="24"/>
      <c r="I44" s="24"/>
      <c r="J44" s="24"/>
      <c r="K44" s="24"/>
      <c r="L44" s="24"/>
      <c r="AB44" s="189"/>
    </row>
    <row r="45" spans="1:29" x14ac:dyDescent="0.3">
      <c r="C45" s="24"/>
      <c r="D45" s="24"/>
      <c r="E45" s="24"/>
      <c r="F45" s="24"/>
      <c r="G45" s="24"/>
      <c r="H45" s="24"/>
      <c r="I45" s="24"/>
      <c r="J45" s="24"/>
      <c r="K45" s="24"/>
      <c r="L45" s="24"/>
      <c r="AB45" s="189"/>
    </row>
    <row r="46" spans="1:29" x14ac:dyDescent="0.3">
      <c r="C46" s="24"/>
      <c r="D46" s="24"/>
      <c r="E46" s="24"/>
      <c r="F46" s="24"/>
      <c r="G46" s="24"/>
      <c r="H46" s="24"/>
      <c r="I46" s="24"/>
      <c r="J46" s="24"/>
      <c r="K46" s="24"/>
      <c r="L46" s="24"/>
      <c r="AB46" s="189"/>
    </row>
    <row r="47" spans="1:29" x14ac:dyDescent="0.3">
      <c r="A47" s="226" t="s">
        <v>590</v>
      </c>
      <c r="C47" s="24"/>
      <c r="D47" s="24"/>
      <c r="E47" s="24"/>
      <c r="F47" s="24"/>
      <c r="G47" s="24"/>
      <c r="H47" s="24"/>
      <c r="I47" s="24"/>
      <c r="J47" s="24"/>
      <c r="K47" s="24"/>
      <c r="L47" s="24"/>
      <c r="AB47" s="189"/>
    </row>
    <row r="48" spans="1:29" x14ac:dyDescent="0.3">
      <c r="A48" s="226"/>
      <c r="C48" s="24"/>
      <c r="D48" s="24"/>
      <c r="E48" s="24"/>
      <c r="F48" s="24"/>
      <c r="G48" s="24"/>
      <c r="H48" s="24"/>
      <c r="I48" s="24"/>
      <c r="J48" s="24"/>
      <c r="K48" s="24"/>
      <c r="L48" s="24"/>
      <c r="AB48" s="189"/>
    </row>
    <row r="49" spans="1:29" x14ac:dyDescent="0.3">
      <c r="A49" s="226"/>
      <c r="C49" s="24"/>
      <c r="D49" s="24"/>
      <c r="E49" s="24"/>
      <c r="F49" s="24"/>
      <c r="G49" s="24"/>
      <c r="H49" s="24"/>
      <c r="I49" s="24"/>
      <c r="J49" s="24"/>
      <c r="K49" s="24"/>
      <c r="L49" s="24"/>
      <c r="AB49" s="189"/>
    </row>
    <row r="50" spans="1:29" x14ac:dyDescent="0.3">
      <c r="A50" s="226"/>
      <c r="C50" s="24"/>
      <c r="D50" s="24"/>
      <c r="E50" s="24"/>
      <c r="F50" s="24"/>
      <c r="G50" s="24"/>
      <c r="H50" s="24"/>
      <c r="I50" s="24"/>
      <c r="J50" s="24"/>
      <c r="K50" s="24"/>
      <c r="L50" s="24"/>
      <c r="AB50" s="189"/>
    </row>
    <row r="51" spans="1:29" x14ac:dyDescent="0.3">
      <c r="A51" s="226"/>
      <c r="C51" s="24"/>
      <c r="D51" s="24"/>
      <c r="E51" s="24"/>
      <c r="F51" s="24"/>
      <c r="G51" s="24"/>
      <c r="H51" s="24"/>
      <c r="I51" s="24"/>
      <c r="J51" s="24"/>
      <c r="K51" s="24"/>
      <c r="L51" s="24"/>
      <c r="AB51" s="189"/>
    </row>
    <row r="52" spans="1:29" x14ac:dyDescent="0.3">
      <c r="A52" s="226"/>
      <c r="C52" s="24"/>
      <c r="D52" s="24"/>
      <c r="E52" s="24"/>
      <c r="F52" s="24"/>
      <c r="G52" s="24"/>
      <c r="H52" s="24"/>
      <c r="I52" s="24"/>
      <c r="J52" s="24"/>
      <c r="K52" s="24"/>
      <c r="L52" s="24"/>
      <c r="AB52" s="189"/>
    </row>
    <row r="53" spans="1:29" x14ac:dyDescent="0.3">
      <c r="A53" s="226"/>
      <c r="C53" s="24"/>
      <c r="D53" s="24"/>
      <c r="E53" s="24"/>
      <c r="F53" s="24"/>
      <c r="G53" s="24"/>
      <c r="H53" s="24"/>
      <c r="I53" s="24"/>
      <c r="J53" s="24"/>
      <c r="K53" s="24"/>
      <c r="L53" s="24"/>
      <c r="M53" s="179" t="s">
        <v>549</v>
      </c>
      <c r="N53" s="180"/>
      <c r="O53" s="180"/>
      <c r="T53" s="179" t="s">
        <v>552</v>
      </c>
      <c r="U53" s="180"/>
      <c r="V53" s="180"/>
      <c r="AA53" s="159" t="s">
        <v>550</v>
      </c>
      <c r="AB53" s="189"/>
    </row>
    <row r="54" spans="1:29" x14ac:dyDescent="0.3">
      <c r="A54" s="226"/>
      <c r="C54" s="24"/>
      <c r="D54" s="24"/>
      <c r="E54" s="24"/>
      <c r="F54" s="24"/>
      <c r="G54" s="24"/>
      <c r="H54" s="24"/>
      <c r="I54" s="24"/>
      <c r="J54" s="24"/>
      <c r="K54" s="24"/>
      <c r="L54" s="24"/>
      <c r="M54" s="180" t="s">
        <v>490</v>
      </c>
      <c r="N54" s="180">
        <f t="array" ref="N54">-(1-EXP(SLOPE(IF(ISNUMBER(PUF_Data!Y$4:Y$89),LN(PUF_Data!Y$4:Y$89)),PUF_Data!D$4:D$89)))*100</f>
        <v>183.04943684606786</v>
      </c>
      <c r="O54" s="180" t="s">
        <v>356</v>
      </c>
      <c r="P54" s="61"/>
      <c r="S54" s="61"/>
      <c r="T54" s="180" t="s">
        <v>490</v>
      </c>
      <c r="U54" s="179">
        <v>-74</v>
      </c>
      <c r="V54" s="180" t="s">
        <v>356</v>
      </c>
      <c r="W54" s="61"/>
      <c r="X54" s="61"/>
      <c r="Y54" s="61"/>
      <c r="Z54" s="61"/>
      <c r="AA54" s="61" t="s">
        <v>490</v>
      </c>
      <c r="AB54" s="183">
        <f>U54</f>
        <v>-74</v>
      </c>
      <c r="AC54" s="61" t="s">
        <v>356</v>
      </c>
    </row>
    <row r="55" spans="1:29" x14ac:dyDescent="0.3">
      <c r="A55" s="226"/>
      <c r="C55" s="24"/>
      <c r="D55" s="24"/>
      <c r="E55" s="24"/>
      <c r="F55" s="24"/>
      <c r="G55" s="24"/>
      <c r="H55" s="24"/>
      <c r="I55" s="24"/>
      <c r="J55" s="24"/>
      <c r="K55" s="24"/>
      <c r="L55" s="24"/>
      <c r="M55" s="180" t="s">
        <v>491</v>
      </c>
      <c r="N55" s="180">
        <f t="array" ref="N55">-(1-EXP(SLOPE(IF(ISNUMBER(PUF_Data!Z$4:Z$89),LN(PUF_Data!Z$4:Z$89)),PUF_Data!D$4:D$89)))*100</f>
        <v>27.059885603416411</v>
      </c>
      <c r="O55" s="180" t="s">
        <v>356</v>
      </c>
      <c r="P55" s="59"/>
      <c r="S55" s="59"/>
      <c r="T55" s="180" t="s">
        <v>491</v>
      </c>
      <c r="U55" s="180"/>
      <c r="V55" s="180" t="s">
        <v>356</v>
      </c>
      <c r="W55" s="59"/>
      <c r="X55" s="59"/>
      <c r="Y55" s="59"/>
      <c r="Z55" s="59"/>
      <c r="AA55" s="59" t="s">
        <v>491</v>
      </c>
      <c r="AB55" s="184"/>
      <c r="AC55" s="59" t="s">
        <v>356</v>
      </c>
    </row>
    <row r="56" spans="1:29" x14ac:dyDescent="0.3">
      <c r="A56" s="226"/>
      <c r="C56" s="24"/>
      <c r="D56" s="24"/>
      <c r="E56" s="24"/>
      <c r="F56" s="24"/>
      <c r="G56" s="24"/>
      <c r="H56" s="24"/>
      <c r="I56" s="24"/>
      <c r="J56" s="24"/>
      <c r="K56" s="24"/>
      <c r="L56" s="24"/>
      <c r="M56" s="180" t="s">
        <v>494</v>
      </c>
      <c r="N56" s="180">
        <f t="array" ref="N56">-(1-EXP(SLOPE(IF(ISNUMBER(PUF_Data!AA$4:AA$89),LN(PUF_Data!AA$4:AA$89)),PUF_Data!D$4:D$89)))*100</f>
        <v>-47.044733522875347</v>
      </c>
      <c r="O56" s="180" t="s">
        <v>356</v>
      </c>
      <c r="P56" s="58"/>
      <c r="S56" s="58"/>
      <c r="T56" s="180" t="s">
        <v>494</v>
      </c>
      <c r="U56" s="180">
        <f t="array" ref="U56">-(1-EXP(SLOPE(IF(ISNUMBER(PUF_Data!AA$4:AA$89),LN(PUF_Data!AA$4:AA$89)),PUF_Data!D$4:D$89)))*100</f>
        <v>-47.044733522875347</v>
      </c>
      <c r="V56" s="180" t="s">
        <v>356</v>
      </c>
      <c r="W56" s="58"/>
      <c r="X56" s="58"/>
      <c r="Y56" s="58"/>
      <c r="Z56" s="58"/>
      <c r="AA56" s="58" t="s">
        <v>494</v>
      </c>
      <c r="AB56" s="185">
        <f t="shared" ref="AB56:AB59" si="2">U56</f>
        <v>-47.044733522875347</v>
      </c>
      <c r="AC56" s="58" t="s">
        <v>356</v>
      </c>
    </row>
    <row r="57" spans="1:29" x14ac:dyDescent="0.3">
      <c r="A57" s="226"/>
      <c r="C57" s="24"/>
      <c r="D57" s="24"/>
      <c r="E57" s="24"/>
      <c r="F57" s="24"/>
      <c r="G57" s="24"/>
      <c r="H57" s="24"/>
      <c r="I57" s="24"/>
      <c r="J57" s="24"/>
      <c r="K57" s="24"/>
      <c r="L57" s="24"/>
      <c r="M57" s="180" t="s">
        <v>58</v>
      </c>
      <c r="N57" s="180">
        <f t="array" ref="N57">-(1-EXP(SLOPE(IF(ISNUMBER(PUF_Data!AB$4:AB$89),LN(PUF_Data!AB$4:AB$89)),PUF_Data!D$4:D$89)))*100</f>
        <v>14.955102743974113</v>
      </c>
      <c r="O57" s="180" t="s">
        <v>356</v>
      </c>
      <c r="P57" s="60"/>
      <c r="S57" s="60"/>
      <c r="T57" s="180" t="s">
        <v>58</v>
      </c>
      <c r="U57" s="180">
        <f t="array" ref="U57">-(1-EXP(SLOPE(IF(ISNUMBER(PUF_Data!AB$4:AB$89),LN(PUF_Data!AB$4:AB$89)),PUF_Data!D$4:D$89)))*100</f>
        <v>14.955102743974113</v>
      </c>
      <c r="V57" s="180" t="s">
        <v>356</v>
      </c>
      <c r="W57" s="60"/>
      <c r="X57" s="60"/>
      <c r="Y57" s="60"/>
      <c r="Z57" s="60"/>
      <c r="AA57" s="60" t="s">
        <v>58</v>
      </c>
      <c r="AB57" s="186">
        <f>U57</f>
        <v>14.955102743974113</v>
      </c>
      <c r="AC57" s="60" t="s">
        <v>356</v>
      </c>
    </row>
    <row r="58" spans="1:29" x14ac:dyDescent="0.3">
      <c r="A58" s="226"/>
      <c r="C58" s="24"/>
      <c r="D58" s="24"/>
      <c r="E58" s="24"/>
      <c r="F58" s="24"/>
      <c r="G58" s="24"/>
      <c r="H58" s="24"/>
      <c r="I58" s="24"/>
      <c r="J58" s="24"/>
      <c r="K58" s="24"/>
      <c r="L58" s="24"/>
      <c r="M58" s="180" t="s">
        <v>493</v>
      </c>
      <c r="N58" s="180">
        <f t="array" ref="N58">-(1-EXP(SLOPE(IF(ISNUMBER(PUF_Data!AC$4:AC$89),LN(PUF_Data!AC$4:AC$89)),PUF_Data!D$4:D$89)))*100</f>
        <v>59989.400404590335</v>
      </c>
      <c r="O58" s="180" t="s">
        <v>356</v>
      </c>
      <c r="P58" s="4"/>
      <c r="S58" s="4"/>
      <c r="T58" s="180" t="s">
        <v>493</v>
      </c>
      <c r="U58" s="180"/>
      <c r="V58" s="180" t="s">
        <v>356</v>
      </c>
      <c r="W58" s="4"/>
      <c r="X58" s="4"/>
      <c r="Y58" s="4"/>
      <c r="Z58" s="4"/>
      <c r="AA58" s="4" t="s">
        <v>493</v>
      </c>
      <c r="AB58" s="187"/>
      <c r="AC58" s="4" t="s">
        <v>356</v>
      </c>
    </row>
    <row r="59" spans="1:29" x14ac:dyDescent="0.3">
      <c r="A59" s="226"/>
      <c r="C59" s="24"/>
      <c r="D59" s="24"/>
      <c r="E59" s="24"/>
      <c r="F59" s="24"/>
      <c r="G59" s="24"/>
      <c r="H59" s="24"/>
      <c r="I59" s="24"/>
      <c r="J59" s="24"/>
      <c r="K59" s="24"/>
      <c r="L59" s="24"/>
      <c r="M59" s="180" t="s">
        <v>495</v>
      </c>
      <c r="N59" s="180">
        <f t="array" ref="N59">-(1-EXP(SLOPE(IF(ISNUMBER(PUF_Data!AD$4:AD$89),LN(PUF_Data!AD$4:AD$89)),PUF_Data!D$4:D$89)))*100</f>
        <v>-64.644660940672622</v>
      </c>
      <c r="O59" s="180" t="s">
        <v>356</v>
      </c>
      <c r="S59" s="62"/>
      <c r="T59" s="180" t="s">
        <v>495</v>
      </c>
      <c r="U59" s="180">
        <f t="array" ref="U59">-(1-EXP(SLOPE(IF(ISNUMBER(PUF_Data!AD$4:AD$89),LN(PUF_Data!AD$4:AD$89)),PUF_Data!D$4:D$89)))*100</f>
        <v>-64.644660940672622</v>
      </c>
      <c r="V59" s="180" t="s">
        <v>356</v>
      </c>
      <c r="W59" s="62"/>
      <c r="X59" s="62"/>
      <c r="Y59" s="62"/>
      <c r="Z59" s="62"/>
      <c r="AA59" s="62" t="s">
        <v>495</v>
      </c>
      <c r="AB59" s="188">
        <f t="shared" si="2"/>
        <v>-64.644660940672622</v>
      </c>
      <c r="AC59" s="62" t="s">
        <v>356</v>
      </c>
    </row>
    <row r="60" spans="1:29" x14ac:dyDescent="0.3">
      <c r="A60" s="226"/>
      <c r="C60" s="24"/>
      <c r="D60" s="24"/>
      <c r="E60" s="24"/>
      <c r="F60" s="24"/>
      <c r="G60" s="24"/>
      <c r="H60" s="24"/>
      <c r="I60" s="24"/>
      <c r="J60" s="24"/>
      <c r="K60" s="24"/>
      <c r="L60" s="24"/>
      <c r="M60" s="180" t="s">
        <v>496</v>
      </c>
      <c r="N60" s="180" t="e">
        <f t="array" ref="N60">-(1-EXP(SLOPE(IF(ISNUMBER(PUF_Data!AE$4:AE$89),LN(PUF_Data!AE$4:AE$89)),PUF_Data!D$4:D$89)))*100</f>
        <v>#DIV/0!</v>
      </c>
      <c r="O60" s="180" t="s">
        <v>356</v>
      </c>
      <c r="S60" s="105"/>
      <c r="T60" s="180" t="s">
        <v>496</v>
      </c>
      <c r="U60" s="180"/>
      <c r="V60" s="180" t="s">
        <v>356</v>
      </c>
      <c r="W60" s="105"/>
      <c r="X60" s="105"/>
      <c r="Y60" s="105"/>
      <c r="Z60" s="105"/>
      <c r="AA60" s="105" t="s">
        <v>496</v>
      </c>
      <c r="AB60" s="190"/>
      <c r="AC60" s="105" t="s">
        <v>356</v>
      </c>
    </row>
    <row r="61" spans="1:29" x14ac:dyDescent="0.3">
      <c r="A61" s="226"/>
      <c r="C61" s="24"/>
      <c r="D61" s="24"/>
      <c r="E61" s="24"/>
      <c r="F61" s="24"/>
      <c r="G61" s="24"/>
      <c r="H61" s="24"/>
      <c r="I61" s="24"/>
      <c r="J61" s="24"/>
      <c r="K61" s="24"/>
      <c r="L61" s="24"/>
      <c r="M61" s="180" t="s">
        <v>345</v>
      </c>
      <c r="N61" s="180">
        <f t="array" ref="N61">-(1-EXP(SLOPE(IF(ISNUMBER(PUF_Data!AF$4:AF$89),LN(PUF_Data!AF$4:AF$89)),PUF_Data!D$4:D$89)))*100</f>
        <v>-26.689398758740424</v>
      </c>
      <c r="O61" s="180" t="s">
        <v>356</v>
      </c>
      <c r="T61" s="180" t="s">
        <v>345</v>
      </c>
      <c r="U61" s="180"/>
      <c r="V61" s="180" t="s">
        <v>356</v>
      </c>
      <c r="AA61" t="s">
        <v>345</v>
      </c>
      <c r="AB61" s="189"/>
      <c r="AC61" t="s">
        <v>356</v>
      </c>
    </row>
    <row r="62" spans="1:29" x14ac:dyDescent="0.3">
      <c r="A62" s="226"/>
      <c r="C62" s="24"/>
      <c r="D62" s="24"/>
      <c r="E62" s="24"/>
      <c r="F62" s="24"/>
      <c r="G62" s="24"/>
      <c r="H62" s="24"/>
      <c r="I62" s="24"/>
      <c r="J62" s="24"/>
      <c r="K62" s="24"/>
      <c r="L62" s="24"/>
      <c r="AB62" s="189"/>
    </row>
    <row r="63" spans="1:29" x14ac:dyDescent="0.3">
      <c r="A63" s="226"/>
      <c r="C63" s="24"/>
      <c r="D63" s="24"/>
      <c r="E63" s="24"/>
      <c r="F63" s="24"/>
      <c r="G63" s="24"/>
      <c r="H63" s="24"/>
      <c r="I63" s="24"/>
      <c r="J63" s="24"/>
      <c r="K63" s="24"/>
      <c r="L63" s="24"/>
      <c r="AB63" s="189"/>
    </row>
    <row r="64" spans="1:29" x14ac:dyDescent="0.3">
      <c r="A64" s="226"/>
      <c r="C64" s="24"/>
      <c r="D64" s="24"/>
      <c r="E64" s="24"/>
      <c r="F64" s="24"/>
      <c r="G64" s="24"/>
      <c r="H64" s="24"/>
      <c r="I64" s="24"/>
      <c r="J64" s="24"/>
      <c r="K64" s="24"/>
      <c r="L64" s="24"/>
      <c r="AB64" s="189"/>
    </row>
    <row r="65" spans="1:28" x14ac:dyDescent="0.3">
      <c r="A65" s="226"/>
      <c r="C65" s="24"/>
      <c r="D65" s="24"/>
      <c r="E65" s="24"/>
      <c r="F65" s="24"/>
      <c r="G65" s="24"/>
      <c r="H65" s="24"/>
      <c r="I65" s="24"/>
      <c r="J65" s="24"/>
      <c r="K65" s="24"/>
      <c r="L65" s="24"/>
      <c r="AB65" s="189"/>
    </row>
    <row r="66" spans="1:28" x14ac:dyDescent="0.3">
      <c r="A66" s="226"/>
      <c r="C66" s="24"/>
      <c r="D66" s="24"/>
      <c r="E66" s="24"/>
      <c r="F66" s="24"/>
      <c r="G66" s="24"/>
      <c r="H66" s="24"/>
      <c r="I66" s="24"/>
      <c r="J66" s="24"/>
      <c r="K66" s="24"/>
      <c r="L66" s="24"/>
      <c r="AB66" s="189"/>
    </row>
    <row r="67" spans="1:28" x14ac:dyDescent="0.3">
      <c r="A67" s="226"/>
      <c r="C67" s="24"/>
      <c r="D67" s="24"/>
      <c r="E67" s="24"/>
      <c r="F67" s="24"/>
      <c r="G67" s="24"/>
      <c r="H67" s="24"/>
      <c r="I67" s="24"/>
      <c r="J67" s="24"/>
      <c r="K67" s="24"/>
      <c r="L67" s="24"/>
      <c r="AB67" s="189"/>
    </row>
    <row r="68" spans="1:28" ht="15.45" customHeight="1" x14ac:dyDescent="0.3">
      <c r="A68" s="226"/>
      <c r="C68" s="24"/>
      <c r="D68" s="24"/>
      <c r="E68" s="24"/>
      <c r="F68" s="24"/>
      <c r="G68" s="24"/>
      <c r="H68" s="24"/>
      <c r="I68" s="24"/>
      <c r="J68" s="24"/>
      <c r="K68" s="24"/>
      <c r="L68" s="24"/>
      <c r="AB68" s="189"/>
    </row>
    <row r="69" spans="1:28" ht="117" customHeight="1" x14ac:dyDescent="0.3">
      <c r="A69" s="226"/>
      <c r="C69" s="24"/>
      <c r="D69" s="24"/>
      <c r="E69" s="24"/>
      <c r="F69" s="24"/>
      <c r="G69" s="24"/>
      <c r="H69" s="24"/>
      <c r="I69" s="24"/>
      <c r="J69" s="24"/>
      <c r="K69" s="24"/>
      <c r="L69" s="24"/>
      <c r="AB69" s="189"/>
    </row>
    <row r="70" spans="1:28" ht="15.45" customHeight="1" x14ac:dyDescent="0.3">
      <c r="A70" s="196"/>
      <c r="C70" s="24"/>
      <c r="D70" s="24"/>
      <c r="E70" s="24"/>
      <c r="F70" s="24"/>
      <c r="G70" s="24"/>
      <c r="H70" s="24"/>
      <c r="I70" s="24"/>
      <c r="J70" s="24"/>
      <c r="K70" s="24"/>
      <c r="L70" s="24"/>
      <c r="AB70" s="189"/>
    </row>
    <row r="71" spans="1:28" ht="15.45" customHeight="1" x14ac:dyDescent="0.3">
      <c r="A71" s="196"/>
      <c r="C71" s="24"/>
      <c r="D71" s="24"/>
      <c r="E71" s="24"/>
      <c r="F71" s="24"/>
      <c r="G71" s="24"/>
      <c r="H71" s="24"/>
      <c r="I71" s="24"/>
      <c r="J71" s="24"/>
      <c r="K71" s="24"/>
      <c r="L71" s="24"/>
      <c r="AB71" s="189"/>
    </row>
    <row r="72" spans="1:28" x14ac:dyDescent="0.3">
      <c r="C72" s="24"/>
      <c r="D72" s="24"/>
      <c r="E72" s="24"/>
      <c r="F72" s="24"/>
      <c r="G72" s="24"/>
      <c r="H72" s="24"/>
      <c r="I72" s="24"/>
      <c r="J72" s="24"/>
      <c r="K72" s="24"/>
      <c r="L72" s="24"/>
      <c r="AB72" s="189"/>
    </row>
    <row r="73" spans="1:28" x14ac:dyDescent="0.3">
      <c r="C73" s="24"/>
      <c r="D73" s="24"/>
      <c r="E73" s="24"/>
      <c r="F73" s="24"/>
      <c r="G73" s="24"/>
      <c r="H73" s="24"/>
      <c r="I73" s="24"/>
      <c r="J73" s="24"/>
      <c r="K73" s="24"/>
      <c r="L73" s="24"/>
      <c r="AB73" s="189"/>
    </row>
    <row r="74" spans="1:28" x14ac:dyDescent="0.3">
      <c r="C74" s="24"/>
      <c r="D74" s="24"/>
      <c r="E74" s="24"/>
      <c r="F74" s="24"/>
      <c r="G74" s="24"/>
      <c r="H74" s="24"/>
      <c r="I74" s="24"/>
      <c r="J74" s="24"/>
      <c r="K74" s="24"/>
      <c r="L74" s="24"/>
      <c r="AB74" s="189"/>
    </row>
    <row r="75" spans="1:28" ht="14.4" customHeight="1" x14ac:dyDescent="0.3">
      <c r="A75" s="222" t="s">
        <v>642</v>
      </c>
      <c r="C75" s="24"/>
      <c r="D75" s="24"/>
      <c r="E75" s="24"/>
      <c r="F75" s="24"/>
      <c r="G75" s="24"/>
      <c r="H75" s="24"/>
      <c r="I75" s="24"/>
      <c r="J75" s="24"/>
      <c r="K75" s="24"/>
      <c r="L75" s="24"/>
      <c r="AB75" s="189"/>
    </row>
    <row r="76" spans="1:28" ht="14.4" customHeight="1" x14ac:dyDescent="0.3">
      <c r="A76" s="222"/>
      <c r="C76" s="24"/>
      <c r="D76" s="24"/>
      <c r="E76" s="24"/>
      <c r="F76" s="24"/>
      <c r="G76" s="24"/>
      <c r="H76" s="24"/>
      <c r="I76" s="24"/>
      <c r="J76" s="24"/>
      <c r="K76" s="24"/>
      <c r="L76" s="24"/>
      <c r="AB76" s="189"/>
    </row>
    <row r="77" spans="1:28" ht="14.4" customHeight="1" x14ac:dyDescent="0.3">
      <c r="A77" s="222"/>
      <c r="C77" s="24"/>
      <c r="D77" s="24"/>
      <c r="E77" s="24"/>
      <c r="F77" s="24"/>
      <c r="G77" s="24"/>
      <c r="H77" s="24"/>
      <c r="I77" s="24"/>
      <c r="J77" s="24"/>
      <c r="K77" s="24"/>
      <c r="L77" s="24"/>
      <c r="AB77" s="189"/>
    </row>
    <row r="78" spans="1:28" ht="14.4" customHeight="1" x14ac:dyDescent="0.3">
      <c r="A78" s="222"/>
      <c r="C78" s="24"/>
      <c r="D78" s="24"/>
      <c r="E78" s="24"/>
      <c r="F78" s="24"/>
      <c r="G78" s="24"/>
      <c r="H78" s="24"/>
      <c r="I78" s="24"/>
      <c r="J78" s="24"/>
      <c r="K78" s="24"/>
      <c r="L78" s="24"/>
      <c r="AB78" s="189"/>
    </row>
    <row r="79" spans="1:28" ht="14.4" customHeight="1" x14ac:dyDescent="0.3">
      <c r="A79" s="222"/>
      <c r="C79" s="24"/>
      <c r="D79" s="24"/>
      <c r="E79" s="24"/>
      <c r="F79" s="24"/>
      <c r="G79" s="24"/>
      <c r="H79" s="24"/>
      <c r="I79" s="24"/>
      <c r="J79" s="24"/>
      <c r="K79" s="24"/>
      <c r="L79" s="24"/>
      <c r="AB79" s="189"/>
    </row>
    <row r="80" spans="1:28" ht="14.4" customHeight="1" x14ac:dyDescent="0.3">
      <c r="A80" s="222"/>
      <c r="C80" s="24"/>
      <c r="D80" s="24"/>
      <c r="E80" s="24"/>
      <c r="F80" s="24"/>
      <c r="G80" s="24"/>
      <c r="H80" s="24"/>
      <c r="I80" s="24"/>
      <c r="J80" s="24"/>
      <c r="K80" s="24"/>
      <c r="L80" s="24"/>
      <c r="AB80" s="189"/>
    </row>
    <row r="81" spans="1:29" ht="14.4" customHeight="1" x14ac:dyDescent="0.3">
      <c r="A81" s="222"/>
      <c r="C81" s="24"/>
      <c r="D81" s="24"/>
      <c r="E81" s="24"/>
      <c r="F81" s="24"/>
      <c r="G81" s="24"/>
      <c r="H81" s="24"/>
      <c r="I81" s="24"/>
      <c r="J81" s="24"/>
      <c r="K81" s="24"/>
      <c r="L81" s="24"/>
      <c r="M81" s="179" t="s">
        <v>549</v>
      </c>
      <c r="N81" s="180"/>
      <c r="O81" s="180"/>
      <c r="T81" s="179" t="s">
        <v>552</v>
      </c>
      <c r="U81" s="180"/>
      <c r="V81" s="180"/>
      <c r="AA81" s="159" t="s">
        <v>550</v>
      </c>
      <c r="AB81" s="189"/>
    </row>
    <row r="82" spans="1:29" ht="14.4" customHeight="1" x14ac:dyDescent="0.3">
      <c r="A82" s="222"/>
      <c r="C82" s="24"/>
      <c r="D82" s="24"/>
      <c r="E82" s="24"/>
      <c r="F82" s="24"/>
      <c r="G82" s="24"/>
      <c r="H82" s="24"/>
      <c r="I82" s="24"/>
      <c r="J82" s="24"/>
      <c r="K82" s="24"/>
      <c r="L82" s="24"/>
      <c r="M82" s="180" t="s">
        <v>490</v>
      </c>
      <c r="N82" s="180">
        <f t="array" ref="N82">-(1-EXP(SLOPE(IF(ISNUMBER(PUF_Data!AI$4:AI$89),LN(PUF_Data!AI$4:AI$89)),PUF_Data!D$4:D$89)))*100</f>
        <v>-37.018430672777349</v>
      </c>
      <c r="O82" s="180" t="s">
        <v>356</v>
      </c>
      <c r="P82" s="61"/>
      <c r="S82" s="61"/>
      <c r="T82" s="180" t="s">
        <v>490</v>
      </c>
      <c r="U82" s="180">
        <f t="array" ref="U82">-(1-EXP(SLOPE(IF(ISNUMBER(PUF_Data!AI$4:AI$89),LN(PUF_Data!AI$4:AI$89)),PUF_Data!D$4:D$89)))*100</f>
        <v>-37.018430672777349</v>
      </c>
      <c r="V82" s="180" t="s">
        <v>356</v>
      </c>
      <c r="W82" s="61"/>
      <c r="X82" s="61"/>
      <c r="Y82" s="61"/>
      <c r="Z82" s="61"/>
      <c r="AA82" s="61" t="s">
        <v>490</v>
      </c>
      <c r="AB82" s="183">
        <f>U82</f>
        <v>-37.018430672777349</v>
      </c>
      <c r="AC82" s="61" t="s">
        <v>356</v>
      </c>
    </row>
    <row r="83" spans="1:29" ht="14.4" customHeight="1" x14ac:dyDescent="0.3">
      <c r="A83" s="222"/>
      <c r="C83" s="24"/>
      <c r="D83" s="24"/>
      <c r="E83" s="24"/>
      <c r="F83" s="24"/>
      <c r="G83" s="24"/>
      <c r="H83" s="24"/>
      <c r="I83" s="24"/>
      <c r="J83" s="24"/>
      <c r="K83" s="24"/>
      <c r="L83" s="24"/>
      <c r="M83" s="180" t="s">
        <v>491</v>
      </c>
      <c r="N83" s="180">
        <f t="array" ref="N83">-(1-EXP(SLOPE(IF(ISNUMBER(PUF_Data!AJ$4:AJ$89),LN(PUF_Data!AJ$4:AJ$89)),PUF_Data!D$4:D$89)))*100</f>
        <v>-37.306032442600134</v>
      </c>
      <c r="O83" s="180" t="s">
        <v>356</v>
      </c>
      <c r="P83" s="59"/>
      <c r="S83" s="59"/>
      <c r="T83" s="180" t="s">
        <v>491</v>
      </c>
      <c r="U83" s="180"/>
      <c r="V83" s="180" t="s">
        <v>356</v>
      </c>
      <c r="W83" s="59"/>
      <c r="X83" s="59"/>
      <c r="Y83" s="59"/>
      <c r="Z83" s="59"/>
      <c r="AA83" s="59" t="s">
        <v>491</v>
      </c>
      <c r="AB83" s="184"/>
      <c r="AC83" s="59" t="s">
        <v>356</v>
      </c>
    </row>
    <row r="84" spans="1:29" ht="14.4" customHeight="1" x14ac:dyDescent="0.3">
      <c r="A84" s="222"/>
      <c r="C84" s="24"/>
      <c r="D84" s="24"/>
      <c r="E84" s="24"/>
      <c r="F84" s="24"/>
      <c r="G84" s="24"/>
      <c r="H84" s="24"/>
      <c r="I84" s="24"/>
      <c r="J84" s="24"/>
      <c r="K84" s="24"/>
      <c r="L84" s="24"/>
      <c r="M84" s="180" t="s">
        <v>494</v>
      </c>
      <c r="N84" s="180">
        <f t="array" ref="N84">-(1-EXP(SLOPE(IF(ISNUMBER(PUF_Data!AK$4:AK$89),LN(PUF_Data!AK$4:AK$89)),PUF_Data!D$4:D$89)))*100</f>
        <v>-2.2287407256267766</v>
      </c>
      <c r="O84" s="180" t="s">
        <v>356</v>
      </c>
      <c r="P84" s="58"/>
      <c r="S84" s="58"/>
      <c r="T84" s="180" t="s">
        <v>494</v>
      </c>
      <c r="U84" s="180">
        <f t="array" ref="U84">-(1-EXP(SLOPE(IF(ISNUMBER(PUF_Data!AK$4:AK$89),LN(PUF_Data!AK$4:AK$89)),PUF_Data!D$4:D$89)))*100</f>
        <v>-2.2287407256267766</v>
      </c>
      <c r="V84" s="180" t="s">
        <v>356</v>
      </c>
      <c r="W84" s="58"/>
      <c r="X84" s="58"/>
      <c r="Y84" s="58"/>
      <c r="Z84" s="58"/>
      <c r="AA84" s="58" t="s">
        <v>494</v>
      </c>
      <c r="AB84" s="185"/>
      <c r="AC84" s="58" t="s">
        <v>356</v>
      </c>
    </row>
    <row r="85" spans="1:29" ht="14.4" customHeight="1" x14ac:dyDescent="0.3">
      <c r="A85" s="222"/>
      <c r="C85" s="24"/>
      <c r="D85" s="24"/>
      <c r="E85" s="24"/>
      <c r="F85" s="24"/>
      <c r="G85" s="24"/>
      <c r="H85" s="24"/>
      <c r="I85" s="24"/>
      <c r="J85" s="24"/>
      <c r="K85" s="24"/>
      <c r="L85" s="24"/>
      <c r="M85" s="180" t="s">
        <v>58</v>
      </c>
      <c r="N85" s="180">
        <f t="array" ref="N85">-(1-EXP(SLOPE(IF(ISNUMBER(PUF_Data!AL$4:AL$89),LN(PUF_Data!AL$4:AL$89)),PUF_Data!D$4:D$89)))*100</f>
        <v>48.313129526178102</v>
      </c>
      <c r="O85" s="180" t="s">
        <v>356</v>
      </c>
      <c r="P85" s="60"/>
      <c r="S85" s="60"/>
      <c r="T85" s="180" t="s">
        <v>58</v>
      </c>
      <c r="U85" s="180">
        <f t="array" ref="U85">-(1-EXP(SLOPE(IF(ISNUMBER(PUF_Data!AL$4:AL$89),LN(PUF_Data!AL$4:AL$89)),PUF_Data!D$4:D$89)))*100</f>
        <v>48.313129526178102</v>
      </c>
      <c r="V85" s="180" t="s">
        <v>356</v>
      </c>
      <c r="W85" s="60"/>
      <c r="X85" s="60"/>
      <c r="Y85" s="60"/>
      <c r="Z85" s="60"/>
      <c r="AA85" s="60" t="s">
        <v>58</v>
      </c>
      <c r="AB85" s="186"/>
      <c r="AC85" s="60" t="s">
        <v>356</v>
      </c>
    </row>
    <row r="86" spans="1:29" ht="14.4" customHeight="1" x14ac:dyDescent="0.3">
      <c r="A86" s="222"/>
      <c r="C86" s="24"/>
      <c r="D86" s="24"/>
      <c r="E86" s="24"/>
      <c r="F86" s="24"/>
      <c r="G86" s="24"/>
      <c r="H86" s="24"/>
      <c r="I86" s="24"/>
      <c r="J86" s="24"/>
      <c r="K86" s="24"/>
      <c r="L86" s="24"/>
      <c r="M86" s="180" t="s">
        <v>493</v>
      </c>
      <c r="N86" s="180">
        <f t="array" ref="N86">-(1-EXP(SLOPE(IF(ISNUMBER(PUF_Data!AM$4:AM$89),LN(PUF_Data!AM$4:AM$89)),PUF_Data!D$4:D$89)))*100</f>
        <v>-54.928660557032885</v>
      </c>
      <c r="O86" s="180" t="s">
        <v>356</v>
      </c>
      <c r="P86" s="4"/>
      <c r="S86" s="4"/>
      <c r="T86" s="180" t="s">
        <v>493</v>
      </c>
      <c r="U86" s="180">
        <f t="array" ref="U86">-(1-EXP(SLOPE(IF(ISNUMBER(PUF_Data!AM$4:AM$89),LN(PUF_Data!AM$4:AM$89)),PUF_Data!D$4:D$89)))*100</f>
        <v>-54.928660557032885</v>
      </c>
      <c r="V86" s="180" t="s">
        <v>356</v>
      </c>
      <c r="W86" s="4"/>
      <c r="X86" s="4"/>
      <c r="Y86" s="4"/>
      <c r="Z86" s="4"/>
      <c r="AA86" s="4" t="s">
        <v>493</v>
      </c>
      <c r="AB86" s="187">
        <f t="shared" ref="AB86" si="3">U86</f>
        <v>-54.928660557032885</v>
      </c>
      <c r="AC86" s="4" t="s">
        <v>356</v>
      </c>
    </row>
    <row r="87" spans="1:29" ht="14.4" customHeight="1" x14ac:dyDescent="0.3">
      <c r="A87" s="222"/>
      <c r="C87" s="24"/>
      <c r="D87" s="24"/>
      <c r="E87" s="24"/>
      <c r="F87" s="24"/>
      <c r="G87" s="24"/>
      <c r="H87" s="24"/>
      <c r="I87" s="24"/>
      <c r="J87" s="24"/>
      <c r="K87" s="24"/>
      <c r="L87" s="24"/>
      <c r="M87" s="180" t="s">
        <v>495</v>
      </c>
      <c r="N87" s="180" t="e">
        <f t="array" ref="N87">-(1-EXP(SLOPE(IF(ISNUMBER(PUF_Data!AN$4:AN$89),LN(PUF_Data!AN$4:AN$89)),PUF_Data!D$4:D$89)))*100</f>
        <v>#DIV/0!</v>
      </c>
      <c r="O87" s="180" t="s">
        <v>356</v>
      </c>
      <c r="S87" s="62"/>
      <c r="T87" s="180" t="s">
        <v>495</v>
      </c>
      <c r="U87" s="180"/>
      <c r="V87" s="180" t="s">
        <v>356</v>
      </c>
      <c r="W87" s="62"/>
      <c r="X87" s="62"/>
      <c r="Y87" s="62"/>
      <c r="Z87" s="62"/>
      <c r="AA87" s="62" t="s">
        <v>495</v>
      </c>
      <c r="AB87" s="188"/>
      <c r="AC87" s="62" t="s">
        <v>356</v>
      </c>
    </row>
    <row r="88" spans="1:29" ht="14.4" customHeight="1" x14ac:dyDescent="0.3">
      <c r="A88" s="222"/>
      <c r="C88" s="24"/>
      <c r="D88" s="24"/>
      <c r="E88" s="24"/>
      <c r="F88" s="24"/>
      <c r="G88" s="24"/>
      <c r="H88" s="24"/>
      <c r="I88" s="24"/>
      <c r="J88" s="24"/>
      <c r="K88" s="24"/>
      <c r="L88" s="24"/>
      <c r="M88" s="180" t="s">
        <v>496</v>
      </c>
      <c r="N88" s="180" t="e">
        <f t="array" ref="N88">-(1-EXP(SLOPE(IF(ISNUMBER(PUF_Data!AO$4:AO$89),LN(PUF_Data!AO$4:AO$89)),PUF_Data!D$4:D$89)))*100</f>
        <v>#DIV/0!</v>
      </c>
      <c r="O88" s="180" t="s">
        <v>356</v>
      </c>
      <c r="S88" s="105"/>
      <c r="T88" s="180" t="s">
        <v>496</v>
      </c>
      <c r="U88" s="180"/>
      <c r="V88" s="180" t="s">
        <v>356</v>
      </c>
      <c r="W88" s="105"/>
      <c r="X88" s="105"/>
      <c r="Y88" s="105"/>
      <c r="Z88" s="105"/>
      <c r="AA88" s="105" t="s">
        <v>496</v>
      </c>
      <c r="AB88" s="190"/>
      <c r="AC88" s="105" t="s">
        <v>356</v>
      </c>
    </row>
    <row r="89" spans="1:29" ht="15.6" customHeight="1" x14ac:dyDescent="0.3">
      <c r="A89" s="222"/>
      <c r="C89" s="24"/>
      <c r="D89" s="24"/>
      <c r="E89" s="24"/>
      <c r="F89" s="24"/>
      <c r="G89" s="24"/>
      <c r="H89" s="24"/>
      <c r="I89" s="24"/>
      <c r="J89" s="24"/>
      <c r="K89" s="24"/>
      <c r="L89" s="24"/>
      <c r="M89" s="180" t="s">
        <v>345</v>
      </c>
      <c r="N89" s="180">
        <f t="array" ref="N89">-(1-EXP(SLOPE(IF(ISNUMBER(PUF_Data!AP$4:AP$89),LN(PUF_Data!AP$4:AP$89)),PUF_Data!D$4:D$89)))*100</f>
        <v>11.043033012346971</v>
      </c>
      <c r="O89" s="180" t="s">
        <v>356</v>
      </c>
      <c r="T89" s="180" t="s">
        <v>345</v>
      </c>
      <c r="U89" s="180"/>
      <c r="V89" s="180" t="s">
        <v>356</v>
      </c>
      <c r="AA89" t="s">
        <v>345</v>
      </c>
      <c r="AB89" s="189"/>
      <c r="AC89" t="s">
        <v>356</v>
      </c>
    </row>
    <row r="90" spans="1:29" ht="14.4" customHeight="1" x14ac:dyDescent="0.3">
      <c r="A90" s="222"/>
      <c r="C90" s="24"/>
      <c r="D90" s="24"/>
      <c r="E90" s="24"/>
      <c r="F90" s="24"/>
      <c r="G90" s="24"/>
      <c r="H90" s="24"/>
      <c r="I90" s="24"/>
      <c r="J90" s="24"/>
      <c r="K90" s="24"/>
      <c r="L90" s="24"/>
    </row>
    <row r="91" spans="1:29" ht="14.4" customHeight="1" x14ac:dyDescent="0.3">
      <c r="A91" s="222"/>
      <c r="C91" s="24"/>
      <c r="D91" s="24"/>
      <c r="E91" s="24"/>
      <c r="F91" s="24"/>
      <c r="G91" s="24"/>
      <c r="H91" s="24"/>
      <c r="I91" s="24"/>
      <c r="J91" s="24"/>
      <c r="K91" s="24"/>
      <c r="L91" s="24"/>
    </row>
    <row r="92" spans="1:29" ht="14.4" customHeight="1" x14ac:dyDescent="0.3">
      <c r="A92" s="222"/>
      <c r="C92" s="24"/>
      <c r="D92" s="24"/>
      <c r="E92" s="24"/>
      <c r="F92" s="24"/>
      <c r="G92" s="24"/>
      <c r="H92" s="24"/>
      <c r="I92" s="24"/>
      <c r="J92" s="24"/>
      <c r="K92" s="24"/>
      <c r="L92" s="24"/>
    </row>
    <row r="93" spans="1:29" ht="14.4" customHeight="1" x14ac:dyDescent="0.3">
      <c r="A93" s="222"/>
      <c r="C93" s="24"/>
      <c r="D93" s="24"/>
      <c r="E93" s="24"/>
      <c r="F93" s="24"/>
      <c r="G93" s="24"/>
      <c r="H93" s="24"/>
      <c r="I93" s="24"/>
      <c r="J93" s="24"/>
      <c r="K93" s="24"/>
      <c r="L93" s="24"/>
    </row>
    <row r="94" spans="1:29" x14ac:dyDescent="0.3">
      <c r="A94" s="222"/>
      <c r="C94" s="24"/>
      <c r="D94" s="24"/>
      <c r="E94" s="24"/>
      <c r="F94" s="24"/>
      <c r="G94" s="24"/>
      <c r="H94" s="24"/>
      <c r="I94" s="24"/>
      <c r="J94" s="24"/>
      <c r="K94" s="24"/>
      <c r="L94" s="24"/>
    </row>
    <row r="95" spans="1:29" ht="14.4" customHeight="1" x14ac:dyDescent="0.3">
      <c r="C95" s="24"/>
      <c r="D95" s="24"/>
      <c r="E95" s="24"/>
      <c r="F95" s="24"/>
      <c r="G95" s="24"/>
      <c r="H95" s="24"/>
      <c r="I95" s="24"/>
      <c r="J95" s="24"/>
      <c r="K95" s="24"/>
      <c r="L95" s="24"/>
    </row>
    <row r="96" spans="1:29" ht="14.4" customHeight="1" x14ac:dyDescent="0.3"/>
    <row r="97" spans="1:29" ht="14.4" customHeight="1" x14ac:dyDescent="0.3"/>
    <row r="98" spans="1:29" ht="14.4" customHeight="1" x14ac:dyDescent="0.3"/>
    <row r="99" spans="1:29" ht="14.4" customHeight="1" x14ac:dyDescent="0.3"/>
    <row r="100" spans="1:29" ht="14.4" customHeight="1" x14ac:dyDescent="0.3"/>
    <row r="101" spans="1:29" ht="14.4" customHeight="1" x14ac:dyDescent="0.3"/>
    <row r="102" spans="1:29" ht="14.4" customHeight="1" x14ac:dyDescent="0.3"/>
    <row r="103" spans="1:29" ht="23.4" x14ac:dyDescent="0.45">
      <c r="A103" s="51" t="s">
        <v>553</v>
      </c>
      <c r="C103" s="24"/>
      <c r="D103" s="24"/>
      <c r="E103" s="24"/>
      <c r="F103" s="24"/>
      <c r="G103" s="24"/>
      <c r="H103" s="24"/>
      <c r="I103" s="24"/>
      <c r="J103" s="24"/>
      <c r="K103" s="24"/>
      <c r="L103" s="24"/>
    </row>
    <row r="104" spans="1:29" ht="14.4" customHeight="1" x14ac:dyDescent="0.45">
      <c r="A104" s="51"/>
      <c r="C104" s="24"/>
      <c r="D104" s="24"/>
      <c r="E104" s="24"/>
      <c r="F104" s="24"/>
      <c r="G104" s="24"/>
      <c r="H104" s="24"/>
      <c r="I104" s="24"/>
      <c r="J104" s="24"/>
      <c r="K104" s="24"/>
      <c r="L104" s="24"/>
    </row>
    <row r="105" spans="1:29" ht="14.4" customHeight="1" x14ac:dyDescent="0.3">
      <c r="A105" s="223" t="s">
        <v>592</v>
      </c>
      <c r="C105" s="24"/>
      <c r="D105" s="24"/>
      <c r="E105" s="24"/>
      <c r="F105" s="24"/>
      <c r="G105" s="24"/>
      <c r="H105" s="24"/>
      <c r="I105" s="24"/>
      <c r="J105" s="24"/>
      <c r="K105" s="24"/>
      <c r="L105" s="24"/>
    </row>
    <row r="106" spans="1:29" ht="14.4" customHeight="1" x14ac:dyDescent="0.3">
      <c r="A106" s="223"/>
      <c r="C106" s="24"/>
      <c r="D106" s="24"/>
      <c r="E106" s="24"/>
      <c r="F106" s="24"/>
      <c r="G106" s="24"/>
      <c r="H106" s="24"/>
      <c r="I106" s="24"/>
      <c r="J106" s="24"/>
      <c r="K106" s="24"/>
      <c r="L106" s="24"/>
    </row>
    <row r="107" spans="1:29" ht="14.4" customHeight="1" x14ac:dyDescent="0.3">
      <c r="A107" s="223"/>
      <c r="C107" s="24"/>
      <c r="D107" s="24"/>
      <c r="E107" s="24"/>
      <c r="F107" s="24"/>
      <c r="G107" s="24"/>
      <c r="H107" s="24"/>
      <c r="I107" s="24"/>
      <c r="J107" s="24"/>
      <c r="K107" s="24"/>
      <c r="L107" s="24"/>
    </row>
    <row r="108" spans="1:29" ht="14.4" customHeight="1" x14ac:dyDescent="0.3">
      <c r="A108" s="223"/>
      <c r="C108" s="24"/>
      <c r="D108" s="24"/>
      <c r="E108" s="24"/>
      <c r="F108" s="24"/>
      <c r="G108" s="24"/>
      <c r="H108" s="24"/>
      <c r="I108" s="24"/>
      <c r="J108" s="24"/>
      <c r="K108" s="24"/>
      <c r="L108" s="24"/>
    </row>
    <row r="109" spans="1:29" ht="14.4" customHeight="1" x14ac:dyDescent="0.3">
      <c r="A109" s="223"/>
      <c r="C109" s="24"/>
      <c r="D109" s="24"/>
      <c r="E109" s="24"/>
      <c r="F109" s="24"/>
      <c r="G109" s="24"/>
      <c r="H109" s="24"/>
      <c r="I109" s="24"/>
      <c r="J109" s="24"/>
      <c r="K109" s="24"/>
      <c r="L109" s="24"/>
    </row>
    <row r="110" spans="1:29" x14ac:dyDescent="0.3">
      <c r="A110" s="223"/>
      <c r="C110" s="24"/>
      <c r="D110" s="24"/>
      <c r="E110" s="24"/>
      <c r="F110" s="24"/>
      <c r="G110" s="24"/>
      <c r="H110" s="24"/>
      <c r="I110" s="24"/>
      <c r="J110" s="24"/>
      <c r="K110" s="24"/>
      <c r="L110" s="24"/>
    </row>
    <row r="111" spans="1:29" x14ac:dyDescent="0.3">
      <c r="A111" s="223"/>
      <c r="C111" s="24"/>
      <c r="D111" s="24"/>
      <c r="E111" s="24"/>
      <c r="F111" s="24"/>
      <c r="G111" s="24"/>
      <c r="H111" s="24"/>
      <c r="I111" s="24"/>
      <c r="J111" s="24"/>
      <c r="K111" s="24"/>
      <c r="L111" s="24"/>
      <c r="M111" s="179" t="s">
        <v>549</v>
      </c>
      <c r="N111" s="180"/>
      <c r="O111" s="180"/>
      <c r="T111" s="179" t="s">
        <v>552</v>
      </c>
      <c r="U111" s="180"/>
      <c r="V111" s="180"/>
      <c r="AA111" s="159" t="s">
        <v>550</v>
      </c>
    </row>
    <row r="112" spans="1:29" x14ac:dyDescent="0.3">
      <c r="A112" s="223"/>
      <c r="C112" s="24"/>
      <c r="D112" s="24"/>
      <c r="E112" s="24"/>
      <c r="F112" s="24"/>
      <c r="G112" s="24"/>
      <c r="H112" s="24"/>
      <c r="I112" s="24"/>
      <c r="J112" s="24"/>
      <c r="K112" s="24"/>
      <c r="L112" s="24"/>
      <c r="M112" s="180" t="s">
        <v>490</v>
      </c>
      <c r="N112" s="180" t="e">
        <f t="array" ref="N112">-(1-EXP(SLOPE(IF(ISNUMBER(PUF_Data!BC$4:BC$89),LN(PUF_Data!BC$4:BC$89)),PUF_Data!D$4:D$89)))*100</f>
        <v>#DIV/0!</v>
      </c>
      <c r="O112" s="180" t="s">
        <v>356</v>
      </c>
      <c r="P112" s="61"/>
      <c r="S112" s="61"/>
      <c r="T112" s="180" t="s">
        <v>490</v>
      </c>
      <c r="U112" s="180"/>
      <c r="V112" s="180" t="s">
        <v>356</v>
      </c>
      <c r="W112" s="61"/>
      <c r="X112" s="61"/>
      <c r="Y112" s="61"/>
      <c r="Z112" s="61"/>
      <c r="AA112" s="61" t="s">
        <v>490</v>
      </c>
      <c r="AB112" s="183"/>
      <c r="AC112" s="61" t="s">
        <v>356</v>
      </c>
    </row>
    <row r="113" spans="1:29" x14ac:dyDescent="0.3">
      <c r="A113" s="223"/>
      <c r="C113" s="24"/>
      <c r="D113" s="24"/>
      <c r="E113" s="24"/>
      <c r="F113" s="24"/>
      <c r="G113" s="24"/>
      <c r="H113" s="24"/>
      <c r="I113" s="24"/>
      <c r="J113" s="24"/>
      <c r="K113" s="24"/>
      <c r="L113" s="24"/>
      <c r="M113" s="180" t="s">
        <v>491</v>
      </c>
      <c r="N113" s="180">
        <f t="array" ref="N113">-(1-EXP(SLOPE(IF(ISNUMBER(PUF_Data!BD$4:BD$89),LN(PUF_Data!BD$4:BD$89)),PUF_Data!D$4:D$89)))*100</f>
        <v>-25.734660343861737</v>
      </c>
      <c r="O113" s="180" t="s">
        <v>356</v>
      </c>
      <c r="P113" s="59"/>
      <c r="S113" s="59"/>
      <c r="T113" s="180" t="s">
        <v>491</v>
      </c>
      <c r="U113" s="180">
        <f t="array" ref="U113">-(1-EXP(SLOPE(IF(ISNUMBER(PUF_Data!BD$4:BD$89),LN(PUF_Data!BD$4:BD$89)),PUF_Data!D$4:D$89)))*100</f>
        <v>-25.734660343861737</v>
      </c>
      <c r="V113" s="180" t="s">
        <v>356</v>
      </c>
      <c r="W113" s="59"/>
      <c r="X113" s="59"/>
      <c r="Y113" s="59"/>
      <c r="Z113" s="59"/>
      <c r="AA113" s="59" t="s">
        <v>491</v>
      </c>
      <c r="AB113" s="184">
        <f t="shared" ref="AB113" si="4">U113</f>
        <v>-25.734660343861737</v>
      </c>
      <c r="AC113" s="59" t="s">
        <v>356</v>
      </c>
    </row>
    <row r="114" spans="1:29" x14ac:dyDescent="0.3">
      <c r="A114" s="223"/>
      <c r="C114" s="24"/>
      <c r="D114" s="24"/>
      <c r="E114" s="24"/>
      <c r="F114" s="24"/>
      <c r="G114" s="24"/>
      <c r="H114" s="24"/>
      <c r="I114" s="24"/>
      <c r="J114" s="24"/>
      <c r="K114" s="24"/>
      <c r="L114" s="24"/>
      <c r="M114" s="180" t="s">
        <v>494</v>
      </c>
      <c r="N114" s="180">
        <f t="array" ref="N114">-(1-EXP(SLOPE(IF(ISNUMBER(PUF_Data!BE$4:BE$89),LN(PUF_Data!BE$4:BE$89)),PUF_Data!D$4:D$89)))*100</f>
        <v>-91.028861022167888</v>
      </c>
      <c r="O114" s="180" t="s">
        <v>356</v>
      </c>
      <c r="P114" s="58"/>
      <c r="S114" s="58"/>
      <c r="T114" s="180" t="s">
        <v>494</v>
      </c>
      <c r="U114" s="180">
        <f t="array" ref="U114">-(1-EXP(SLOPE(IF(ISNUMBER(PUF_Data!BE$4:BE$89),LN(PUF_Data!BE$4:BE$89)),PUF_Data!D$4:D$89)))*100</f>
        <v>-91.028861022167888</v>
      </c>
      <c r="V114" s="180" t="s">
        <v>356</v>
      </c>
      <c r="W114" s="58"/>
      <c r="X114" s="58"/>
      <c r="Y114" s="58"/>
      <c r="Z114" s="58"/>
      <c r="AA114" s="58" t="s">
        <v>494</v>
      </c>
      <c r="AB114" s="185">
        <f>U114</f>
        <v>-91.028861022167888</v>
      </c>
      <c r="AC114" s="58" t="s">
        <v>356</v>
      </c>
    </row>
    <row r="115" spans="1:29" x14ac:dyDescent="0.3">
      <c r="A115" s="223"/>
      <c r="C115" s="24"/>
      <c r="D115" s="24"/>
      <c r="E115" s="24"/>
      <c r="F115" s="24"/>
      <c r="G115" s="24"/>
      <c r="H115" s="24"/>
      <c r="I115" s="24"/>
      <c r="J115" s="24"/>
      <c r="K115" s="24"/>
      <c r="L115" s="24"/>
      <c r="M115" s="180" t="s">
        <v>58</v>
      </c>
      <c r="N115" s="180">
        <f t="array" ref="N115">-(1-EXP(SLOPE(IF(ISNUMBER(PUF_Data!BF$4:BF$89),LN(PUF_Data!BF$4:BF$89)),PUF_Data!D$4:D$89)))*100</f>
        <v>-86.368379955380121</v>
      </c>
      <c r="O115" s="180" t="s">
        <v>356</v>
      </c>
      <c r="P115" s="60"/>
      <c r="S115" s="60"/>
      <c r="T115" s="180" t="s">
        <v>58</v>
      </c>
      <c r="U115" s="180"/>
      <c r="V115" s="180" t="s">
        <v>356</v>
      </c>
      <c r="W115" s="60"/>
      <c r="X115" s="60"/>
      <c r="Y115" s="60"/>
      <c r="Z115" s="60"/>
      <c r="AA115" s="60" t="s">
        <v>58</v>
      </c>
      <c r="AB115" s="186"/>
      <c r="AC115" s="60" t="s">
        <v>356</v>
      </c>
    </row>
    <row r="116" spans="1:29" x14ac:dyDescent="0.3">
      <c r="A116" s="223"/>
      <c r="C116" s="24"/>
      <c r="D116" s="24"/>
      <c r="E116" s="24"/>
      <c r="F116" s="24"/>
      <c r="G116" s="24"/>
      <c r="H116" s="24"/>
      <c r="I116" s="24"/>
      <c r="J116" s="24"/>
      <c r="K116" s="24"/>
      <c r="L116" s="24"/>
      <c r="M116" s="180" t="s">
        <v>493</v>
      </c>
      <c r="N116" s="180">
        <f t="array" ref="N116">-(1-EXP(SLOPE(IF(ISNUMBER(PUF_Data!BG$4:BG$89),LN(PUF_Data!BG$4:BG$89)),PUF_Data!D$4:D$89)))*100</f>
        <v>-43.855253438343723</v>
      </c>
      <c r="O116" s="180" t="s">
        <v>356</v>
      </c>
      <c r="P116" s="4"/>
      <c r="S116" s="4"/>
      <c r="T116" s="180" t="s">
        <v>493</v>
      </c>
      <c r="U116" s="180"/>
      <c r="V116" s="180" t="s">
        <v>356</v>
      </c>
      <c r="W116" s="4"/>
      <c r="X116" s="4"/>
      <c r="Y116" s="4"/>
      <c r="Z116" s="4"/>
      <c r="AA116" s="4" t="s">
        <v>493</v>
      </c>
      <c r="AB116" s="187"/>
      <c r="AC116" s="4" t="s">
        <v>356</v>
      </c>
    </row>
    <row r="117" spans="1:29" x14ac:dyDescent="0.3">
      <c r="A117" s="223"/>
      <c r="C117" s="24"/>
      <c r="D117" s="24"/>
      <c r="E117" s="24"/>
      <c r="F117" s="24"/>
      <c r="G117" s="24"/>
      <c r="H117" s="24"/>
      <c r="I117" s="24"/>
      <c r="J117" s="24"/>
      <c r="K117" s="24"/>
      <c r="L117" s="24"/>
      <c r="M117" s="180" t="s">
        <v>495</v>
      </c>
      <c r="N117" s="180">
        <f t="array" ref="N117">-(1-EXP(SLOPE(IF(ISNUMBER(PUF_Data!BH$4:BH$89),LN(PUF_Data!BH$4:BH$89)),PUF_Data!D$4:D$89)))*100</f>
        <v>-99.985162500000001</v>
      </c>
      <c r="O117" s="180" t="s">
        <v>356</v>
      </c>
      <c r="S117" s="62"/>
      <c r="T117" s="180" t="s">
        <v>495</v>
      </c>
      <c r="U117" s="180"/>
      <c r="V117" s="180" t="s">
        <v>356</v>
      </c>
      <c r="W117" s="62"/>
      <c r="X117" s="62"/>
      <c r="Y117" s="62"/>
      <c r="Z117" s="62"/>
      <c r="AA117" s="62" t="s">
        <v>495</v>
      </c>
      <c r="AB117" s="188"/>
      <c r="AC117" s="62" t="s">
        <v>356</v>
      </c>
    </row>
    <row r="118" spans="1:29" x14ac:dyDescent="0.3">
      <c r="A118" s="223"/>
      <c r="C118" s="24"/>
      <c r="D118" s="24"/>
      <c r="E118" s="24"/>
      <c r="F118" s="24"/>
      <c r="G118" s="24"/>
      <c r="H118" s="24"/>
      <c r="I118" s="24"/>
      <c r="J118" s="24"/>
      <c r="K118" s="24"/>
      <c r="L118" s="24"/>
      <c r="M118" s="180" t="s">
        <v>496</v>
      </c>
      <c r="N118" s="180" t="e">
        <f t="array" ref="N118">-(1-EXP(SLOPE(IF(ISNUMBER(PUF_Data!BI$4:BI$89),LN(PUF_Data!BI$4:BI$89)),PUF_Data!D$4:D$89)))*100</f>
        <v>#DIV/0!</v>
      </c>
      <c r="O118" s="180" t="s">
        <v>356</v>
      </c>
      <c r="S118" s="105"/>
      <c r="T118" s="180" t="s">
        <v>496</v>
      </c>
      <c r="U118" s="180"/>
      <c r="V118" s="180" t="s">
        <v>356</v>
      </c>
      <c r="W118" s="105"/>
      <c r="X118" s="105"/>
      <c r="Y118" s="105"/>
      <c r="Z118" s="105"/>
      <c r="AA118" s="105" t="s">
        <v>496</v>
      </c>
      <c r="AB118" s="183"/>
      <c r="AC118" s="105" t="s">
        <v>356</v>
      </c>
    </row>
    <row r="119" spans="1:29" x14ac:dyDescent="0.3">
      <c r="A119" s="223"/>
      <c r="C119" s="24"/>
      <c r="D119" s="24"/>
      <c r="E119" s="24"/>
      <c r="F119" s="24"/>
      <c r="G119" s="24"/>
      <c r="H119" s="24"/>
      <c r="I119" s="24"/>
      <c r="J119" s="24"/>
      <c r="K119" s="24"/>
      <c r="L119" s="24"/>
      <c r="M119" s="180" t="s">
        <v>345</v>
      </c>
      <c r="N119" s="180" t="e">
        <f t="array" ref="N119">-(1-EXP(SLOPE(IF(ISNUMBER(PUF_Data!BJ$4:BJ$89),LN(PUF_Data!BJ$4:BJ$89)),PUF_Data!D$4:D$89)))*100</f>
        <v>#DIV/0!</v>
      </c>
      <c r="O119" s="180" t="s">
        <v>356</v>
      </c>
      <c r="T119" s="180" t="s">
        <v>345</v>
      </c>
      <c r="U119" s="180"/>
      <c r="V119" s="180" t="s">
        <v>356</v>
      </c>
      <c r="AA119" t="s">
        <v>345</v>
      </c>
      <c r="AB119" s="189"/>
      <c r="AC119" t="s">
        <v>356</v>
      </c>
    </row>
    <row r="120" spans="1:29" x14ac:dyDescent="0.3">
      <c r="A120" s="223"/>
      <c r="C120" s="24"/>
      <c r="D120" s="24"/>
      <c r="E120" s="24"/>
      <c r="F120" s="24"/>
      <c r="G120" s="24"/>
      <c r="H120" s="24"/>
      <c r="I120" s="24"/>
      <c r="J120" s="24"/>
      <c r="K120" s="24"/>
      <c r="L120" s="24"/>
      <c r="O120" s="60"/>
      <c r="AB120" s="189"/>
    </row>
    <row r="121" spans="1:29" x14ac:dyDescent="0.3">
      <c r="C121" s="24"/>
      <c r="D121" s="24"/>
      <c r="E121" s="24"/>
      <c r="F121" s="24"/>
      <c r="G121" s="24"/>
      <c r="H121" s="24"/>
      <c r="I121" s="24"/>
      <c r="J121" s="24"/>
      <c r="K121" s="24"/>
      <c r="L121" s="24"/>
      <c r="O121" s="4"/>
      <c r="AB121" s="189"/>
    </row>
    <row r="122" spans="1:29" x14ac:dyDescent="0.3">
      <c r="C122" s="24"/>
      <c r="D122" s="24"/>
      <c r="E122" s="24"/>
      <c r="F122" s="24"/>
      <c r="G122" s="24"/>
      <c r="H122" s="24"/>
      <c r="I122" s="24"/>
      <c r="J122" s="24"/>
      <c r="K122" s="24"/>
      <c r="L122" s="24"/>
      <c r="AB122" s="189"/>
    </row>
    <row r="123" spans="1:29" x14ac:dyDescent="0.3">
      <c r="C123" s="24"/>
      <c r="D123" s="24"/>
      <c r="E123" s="24"/>
      <c r="F123" s="24"/>
      <c r="G123" s="24"/>
      <c r="H123" s="24"/>
      <c r="I123" s="24"/>
      <c r="J123" s="24"/>
      <c r="K123" s="24"/>
      <c r="L123" s="24"/>
      <c r="AB123" s="189"/>
    </row>
    <row r="124" spans="1:29" x14ac:dyDescent="0.3">
      <c r="C124" s="24"/>
      <c r="D124" s="24"/>
      <c r="E124" s="24"/>
      <c r="F124" s="24"/>
      <c r="G124" s="24"/>
      <c r="H124" s="24"/>
      <c r="I124" s="24"/>
      <c r="J124" s="24"/>
      <c r="K124" s="24"/>
      <c r="L124" s="24"/>
      <c r="AB124" s="189"/>
    </row>
    <row r="125" spans="1:29" x14ac:dyDescent="0.3">
      <c r="C125" s="24"/>
      <c r="D125" s="24"/>
      <c r="E125" s="24"/>
      <c r="F125" s="24"/>
      <c r="G125" s="24"/>
      <c r="H125" s="24"/>
      <c r="I125" s="24"/>
      <c r="J125" s="24"/>
      <c r="K125" s="24"/>
      <c r="L125" s="24"/>
      <c r="AB125" s="189"/>
    </row>
    <row r="126" spans="1:29" x14ac:dyDescent="0.3">
      <c r="A126" s="224" t="s">
        <v>564</v>
      </c>
      <c r="C126" s="24"/>
      <c r="D126" s="24"/>
      <c r="E126" s="24"/>
      <c r="F126" s="24"/>
      <c r="G126" s="24"/>
      <c r="H126" s="24"/>
      <c r="I126" s="24"/>
      <c r="J126" s="24"/>
      <c r="K126" s="24"/>
      <c r="L126" s="24"/>
      <c r="AB126" s="189"/>
    </row>
    <row r="127" spans="1:29" x14ac:dyDescent="0.3">
      <c r="A127" s="224"/>
      <c r="C127" s="24"/>
      <c r="D127" s="24"/>
      <c r="E127" s="24"/>
      <c r="F127" s="24"/>
      <c r="G127" s="24"/>
      <c r="H127" s="24"/>
      <c r="I127" s="24"/>
      <c r="J127" s="24"/>
      <c r="K127" s="24"/>
      <c r="L127" s="24"/>
      <c r="AB127" s="189"/>
    </row>
    <row r="128" spans="1:29" x14ac:dyDescent="0.3">
      <c r="A128" s="224"/>
      <c r="C128" s="24"/>
      <c r="D128" s="24"/>
      <c r="E128" s="24"/>
      <c r="F128" s="24"/>
      <c r="G128" s="24"/>
      <c r="H128" s="24"/>
      <c r="I128" s="24"/>
      <c r="J128" s="24"/>
      <c r="K128" s="24"/>
      <c r="L128" s="24"/>
      <c r="AB128" s="189"/>
    </row>
    <row r="129" spans="1:29" x14ac:dyDescent="0.3">
      <c r="A129" s="224"/>
      <c r="C129" s="24"/>
      <c r="D129" s="24"/>
      <c r="E129" s="24"/>
      <c r="F129" s="24"/>
      <c r="G129" s="24"/>
      <c r="H129" s="24"/>
      <c r="I129" s="24"/>
      <c r="J129" s="24"/>
      <c r="K129" s="24"/>
      <c r="L129" s="24"/>
      <c r="AB129" s="189"/>
    </row>
    <row r="130" spans="1:29" x14ac:dyDescent="0.3">
      <c r="A130" s="224"/>
      <c r="C130" s="24"/>
      <c r="D130" s="24"/>
      <c r="E130" s="24"/>
      <c r="F130" s="24"/>
      <c r="G130" s="24"/>
      <c r="H130" s="24"/>
      <c r="I130" s="24"/>
      <c r="J130" s="24"/>
      <c r="K130" s="24"/>
      <c r="L130" s="24"/>
      <c r="AB130" s="189"/>
    </row>
    <row r="131" spans="1:29" x14ac:dyDescent="0.3">
      <c r="A131" s="224"/>
      <c r="C131" s="24"/>
      <c r="D131" s="24"/>
      <c r="E131" s="24"/>
      <c r="F131" s="24"/>
      <c r="G131" s="24"/>
      <c r="H131" s="24"/>
      <c r="I131" s="24"/>
      <c r="J131" s="24"/>
      <c r="K131" s="24"/>
      <c r="L131" s="24"/>
      <c r="AB131" s="189"/>
    </row>
    <row r="132" spans="1:29" x14ac:dyDescent="0.3">
      <c r="A132" s="224"/>
      <c r="C132" s="24"/>
      <c r="D132" s="24"/>
      <c r="E132" s="24"/>
      <c r="F132" s="24"/>
      <c r="G132" s="24"/>
      <c r="H132" s="24"/>
      <c r="I132" s="24"/>
      <c r="J132" s="24"/>
      <c r="K132" s="24"/>
      <c r="L132" s="24"/>
      <c r="AB132" s="189"/>
    </row>
    <row r="133" spans="1:29" x14ac:dyDescent="0.3">
      <c r="A133" s="224"/>
      <c r="C133" s="24"/>
      <c r="D133" s="24"/>
      <c r="E133" s="24"/>
      <c r="F133" s="24"/>
      <c r="G133" s="24"/>
      <c r="H133" s="24"/>
      <c r="I133" s="24"/>
      <c r="J133" s="24"/>
      <c r="K133" s="24"/>
      <c r="L133" s="24"/>
      <c r="M133" s="179" t="s">
        <v>549</v>
      </c>
      <c r="N133" s="180"/>
      <c r="O133" s="180"/>
      <c r="T133" s="179" t="s">
        <v>552</v>
      </c>
      <c r="U133" s="180"/>
      <c r="V133" s="180"/>
      <c r="AA133" s="159" t="s">
        <v>550</v>
      </c>
      <c r="AB133" s="189"/>
    </row>
    <row r="134" spans="1:29" x14ac:dyDescent="0.3">
      <c r="A134" s="224"/>
      <c r="C134" s="24"/>
      <c r="D134" s="24"/>
      <c r="E134" s="24"/>
      <c r="F134" s="24"/>
      <c r="G134" s="24"/>
      <c r="H134" s="24"/>
      <c r="I134" s="24"/>
      <c r="J134" s="24"/>
      <c r="K134" s="24"/>
      <c r="L134" s="24"/>
      <c r="M134" s="180" t="s">
        <v>490</v>
      </c>
      <c r="N134" s="180" t="e">
        <f t="array" ref="N134">-(1-EXP(SLOPE(IF(ISNUMBER(PUF_Data!BM$4:BM$89),LN(PUF_Data!BM$4:BM$89)),PUF_Data!D$4:D$89)))*100</f>
        <v>#DIV/0!</v>
      </c>
      <c r="O134" s="180" t="s">
        <v>356</v>
      </c>
      <c r="P134" s="61"/>
      <c r="S134" s="61"/>
      <c r="T134" s="180" t="s">
        <v>490</v>
      </c>
      <c r="U134" s="180"/>
      <c r="V134" s="180" t="s">
        <v>356</v>
      </c>
      <c r="W134" s="61"/>
      <c r="X134" s="61"/>
      <c r="Y134" s="61"/>
      <c r="Z134" s="61"/>
      <c r="AA134" s="61" t="s">
        <v>490</v>
      </c>
      <c r="AB134" s="183"/>
      <c r="AC134" s="61" t="s">
        <v>356</v>
      </c>
    </row>
    <row r="135" spans="1:29" x14ac:dyDescent="0.3">
      <c r="A135" s="224"/>
      <c r="C135" s="24"/>
      <c r="D135" s="24"/>
      <c r="E135" s="24"/>
      <c r="F135" s="24"/>
      <c r="G135" s="24"/>
      <c r="H135" s="24"/>
      <c r="I135" s="24"/>
      <c r="J135" s="24"/>
      <c r="K135" s="24"/>
      <c r="L135" s="24"/>
      <c r="M135" s="180" t="s">
        <v>491</v>
      </c>
      <c r="N135" s="180">
        <f t="array" ref="N135">-(1-EXP(SLOPE(IF(ISNUMBER(PUF_Data!BN$4:BN$89),LN(PUF_Data!BN$4:BN$89)),PUF_Data!D$4:D$89)))*100</f>
        <v>9.4332255633223561</v>
      </c>
      <c r="O135" s="180" t="s">
        <v>356</v>
      </c>
      <c r="P135" s="59"/>
      <c r="S135" s="59"/>
      <c r="T135" s="180" t="s">
        <v>491</v>
      </c>
      <c r="U135" s="180">
        <f t="array" ref="U135">-(1-EXP(SLOPE(IF(ISNUMBER(PUF_Data!BN$4:BN$89),LN(PUF_Data!BN$4:BN$89)),PUF_Data!D$4:D$89)))*100</f>
        <v>9.4332255633223561</v>
      </c>
      <c r="V135" s="180" t="s">
        <v>356</v>
      </c>
      <c r="W135" s="59"/>
      <c r="X135" s="59"/>
      <c r="Y135" s="59"/>
      <c r="Z135" s="59"/>
      <c r="AA135" s="59" t="s">
        <v>491</v>
      </c>
      <c r="AB135" s="184">
        <f>U135</f>
        <v>9.4332255633223561</v>
      </c>
      <c r="AC135" s="59" t="s">
        <v>356</v>
      </c>
    </row>
    <row r="136" spans="1:29" x14ac:dyDescent="0.3">
      <c r="A136" s="224"/>
      <c r="C136" s="24"/>
      <c r="D136" s="24"/>
      <c r="E136" s="24"/>
      <c r="F136" s="24"/>
      <c r="G136" s="24"/>
      <c r="H136" s="24"/>
      <c r="I136" s="24"/>
      <c r="J136" s="24"/>
      <c r="K136" s="24"/>
      <c r="L136" s="24"/>
      <c r="M136" s="180" t="s">
        <v>494</v>
      </c>
      <c r="N136" s="180" t="e" cm="1">
        <f t="array" ref="N136">-(1-EXP(SLOPE(IF(ISNUMBER(PUF_Data!BO$4:BO$78),LN(PUF_Data!BO$4:BO$78)),PUF_Data!D$4:D$78)))*100</f>
        <v>#DIV/0!</v>
      </c>
      <c r="O136" s="180" t="s">
        <v>356</v>
      </c>
      <c r="P136" s="58"/>
      <c r="S136" s="58"/>
      <c r="T136" s="180" t="s">
        <v>494</v>
      </c>
      <c r="U136" s="180"/>
      <c r="V136" s="180" t="s">
        <v>356</v>
      </c>
      <c r="W136" s="58"/>
      <c r="X136" s="58"/>
      <c r="Y136" s="58"/>
      <c r="Z136" s="58"/>
      <c r="AA136" s="58" t="s">
        <v>494</v>
      </c>
      <c r="AB136" s="185"/>
      <c r="AC136" s="58" t="s">
        <v>356</v>
      </c>
    </row>
    <row r="137" spans="1:29" x14ac:dyDescent="0.3">
      <c r="A137" s="224"/>
      <c r="C137" s="24"/>
      <c r="D137" s="24"/>
      <c r="E137" s="24"/>
      <c r="F137" s="24"/>
      <c r="G137" s="24"/>
      <c r="H137" s="24"/>
      <c r="I137" s="24"/>
      <c r="J137" s="24"/>
      <c r="K137" s="24"/>
      <c r="L137" s="24"/>
      <c r="M137" s="180" t="s">
        <v>58</v>
      </c>
      <c r="N137" s="180" t="e" cm="1">
        <f t="array" ref="N137">-(1-EXP(SLOPE(IF(ISNUMBER(PUF_Data!BP$4:BP$78),LN(PUF_Data!BP$4:BP$78)),PUF_Data!D$4:D$78)))*100</f>
        <v>#DIV/0!</v>
      </c>
      <c r="O137" s="180" t="s">
        <v>356</v>
      </c>
      <c r="P137" s="60"/>
      <c r="S137" s="60"/>
      <c r="T137" s="180" t="s">
        <v>58</v>
      </c>
      <c r="U137" s="180"/>
      <c r="V137" s="180" t="s">
        <v>356</v>
      </c>
      <c r="W137" s="60"/>
      <c r="X137" s="60"/>
      <c r="Y137" s="60"/>
      <c r="Z137" s="60"/>
      <c r="AA137" s="60" t="s">
        <v>58</v>
      </c>
      <c r="AB137" s="186"/>
      <c r="AC137" s="60" t="s">
        <v>356</v>
      </c>
    </row>
    <row r="138" spans="1:29" x14ac:dyDescent="0.3">
      <c r="A138" s="224"/>
      <c r="C138" s="24"/>
      <c r="D138" s="24"/>
      <c r="E138" s="24"/>
      <c r="F138" s="24"/>
      <c r="G138" s="24"/>
      <c r="H138" s="24"/>
      <c r="I138" s="24"/>
      <c r="J138" s="24"/>
      <c r="K138" s="24"/>
      <c r="L138" s="24"/>
      <c r="M138" s="180" t="s">
        <v>493</v>
      </c>
      <c r="N138" s="180" t="e" cm="1">
        <f t="array" ref="N138">-(1-EXP(SLOPE(IF(ISNUMBER(PUF_Data!BQ$4:BQ$78),LN(PUF_Data!BQ$4:BQ$78)),PUF_Data!D$4:D$78)))*100</f>
        <v>#DIV/0!</v>
      </c>
      <c r="O138" s="180" t="s">
        <v>356</v>
      </c>
      <c r="P138" s="4"/>
      <c r="S138" s="4"/>
      <c r="T138" s="180" t="s">
        <v>493</v>
      </c>
      <c r="U138" s="180"/>
      <c r="V138" s="180" t="s">
        <v>356</v>
      </c>
      <c r="W138" s="4"/>
      <c r="X138" s="4"/>
      <c r="Y138" s="4"/>
      <c r="Z138" s="4"/>
      <c r="AA138" s="4" t="s">
        <v>493</v>
      </c>
      <c r="AB138" s="187"/>
      <c r="AC138" s="4" t="s">
        <v>356</v>
      </c>
    </row>
    <row r="139" spans="1:29" x14ac:dyDescent="0.3">
      <c r="A139" s="224"/>
      <c r="C139" s="24"/>
      <c r="D139" s="24"/>
      <c r="E139" s="24"/>
      <c r="F139" s="24"/>
      <c r="G139" s="24"/>
      <c r="H139" s="24"/>
      <c r="I139" s="24"/>
      <c r="J139" s="24"/>
      <c r="K139" s="24"/>
      <c r="L139" s="24"/>
      <c r="M139" s="180" t="s">
        <v>495</v>
      </c>
      <c r="N139" s="180" t="e" cm="1">
        <f t="array" ref="N139">-(1-EXP(SLOPE(IF(ISNUMBER(PUF_Data!BR$4:BR$78),LN(PUF_Data!BR$4:BR$78)),PUF_Data!D$4:D$78)))*100</f>
        <v>#DIV/0!</v>
      </c>
      <c r="O139" s="180" t="s">
        <v>356</v>
      </c>
      <c r="S139" s="62"/>
      <c r="T139" s="180" t="s">
        <v>495</v>
      </c>
      <c r="U139" s="180"/>
      <c r="V139" s="180" t="s">
        <v>356</v>
      </c>
      <c r="W139" s="62"/>
      <c r="X139" s="62"/>
      <c r="Y139" s="62"/>
      <c r="Z139" s="62"/>
      <c r="AA139" s="62" t="s">
        <v>495</v>
      </c>
      <c r="AB139" s="188"/>
      <c r="AC139" s="62" t="s">
        <v>356</v>
      </c>
    </row>
    <row r="140" spans="1:29" x14ac:dyDescent="0.3">
      <c r="A140" s="224"/>
      <c r="C140" s="24"/>
      <c r="D140" s="24"/>
      <c r="E140" s="24"/>
      <c r="F140" s="24"/>
      <c r="G140" s="24"/>
      <c r="H140" s="24"/>
      <c r="I140" s="24"/>
      <c r="J140" s="24"/>
      <c r="K140" s="24"/>
      <c r="L140" s="24"/>
      <c r="M140" s="180" t="s">
        <v>496</v>
      </c>
      <c r="N140" s="180" t="e" cm="1">
        <f t="array" ref="N140">-(1-EXP(SLOPE(IF(ISNUMBER(PUF_Data!BS$4:BS$78),LN(PUF_Data!BS$4:BS$78)),PUF_Data!D$4:D$78)))*100</f>
        <v>#DIV/0!</v>
      </c>
      <c r="O140" s="180" t="s">
        <v>356</v>
      </c>
      <c r="S140" s="105"/>
      <c r="T140" s="180" t="s">
        <v>496</v>
      </c>
      <c r="U140" s="180"/>
      <c r="V140" s="180" t="s">
        <v>356</v>
      </c>
      <c r="W140" s="105"/>
      <c r="X140" s="105"/>
      <c r="Y140" s="105"/>
      <c r="Z140" s="105"/>
      <c r="AA140" s="105" t="s">
        <v>496</v>
      </c>
      <c r="AB140" s="190"/>
      <c r="AC140" s="105" t="s">
        <v>356</v>
      </c>
    </row>
    <row r="141" spans="1:29" x14ac:dyDescent="0.3">
      <c r="A141" s="224"/>
      <c r="C141" s="24"/>
      <c r="D141" s="24"/>
      <c r="E141" s="24"/>
      <c r="F141" s="24"/>
      <c r="G141" s="24"/>
      <c r="H141" s="24"/>
      <c r="I141" s="24"/>
      <c r="J141" s="24"/>
      <c r="K141" s="24"/>
      <c r="L141" s="24"/>
      <c r="M141" s="180" t="s">
        <v>345</v>
      </c>
      <c r="N141" s="180" t="e" cm="1">
        <f t="array" ref="N141">-(1-EXP(SLOPE(IF(ISNUMBER(PUF_Data!BT$4:BT$78),LN(PUF_Data!BT$4:BT$78)),PUF_Data!D$4:D$78)))*100</f>
        <v>#DIV/0!</v>
      </c>
      <c r="O141" s="180" t="s">
        <v>356</v>
      </c>
      <c r="T141" s="180" t="s">
        <v>345</v>
      </c>
      <c r="U141" s="180"/>
      <c r="V141" s="180" t="s">
        <v>356</v>
      </c>
      <c r="AA141" t="s">
        <v>345</v>
      </c>
      <c r="AB141" s="189"/>
      <c r="AC141" t="s">
        <v>356</v>
      </c>
    </row>
    <row r="142" spans="1:29" ht="15.6" x14ac:dyDescent="0.3">
      <c r="A142" s="81"/>
      <c r="C142" s="24"/>
      <c r="D142" s="24"/>
      <c r="E142" s="24"/>
      <c r="F142" s="24"/>
      <c r="G142" s="24"/>
      <c r="H142" s="24"/>
      <c r="I142" s="24"/>
      <c r="J142" s="24"/>
      <c r="K142" s="24"/>
      <c r="L142" s="24"/>
      <c r="AB142" s="189"/>
    </row>
    <row r="143" spans="1:29" ht="15.6" x14ac:dyDescent="0.3">
      <c r="A143" s="81"/>
      <c r="C143" s="24"/>
      <c r="D143" s="24"/>
      <c r="E143" s="24"/>
      <c r="F143" s="24"/>
      <c r="G143" s="24"/>
      <c r="H143" s="24"/>
      <c r="I143" s="24"/>
      <c r="J143" s="24"/>
      <c r="K143" s="24"/>
      <c r="L143" s="24"/>
      <c r="AB143" s="189"/>
    </row>
    <row r="144" spans="1:29" ht="15.6" x14ac:dyDescent="0.3">
      <c r="A144" s="81"/>
      <c r="C144" s="24"/>
      <c r="D144" s="24"/>
      <c r="E144" s="24"/>
      <c r="F144" s="24"/>
      <c r="G144" s="24"/>
      <c r="H144" s="24"/>
      <c r="I144" s="24"/>
      <c r="J144" s="24"/>
      <c r="K144" s="24"/>
      <c r="L144" s="24"/>
      <c r="AB144" s="189"/>
    </row>
    <row r="145" spans="1:29" ht="15.6" x14ac:dyDescent="0.3">
      <c r="A145" s="25"/>
      <c r="C145" s="24"/>
      <c r="D145" s="24"/>
      <c r="E145" s="24"/>
      <c r="F145" s="24"/>
      <c r="G145" s="24"/>
      <c r="H145" s="24"/>
      <c r="I145" s="24"/>
      <c r="J145" s="24"/>
      <c r="K145" s="24"/>
      <c r="L145" s="24"/>
      <c r="AB145" s="189"/>
    </row>
    <row r="146" spans="1:29" x14ac:dyDescent="0.3">
      <c r="C146" s="24"/>
      <c r="D146" s="24"/>
      <c r="E146" s="24"/>
      <c r="F146" s="24"/>
      <c r="G146" s="24"/>
      <c r="H146" s="24"/>
      <c r="I146" s="24"/>
      <c r="J146" s="24"/>
      <c r="K146" s="24"/>
      <c r="L146" s="24"/>
      <c r="AB146" s="189"/>
    </row>
    <row r="147" spans="1:29" x14ac:dyDescent="0.3">
      <c r="C147" s="24"/>
      <c r="D147" s="24"/>
      <c r="E147" s="24"/>
      <c r="F147" s="24"/>
      <c r="G147" s="24"/>
      <c r="H147" s="24"/>
      <c r="I147" s="24"/>
      <c r="J147" s="24"/>
      <c r="K147" s="24"/>
      <c r="L147" s="24"/>
      <c r="AB147" s="189"/>
    </row>
    <row r="148" spans="1:29" x14ac:dyDescent="0.3">
      <c r="C148" s="24"/>
      <c r="D148" s="24"/>
      <c r="E148" s="24"/>
      <c r="F148" s="24"/>
      <c r="G148" s="24"/>
      <c r="H148" s="24"/>
      <c r="I148" s="24"/>
      <c r="J148" s="24"/>
      <c r="K148" s="24"/>
      <c r="L148" s="24"/>
      <c r="AB148" s="189"/>
    </row>
    <row r="149" spans="1:29" x14ac:dyDescent="0.3">
      <c r="A149" s="224" t="s">
        <v>565</v>
      </c>
      <c r="C149" s="24"/>
      <c r="D149" s="24"/>
      <c r="E149" s="24"/>
      <c r="F149" s="24"/>
      <c r="G149" s="24"/>
      <c r="H149" s="24"/>
      <c r="I149" s="24"/>
      <c r="J149" s="24"/>
      <c r="K149" s="24"/>
      <c r="L149" s="24"/>
      <c r="AB149" s="189"/>
    </row>
    <row r="150" spans="1:29" x14ac:dyDescent="0.3">
      <c r="A150" s="224"/>
      <c r="C150" s="24"/>
      <c r="D150" s="24"/>
      <c r="E150" s="24"/>
      <c r="F150" s="24"/>
      <c r="G150" s="24"/>
      <c r="H150" s="24"/>
      <c r="I150" s="24"/>
      <c r="J150" s="24"/>
      <c r="K150" s="24"/>
      <c r="L150" s="24"/>
      <c r="AB150" s="189"/>
    </row>
    <row r="151" spans="1:29" x14ac:dyDescent="0.3">
      <c r="A151" s="224"/>
      <c r="C151" s="24"/>
      <c r="D151" s="24"/>
      <c r="E151" s="24"/>
      <c r="F151" s="24"/>
      <c r="G151" s="24"/>
      <c r="H151" s="24"/>
      <c r="I151" s="24"/>
      <c r="J151" s="24"/>
      <c r="K151" s="24"/>
      <c r="L151" s="24"/>
      <c r="AB151" s="189"/>
    </row>
    <row r="152" spans="1:29" x14ac:dyDescent="0.3">
      <c r="A152" s="224"/>
      <c r="C152" s="24"/>
      <c r="D152" s="24"/>
      <c r="E152" s="24"/>
      <c r="F152" s="24"/>
      <c r="G152" s="24"/>
      <c r="H152" s="24"/>
      <c r="I152" s="24"/>
      <c r="J152" s="24"/>
      <c r="K152" s="24"/>
      <c r="L152" s="24"/>
      <c r="AB152" s="189"/>
    </row>
    <row r="153" spans="1:29" x14ac:dyDescent="0.3">
      <c r="A153" s="224"/>
      <c r="C153" s="24"/>
      <c r="D153" s="24"/>
      <c r="E153" s="24"/>
      <c r="F153" s="24"/>
      <c r="G153" s="24"/>
      <c r="H153" s="24"/>
      <c r="I153" s="24"/>
      <c r="J153" s="24"/>
      <c r="K153" s="24"/>
      <c r="L153" s="24"/>
      <c r="AB153" s="189"/>
    </row>
    <row r="154" spans="1:29" x14ac:dyDescent="0.3">
      <c r="A154" s="224"/>
      <c r="C154" s="24"/>
      <c r="D154" s="24"/>
      <c r="E154" s="24"/>
      <c r="F154" s="24"/>
      <c r="G154" s="24"/>
      <c r="H154" s="24"/>
      <c r="I154" s="24"/>
      <c r="J154" s="24"/>
      <c r="K154" s="24"/>
      <c r="L154" s="24"/>
      <c r="AB154" s="189"/>
    </row>
    <row r="155" spans="1:29" x14ac:dyDescent="0.3">
      <c r="A155" s="224"/>
      <c r="C155" s="24"/>
      <c r="D155" s="24"/>
      <c r="E155" s="24"/>
      <c r="F155" s="24"/>
      <c r="G155" s="24"/>
      <c r="H155" s="24"/>
      <c r="I155" s="24"/>
      <c r="J155" s="24"/>
      <c r="K155" s="24"/>
      <c r="L155" s="24"/>
      <c r="M155" s="179" t="s">
        <v>549</v>
      </c>
      <c r="N155" s="180"/>
      <c r="O155" s="180"/>
      <c r="T155" s="179" t="s">
        <v>552</v>
      </c>
      <c r="U155" s="180"/>
      <c r="V155" s="180"/>
      <c r="AA155" s="159" t="s">
        <v>550</v>
      </c>
      <c r="AB155" s="189"/>
    </row>
    <row r="156" spans="1:29" x14ac:dyDescent="0.3">
      <c r="A156" s="224"/>
      <c r="C156" s="24"/>
      <c r="D156" s="24"/>
      <c r="E156" s="24"/>
      <c r="F156" s="24"/>
      <c r="G156" s="24"/>
      <c r="H156" s="24"/>
      <c r="I156" s="24"/>
      <c r="J156" s="24"/>
      <c r="K156" s="24"/>
      <c r="L156" s="24"/>
      <c r="M156" s="180" t="s">
        <v>490</v>
      </c>
      <c r="N156" s="180" t="e" cm="1">
        <f t="array" ref="N156">-(1-EXP(SLOPE(IF(ISNUMBER(PUF_Data!BW$4:BW$78),LN(PUF_Data!BW$4:BW$78)),PUF_Data!D$4:D$78)))*100</f>
        <v>#DIV/0!</v>
      </c>
      <c r="O156" s="180" t="s">
        <v>356</v>
      </c>
      <c r="P156" s="61"/>
      <c r="S156" s="61"/>
      <c r="T156" s="180" t="s">
        <v>490</v>
      </c>
      <c r="U156" s="180"/>
      <c r="V156" s="180" t="s">
        <v>356</v>
      </c>
      <c r="W156" s="61"/>
      <c r="X156" s="61"/>
      <c r="Y156" s="61"/>
      <c r="Z156" s="61"/>
      <c r="AA156" s="61" t="s">
        <v>490</v>
      </c>
      <c r="AB156" s="183"/>
      <c r="AC156" s="61" t="s">
        <v>356</v>
      </c>
    </row>
    <row r="157" spans="1:29" x14ac:dyDescent="0.3">
      <c r="A157" s="224"/>
      <c r="C157" s="24"/>
      <c r="D157" s="24"/>
      <c r="E157" s="24"/>
      <c r="F157" s="24"/>
      <c r="G157" s="24"/>
      <c r="H157" s="24"/>
      <c r="I157" s="24"/>
      <c r="J157" s="24"/>
      <c r="K157" s="24"/>
      <c r="L157" s="24"/>
      <c r="M157" s="180" t="s">
        <v>491</v>
      </c>
      <c r="N157" s="180" t="e" cm="1">
        <f t="array" ref="N157">-(1-EXP(SLOPE(IF(ISNUMBER(PUF_Data!BX$4:BX$78),LN(PUF_Data!BX$4:BX$78)),PUF_Data!D$4:D$78)))*100</f>
        <v>#DIV/0!</v>
      </c>
      <c r="O157" s="180" t="s">
        <v>356</v>
      </c>
      <c r="P157" s="59"/>
      <c r="S157" s="59"/>
      <c r="T157" s="180" t="s">
        <v>491</v>
      </c>
      <c r="U157" s="180"/>
      <c r="V157" s="180" t="s">
        <v>356</v>
      </c>
      <c r="W157" s="59"/>
      <c r="X157" s="59"/>
      <c r="Y157" s="59"/>
      <c r="Z157" s="59"/>
      <c r="AA157" s="59" t="s">
        <v>491</v>
      </c>
      <c r="AB157" s="184"/>
      <c r="AC157" s="59" t="s">
        <v>356</v>
      </c>
    </row>
    <row r="158" spans="1:29" x14ac:dyDescent="0.3">
      <c r="A158" s="224"/>
      <c r="C158" s="24"/>
      <c r="D158" s="24"/>
      <c r="E158" s="24"/>
      <c r="F158" s="24"/>
      <c r="G158" s="24"/>
      <c r="H158" s="24"/>
      <c r="I158" s="24"/>
      <c r="J158" s="24"/>
      <c r="K158" s="24"/>
      <c r="L158" s="24"/>
      <c r="M158" s="180" t="s">
        <v>494</v>
      </c>
      <c r="N158" s="180" cm="1">
        <f t="array" ref="N158">-(1-EXP(SLOPE(IF(ISNUMBER(PUF_Data!BY$4:BY$78),LN(PUF_Data!BY$4:BY$78)),PUF_Data!D$4:D$78)))*100</f>
        <v>-76.696341169325407</v>
      </c>
      <c r="O158" s="180" t="s">
        <v>356</v>
      </c>
      <c r="P158" s="58"/>
      <c r="S158" s="58"/>
      <c r="T158" s="180" t="s">
        <v>494</v>
      </c>
      <c r="U158" s="180"/>
      <c r="V158" s="180" t="s">
        <v>356</v>
      </c>
      <c r="W158" s="58"/>
      <c r="X158" s="58"/>
      <c r="Y158" s="58"/>
      <c r="Z158" s="58"/>
      <c r="AA158" s="58" t="s">
        <v>494</v>
      </c>
      <c r="AB158" s="185"/>
      <c r="AC158" s="58" t="s">
        <v>356</v>
      </c>
    </row>
    <row r="159" spans="1:29" x14ac:dyDescent="0.3">
      <c r="A159" s="224"/>
      <c r="C159" s="24"/>
      <c r="D159" s="24"/>
      <c r="E159" s="24"/>
      <c r="F159" s="24"/>
      <c r="G159" s="24"/>
      <c r="H159" s="24"/>
      <c r="I159" s="24"/>
      <c r="J159" s="24"/>
      <c r="K159" s="24"/>
      <c r="L159" s="24"/>
      <c r="M159" s="180" t="s">
        <v>58</v>
      </c>
      <c r="N159" s="180" cm="1">
        <f t="array" ref="N159">-(1-EXP(SLOPE(IF(ISNUMBER(PUF_Data!BZ$4:BZ$78),LN(PUF_Data!BZ$4:BZ$78)),PUF_Data!D$4:D$78)))*100</f>
        <v>823.07692307692287</v>
      </c>
      <c r="O159" s="180" t="s">
        <v>356</v>
      </c>
      <c r="P159" s="60"/>
      <c r="S159" s="60"/>
      <c r="T159" s="180" t="s">
        <v>58</v>
      </c>
      <c r="U159" s="180"/>
      <c r="V159" s="180" t="s">
        <v>356</v>
      </c>
      <c r="W159" s="60"/>
      <c r="X159" s="60"/>
      <c r="Y159" s="60"/>
      <c r="Z159" s="60"/>
      <c r="AA159" s="60" t="s">
        <v>58</v>
      </c>
      <c r="AB159" s="186"/>
      <c r="AC159" s="60" t="s">
        <v>356</v>
      </c>
    </row>
    <row r="160" spans="1:29" x14ac:dyDescent="0.3">
      <c r="A160" s="224"/>
      <c r="C160" s="24"/>
      <c r="D160" s="24"/>
      <c r="E160" s="24"/>
      <c r="F160" s="24"/>
      <c r="G160" s="24"/>
      <c r="H160" s="24"/>
      <c r="I160" s="24"/>
      <c r="J160" s="24"/>
      <c r="K160" s="24"/>
      <c r="L160" s="24"/>
      <c r="M160" s="180" t="s">
        <v>493</v>
      </c>
      <c r="N160" s="180" cm="1">
        <f t="array" ref="N160">-(1-EXP(SLOPE(IF(ISNUMBER(PUF_Data!CA$4:CA$78),LN(PUF_Data!CA$4:CA$78)),PUF_Data!D$4:D$78)))*100</f>
        <v>-81.423172526400108</v>
      </c>
      <c r="O160" s="180" t="s">
        <v>356</v>
      </c>
      <c r="P160" s="4"/>
      <c r="S160" s="4"/>
      <c r="T160" s="180" t="s">
        <v>493</v>
      </c>
      <c r="U160" s="180"/>
      <c r="V160" s="180" t="s">
        <v>356</v>
      </c>
      <c r="W160" s="4"/>
      <c r="X160" s="4"/>
      <c r="Y160" s="4"/>
      <c r="Z160" s="4"/>
      <c r="AA160" s="4" t="s">
        <v>493</v>
      </c>
      <c r="AB160" s="187"/>
      <c r="AC160" s="4" t="s">
        <v>356</v>
      </c>
    </row>
    <row r="161" spans="1:29" x14ac:dyDescent="0.3">
      <c r="A161" s="224"/>
      <c r="C161" s="24"/>
      <c r="D161" s="24"/>
      <c r="E161" s="24"/>
      <c r="F161" s="24"/>
      <c r="G161" s="24"/>
      <c r="H161" s="24"/>
      <c r="I161" s="24"/>
      <c r="J161" s="24"/>
      <c r="K161" s="24"/>
      <c r="L161" s="24"/>
      <c r="M161" s="180" t="s">
        <v>495</v>
      </c>
      <c r="N161" s="180" cm="1">
        <f t="array" ref="N161">-(1-EXP(SLOPE(IF(ISNUMBER(PUF_Data!CB$4:CB$78),LN(PUF_Data!CB$4:CB$78)),PUF_Data!D$4:D$78)))*100</f>
        <v>-18.219999999999992</v>
      </c>
      <c r="O161" s="180" t="s">
        <v>356</v>
      </c>
      <c r="S161" s="62"/>
      <c r="T161" s="180" t="s">
        <v>495</v>
      </c>
      <c r="U161" s="180"/>
      <c r="V161" s="180" t="s">
        <v>356</v>
      </c>
      <c r="W161" s="62"/>
      <c r="X161" s="62"/>
      <c r="Y161" s="62"/>
      <c r="Z161" s="62"/>
      <c r="AA161" s="62" t="s">
        <v>495</v>
      </c>
      <c r="AB161" s="188"/>
      <c r="AC161" s="62" t="s">
        <v>356</v>
      </c>
    </row>
    <row r="162" spans="1:29" x14ac:dyDescent="0.3">
      <c r="A162" s="224"/>
      <c r="C162" s="24"/>
      <c r="D162" s="24"/>
      <c r="E162" s="24"/>
      <c r="F162" s="24"/>
      <c r="G162" s="24"/>
      <c r="H162" s="24"/>
      <c r="I162" s="24"/>
      <c r="J162" s="24"/>
      <c r="K162" s="24"/>
      <c r="L162" s="24"/>
      <c r="M162" s="180" t="s">
        <v>496</v>
      </c>
      <c r="N162" s="180" t="e" cm="1">
        <f t="array" ref="N162">-(1-EXP(SLOPE(IF(ISNUMBER(PUF_Data!CC$4:CC$78),LN(PUF_Data!CC$4:CC$78)),PUF_Data!D$4:D$78)))*100</f>
        <v>#DIV/0!</v>
      </c>
      <c r="O162" s="180" t="s">
        <v>356</v>
      </c>
      <c r="S162" s="105"/>
      <c r="T162" s="180" t="s">
        <v>496</v>
      </c>
      <c r="U162" s="180"/>
      <c r="V162" s="180" t="s">
        <v>356</v>
      </c>
      <c r="W162" s="105"/>
      <c r="X162" s="105"/>
      <c r="Y162" s="105"/>
      <c r="Z162" s="105"/>
      <c r="AA162" s="105" t="s">
        <v>496</v>
      </c>
      <c r="AB162" s="190"/>
      <c r="AC162" s="105" t="s">
        <v>356</v>
      </c>
    </row>
    <row r="163" spans="1:29" x14ac:dyDescent="0.3">
      <c r="A163" s="224"/>
      <c r="C163" s="24"/>
      <c r="D163" s="24"/>
      <c r="E163" s="24"/>
      <c r="F163" s="24"/>
      <c r="G163" s="24"/>
      <c r="H163" s="24"/>
      <c r="I163" s="24"/>
      <c r="J163" s="24"/>
      <c r="K163" s="24"/>
      <c r="L163" s="24"/>
      <c r="M163" s="180" t="s">
        <v>345</v>
      </c>
      <c r="N163" s="180" t="e" cm="1">
        <f t="array" ref="N163">-(1-EXP(SLOPE(IF(ISNUMBER(PUF_Data!CD$4:CD$78),LN(PUF_Data!CD$4:CD$78)),PUF_Data!D$4:D$78)))*100</f>
        <v>#DIV/0!</v>
      </c>
      <c r="O163" s="180" t="s">
        <v>356</v>
      </c>
      <c r="T163" s="180" t="s">
        <v>345</v>
      </c>
      <c r="U163" s="180"/>
      <c r="V163" s="180" t="s">
        <v>356</v>
      </c>
      <c r="AA163" t="s">
        <v>345</v>
      </c>
      <c r="AB163" s="189"/>
      <c r="AC163" t="s">
        <v>356</v>
      </c>
    </row>
    <row r="164" spans="1:29" x14ac:dyDescent="0.3">
      <c r="A164" s="224"/>
      <c r="C164" s="24"/>
      <c r="D164" s="24"/>
      <c r="E164" s="24"/>
      <c r="F164" s="24"/>
      <c r="G164" s="24"/>
      <c r="H164" s="24"/>
      <c r="I164" s="24"/>
      <c r="J164" s="24"/>
      <c r="K164" s="24"/>
      <c r="L164" s="24"/>
      <c r="AB164" s="189"/>
    </row>
    <row r="165" spans="1:29" x14ac:dyDescent="0.3">
      <c r="C165" s="24"/>
      <c r="D165" s="24"/>
      <c r="E165" s="24"/>
      <c r="F165" s="24"/>
      <c r="G165" s="24"/>
      <c r="H165" s="24"/>
      <c r="I165" s="24"/>
      <c r="J165" s="24"/>
      <c r="K165" s="24"/>
      <c r="L165" s="24"/>
      <c r="AB165" s="189"/>
    </row>
    <row r="166" spans="1:29" x14ac:dyDescent="0.3">
      <c r="C166" s="24"/>
      <c r="D166" s="24"/>
      <c r="E166" s="24"/>
      <c r="F166" s="24"/>
      <c r="G166" s="24"/>
      <c r="H166" s="24"/>
      <c r="I166" s="24"/>
      <c r="J166" s="24"/>
      <c r="K166" s="24"/>
      <c r="L166" s="24"/>
      <c r="AB166" s="189"/>
    </row>
    <row r="167" spans="1:29" x14ac:dyDescent="0.3">
      <c r="C167" s="24"/>
      <c r="D167" s="24"/>
      <c r="E167" s="24"/>
      <c r="F167" s="24"/>
      <c r="G167" s="24"/>
      <c r="H167" s="24"/>
      <c r="I167" s="24"/>
      <c r="J167" s="24"/>
      <c r="K167" s="24"/>
      <c r="L167" s="24"/>
      <c r="AB167" s="189"/>
    </row>
    <row r="168" spans="1:29" x14ac:dyDescent="0.3">
      <c r="C168" s="24"/>
      <c r="D168" s="24"/>
      <c r="E168" s="24"/>
      <c r="F168" s="24"/>
      <c r="G168" s="24"/>
      <c r="H168" s="24"/>
      <c r="I168" s="24"/>
      <c r="J168" s="24"/>
      <c r="K168" s="24"/>
      <c r="L168" s="24"/>
      <c r="AB168" s="189"/>
    </row>
    <row r="169" spans="1:29" x14ac:dyDescent="0.3">
      <c r="C169" s="24"/>
      <c r="D169" s="24"/>
      <c r="E169" s="24"/>
      <c r="F169" s="24"/>
      <c r="G169" s="24"/>
      <c r="H169" s="24"/>
      <c r="I169" s="24"/>
      <c r="J169" s="24"/>
      <c r="K169" s="24"/>
      <c r="L169" s="24"/>
      <c r="AB169" s="189"/>
    </row>
    <row r="170" spans="1:29" x14ac:dyDescent="0.3">
      <c r="C170" s="24"/>
      <c r="D170" s="24"/>
      <c r="E170" s="24"/>
      <c r="F170" s="24"/>
      <c r="G170" s="24"/>
      <c r="H170" s="24"/>
      <c r="I170" s="24"/>
      <c r="J170" s="24"/>
      <c r="K170" s="24"/>
      <c r="L170" s="24"/>
      <c r="AB170" s="189"/>
    </row>
    <row r="171" spans="1:29" x14ac:dyDescent="0.3">
      <c r="C171" s="24"/>
      <c r="D171" s="24"/>
      <c r="E171" s="24"/>
      <c r="F171" s="24"/>
      <c r="G171" s="24"/>
      <c r="H171" s="24"/>
      <c r="I171" s="24"/>
      <c r="J171" s="24"/>
      <c r="K171" s="24"/>
      <c r="L171" s="24"/>
      <c r="AB171" s="189"/>
    </row>
    <row r="172" spans="1:29" x14ac:dyDescent="0.3">
      <c r="C172" s="24"/>
      <c r="D172" s="24"/>
      <c r="E172" s="24"/>
      <c r="F172" s="24"/>
      <c r="G172" s="24"/>
      <c r="H172" s="24"/>
      <c r="I172" s="24"/>
      <c r="J172" s="24"/>
      <c r="K172" s="24"/>
      <c r="L172" s="24"/>
      <c r="AB172" s="189"/>
    </row>
    <row r="173" spans="1:29" x14ac:dyDescent="0.3">
      <c r="A173" s="222" t="s">
        <v>566</v>
      </c>
      <c r="C173" s="24"/>
      <c r="D173" s="24"/>
      <c r="E173" s="24"/>
      <c r="F173" s="24"/>
      <c r="G173" s="24"/>
      <c r="H173" s="24"/>
      <c r="I173" s="24"/>
      <c r="J173" s="24"/>
      <c r="K173" s="24"/>
      <c r="L173" s="24"/>
      <c r="AB173" s="189"/>
    </row>
    <row r="174" spans="1:29" x14ac:dyDescent="0.3">
      <c r="A174" s="222"/>
      <c r="C174" s="24"/>
      <c r="D174" s="24"/>
      <c r="E174" s="24"/>
      <c r="F174" s="24"/>
      <c r="G174" s="24"/>
      <c r="H174" s="24"/>
      <c r="I174" s="24"/>
      <c r="J174" s="24"/>
      <c r="K174" s="24"/>
      <c r="L174" s="24"/>
      <c r="AB174" s="189"/>
    </row>
    <row r="175" spans="1:29" x14ac:dyDescent="0.3">
      <c r="A175" s="222"/>
      <c r="C175" s="24"/>
      <c r="D175" s="24"/>
      <c r="E175" s="24"/>
      <c r="F175" s="24"/>
      <c r="G175" s="24"/>
      <c r="H175" s="24"/>
      <c r="I175" s="24"/>
      <c r="J175" s="24"/>
      <c r="K175" s="24"/>
      <c r="L175" s="24"/>
      <c r="AB175" s="189"/>
    </row>
    <row r="176" spans="1:29" x14ac:dyDescent="0.3">
      <c r="A176" s="222"/>
      <c r="C176" s="24"/>
      <c r="D176" s="24"/>
      <c r="E176" s="24"/>
      <c r="F176" s="24"/>
      <c r="G176" s="24"/>
      <c r="H176" s="24"/>
      <c r="I176" s="24"/>
      <c r="J176" s="24"/>
      <c r="K176" s="24"/>
      <c r="L176" s="24"/>
      <c r="AB176" s="189"/>
    </row>
    <row r="177" spans="1:29" x14ac:dyDescent="0.3">
      <c r="A177" s="222"/>
      <c r="C177" s="24"/>
      <c r="D177" s="24"/>
      <c r="E177" s="24"/>
      <c r="F177" s="24"/>
      <c r="G177" s="24"/>
      <c r="H177" s="24"/>
      <c r="I177" s="24"/>
      <c r="J177" s="24"/>
      <c r="K177" s="24"/>
      <c r="L177" s="24"/>
      <c r="AB177" s="189"/>
    </row>
    <row r="178" spans="1:29" x14ac:dyDescent="0.3">
      <c r="A178" s="222"/>
      <c r="C178" s="24"/>
      <c r="D178" s="24"/>
      <c r="E178" s="24"/>
      <c r="F178" s="24"/>
      <c r="G178" s="24"/>
      <c r="H178" s="24"/>
      <c r="I178" s="24"/>
      <c r="J178" s="24"/>
      <c r="K178" s="24"/>
      <c r="L178" s="24"/>
      <c r="AB178" s="189"/>
    </row>
    <row r="179" spans="1:29" x14ac:dyDescent="0.3">
      <c r="A179" s="222"/>
      <c r="C179" s="24"/>
      <c r="D179" s="24"/>
      <c r="E179" s="24"/>
      <c r="F179" s="24"/>
      <c r="G179" s="24"/>
      <c r="H179" s="24"/>
      <c r="I179" s="24"/>
      <c r="J179" s="24"/>
      <c r="K179" s="24"/>
      <c r="L179" s="24"/>
      <c r="M179" s="179" t="s">
        <v>549</v>
      </c>
      <c r="N179" s="180"/>
      <c r="O179" s="180"/>
      <c r="T179" s="179" t="s">
        <v>552</v>
      </c>
      <c r="U179" s="180"/>
      <c r="V179" s="180"/>
      <c r="AA179" s="159" t="s">
        <v>550</v>
      </c>
      <c r="AB179" s="189"/>
    </row>
    <row r="180" spans="1:29" x14ac:dyDescent="0.3">
      <c r="A180" s="222"/>
      <c r="C180" s="24"/>
      <c r="D180" s="24"/>
      <c r="E180" s="24"/>
      <c r="F180" s="24"/>
      <c r="G180" s="24"/>
      <c r="H180" s="24"/>
      <c r="I180" s="24"/>
      <c r="J180" s="24"/>
      <c r="K180" s="24"/>
      <c r="L180" s="24"/>
      <c r="M180" s="180" t="s">
        <v>490</v>
      </c>
      <c r="N180" s="180" t="e" cm="1">
        <f t="array" ref="N180">-(1-EXP(SLOPE(IF(ISNUMBER(PUF_Data!CG$4:CG$78),LN(PUF_Data!CG$4:CG$78)),PUF_Data!D$4:D$78)))*100</f>
        <v>#DIV/0!</v>
      </c>
      <c r="O180" s="180" t="s">
        <v>356</v>
      </c>
      <c r="P180" s="61"/>
      <c r="S180" s="61"/>
      <c r="T180" s="180" t="s">
        <v>490</v>
      </c>
      <c r="U180" s="180"/>
      <c r="V180" s="180" t="s">
        <v>356</v>
      </c>
      <c r="W180" s="61"/>
      <c r="X180" s="61"/>
      <c r="Y180" s="61"/>
      <c r="Z180" s="61"/>
      <c r="AA180" s="61" t="s">
        <v>490</v>
      </c>
      <c r="AB180" s="183"/>
      <c r="AC180" s="61" t="s">
        <v>356</v>
      </c>
    </row>
    <row r="181" spans="1:29" x14ac:dyDescent="0.3">
      <c r="A181" s="222"/>
      <c r="C181" s="24"/>
      <c r="D181" s="24"/>
      <c r="E181" s="24"/>
      <c r="F181" s="24"/>
      <c r="G181" s="24"/>
      <c r="H181" s="24"/>
      <c r="I181" s="24"/>
      <c r="J181" s="24"/>
      <c r="K181" s="24"/>
      <c r="L181" s="24"/>
      <c r="M181" s="180" t="s">
        <v>491</v>
      </c>
      <c r="N181" s="180" cm="1">
        <f t="array" ref="N181">-(1-EXP(SLOPE(IF(ISNUMBER(PUF_Data!CH$4:CH$78),LN(PUF_Data!CH$4:CH$78)),PUF_Data!D$4:D$78)))*100</f>
        <v>59.058461616534316</v>
      </c>
      <c r="O181" s="180" t="s">
        <v>356</v>
      </c>
      <c r="P181" s="59"/>
      <c r="S181" s="59"/>
      <c r="T181" s="180" t="s">
        <v>491</v>
      </c>
      <c r="U181" s="180"/>
      <c r="V181" s="180" t="s">
        <v>356</v>
      </c>
      <c r="W181" s="59"/>
      <c r="X181" s="59"/>
      <c r="Y181" s="59"/>
      <c r="Z181" s="59"/>
      <c r="AA181" s="59" t="s">
        <v>491</v>
      </c>
      <c r="AB181" s="184"/>
      <c r="AC181" s="59" t="s">
        <v>356</v>
      </c>
    </row>
    <row r="182" spans="1:29" x14ac:dyDescent="0.3">
      <c r="A182" s="222"/>
      <c r="C182" s="24"/>
      <c r="D182" s="24"/>
      <c r="E182" s="24"/>
      <c r="F182" s="24"/>
      <c r="G182" s="24"/>
      <c r="H182" s="24"/>
      <c r="I182" s="24"/>
      <c r="J182" s="24"/>
      <c r="K182" s="24"/>
      <c r="L182" s="24"/>
      <c r="M182" s="180" t="s">
        <v>494</v>
      </c>
      <c r="N182" s="180" cm="1">
        <f t="array" ref="N182">-(1-EXP(SLOPE(IF(ISNUMBER(PUF_Data!CI$4:CI$78),LN(PUF_Data!CI$4:CI$78)),PUF_Data!D$4:D$78)))*100</f>
        <v>-20.370641287644798</v>
      </c>
      <c r="O182" s="180" t="s">
        <v>356</v>
      </c>
      <c r="P182" s="58"/>
      <c r="S182" s="58"/>
      <c r="T182" s="180" t="s">
        <v>494</v>
      </c>
      <c r="U182" s="180"/>
      <c r="V182" s="180" t="s">
        <v>356</v>
      </c>
      <c r="W182" s="58"/>
      <c r="X182" s="58"/>
      <c r="Y182" s="58"/>
      <c r="Z182" s="58"/>
      <c r="AA182" s="58" t="s">
        <v>494</v>
      </c>
      <c r="AB182" s="185"/>
      <c r="AC182" s="58" t="s">
        <v>356</v>
      </c>
    </row>
    <row r="183" spans="1:29" x14ac:dyDescent="0.3">
      <c r="A183" s="222"/>
      <c r="C183" s="24"/>
      <c r="D183" s="24"/>
      <c r="E183" s="24"/>
      <c r="F183" s="24"/>
      <c r="G183" s="24"/>
      <c r="H183" s="24"/>
      <c r="I183" s="24"/>
      <c r="J183" s="24"/>
      <c r="K183" s="24"/>
      <c r="L183" s="24"/>
      <c r="M183" s="180" t="s">
        <v>58</v>
      </c>
      <c r="N183" s="180" cm="1">
        <f t="array" ref="N183">-(1-EXP(SLOPE(IF(ISNUMBER(PUF_Data!CJ$4:CJ$78),LN(PUF_Data!CJ$4:CJ$78)),PUF_Data!D$4:D$78)))*100</f>
        <v>-99.869180057684375</v>
      </c>
      <c r="O183" s="180" t="s">
        <v>356</v>
      </c>
      <c r="P183" s="60"/>
      <c r="S183" s="60"/>
      <c r="T183" s="180" t="s">
        <v>58</v>
      </c>
      <c r="U183" s="180"/>
      <c r="V183" s="180" t="s">
        <v>356</v>
      </c>
      <c r="W183" s="60"/>
      <c r="X183" s="60"/>
      <c r="Y183" s="60"/>
      <c r="Z183" s="60"/>
      <c r="AA183" s="60" t="s">
        <v>58</v>
      </c>
      <c r="AB183" s="186"/>
      <c r="AC183" s="60" t="s">
        <v>356</v>
      </c>
    </row>
    <row r="184" spans="1:29" x14ac:dyDescent="0.3">
      <c r="A184" s="222"/>
      <c r="C184" s="24"/>
      <c r="D184" s="24"/>
      <c r="E184" s="24"/>
      <c r="F184" s="24"/>
      <c r="G184" s="24"/>
      <c r="H184" s="24"/>
      <c r="I184" s="24"/>
      <c r="J184" s="24"/>
      <c r="K184" s="24"/>
      <c r="L184" s="24"/>
      <c r="M184" s="180" t="s">
        <v>493</v>
      </c>
      <c r="N184" s="180" t="e" cm="1">
        <f t="array" ref="N184">-(1-EXP(SLOPE(IF(ISNUMBER(PUF_Data!CK$4:CK$78),LN(PUF_Data!CK$4:CK$78)),PUF_Data!D$4:D$78)))*100</f>
        <v>#DIV/0!</v>
      </c>
      <c r="O184" s="180" t="s">
        <v>356</v>
      </c>
      <c r="P184" s="4"/>
      <c r="S184" s="4"/>
      <c r="T184" s="180" t="s">
        <v>493</v>
      </c>
      <c r="U184" s="180"/>
      <c r="V184" s="180" t="s">
        <v>356</v>
      </c>
      <c r="W184" s="4"/>
      <c r="X184" s="4"/>
      <c r="Y184" s="4"/>
      <c r="Z184" s="4"/>
      <c r="AA184" s="4" t="s">
        <v>493</v>
      </c>
      <c r="AB184" s="187"/>
      <c r="AC184" s="4" t="s">
        <v>356</v>
      </c>
    </row>
    <row r="185" spans="1:29" x14ac:dyDescent="0.3">
      <c r="A185" s="222"/>
      <c r="C185" s="24"/>
      <c r="D185" s="24"/>
      <c r="E185" s="24"/>
      <c r="F185" s="24"/>
      <c r="G185" s="24"/>
      <c r="H185" s="24"/>
      <c r="I185" s="24"/>
      <c r="J185" s="24"/>
      <c r="K185" s="24"/>
      <c r="L185" s="24"/>
      <c r="M185" s="180" t="s">
        <v>495</v>
      </c>
      <c r="N185" s="180" cm="1">
        <f t="array" ref="N185">-(1-EXP(SLOPE(IF(ISNUMBER(PUF_Data!CL$4:CL$78),LN(PUF_Data!CL$4:CL$78)),PUF_Data!D$4:D$78)))*100</f>
        <v>128606.8965517242</v>
      </c>
      <c r="O185" s="180" t="s">
        <v>356</v>
      </c>
      <c r="S185" s="62"/>
      <c r="T185" s="180" t="s">
        <v>495</v>
      </c>
      <c r="U185" s="180"/>
      <c r="V185" s="180" t="s">
        <v>356</v>
      </c>
      <c r="W185" s="62"/>
      <c r="X185" s="62"/>
      <c r="Y185" s="62"/>
      <c r="Z185" s="62"/>
      <c r="AA185" s="62" t="s">
        <v>495</v>
      </c>
      <c r="AB185" s="188"/>
      <c r="AC185" s="62" t="s">
        <v>356</v>
      </c>
    </row>
    <row r="186" spans="1:29" x14ac:dyDescent="0.3">
      <c r="A186" s="222"/>
      <c r="C186" s="24"/>
      <c r="D186" s="24"/>
      <c r="E186" s="24"/>
      <c r="F186" s="24"/>
      <c r="G186" s="24"/>
      <c r="H186" s="24"/>
      <c r="I186" s="24"/>
      <c r="J186" s="24"/>
      <c r="K186" s="24"/>
      <c r="L186" s="24"/>
      <c r="M186" s="180" t="s">
        <v>496</v>
      </c>
      <c r="N186" s="180" t="e" cm="1">
        <f t="array" ref="N186">-(1-EXP(SLOPE(IF(ISNUMBER(PUF_Data!CM$4:CM$78),LN(PUF_Data!CM$4:CM$78)),PUF_Data!D$4:D$78)))*100</f>
        <v>#DIV/0!</v>
      </c>
      <c r="O186" s="180" t="s">
        <v>356</v>
      </c>
      <c r="S186" s="105"/>
      <c r="T186" s="180" t="s">
        <v>496</v>
      </c>
      <c r="U186" s="180"/>
      <c r="V186" s="180" t="s">
        <v>356</v>
      </c>
      <c r="W186" s="105"/>
      <c r="X186" s="105"/>
      <c r="Y186" s="105"/>
      <c r="Z186" s="105"/>
      <c r="AA186" s="105" t="s">
        <v>496</v>
      </c>
      <c r="AB186" s="190"/>
      <c r="AC186" s="105" t="s">
        <v>356</v>
      </c>
    </row>
    <row r="187" spans="1:29" x14ac:dyDescent="0.3">
      <c r="A187" s="222"/>
      <c r="C187" s="24"/>
      <c r="D187" s="24"/>
      <c r="E187" s="24"/>
      <c r="F187" s="24"/>
      <c r="G187" s="24"/>
      <c r="H187" s="24"/>
      <c r="I187" s="24"/>
      <c r="J187" s="24"/>
      <c r="K187" s="24"/>
      <c r="L187" s="24"/>
      <c r="M187" s="180" t="s">
        <v>345</v>
      </c>
      <c r="N187" s="180" t="e" cm="1">
        <f t="array" ref="N187">-(1-EXP(SLOPE(IF(ISNUMBER(PUF_Data!CN$4:CN$78),LN(PUF_Data!CN$4:CN$78)),PUF_Data!D$4:D$78)))*100</f>
        <v>#DIV/0!</v>
      </c>
      <c r="O187" s="180" t="s">
        <v>356</v>
      </c>
      <c r="T187" s="180" t="s">
        <v>345</v>
      </c>
      <c r="U187" s="180"/>
      <c r="V187" s="180" t="s">
        <v>356</v>
      </c>
      <c r="AA187" t="s">
        <v>345</v>
      </c>
      <c r="AB187" s="189"/>
      <c r="AC187" t="s">
        <v>356</v>
      </c>
    </row>
    <row r="188" spans="1:29" x14ac:dyDescent="0.3">
      <c r="A188" s="222"/>
      <c r="C188" s="24"/>
      <c r="D188" s="24"/>
      <c r="E188" s="24"/>
      <c r="F188" s="24"/>
      <c r="G188" s="24"/>
      <c r="H188" s="24"/>
      <c r="I188" s="24"/>
      <c r="J188" s="24"/>
      <c r="K188" s="24"/>
      <c r="L188" s="24"/>
    </row>
    <row r="189" spans="1:29" x14ac:dyDescent="0.3">
      <c r="A189" s="222"/>
      <c r="C189" s="24"/>
      <c r="D189" s="24"/>
      <c r="E189" s="24"/>
      <c r="F189" s="24"/>
      <c r="G189" s="24"/>
      <c r="H189" s="24"/>
      <c r="I189" s="24"/>
      <c r="J189" s="24"/>
      <c r="K189" s="24"/>
      <c r="L189" s="24"/>
    </row>
    <row r="190" spans="1:29" x14ac:dyDescent="0.3">
      <c r="A190" s="222"/>
      <c r="C190" s="24"/>
      <c r="D190" s="24"/>
      <c r="E190" s="24"/>
      <c r="F190" s="24"/>
      <c r="G190" s="24"/>
      <c r="H190" s="24"/>
      <c r="I190" s="24"/>
      <c r="J190" s="24"/>
      <c r="K190" s="24"/>
      <c r="L190" s="24"/>
    </row>
    <row r="191" spans="1:29" x14ac:dyDescent="0.3">
      <c r="A191" s="222"/>
      <c r="C191" s="24"/>
      <c r="D191" s="24"/>
      <c r="E191" s="24"/>
      <c r="F191" s="24"/>
      <c r="G191" s="24"/>
      <c r="H191" s="24"/>
      <c r="I191" s="24"/>
      <c r="J191" s="24"/>
      <c r="K191" s="24"/>
      <c r="L191" s="24"/>
    </row>
    <row r="192" spans="1:29" x14ac:dyDescent="0.3">
      <c r="A192" s="222"/>
      <c r="C192" s="24"/>
      <c r="D192" s="24"/>
      <c r="E192" s="24"/>
      <c r="F192" s="24"/>
      <c r="G192" s="24"/>
      <c r="H192" s="24"/>
      <c r="I192" s="24"/>
      <c r="J192" s="24"/>
      <c r="K192" s="24"/>
      <c r="L192" s="24"/>
    </row>
    <row r="193" spans="3:12" x14ac:dyDescent="0.3">
      <c r="C193" s="24"/>
      <c r="D193" s="24"/>
      <c r="E193" s="24"/>
      <c r="F193" s="24"/>
      <c r="G193" s="24"/>
      <c r="H193" s="24"/>
      <c r="I193" s="24"/>
      <c r="J193" s="24"/>
      <c r="K193" s="24"/>
      <c r="L193" s="24"/>
    </row>
  </sheetData>
  <sheetProtection algorithmName="SHA-512" hashValue="QXP8sIoFk5Qzq273NlW7Kao5EXugSDPKq3Ege8ldkwBj2NoihE/1gsWS101ttCZXhXJXCMCIO6dlwjuw+iYFPQ==" saltValue="6j5zfaf/hPpSAo4xIx/rnw==" spinCount="100000" sheet="1" formatRows="0" insertColumns="0" insertRows="0" insertHyperlinks="0" deleteColumns="0" deleteRows="0" selectLockedCells="1" sort="0" autoFilter="0" pivotTables="0" selectUnlockedCells="1"/>
  <mergeCells count="8">
    <mergeCell ref="A173:A192"/>
    <mergeCell ref="A75:A94"/>
    <mergeCell ref="A105:A120"/>
    <mergeCell ref="A24:A41"/>
    <mergeCell ref="A3:A19"/>
    <mergeCell ref="A47:A69"/>
    <mergeCell ref="A126:A141"/>
    <mergeCell ref="A149:A164"/>
  </mergeCells>
  <pageMargins left="0.7" right="0.7" top="0.75" bottom="0.75" header="0.3" footer="0.3"/>
  <pageSetup paperSize="9" scale="86" orientation="landscape" horizontalDpi="4294967292" verticalDpi="300" r:id="rId1"/>
  <rowBreaks count="1" manualBreakCount="1">
    <brk id="72"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CP89"/>
  <sheetViews>
    <sheetView tabSelected="1" topLeftCell="AD7" zoomScale="70" zoomScaleNormal="70" workbookViewId="0">
      <selection activeCell="O84" sqref="O84"/>
    </sheetView>
  </sheetViews>
  <sheetFormatPr defaultRowHeight="14.4" x14ac:dyDescent="0.3"/>
  <cols>
    <col min="1" max="1" width="54.21875" customWidth="1"/>
    <col min="10" max="10" width="15.33203125" hidden="1" customWidth="1"/>
    <col min="11" max="23" width="8.77734375" hidden="1" customWidth="1"/>
    <col min="24" max="24" width="29.109375" hidden="1" customWidth="1"/>
    <col min="40" max="40" width="8.77734375" customWidth="1"/>
    <col min="41" max="55" width="8.77734375" hidden="1" customWidth="1"/>
  </cols>
  <sheetData>
    <row r="1" spans="1:94" ht="23.4" x14ac:dyDescent="0.45">
      <c r="A1" s="51" t="s">
        <v>331</v>
      </c>
    </row>
    <row r="3" spans="1:94" x14ac:dyDescent="0.3">
      <c r="R3">
        <f t="array" ref="R3">-(1-EXP(SLOPE(IF(ISNUMBER(TRNG_Data!E4:E39),LN(TRNG_Data!E4:E39)),TRNG_Data!C4:C39)))*100</f>
        <v>11.246471647681</v>
      </c>
    </row>
    <row r="6" spans="1:94" ht="18.600000000000001" customHeight="1" x14ac:dyDescent="0.3">
      <c r="A6" s="222" t="s">
        <v>585</v>
      </c>
      <c r="B6" s="24"/>
      <c r="C6" s="24"/>
      <c r="D6" s="24"/>
      <c r="E6" s="24"/>
      <c r="F6" s="24"/>
      <c r="G6" s="24"/>
      <c r="H6" s="24"/>
      <c r="I6" s="24"/>
      <c r="J6" s="24"/>
      <c r="K6" s="24"/>
      <c r="L6" s="24"/>
      <c r="M6" s="24"/>
      <c r="N6" s="24"/>
      <c r="O6" s="24"/>
      <c r="P6" s="24"/>
      <c r="Q6" s="24"/>
      <c r="R6" s="24"/>
      <c r="S6" s="24"/>
      <c r="T6" s="24"/>
      <c r="U6" s="24"/>
      <c r="V6" s="24"/>
      <c r="W6" s="24"/>
      <c r="X6" s="24"/>
      <c r="Y6" s="24"/>
      <c r="Z6" s="24"/>
      <c r="AA6" s="24"/>
      <c r="AB6" s="24"/>
      <c r="AC6" s="24"/>
      <c r="AD6" s="24"/>
      <c r="AE6" s="24"/>
      <c r="AF6" s="24"/>
      <c r="AG6" s="24"/>
      <c r="AH6" s="24"/>
      <c r="AI6" s="24"/>
      <c r="AJ6" s="24"/>
      <c r="AK6" s="24"/>
      <c r="AL6" s="24"/>
      <c r="AM6" s="24"/>
      <c r="AN6" s="24"/>
      <c r="AO6" s="24"/>
      <c r="AP6" s="24"/>
      <c r="AQ6" s="24"/>
      <c r="AR6" s="24"/>
      <c r="AS6" s="24"/>
      <c r="AT6" s="24"/>
      <c r="AU6" s="24"/>
      <c r="AV6" s="24"/>
      <c r="AW6" s="24"/>
      <c r="AX6" s="24"/>
      <c r="AY6" s="24"/>
      <c r="AZ6" s="24"/>
      <c r="BA6" s="24"/>
      <c r="BB6" s="24"/>
      <c r="BC6" s="24"/>
      <c r="BD6" s="24"/>
      <c r="BE6" s="24"/>
      <c r="BF6" s="24"/>
      <c r="BG6" s="24"/>
      <c r="BH6" s="24"/>
      <c r="BI6" s="24"/>
      <c r="BJ6" s="24"/>
      <c r="BK6" s="24"/>
      <c r="BL6" s="24"/>
      <c r="BM6" s="24"/>
      <c r="BN6" s="24"/>
      <c r="BO6" s="24"/>
      <c r="BP6" s="24"/>
      <c r="BQ6" s="24"/>
      <c r="BR6" s="24"/>
      <c r="BS6" s="24"/>
      <c r="BT6" s="24"/>
      <c r="BU6" s="24"/>
      <c r="BV6" s="24"/>
      <c r="BW6" s="24"/>
      <c r="BX6" s="24"/>
      <c r="BY6" s="24"/>
      <c r="BZ6" s="24"/>
      <c r="CA6" s="24"/>
      <c r="CB6" s="24"/>
      <c r="CC6" s="24"/>
      <c r="CD6" s="24"/>
      <c r="CE6" s="24"/>
      <c r="CF6" s="24"/>
      <c r="CG6" s="24"/>
      <c r="CH6" s="24"/>
      <c r="CI6" s="24"/>
      <c r="CJ6" s="24"/>
      <c r="CK6" s="24"/>
      <c r="CL6" s="24"/>
      <c r="CM6" s="24"/>
      <c r="CN6" s="24"/>
      <c r="CO6" s="24"/>
      <c r="CP6" s="24"/>
    </row>
    <row r="7" spans="1:94" ht="14.4" customHeight="1" x14ac:dyDescent="0.3">
      <c r="A7" s="222"/>
      <c r="B7" s="24"/>
      <c r="C7" s="24"/>
      <c r="D7" s="24"/>
      <c r="E7" s="24"/>
      <c r="F7" s="24"/>
      <c r="G7" s="24"/>
      <c r="H7" s="24"/>
      <c r="I7" s="24"/>
      <c r="J7" s="24"/>
      <c r="K7" s="24"/>
      <c r="L7" s="24"/>
      <c r="M7" s="24"/>
      <c r="N7" s="24"/>
      <c r="O7" s="24"/>
      <c r="P7" s="24"/>
      <c r="Q7" s="24"/>
      <c r="R7" s="24"/>
      <c r="S7" s="24"/>
      <c r="T7" s="24"/>
      <c r="U7" s="24"/>
      <c r="V7" s="24"/>
      <c r="W7" s="24"/>
      <c r="X7" s="24"/>
      <c r="Y7" s="24"/>
      <c r="Z7" s="24"/>
      <c r="AA7" s="24"/>
      <c r="AB7" s="24"/>
      <c r="AC7" s="24"/>
      <c r="AD7" s="24"/>
      <c r="AE7" s="24"/>
      <c r="AF7" s="24"/>
      <c r="AG7" s="24"/>
      <c r="AH7" s="24"/>
      <c r="AI7" s="24"/>
      <c r="AJ7" s="24"/>
      <c r="AK7" s="24"/>
      <c r="AL7" s="24"/>
      <c r="AM7" s="24"/>
      <c r="AN7" s="24"/>
      <c r="AO7" s="24"/>
      <c r="AP7" s="24"/>
      <c r="AQ7" s="24"/>
      <c r="AR7" s="24"/>
      <c r="AS7" s="24"/>
      <c r="AT7" s="24"/>
      <c r="AU7" s="24"/>
      <c r="AV7" s="24"/>
      <c r="AW7" s="24"/>
      <c r="AX7" s="24"/>
      <c r="AY7" s="24"/>
      <c r="AZ7" s="24"/>
      <c r="BA7" s="24"/>
      <c r="BB7" s="24"/>
      <c r="BC7" s="24"/>
      <c r="BD7" s="24"/>
      <c r="BE7" s="24"/>
      <c r="BF7" s="24"/>
      <c r="BG7" s="24"/>
      <c r="BH7" s="24"/>
      <c r="BI7" s="24"/>
      <c r="BJ7" s="24"/>
      <c r="BK7" s="24"/>
      <c r="BL7" s="24"/>
      <c r="BM7" s="24"/>
      <c r="BN7" s="24"/>
      <c r="BO7" s="24"/>
      <c r="BP7" s="24"/>
      <c r="BQ7" s="24"/>
      <c r="BR7" s="24"/>
      <c r="BS7" s="24"/>
      <c r="BT7" s="24"/>
      <c r="BU7" s="24"/>
      <c r="BV7" s="24"/>
      <c r="BW7" s="24"/>
      <c r="BX7" s="24"/>
      <c r="BY7" s="24"/>
      <c r="BZ7" s="24"/>
      <c r="CA7" s="24"/>
      <c r="CB7" s="24"/>
      <c r="CC7" s="24"/>
      <c r="CD7" s="24"/>
      <c r="CE7" s="24"/>
      <c r="CF7" s="24"/>
      <c r="CG7" s="24"/>
      <c r="CH7" s="24"/>
      <c r="CI7" s="24"/>
      <c r="CJ7" s="24"/>
      <c r="CK7" s="24"/>
      <c r="CL7" s="24"/>
      <c r="CM7" s="24"/>
      <c r="CN7" s="24"/>
      <c r="CO7" s="24"/>
      <c r="CP7" s="24"/>
    </row>
    <row r="8" spans="1:94" ht="14.4" customHeight="1" x14ac:dyDescent="0.3">
      <c r="A8" s="222"/>
      <c r="B8" s="24"/>
      <c r="C8" s="24"/>
      <c r="D8" s="24"/>
      <c r="E8" s="24"/>
      <c r="F8" s="24"/>
      <c r="G8" s="24"/>
      <c r="H8" s="24"/>
      <c r="I8" s="24"/>
      <c r="J8" s="24"/>
      <c r="K8" s="24"/>
      <c r="L8" s="24"/>
      <c r="M8" s="24"/>
      <c r="N8" s="24"/>
      <c r="O8" s="24"/>
      <c r="P8" s="24"/>
      <c r="Q8" s="24"/>
      <c r="R8" s="24"/>
      <c r="S8" s="24"/>
      <c r="T8" s="24"/>
      <c r="U8" s="24"/>
      <c r="V8" s="24"/>
      <c r="W8" s="24"/>
      <c r="X8" s="24"/>
      <c r="Y8" s="24"/>
      <c r="Z8" s="24"/>
      <c r="AA8" s="24"/>
      <c r="AB8" s="24"/>
      <c r="AC8" s="24"/>
      <c r="AD8" s="24"/>
      <c r="AE8" s="24"/>
      <c r="AF8" s="24"/>
      <c r="AG8" s="24"/>
      <c r="AH8" s="24"/>
      <c r="AI8" s="24"/>
      <c r="AJ8" s="24"/>
      <c r="AK8" s="24"/>
      <c r="AL8" s="24"/>
      <c r="AM8" s="24"/>
      <c r="AN8" s="24"/>
      <c r="AO8" s="24"/>
      <c r="AP8" s="24"/>
      <c r="AQ8" s="24"/>
      <c r="AR8" s="24"/>
      <c r="AS8" s="24"/>
      <c r="AT8" s="24"/>
      <c r="AU8" s="24"/>
      <c r="AV8" s="24"/>
      <c r="AW8" s="24"/>
      <c r="AX8" s="24"/>
      <c r="AY8" s="24"/>
      <c r="AZ8" s="24"/>
      <c r="BA8" s="24"/>
      <c r="BB8" s="24"/>
      <c r="BC8" s="24"/>
      <c r="BD8" s="24"/>
      <c r="BE8" s="24"/>
      <c r="BF8" s="24"/>
      <c r="BG8" s="24"/>
      <c r="BH8" s="24"/>
      <c r="BI8" s="24"/>
      <c r="BJ8" s="24"/>
      <c r="BK8" s="24"/>
      <c r="BL8" s="24"/>
      <c r="BM8" s="24"/>
      <c r="BN8" s="24"/>
      <c r="BO8" s="24"/>
      <c r="BP8" s="24"/>
      <c r="BQ8" s="24"/>
      <c r="BR8" s="24"/>
      <c r="BS8" s="24"/>
      <c r="BT8" s="24"/>
      <c r="BU8" s="24"/>
      <c r="BV8" s="24"/>
      <c r="BW8" s="24"/>
      <c r="BX8" s="24"/>
      <c r="BY8" s="24"/>
      <c r="BZ8" s="24"/>
      <c r="CA8" s="24"/>
      <c r="CB8" s="24"/>
      <c r="CC8" s="24"/>
      <c r="CD8" s="24"/>
      <c r="CE8" s="24"/>
      <c r="CF8" s="24"/>
      <c r="CG8" s="24"/>
      <c r="CH8" s="24"/>
      <c r="CI8" s="24"/>
      <c r="CJ8" s="24"/>
      <c r="CK8" s="24"/>
      <c r="CL8" s="24"/>
      <c r="CM8" s="24"/>
      <c r="CN8" s="24"/>
      <c r="CO8" s="24"/>
      <c r="CP8" s="24"/>
    </row>
    <row r="9" spans="1:94" ht="14.4" customHeight="1" x14ac:dyDescent="0.3">
      <c r="A9" s="222"/>
      <c r="B9" s="24"/>
      <c r="C9" s="24"/>
      <c r="D9" s="24"/>
      <c r="E9" s="24"/>
      <c r="F9" s="24"/>
      <c r="G9" s="24"/>
      <c r="H9" s="24"/>
      <c r="I9" s="24"/>
      <c r="J9" s="24"/>
      <c r="K9" s="24"/>
      <c r="L9" s="24"/>
      <c r="M9" s="24"/>
      <c r="N9" s="24"/>
      <c r="O9" s="24"/>
      <c r="P9" s="24"/>
      <c r="Q9" s="24"/>
      <c r="R9" s="24"/>
      <c r="S9" s="24"/>
      <c r="T9" s="24"/>
      <c r="U9" s="24"/>
      <c r="V9" s="24"/>
      <c r="W9" s="24"/>
      <c r="X9" s="24"/>
      <c r="Y9" s="24"/>
      <c r="Z9" s="24"/>
      <c r="AA9" s="24"/>
      <c r="AB9" s="24"/>
      <c r="AC9" s="24"/>
      <c r="AD9" s="24"/>
      <c r="AE9" s="24"/>
      <c r="AF9" s="24"/>
      <c r="AG9" s="24"/>
      <c r="AH9" s="24"/>
      <c r="AI9" s="24"/>
      <c r="AJ9" s="24"/>
      <c r="AK9" s="24"/>
      <c r="AL9" s="24"/>
      <c r="AM9" s="24"/>
      <c r="AN9" s="24"/>
      <c r="AO9" s="24"/>
      <c r="AP9" s="24"/>
      <c r="AQ9" s="24"/>
      <c r="AR9" s="24"/>
      <c r="AS9" s="24"/>
      <c r="AT9" s="24"/>
      <c r="AU9" s="24"/>
      <c r="AV9" s="24"/>
      <c r="AW9" s="24"/>
      <c r="AX9" s="24"/>
      <c r="AY9" s="24"/>
      <c r="AZ9" s="24"/>
      <c r="BA9" s="24"/>
      <c r="BB9" s="24"/>
      <c r="BC9" s="24"/>
      <c r="BD9" s="24"/>
      <c r="BE9" s="24"/>
      <c r="BF9" s="24"/>
      <c r="BG9" s="24"/>
      <c r="BH9" s="24"/>
      <c r="BI9" s="24"/>
      <c r="BJ9" s="24"/>
      <c r="BK9" s="24"/>
      <c r="BL9" s="24"/>
      <c r="BM9" s="24"/>
      <c r="BN9" s="24"/>
      <c r="BO9" s="24"/>
      <c r="BP9" s="24"/>
      <c r="BQ9" s="24"/>
      <c r="BR9" s="24"/>
      <c r="BS9" s="24"/>
      <c r="BT9" s="24"/>
      <c r="BU9" s="24"/>
      <c r="BV9" s="24"/>
      <c r="BW9" s="24"/>
      <c r="BX9" s="24"/>
      <c r="BY9" s="24"/>
      <c r="BZ9" s="24"/>
      <c r="CA9" s="24"/>
      <c r="CB9" s="24"/>
      <c r="CC9" s="24"/>
      <c r="CD9" s="24"/>
      <c r="CE9" s="24"/>
      <c r="CF9" s="24"/>
      <c r="CG9" s="24"/>
      <c r="CH9" s="24"/>
      <c r="CI9" s="24"/>
      <c r="CJ9" s="24"/>
      <c r="CK9" s="24"/>
      <c r="CL9" s="24"/>
      <c r="CM9" s="24"/>
      <c r="CN9" s="24"/>
      <c r="CO9" s="24"/>
      <c r="CP9" s="24"/>
    </row>
    <row r="10" spans="1:94" ht="14.4" customHeight="1" x14ac:dyDescent="0.3">
      <c r="A10" s="222"/>
      <c r="B10" s="24"/>
      <c r="C10" s="24"/>
      <c r="D10" s="24"/>
      <c r="E10" s="24"/>
      <c r="F10" s="24"/>
      <c r="G10" s="24"/>
      <c r="H10" s="24"/>
      <c r="I10" s="24"/>
      <c r="J10" s="24"/>
      <c r="K10" s="24"/>
      <c r="L10" s="24"/>
      <c r="M10" s="24"/>
      <c r="N10" s="24"/>
      <c r="O10" s="24"/>
      <c r="P10" s="24"/>
      <c r="Q10" s="24"/>
      <c r="R10" s="24"/>
      <c r="S10" s="24"/>
      <c r="T10" s="24"/>
      <c r="U10" s="24"/>
      <c r="V10" s="24"/>
      <c r="W10" s="24"/>
      <c r="X10" s="24"/>
      <c r="Y10" s="24"/>
      <c r="Z10" s="24"/>
      <c r="AA10" s="24"/>
      <c r="AB10" s="24"/>
      <c r="AC10" s="24"/>
      <c r="AD10" s="24"/>
      <c r="AE10" s="24"/>
      <c r="AF10" s="24"/>
      <c r="AG10" s="24"/>
      <c r="AH10" s="24"/>
      <c r="AI10" s="24"/>
      <c r="AJ10" s="24"/>
      <c r="AK10" s="24"/>
      <c r="AL10" s="24"/>
      <c r="AM10" s="24"/>
      <c r="AN10" s="24"/>
      <c r="AO10" s="24"/>
      <c r="AP10" s="24"/>
      <c r="AQ10" s="24"/>
      <c r="AR10" s="24"/>
      <c r="AS10" s="24"/>
      <c r="AT10" s="24"/>
      <c r="AU10" s="24"/>
      <c r="AV10" s="24"/>
      <c r="AW10" s="24"/>
      <c r="AX10" s="24"/>
      <c r="AY10" s="24"/>
      <c r="AZ10" s="24"/>
      <c r="BA10" s="24"/>
      <c r="BB10" s="24"/>
      <c r="BC10" s="24"/>
      <c r="BD10" s="24"/>
      <c r="BE10" s="24"/>
      <c r="BF10" s="24"/>
      <c r="BG10" s="24"/>
      <c r="BH10" s="24"/>
      <c r="BI10" s="24"/>
      <c r="BJ10" s="24"/>
      <c r="BK10" s="24"/>
      <c r="BL10" s="24"/>
      <c r="BM10" s="24"/>
      <c r="BN10" s="24"/>
      <c r="BO10" s="24"/>
      <c r="BP10" s="24"/>
      <c r="BQ10" s="24"/>
      <c r="BR10" s="24"/>
      <c r="BS10" s="24"/>
      <c r="BT10" s="24"/>
      <c r="BU10" s="24"/>
      <c r="BV10" s="24"/>
      <c r="BW10" s="24"/>
      <c r="BX10" s="24"/>
      <c r="BY10" s="24"/>
      <c r="BZ10" s="24"/>
      <c r="CA10" s="24"/>
      <c r="CB10" s="24"/>
      <c r="CC10" s="24"/>
      <c r="CD10" s="24"/>
      <c r="CE10" s="24"/>
      <c r="CF10" s="24"/>
      <c r="CG10" s="24"/>
      <c r="CH10" s="24"/>
      <c r="CI10" s="24"/>
      <c r="CJ10" s="24"/>
      <c r="CK10" s="24"/>
      <c r="CL10" s="24"/>
      <c r="CM10" s="24"/>
      <c r="CN10" s="24"/>
      <c r="CO10" s="24"/>
      <c r="CP10" s="24"/>
    </row>
    <row r="11" spans="1:94" ht="14.4" customHeight="1" x14ac:dyDescent="0.3">
      <c r="A11" s="222"/>
      <c r="B11" s="24"/>
      <c r="C11" s="24"/>
      <c r="D11" s="24"/>
      <c r="E11" s="24"/>
      <c r="F11" s="24"/>
      <c r="G11" s="24"/>
      <c r="H11" s="24"/>
      <c r="I11" s="24"/>
      <c r="J11" s="24"/>
      <c r="K11" s="24"/>
      <c r="L11" s="24"/>
      <c r="M11" s="24"/>
      <c r="N11" s="24"/>
      <c r="O11" s="24"/>
      <c r="P11" s="24"/>
      <c r="Q11" s="24"/>
      <c r="R11" s="24"/>
      <c r="S11" s="24"/>
      <c r="T11" s="24"/>
      <c r="U11" s="24"/>
      <c r="V11" s="24"/>
      <c r="W11" s="24"/>
      <c r="X11" s="24"/>
      <c r="Y11" s="24"/>
      <c r="Z11" s="24"/>
      <c r="AA11" s="24"/>
      <c r="AB11" s="24"/>
      <c r="AC11" s="24"/>
      <c r="AD11" s="24"/>
      <c r="AE11" s="24"/>
      <c r="AF11" s="24"/>
      <c r="AG11" s="24"/>
      <c r="AH11" s="24"/>
      <c r="AI11" s="24"/>
      <c r="AJ11" s="24"/>
      <c r="AK11" s="24"/>
      <c r="AL11" s="24"/>
      <c r="AM11" s="24"/>
      <c r="AN11" s="24"/>
      <c r="AO11" s="24"/>
      <c r="AP11" s="24"/>
      <c r="AQ11" s="24"/>
      <c r="AR11" s="24"/>
      <c r="AS11" s="24"/>
      <c r="AT11" s="24"/>
      <c r="AU11" s="24"/>
      <c r="AV11" s="24"/>
      <c r="AW11" s="24"/>
      <c r="AX11" s="24"/>
      <c r="AY11" s="24"/>
      <c r="AZ11" s="24"/>
      <c r="BA11" s="24"/>
      <c r="BB11" s="24"/>
      <c r="BC11" s="24"/>
      <c r="BD11" s="24"/>
      <c r="BE11" s="24"/>
      <c r="BF11" s="24"/>
      <c r="BG11" s="24"/>
      <c r="BH11" s="24"/>
      <c r="BI11" s="24"/>
      <c r="BJ11" s="24"/>
      <c r="BK11" s="24"/>
      <c r="BL11" s="24"/>
      <c r="BM11" s="24"/>
      <c r="BN11" s="24"/>
      <c r="BO11" s="24"/>
      <c r="BP11" s="24"/>
      <c r="BQ11" s="24"/>
      <c r="BR11" s="24"/>
      <c r="BS11" s="24"/>
      <c r="BT11" s="24"/>
      <c r="BU11" s="24"/>
      <c r="BV11" s="24"/>
      <c r="BW11" s="24"/>
      <c r="BX11" s="24"/>
      <c r="BY11" s="24"/>
      <c r="BZ11" s="24"/>
      <c r="CA11" s="24"/>
      <c r="CB11" s="24"/>
      <c r="CC11" s="24"/>
      <c r="CD11" s="24"/>
      <c r="CE11" s="24"/>
      <c r="CF11" s="24"/>
      <c r="CG11" s="24"/>
      <c r="CH11" s="24"/>
      <c r="CI11" s="24"/>
      <c r="CJ11" s="24"/>
      <c r="CK11" s="24"/>
      <c r="CL11" s="24"/>
      <c r="CM11" s="24"/>
      <c r="CN11" s="24"/>
      <c r="CO11" s="24"/>
      <c r="CP11" s="24"/>
    </row>
    <row r="12" spans="1:94" ht="14.4" customHeight="1" x14ac:dyDescent="0.3">
      <c r="A12" s="222"/>
      <c r="B12" s="24"/>
      <c r="C12" s="24"/>
      <c r="D12" s="24"/>
      <c r="E12" s="24"/>
      <c r="F12" s="24"/>
      <c r="G12" s="24"/>
      <c r="H12" s="24"/>
      <c r="I12" s="24"/>
      <c r="J12" s="195" t="s">
        <v>549</v>
      </c>
      <c r="K12" s="194"/>
      <c r="L12" s="194"/>
      <c r="M12" s="24"/>
      <c r="N12" s="24"/>
      <c r="O12" s="24"/>
      <c r="P12" s="24"/>
      <c r="Q12" s="195" t="s">
        <v>552</v>
      </c>
      <c r="R12" s="194"/>
      <c r="S12" s="194"/>
      <c r="T12" s="24"/>
      <c r="U12" s="24"/>
      <c r="V12" s="24"/>
      <c r="W12" s="24"/>
      <c r="X12" s="24"/>
      <c r="Y12" s="26" t="s">
        <v>550</v>
      </c>
      <c r="Z12" s="24"/>
      <c r="AA12" s="24"/>
      <c r="AB12" s="24"/>
      <c r="AC12" s="24"/>
      <c r="AD12" s="24"/>
      <c r="AE12" s="24"/>
      <c r="AF12" s="24"/>
      <c r="AG12" s="24"/>
      <c r="AH12" s="24"/>
      <c r="AI12" s="24"/>
      <c r="AJ12" s="24"/>
      <c r="AK12" s="24"/>
      <c r="AL12" s="24"/>
      <c r="AM12" s="24"/>
      <c r="AN12" s="24"/>
      <c r="AO12" s="24"/>
      <c r="AP12" s="24"/>
      <c r="AQ12" s="24"/>
      <c r="AR12" s="24"/>
      <c r="AS12" s="24"/>
      <c r="AT12" s="24"/>
      <c r="AU12" s="24"/>
      <c r="AV12" s="24"/>
      <c r="AW12" s="24"/>
      <c r="AX12" s="24"/>
      <c r="AY12" s="24"/>
      <c r="AZ12" s="24"/>
      <c r="BA12" s="24"/>
      <c r="BB12" s="24"/>
      <c r="BC12" s="24"/>
      <c r="BD12" s="24"/>
      <c r="BE12" s="24"/>
      <c r="BF12" s="24"/>
      <c r="BG12" s="24"/>
      <c r="BH12" s="24"/>
      <c r="BI12" s="24"/>
      <c r="BJ12" s="24"/>
      <c r="BK12" s="24"/>
      <c r="BL12" s="24"/>
      <c r="BM12" s="24"/>
      <c r="BN12" s="24"/>
      <c r="BO12" s="24"/>
      <c r="BP12" s="24"/>
      <c r="BQ12" s="24"/>
      <c r="BR12" s="24"/>
      <c r="BS12" s="24"/>
      <c r="BT12" s="24"/>
      <c r="BU12" s="24"/>
      <c r="BV12" s="24"/>
      <c r="BW12" s="24"/>
      <c r="BX12" s="24"/>
      <c r="BY12" s="24"/>
      <c r="BZ12" s="24"/>
      <c r="CA12" s="24"/>
      <c r="CB12" s="24"/>
      <c r="CC12" s="24"/>
      <c r="CD12" s="24"/>
      <c r="CE12" s="24"/>
      <c r="CF12" s="24"/>
      <c r="CG12" s="24"/>
      <c r="CH12" s="24"/>
      <c r="CI12" s="24"/>
      <c r="CJ12" s="24"/>
      <c r="CK12" s="24"/>
      <c r="CL12" s="24"/>
      <c r="CM12" s="24"/>
      <c r="CN12" s="24"/>
      <c r="CO12" s="24"/>
      <c r="CP12" s="24"/>
    </row>
    <row r="13" spans="1:94" ht="14.4" customHeight="1" x14ac:dyDescent="0.3">
      <c r="A13" s="222"/>
      <c r="B13" s="24"/>
      <c r="C13" s="24"/>
      <c r="D13" s="24"/>
      <c r="E13" s="24"/>
      <c r="F13" s="24"/>
      <c r="G13" s="24"/>
      <c r="H13" s="24"/>
      <c r="I13" s="24"/>
      <c r="J13" s="194" t="s">
        <v>329</v>
      </c>
      <c r="K13" s="194">
        <f t="array" ref="K13">-(1-EXP(SLOPE(IF(ISNUMBER(TRNG_Data!D4:D41),LN(TRNG_Data!D4:D41)),TRNG_Data!C4:C41)))*100</f>
        <v>14.366061327305623</v>
      </c>
      <c r="L13" s="194" t="s">
        <v>356</v>
      </c>
      <c r="M13" s="66"/>
      <c r="N13" s="24"/>
      <c r="O13" s="24"/>
      <c r="P13" s="66"/>
      <c r="Q13" s="194" t="s">
        <v>329</v>
      </c>
      <c r="R13" s="194">
        <f t="array" ref="R13">-(1-EXP(SLOPE(IF(ISNUMBER(TRNG_Data!D4:D41),LN(TRNG_Data!D4:D41)),TRNG_Data!C4:C41)))*100</f>
        <v>14.366061327305623</v>
      </c>
      <c r="S13" s="194" t="s">
        <v>356</v>
      </c>
      <c r="T13" s="66"/>
      <c r="U13" s="66"/>
      <c r="V13" s="66"/>
      <c r="W13" s="66"/>
      <c r="X13" s="66"/>
      <c r="Y13" s="66" t="s">
        <v>329</v>
      </c>
      <c r="Z13" s="66">
        <f>R13</f>
        <v>14.366061327305623</v>
      </c>
      <c r="AA13" s="66" t="s">
        <v>356</v>
      </c>
      <c r="AB13" s="24"/>
      <c r="AC13" s="24"/>
      <c r="AD13" s="24"/>
      <c r="AE13" s="24"/>
      <c r="AF13" s="24"/>
      <c r="AG13" s="24"/>
      <c r="AH13" s="24"/>
      <c r="AI13" s="24"/>
      <c r="AJ13" s="24"/>
      <c r="AK13" s="24"/>
      <c r="AL13" s="24"/>
      <c r="AM13" s="24"/>
      <c r="AN13" s="24"/>
      <c r="AO13" s="24"/>
      <c r="AP13" s="24"/>
      <c r="AQ13" s="24"/>
      <c r="AR13" s="24"/>
      <c r="AS13" s="24"/>
      <c r="AT13" s="24"/>
      <c r="AU13" s="24"/>
      <c r="AV13" s="24"/>
      <c r="AW13" s="24"/>
      <c r="AX13" s="24"/>
      <c r="AY13" s="24"/>
      <c r="AZ13" s="24"/>
      <c r="BA13" s="24"/>
      <c r="BB13" s="24"/>
      <c r="BC13" s="24"/>
      <c r="BD13" s="24"/>
      <c r="BE13" s="24"/>
      <c r="BF13" s="24"/>
      <c r="BG13" s="24"/>
      <c r="BH13" s="24"/>
      <c r="BI13" s="24"/>
      <c r="BJ13" s="24"/>
      <c r="BK13" s="24"/>
      <c r="BL13" s="24"/>
      <c r="BM13" s="24"/>
      <c r="BN13" s="24"/>
      <c r="BO13" s="24"/>
      <c r="BP13" s="24"/>
      <c r="BQ13" s="24"/>
      <c r="BR13" s="24"/>
      <c r="BS13" s="24"/>
      <c r="BT13" s="24"/>
      <c r="BU13" s="24"/>
      <c r="BV13" s="24"/>
      <c r="BW13" s="24"/>
      <c r="BX13" s="24"/>
      <c r="BY13" s="24"/>
      <c r="BZ13" s="24"/>
      <c r="CA13" s="24"/>
      <c r="CB13" s="24"/>
      <c r="CC13" s="24"/>
      <c r="CD13" s="24"/>
      <c r="CE13" s="24"/>
      <c r="CF13" s="24"/>
      <c r="CG13" s="24"/>
      <c r="CH13" s="24"/>
      <c r="CI13" s="24"/>
      <c r="CJ13" s="24"/>
      <c r="CK13" s="24"/>
      <c r="CL13" s="24"/>
      <c r="CM13" s="24"/>
      <c r="CN13" s="24"/>
      <c r="CO13" s="24"/>
      <c r="CP13" s="24"/>
    </row>
    <row r="14" spans="1:94" ht="14.4" customHeight="1" x14ac:dyDescent="0.3">
      <c r="A14" s="222"/>
      <c r="B14" s="24"/>
      <c r="C14" s="24"/>
      <c r="D14" s="24"/>
      <c r="E14" s="24"/>
      <c r="F14" s="24"/>
      <c r="G14" s="24"/>
      <c r="H14" s="24"/>
      <c r="I14" s="24"/>
      <c r="J14" s="194" t="s">
        <v>66</v>
      </c>
      <c r="K14" s="194">
        <f t="array" ref="K14">-(1-EXP(SLOPE(IF(ISNUMBER(TRNG_Data!E4:E41),LN(TRNG_Data!E4:E41)),TRNG_Data!C4:C41)))*100</f>
        <v>15.682515686582166</v>
      </c>
      <c r="L14" s="194" t="s">
        <v>356</v>
      </c>
      <c r="M14" s="67"/>
      <c r="N14" s="24"/>
      <c r="O14" s="24"/>
      <c r="P14" s="67"/>
      <c r="Q14" s="194" t="s">
        <v>66</v>
      </c>
      <c r="R14" s="194">
        <f t="array" ref="R14">-(1-EXP(SLOPE(IF(ISNUMBER(TRNG_Data!E4:E41),LN(TRNG_Data!E4:E41)),TRNG_Data!C4:C41)))*100</f>
        <v>15.682515686582166</v>
      </c>
      <c r="S14" s="194" t="s">
        <v>356</v>
      </c>
      <c r="T14" s="67"/>
      <c r="U14" s="67"/>
      <c r="V14" s="67"/>
      <c r="W14" s="67"/>
      <c r="X14" s="67"/>
      <c r="Y14" s="67" t="s">
        <v>66</v>
      </c>
      <c r="Z14" s="67">
        <f>R14</f>
        <v>15.682515686582166</v>
      </c>
      <c r="AA14" s="67" t="s">
        <v>356</v>
      </c>
      <c r="AB14" s="24"/>
      <c r="AC14" s="24"/>
      <c r="AD14" s="24"/>
      <c r="AE14" s="24"/>
      <c r="AF14" s="24"/>
      <c r="AG14" s="24"/>
      <c r="AH14" s="24"/>
      <c r="AI14" s="24"/>
      <c r="AJ14" s="24"/>
      <c r="AK14" s="24"/>
      <c r="AL14" s="24"/>
      <c r="AM14" s="24"/>
      <c r="AN14" s="24"/>
      <c r="AO14" s="24"/>
      <c r="AP14" s="24"/>
      <c r="AQ14" s="24"/>
      <c r="AR14" s="24"/>
      <c r="AS14" s="24"/>
      <c r="AT14" s="24"/>
      <c r="AU14" s="24"/>
      <c r="AV14" s="24"/>
      <c r="AW14" s="24"/>
      <c r="AX14" s="24"/>
      <c r="AY14" s="24"/>
      <c r="AZ14" s="24"/>
      <c r="BA14" s="24"/>
      <c r="BB14" s="24"/>
      <c r="BC14" s="24"/>
      <c r="BD14" s="24"/>
      <c r="BE14" s="24"/>
      <c r="BF14" s="24"/>
      <c r="BG14" s="24"/>
      <c r="BH14" s="24"/>
      <c r="BI14" s="24"/>
      <c r="BJ14" s="24"/>
      <c r="BK14" s="24"/>
      <c r="BL14" s="24"/>
      <c r="BM14" s="24"/>
      <c r="BN14" s="24"/>
      <c r="BO14" s="24"/>
      <c r="BP14" s="24"/>
      <c r="BQ14" s="24"/>
      <c r="BR14" s="24"/>
      <c r="BS14" s="24"/>
      <c r="BT14" s="24"/>
      <c r="BU14" s="24"/>
      <c r="BV14" s="24"/>
      <c r="BW14" s="24"/>
      <c r="BX14" s="24"/>
      <c r="BY14" s="24"/>
      <c r="BZ14" s="24"/>
      <c r="CA14" s="24"/>
      <c r="CB14" s="24"/>
      <c r="CC14" s="24"/>
      <c r="CD14" s="24"/>
      <c r="CE14" s="24"/>
      <c r="CF14" s="24"/>
      <c r="CG14" s="24"/>
      <c r="CH14" s="24"/>
      <c r="CI14" s="24"/>
      <c r="CJ14" s="24"/>
      <c r="CK14" s="24"/>
      <c r="CL14" s="24"/>
      <c r="CM14" s="24"/>
      <c r="CN14" s="24"/>
      <c r="CO14" s="24"/>
      <c r="CP14" s="24"/>
    </row>
    <row r="15" spans="1:94" ht="14.4" customHeight="1" x14ac:dyDescent="0.3">
      <c r="A15" s="222"/>
      <c r="B15" s="24"/>
      <c r="C15" s="24"/>
      <c r="D15" s="24"/>
      <c r="E15" s="24"/>
      <c r="F15" s="24"/>
      <c r="G15" s="24"/>
      <c r="H15" s="24"/>
      <c r="I15" s="24"/>
      <c r="J15" s="194" t="s">
        <v>58</v>
      </c>
      <c r="K15" s="194">
        <f t="array" ref="K15">-(1-EXP(SLOPE(IF(ISNUMBER(TRNG_Data!F4:F41),LN(TRNG_Data!F4:F41)),TRNG_Data!C4:C41)))*100</f>
        <v>-47.549310306486916</v>
      </c>
      <c r="L15" s="194" t="s">
        <v>356</v>
      </c>
      <c r="M15" s="68"/>
      <c r="N15" s="24"/>
      <c r="O15" s="24"/>
      <c r="P15" s="68"/>
      <c r="Q15" s="194" t="s">
        <v>58</v>
      </c>
      <c r="R15" s="194">
        <f t="array" ref="R15">-(1-EXP(SLOPE(IF(ISNUMBER(TRNG_Data!F4:F41),LN(TRNG_Data!F4:F41)),TRNG_Data!C4:C41)))*100</f>
        <v>-47.549310306486916</v>
      </c>
      <c r="S15" s="194" t="s">
        <v>356</v>
      </c>
      <c r="T15" s="68"/>
      <c r="U15" s="68"/>
      <c r="V15" s="68"/>
      <c r="W15" s="68"/>
      <c r="X15" s="68"/>
      <c r="Y15" s="69" t="s">
        <v>58</v>
      </c>
      <c r="Z15" s="69">
        <f>R15</f>
        <v>-47.549310306486916</v>
      </c>
      <c r="AA15" s="69" t="s">
        <v>356</v>
      </c>
      <c r="AB15" s="24"/>
      <c r="AC15" s="24"/>
      <c r="AD15" s="24"/>
      <c r="AE15" s="24"/>
      <c r="AF15" s="24"/>
      <c r="AG15" s="24"/>
      <c r="AH15" s="24"/>
      <c r="AI15" s="24"/>
      <c r="AJ15" s="24"/>
      <c r="AK15" s="24"/>
      <c r="AL15" s="24"/>
      <c r="AM15" s="24"/>
      <c r="AN15" s="24"/>
      <c r="AO15" s="24"/>
      <c r="AP15" s="24"/>
      <c r="AQ15" s="24"/>
      <c r="AR15" s="24"/>
      <c r="AS15" s="24"/>
      <c r="AT15" s="24"/>
      <c r="AU15" s="24"/>
      <c r="AV15" s="24"/>
      <c r="AW15" s="24"/>
      <c r="AX15" s="24"/>
      <c r="AY15" s="24"/>
      <c r="AZ15" s="24"/>
      <c r="BA15" s="24"/>
      <c r="BB15" s="24"/>
      <c r="BC15" s="24"/>
      <c r="BD15" s="24"/>
      <c r="BE15" s="24"/>
      <c r="BF15" s="24"/>
      <c r="BG15" s="24"/>
      <c r="BH15" s="24"/>
      <c r="BI15" s="24"/>
      <c r="BJ15" s="24"/>
      <c r="BK15" s="24"/>
      <c r="BL15" s="24"/>
      <c r="BM15" s="24"/>
      <c r="BN15" s="24"/>
      <c r="BO15" s="24"/>
      <c r="BP15" s="24"/>
      <c r="BQ15" s="24"/>
      <c r="BR15" s="24"/>
      <c r="BS15" s="24"/>
      <c r="BT15" s="24"/>
      <c r="BU15" s="24"/>
      <c r="BV15" s="24"/>
      <c r="BW15" s="24"/>
      <c r="BX15" s="24"/>
      <c r="BY15" s="24"/>
      <c r="BZ15" s="24"/>
      <c r="CA15" s="24"/>
      <c r="CB15" s="24"/>
      <c r="CC15" s="24"/>
      <c r="CD15" s="24"/>
      <c r="CE15" s="24"/>
      <c r="CF15" s="24"/>
      <c r="CG15" s="24"/>
      <c r="CH15" s="24"/>
      <c r="CI15" s="24"/>
      <c r="CJ15" s="24"/>
      <c r="CK15" s="24"/>
      <c r="CL15" s="24"/>
      <c r="CM15" s="24"/>
      <c r="CN15" s="24"/>
      <c r="CO15" s="24"/>
      <c r="CP15" s="24"/>
    </row>
    <row r="16" spans="1:94" ht="14.4" customHeight="1" x14ac:dyDescent="0.3">
      <c r="A16" s="222"/>
      <c r="B16" s="24"/>
      <c r="C16" s="24"/>
      <c r="D16" s="24"/>
      <c r="E16" s="24"/>
      <c r="F16" s="24"/>
      <c r="G16" s="24"/>
      <c r="H16" s="24"/>
      <c r="I16" s="24"/>
      <c r="J16" s="194" t="s">
        <v>554</v>
      </c>
      <c r="K16" s="194">
        <f t="array" ref="K16">-(1-EXP(SLOPE(IF(ISNUMBER(TRNG_Data!G4:G41),LN(TRNG_Data!G4:G41)),TRNG_Data!C4:C41)))*100</f>
        <v>-17.018492574647258</v>
      </c>
      <c r="L16" s="194" t="s">
        <v>356</v>
      </c>
      <c r="M16" s="69"/>
      <c r="N16" s="24"/>
      <c r="O16" s="24"/>
      <c r="P16" s="69"/>
      <c r="Q16" s="194" t="s">
        <v>554</v>
      </c>
      <c r="R16" s="194">
        <f t="array" ref="R16">-(1-EXP(SLOPE(IF(ISNUMBER(TRNG_Data!G4:G41),LN(TRNG_Data!G4:G41)),TRNG_Data!C4:C41)))*100</f>
        <v>-17.018492574647258</v>
      </c>
      <c r="S16" s="194" t="s">
        <v>356</v>
      </c>
      <c r="T16" s="69"/>
      <c r="U16" s="69"/>
      <c r="V16" s="69"/>
      <c r="W16" s="69"/>
      <c r="X16" s="69"/>
      <c r="Y16" s="70" t="s">
        <v>554</v>
      </c>
      <c r="Z16" s="70">
        <f>R16</f>
        <v>-17.018492574647258</v>
      </c>
      <c r="AA16" s="70" t="s">
        <v>356</v>
      </c>
      <c r="AB16" s="24"/>
      <c r="AC16" s="24"/>
      <c r="AD16" s="24"/>
      <c r="AE16" s="24"/>
      <c r="AF16" s="24"/>
      <c r="AG16" s="24"/>
      <c r="AH16" s="24"/>
      <c r="AI16" s="24"/>
      <c r="AJ16" s="24"/>
      <c r="AK16" s="24"/>
      <c r="AL16" s="24"/>
      <c r="AM16" s="24"/>
      <c r="AN16" s="24"/>
      <c r="AO16" s="24"/>
      <c r="AP16" s="24"/>
      <c r="AQ16" s="24"/>
      <c r="AR16" s="24"/>
      <c r="AS16" s="24"/>
      <c r="AT16" s="24"/>
      <c r="AU16" s="24"/>
      <c r="AV16" s="24"/>
      <c r="AW16" s="24"/>
      <c r="AX16" s="24"/>
      <c r="AY16" s="24"/>
      <c r="AZ16" s="24"/>
      <c r="BA16" s="24"/>
      <c r="BB16" s="24"/>
      <c r="BC16" s="24"/>
      <c r="BD16" s="24"/>
      <c r="BE16" s="24"/>
      <c r="BF16" s="24"/>
      <c r="BG16" s="24"/>
      <c r="BH16" s="24"/>
      <c r="BI16" s="24"/>
      <c r="BJ16" s="24"/>
      <c r="BK16" s="24"/>
      <c r="BL16" s="24"/>
      <c r="BM16" s="24"/>
      <c r="BN16" s="24"/>
      <c r="BO16" s="24"/>
      <c r="BP16" s="24"/>
      <c r="BQ16" s="24"/>
      <c r="BR16" s="24"/>
      <c r="BS16" s="24"/>
      <c r="BT16" s="24"/>
      <c r="BU16" s="24"/>
      <c r="BV16" s="24"/>
      <c r="BW16" s="24"/>
      <c r="BX16" s="24"/>
      <c r="BY16" s="24"/>
      <c r="BZ16" s="24"/>
      <c r="CA16" s="24"/>
      <c r="CB16" s="24"/>
      <c r="CC16" s="24"/>
      <c r="CD16" s="24"/>
      <c r="CE16" s="24"/>
      <c r="CF16" s="24"/>
      <c r="CG16" s="24"/>
      <c r="CH16" s="24"/>
      <c r="CI16" s="24"/>
      <c r="CJ16" s="24"/>
      <c r="CK16" s="24"/>
      <c r="CL16" s="24"/>
      <c r="CM16" s="24"/>
      <c r="CN16" s="24"/>
      <c r="CO16" s="24"/>
      <c r="CP16" s="24"/>
    </row>
    <row r="17" spans="1:94" ht="14.4" customHeight="1" x14ac:dyDescent="0.3">
      <c r="A17" s="222"/>
      <c r="B17" s="24"/>
      <c r="C17" s="24"/>
      <c r="D17" s="24"/>
      <c r="E17" s="24"/>
      <c r="F17" s="24"/>
      <c r="G17" s="24"/>
      <c r="H17" s="24"/>
      <c r="I17" s="24"/>
      <c r="J17" s="194" t="s">
        <v>496</v>
      </c>
      <c r="K17" s="194">
        <f t="array" ref="K17">-(1-EXP(SLOPE(IF(ISNUMBER(TRNG_Data!H4:H41),LN(TRNG_Data!H4:H41)),TRNG_Data!C4:C41)))*100</f>
        <v>116.57419287835621</v>
      </c>
      <c r="L17" s="194" t="s">
        <v>356</v>
      </c>
      <c r="M17" s="70"/>
      <c r="N17" s="24"/>
      <c r="O17" s="24"/>
      <c r="P17" s="70"/>
      <c r="Q17" s="194" t="s">
        <v>496</v>
      </c>
      <c r="R17" s="194">
        <f t="array" ref="R17">-(1-EXP(SLOPE(IF(ISNUMBER(TRNG_Data!H4:H41),LN(TRNG_Data!H4:H41)),TRNG_Data!C4:C41)))*100</f>
        <v>116.57419287835621</v>
      </c>
      <c r="S17" s="194" t="s">
        <v>356</v>
      </c>
      <c r="T17" s="70"/>
      <c r="U17" s="70"/>
      <c r="V17" s="70"/>
      <c r="W17" s="70"/>
      <c r="X17" s="70"/>
      <c r="Y17" s="193" t="s">
        <v>496</v>
      </c>
      <c r="Z17" s="193">
        <f>R17</f>
        <v>116.57419287835621</v>
      </c>
      <c r="AA17" s="193" t="s">
        <v>356</v>
      </c>
      <c r="AB17" s="24"/>
      <c r="AC17" s="24"/>
      <c r="AD17" s="24"/>
      <c r="AE17" s="24"/>
      <c r="AF17" s="24"/>
      <c r="AG17" s="24"/>
      <c r="AH17" s="24"/>
      <c r="AI17" s="24"/>
      <c r="AJ17" s="24"/>
      <c r="AK17" s="24"/>
      <c r="AL17" s="24"/>
      <c r="AM17" s="24"/>
      <c r="AN17" s="24"/>
      <c r="AO17" s="24"/>
      <c r="AP17" s="24"/>
      <c r="AQ17" s="24"/>
      <c r="AR17" s="24"/>
      <c r="AS17" s="24"/>
      <c r="AT17" s="24"/>
      <c r="AU17" s="24"/>
      <c r="AV17" s="24"/>
      <c r="AW17" s="24"/>
      <c r="AX17" s="24"/>
      <c r="AY17" s="24"/>
      <c r="AZ17" s="24"/>
      <c r="BA17" s="24"/>
      <c r="BB17" s="24"/>
      <c r="BC17" s="24"/>
      <c r="BD17" s="24"/>
      <c r="BE17" s="24"/>
      <c r="BF17" s="24"/>
      <c r="BG17" s="24"/>
      <c r="BH17" s="24"/>
      <c r="BI17" s="24"/>
      <c r="BJ17" s="24"/>
      <c r="BK17" s="24"/>
      <c r="BL17" s="24"/>
      <c r="BM17" s="24"/>
      <c r="BN17" s="24"/>
      <c r="BO17" s="24"/>
      <c r="BP17" s="24"/>
      <c r="BQ17" s="24"/>
      <c r="BR17" s="24"/>
      <c r="BS17" s="24"/>
      <c r="BT17" s="24"/>
      <c r="BU17" s="24"/>
      <c r="BV17" s="24"/>
      <c r="BW17" s="24"/>
      <c r="BX17" s="24"/>
      <c r="BY17" s="24"/>
      <c r="BZ17" s="24"/>
      <c r="CA17" s="24"/>
      <c r="CB17" s="24"/>
      <c r="CC17" s="24"/>
      <c r="CD17" s="24"/>
      <c r="CE17" s="24"/>
      <c r="CF17" s="24"/>
      <c r="CG17" s="24"/>
      <c r="CH17" s="24"/>
      <c r="CI17" s="24"/>
      <c r="CJ17" s="24"/>
      <c r="CK17" s="24"/>
      <c r="CL17" s="24"/>
      <c r="CM17" s="24"/>
      <c r="CN17" s="24"/>
      <c r="CO17" s="24"/>
      <c r="CP17" s="24"/>
    </row>
    <row r="18" spans="1:94" ht="14.4" customHeight="1" x14ac:dyDescent="0.3">
      <c r="A18" s="222"/>
      <c r="B18" s="24"/>
      <c r="C18" s="24"/>
      <c r="D18" s="24"/>
      <c r="E18" s="24"/>
      <c r="F18" s="24"/>
      <c r="G18" s="24"/>
      <c r="H18" s="24"/>
      <c r="I18" s="24"/>
      <c r="J18" s="194" t="s">
        <v>345</v>
      </c>
      <c r="K18" s="194">
        <f t="array" ref="K18">-(1-EXP(SLOPE(IF(ISNUMBER(TRNG_Data!I4:I41),LN(TRNG_Data!I4:I41)),TRNG_Data!C4:C41)))*100</f>
        <v>291.12728806852368</v>
      </c>
      <c r="L18" s="194" t="s">
        <v>356</v>
      </c>
      <c r="M18" s="24"/>
      <c r="N18" s="24"/>
      <c r="O18" s="24"/>
      <c r="P18" s="71"/>
      <c r="Q18" s="194" t="s">
        <v>345</v>
      </c>
      <c r="R18" s="194"/>
      <c r="S18" s="194" t="s">
        <v>356</v>
      </c>
      <c r="T18" s="71"/>
      <c r="U18" s="71"/>
      <c r="V18" s="71"/>
      <c r="W18" s="71"/>
      <c r="X18" s="24"/>
      <c r="Y18" s="197" t="s">
        <v>345</v>
      </c>
      <c r="Z18" s="197"/>
      <c r="AA18" s="197" t="s">
        <v>356</v>
      </c>
      <c r="AB18" s="24"/>
      <c r="AC18" s="24"/>
      <c r="AD18" s="24"/>
      <c r="AE18" s="24"/>
      <c r="AF18" s="24"/>
      <c r="AG18" s="24"/>
      <c r="AH18" s="24"/>
      <c r="AI18" s="24"/>
      <c r="AJ18" s="24"/>
      <c r="AK18" s="24"/>
      <c r="AL18" s="24"/>
      <c r="AM18" s="24"/>
      <c r="AN18" s="24"/>
      <c r="AO18" s="24"/>
      <c r="AP18" s="24"/>
      <c r="AQ18" s="24"/>
      <c r="AR18" s="24"/>
      <c r="AS18" s="24"/>
      <c r="AT18" s="24"/>
      <c r="AU18" s="24"/>
      <c r="AV18" s="24"/>
      <c r="AW18" s="24"/>
      <c r="AX18" s="24"/>
      <c r="AY18" s="24"/>
      <c r="AZ18" s="24"/>
      <c r="BA18" s="24"/>
      <c r="BB18" s="24"/>
      <c r="BC18" s="24"/>
      <c r="BD18" s="24"/>
      <c r="BE18" s="24"/>
      <c r="BF18" s="24"/>
      <c r="BG18" s="24"/>
      <c r="BH18" s="24"/>
      <c r="BI18" s="24"/>
      <c r="BJ18" s="24"/>
      <c r="BK18" s="24"/>
      <c r="BL18" s="24"/>
      <c r="BM18" s="24"/>
      <c r="BN18" s="24"/>
      <c r="BO18" s="24"/>
      <c r="BP18" s="24"/>
      <c r="BQ18" s="24"/>
      <c r="BR18" s="24"/>
      <c r="BS18" s="24"/>
      <c r="BT18" s="24"/>
      <c r="BU18" s="24"/>
      <c r="BV18" s="24"/>
      <c r="BW18" s="24"/>
      <c r="BX18" s="24"/>
      <c r="BY18" s="24"/>
      <c r="BZ18" s="24"/>
      <c r="CA18" s="24"/>
      <c r="CB18" s="24"/>
      <c r="CC18" s="24"/>
      <c r="CD18" s="24"/>
      <c r="CE18" s="24"/>
      <c r="CF18" s="24"/>
      <c r="CG18" s="24"/>
      <c r="CH18" s="24"/>
      <c r="CI18" s="24"/>
      <c r="CJ18" s="24"/>
      <c r="CK18" s="24"/>
      <c r="CL18" s="24"/>
      <c r="CM18" s="24"/>
      <c r="CN18" s="24"/>
      <c r="CO18" s="24"/>
      <c r="CP18" s="24"/>
    </row>
    <row r="19" spans="1:94" ht="14.4" customHeight="1" x14ac:dyDescent="0.3">
      <c r="A19" s="222"/>
      <c r="B19" s="24"/>
      <c r="C19" s="24"/>
      <c r="D19" s="24"/>
      <c r="E19" s="24"/>
      <c r="F19" s="24"/>
      <c r="G19" s="24"/>
      <c r="H19" s="24"/>
      <c r="I19" s="24"/>
      <c r="J19" s="194"/>
      <c r="K19" s="194"/>
      <c r="L19" s="194"/>
      <c r="M19" s="24"/>
      <c r="N19" s="24"/>
      <c r="O19" s="24"/>
      <c r="P19" s="193"/>
      <c r="Q19" s="194"/>
      <c r="R19" s="194"/>
      <c r="S19" s="194"/>
      <c r="T19" s="193"/>
      <c r="U19" s="193"/>
      <c r="V19" s="193"/>
      <c r="W19" s="193"/>
      <c r="X19" s="24"/>
      <c r="Y19" s="24"/>
      <c r="Z19" s="24"/>
      <c r="AA19" s="24"/>
      <c r="AB19" s="24"/>
      <c r="AC19" s="24"/>
      <c r="AD19" s="24"/>
      <c r="AE19" s="24"/>
      <c r="AF19" s="24"/>
      <c r="AG19" s="24"/>
      <c r="AH19" s="24"/>
      <c r="AI19" s="24"/>
      <c r="AJ19" s="24"/>
      <c r="AK19" s="24"/>
      <c r="AL19" s="24"/>
      <c r="AM19" s="24"/>
      <c r="AN19" s="24"/>
      <c r="AO19" s="24"/>
      <c r="AP19" s="24"/>
      <c r="AQ19" s="24"/>
      <c r="AR19" s="24"/>
      <c r="AS19" s="24"/>
      <c r="AT19" s="24"/>
      <c r="AU19" s="24"/>
      <c r="AV19" s="24"/>
      <c r="AW19" s="24"/>
      <c r="AX19" s="24"/>
      <c r="AY19" s="24"/>
      <c r="AZ19" s="24"/>
      <c r="BA19" s="24"/>
      <c r="BB19" s="24"/>
      <c r="BC19" s="24"/>
      <c r="BD19" s="24"/>
      <c r="BE19" s="24"/>
      <c r="BF19" s="24"/>
      <c r="BG19" s="24"/>
      <c r="BH19" s="24"/>
      <c r="BI19" s="24"/>
      <c r="BJ19" s="24"/>
      <c r="BK19" s="24"/>
      <c r="BL19" s="24"/>
      <c r="BM19" s="24"/>
      <c r="BN19" s="24"/>
      <c r="BO19" s="24"/>
      <c r="BP19" s="24"/>
      <c r="BQ19" s="24"/>
      <c r="BR19" s="24"/>
      <c r="BS19" s="24"/>
      <c r="BT19" s="24"/>
      <c r="BU19" s="24"/>
      <c r="BV19" s="24"/>
      <c r="BW19" s="24"/>
      <c r="BX19" s="24"/>
      <c r="BY19" s="24"/>
      <c r="BZ19" s="24"/>
      <c r="CA19" s="24"/>
      <c r="CB19" s="24"/>
      <c r="CC19" s="24"/>
      <c r="CD19" s="24"/>
      <c r="CE19" s="24"/>
      <c r="CF19" s="24"/>
      <c r="CG19" s="24"/>
      <c r="CH19" s="24"/>
      <c r="CI19" s="24"/>
      <c r="CJ19" s="24"/>
      <c r="CK19" s="24"/>
      <c r="CL19" s="24"/>
      <c r="CM19" s="24"/>
      <c r="CN19" s="24"/>
      <c r="CO19" s="24"/>
      <c r="CP19" s="24"/>
    </row>
    <row r="20" spans="1:94" ht="14.4" customHeight="1" x14ac:dyDescent="0.3">
      <c r="A20" s="222"/>
      <c r="B20" s="24"/>
      <c r="C20" s="24"/>
      <c r="D20" s="24"/>
      <c r="E20" s="24"/>
      <c r="F20" s="24"/>
      <c r="G20" s="24"/>
      <c r="H20" s="24"/>
      <c r="I20" s="24"/>
      <c r="J20" s="194"/>
      <c r="K20" s="194"/>
      <c r="L20" s="194"/>
      <c r="M20" s="24"/>
      <c r="N20" s="24"/>
      <c r="O20" s="24"/>
      <c r="P20" s="24"/>
      <c r="Q20" s="194"/>
      <c r="R20" s="194"/>
      <c r="S20" s="19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row>
    <row r="21" spans="1:94" ht="14.4" customHeight="1" x14ac:dyDescent="0.3">
      <c r="A21" s="222"/>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row>
    <row r="22" spans="1:94" ht="14.4" customHeight="1" x14ac:dyDescent="0.3">
      <c r="A22" s="222"/>
      <c r="B22" s="24"/>
      <c r="C22" s="24"/>
      <c r="D22" s="24"/>
      <c r="E22" s="24"/>
      <c r="F22" s="24"/>
      <c r="G22" s="24"/>
      <c r="H22" s="24"/>
      <c r="I22" s="24"/>
      <c r="J22" s="24"/>
      <c r="K22" s="24"/>
      <c r="L22" s="24"/>
      <c r="M22" s="24"/>
      <c r="N22" s="24"/>
      <c r="O22" s="24"/>
      <c r="P22" s="24"/>
      <c r="Q22" s="24"/>
      <c r="R22" s="24"/>
      <c r="S22" s="24"/>
      <c r="T22" s="24"/>
      <c r="U22" s="24"/>
      <c r="V22" s="24"/>
      <c r="W22" s="24"/>
      <c r="X22" s="24"/>
      <c r="Y22" s="24"/>
      <c r="Z22" s="24"/>
      <c r="AA22" s="24"/>
      <c r="AB22" s="24"/>
      <c r="AC22" s="24"/>
      <c r="AD22" s="24"/>
      <c r="AE22" s="24"/>
      <c r="AF22" s="24"/>
      <c r="AG22" s="24"/>
      <c r="AH22" s="24"/>
      <c r="AI22" s="24"/>
      <c r="AJ22" s="24"/>
      <c r="AK22" s="24"/>
      <c r="AL22" s="24"/>
      <c r="AM22" s="24"/>
      <c r="AN22" s="24"/>
      <c r="AO22" s="24"/>
      <c r="AP22" s="24"/>
      <c r="AQ22" s="24"/>
      <c r="AR22" s="24"/>
      <c r="AS22" s="24"/>
      <c r="AT22" s="24"/>
      <c r="AU22" s="24"/>
      <c r="AV22" s="24"/>
      <c r="AW22" s="24"/>
      <c r="AX22" s="24"/>
      <c r="AY22" s="24"/>
      <c r="AZ22" s="24"/>
      <c r="BA22" s="24"/>
      <c r="BB22" s="24"/>
      <c r="BC22" s="24"/>
      <c r="BD22" s="24"/>
      <c r="BE22" s="24"/>
      <c r="BF22" s="24"/>
      <c r="BG22" s="24"/>
      <c r="BH22" s="24"/>
      <c r="BI22" s="24"/>
      <c r="BJ22" s="24"/>
      <c r="BK22" s="24"/>
      <c r="BL22" s="24"/>
      <c r="BM22" s="24"/>
      <c r="BN22" s="24"/>
      <c r="BO22" s="24"/>
      <c r="BP22" s="24"/>
      <c r="BQ22" s="24"/>
      <c r="BR22" s="24"/>
      <c r="BS22" s="24"/>
      <c r="BT22" s="24"/>
      <c r="BU22" s="24"/>
      <c r="BV22" s="24"/>
      <c r="BW22" s="24"/>
      <c r="BX22" s="24"/>
      <c r="BY22" s="24"/>
      <c r="BZ22" s="24"/>
      <c r="CA22" s="24"/>
      <c r="CB22" s="24"/>
      <c r="CC22" s="24"/>
      <c r="CD22" s="24"/>
      <c r="CE22" s="24"/>
      <c r="CF22" s="24"/>
      <c r="CG22" s="24"/>
      <c r="CH22" s="24"/>
      <c r="CI22" s="24"/>
      <c r="CJ22" s="24"/>
      <c r="CK22" s="24"/>
      <c r="CL22" s="24"/>
      <c r="CM22" s="24"/>
      <c r="CN22" s="24"/>
      <c r="CO22" s="24"/>
      <c r="CP22" s="24"/>
    </row>
    <row r="23" spans="1:94" ht="14.4" customHeight="1" x14ac:dyDescent="0.3">
      <c r="A23" s="222"/>
      <c r="B23" s="24"/>
      <c r="C23" s="24"/>
      <c r="D23" s="24"/>
      <c r="E23" s="24"/>
      <c r="F23" s="24"/>
      <c r="G23" s="24"/>
      <c r="H23" s="24"/>
      <c r="I23" s="24"/>
      <c r="J23" s="24"/>
      <c r="K23" s="24"/>
      <c r="L23" s="24"/>
      <c r="M23" s="24"/>
      <c r="N23" s="24"/>
      <c r="O23" s="24"/>
      <c r="P23" s="24"/>
      <c r="Q23" s="24"/>
      <c r="R23" s="24"/>
      <c r="S23" s="24"/>
      <c r="T23" s="24"/>
      <c r="U23" s="24"/>
      <c r="V23" s="24"/>
      <c r="W23" s="24"/>
      <c r="X23" s="24"/>
      <c r="Y23" s="24"/>
      <c r="Z23" s="24"/>
      <c r="AA23" s="24"/>
      <c r="AB23" s="24"/>
      <c r="AC23" s="24"/>
      <c r="AD23" s="24"/>
      <c r="AE23" s="24"/>
      <c r="AF23" s="24"/>
      <c r="AG23" s="24"/>
      <c r="AH23" s="24"/>
      <c r="AI23" s="24"/>
      <c r="AJ23" s="24"/>
      <c r="AK23" s="24"/>
      <c r="AL23" s="24"/>
      <c r="AM23" s="24"/>
      <c r="AN23" s="24"/>
      <c r="AO23" s="24"/>
      <c r="AP23" s="24"/>
      <c r="AQ23" s="24"/>
      <c r="AR23" s="24"/>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4"/>
      <c r="BU23" s="24"/>
      <c r="BV23" s="24"/>
      <c r="BW23" s="24"/>
      <c r="BX23" s="24"/>
      <c r="BY23" s="24"/>
      <c r="BZ23" s="24"/>
      <c r="CA23" s="24"/>
      <c r="CB23" s="24"/>
      <c r="CC23" s="24"/>
      <c r="CD23" s="24"/>
      <c r="CE23" s="24"/>
      <c r="CF23" s="24"/>
      <c r="CG23" s="24"/>
      <c r="CH23" s="24"/>
      <c r="CI23" s="24"/>
      <c r="CJ23" s="24"/>
      <c r="CK23" s="24"/>
      <c r="CL23" s="24"/>
      <c r="CM23" s="24"/>
      <c r="CN23" s="24"/>
      <c r="CO23" s="24"/>
      <c r="CP23" s="24"/>
    </row>
    <row r="24" spans="1:94" ht="14.4" customHeight="1" x14ac:dyDescent="0.3">
      <c r="A24" s="222"/>
      <c r="B24" s="24"/>
      <c r="C24" s="24"/>
      <c r="D24" s="24"/>
      <c r="E24" s="24"/>
      <c r="F24" s="24"/>
      <c r="G24" s="24"/>
      <c r="H24" s="24"/>
      <c r="I24" s="24"/>
      <c r="J24" s="24"/>
      <c r="K24" s="24"/>
      <c r="L24" s="24"/>
      <c r="M24" s="24"/>
      <c r="N24" s="24"/>
      <c r="O24" s="24"/>
      <c r="P24" s="24"/>
      <c r="Q24" s="24"/>
      <c r="R24" s="24"/>
      <c r="S24" s="24"/>
      <c r="T24" s="24"/>
      <c r="U24" s="24"/>
      <c r="V24" s="24"/>
      <c r="W24" s="24"/>
      <c r="X24" s="24"/>
      <c r="Y24" s="24"/>
      <c r="Z24" s="24"/>
      <c r="AA24" s="24"/>
      <c r="AB24" s="24"/>
      <c r="AC24" s="24"/>
      <c r="AD24" s="24"/>
      <c r="AE24" s="24"/>
      <c r="AF24" s="24"/>
      <c r="AG24" s="24"/>
      <c r="AH24" s="24"/>
      <c r="AI24" s="24"/>
      <c r="AJ24" s="24"/>
      <c r="AK24" s="24"/>
      <c r="AL24" s="24"/>
      <c r="AM24" s="24"/>
      <c r="AN24" s="24"/>
      <c r="AO24" s="24"/>
      <c r="AP24" s="24"/>
      <c r="AQ24" s="24"/>
      <c r="AR24" s="24"/>
      <c r="AS24" s="24"/>
      <c r="AT24" s="24"/>
      <c r="AU24" s="24"/>
      <c r="AV24" s="24"/>
      <c r="AW24" s="24"/>
      <c r="AX24" s="24"/>
      <c r="AY24" s="24"/>
      <c r="AZ24" s="24"/>
      <c r="BA24" s="24"/>
      <c r="BB24" s="24"/>
      <c r="BC24" s="24"/>
      <c r="BD24" s="24"/>
      <c r="BE24" s="24"/>
      <c r="BF24" s="24"/>
      <c r="BG24" s="24"/>
      <c r="BH24" s="24"/>
      <c r="BI24" s="24"/>
      <c r="BJ24" s="24"/>
      <c r="BK24" s="24"/>
      <c r="BL24" s="24"/>
      <c r="BM24" s="24"/>
      <c r="BN24" s="24"/>
      <c r="BO24" s="24"/>
      <c r="BP24" s="24"/>
      <c r="BQ24" s="24"/>
      <c r="BR24" s="24"/>
      <c r="BS24" s="24"/>
      <c r="BT24" s="24"/>
      <c r="BU24" s="24"/>
      <c r="BV24" s="24"/>
      <c r="BW24" s="24"/>
      <c r="BX24" s="24"/>
      <c r="BY24" s="24"/>
      <c r="BZ24" s="24"/>
      <c r="CA24" s="24"/>
      <c r="CB24" s="24"/>
      <c r="CC24" s="24"/>
      <c r="CD24" s="24"/>
      <c r="CE24" s="24"/>
      <c r="CF24" s="24"/>
      <c r="CG24" s="24"/>
      <c r="CH24" s="24"/>
      <c r="CI24" s="24"/>
      <c r="CJ24" s="24"/>
      <c r="CK24" s="24"/>
      <c r="CL24" s="24"/>
      <c r="CM24" s="24"/>
      <c r="CN24" s="24"/>
      <c r="CO24" s="24"/>
      <c r="CP24" s="24"/>
    </row>
    <row r="25" spans="1:94" ht="14.4" customHeight="1" x14ac:dyDescent="0.3">
      <c r="A25" s="222"/>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4"/>
      <c r="BJ25" s="24"/>
      <c r="BK25" s="24"/>
      <c r="BL25" s="24"/>
      <c r="BM25" s="24"/>
      <c r="BN25" s="24"/>
      <c r="BO25" s="24"/>
      <c r="BP25" s="24"/>
      <c r="BQ25" s="24"/>
      <c r="BR25" s="24"/>
      <c r="BS25" s="24"/>
      <c r="BT25" s="24"/>
      <c r="BU25" s="24"/>
      <c r="BV25" s="24"/>
      <c r="BW25" s="24"/>
      <c r="BX25" s="24"/>
      <c r="BY25" s="24"/>
      <c r="BZ25" s="24"/>
      <c r="CA25" s="24"/>
      <c r="CB25" s="24"/>
      <c r="CC25" s="24"/>
      <c r="CD25" s="24"/>
      <c r="CE25" s="24"/>
      <c r="CF25" s="24"/>
      <c r="CG25" s="24"/>
      <c r="CH25" s="24"/>
      <c r="CI25" s="24"/>
      <c r="CJ25" s="24"/>
      <c r="CK25" s="24"/>
      <c r="CL25" s="24"/>
      <c r="CM25" s="24"/>
      <c r="CN25" s="24"/>
      <c r="CO25" s="24"/>
      <c r="CP25" s="24"/>
    </row>
    <row r="26" spans="1:94" ht="14.4" customHeight="1" x14ac:dyDescent="0.3">
      <c r="A26" s="222"/>
      <c r="B26" s="24"/>
      <c r="C26" s="24"/>
      <c r="D26" s="24"/>
      <c r="E26" s="24"/>
      <c r="F26" s="24"/>
      <c r="G26" s="24"/>
      <c r="H26" s="24"/>
      <c r="I26" s="24"/>
      <c r="J26" s="24"/>
      <c r="K26" s="24"/>
      <c r="L26" s="24"/>
      <c r="M26" s="24"/>
      <c r="N26" s="24"/>
      <c r="O26" s="24"/>
      <c r="P26" s="24"/>
      <c r="Q26" s="24"/>
      <c r="R26" s="24"/>
      <c r="S26" s="24"/>
      <c r="T26" s="24"/>
      <c r="U26" s="24"/>
      <c r="V26" s="24"/>
      <c r="W26" s="24"/>
      <c r="X26" s="24"/>
      <c r="Y26" s="24"/>
      <c r="Z26" s="24"/>
      <c r="AA26" s="24"/>
      <c r="AB26" s="24"/>
      <c r="AC26" s="24"/>
      <c r="AD26" s="24"/>
      <c r="AE26" s="24"/>
      <c r="AF26" s="24"/>
      <c r="AG26" s="24"/>
      <c r="AH26" s="24"/>
      <c r="AI26" s="24"/>
      <c r="AJ26" s="24"/>
      <c r="AK26" s="24"/>
      <c r="AL26" s="24"/>
      <c r="AM26" s="24"/>
      <c r="AN26" s="24"/>
      <c r="AO26" s="24"/>
      <c r="AP26" s="24"/>
      <c r="AQ26" s="24"/>
      <c r="AR26" s="24"/>
      <c r="AS26" s="24"/>
      <c r="AT26" s="24"/>
      <c r="AU26" s="24"/>
      <c r="AV26" s="24"/>
      <c r="AW26" s="24"/>
      <c r="AX26" s="24"/>
      <c r="AY26" s="24"/>
      <c r="AZ26" s="24"/>
      <c r="BA26" s="24"/>
      <c r="BB26" s="24"/>
      <c r="BC26" s="24"/>
      <c r="BD26" s="24"/>
      <c r="BE26" s="24"/>
      <c r="BF26" s="24"/>
      <c r="BG26" s="24"/>
      <c r="BH26" s="24"/>
      <c r="BI26" s="24"/>
      <c r="BJ26" s="24"/>
      <c r="BK26" s="24"/>
      <c r="BL26" s="24"/>
      <c r="BM26" s="24"/>
      <c r="BN26" s="24"/>
      <c r="BO26" s="24"/>
      <c r="BP26" s="24"/>
      <c r="BQ26" s="24"/>
      <c r="BR26" s="24"/>
      <c r="BS26" s="24"/>
      <c r="BT26" s="24"/>
      <c r="BU26" s="24"/>
      <c r="BV26" s="24"/>
      <c r="BW26" s="24"/>
      <c r="BX26" s="24"/>
      <c r="BY26" s="24"/>
      <c r="BZ26" s="24"/>
      <c r="CA26" s="24"/>
      <c r="CB26" s="24"/>
      <c r="CC26" s="24"/>
      <c r="CD26" s="24"/>
      <c r="CE26" s="24"/>
      <c r="CF26" s="24"/>
      <c r="CG26" s="24"/>
      <c r="CH26" s="24"/>
      <c r="CI26" s="24"/>
      <c r="CJ26" s="24"/>
      <c r="CK26" s="24"/>
      <c r="CL26" s="24"/>
      <c r="CM26" s="24"/>
      <c r="CN26" s="24"/>
      <c r="CO26" s="24"/>
      <c r="CP26" s="24"/>
    </row>
    <row r="27" spans="1:94" ht="14.4" customHeight="1" x14ac:dyDescent="0.3">
      <c r="A27" s="222"/>
      <c r="B27" s="24"/>
      <c r="C27" s="24"/>
      <c r="D27" s="24"/>
      <c r="E27" s="24"/>
      <c r="F27" s="24"/>
      <c r="G27" s="24"/>
      <c r="H27" s="24"/>
      <c r="I27" s="24"/>
      <c r="J27" s="24"/>
      <c r="K27" s="24"/>
      <c r="L27" s="24"/>
      <c r="M27" s="24"/>
      <c r="N27" s="24"/>
      <c r="O27" s="24"/>
      <c r="P27" s="24"/>
      <c r="Q27" s="24"/>
      <c r="R27" s="24"/>
      <c r="S27" s="24"/>
      <c r="T27" s="24"/>
      <c r="U27" s="24"/>
      <c r="V27" s="24"/>
      <c r="W27" s="24"/>
      <c r="X27" s="24"/>
      <c r="Y27" s="24"/>
      <c r="Z27" s="24"/>
      <c r="AA27" s="24"/>
      <c r="AB27" s="24"/>
      <c r="AC27" s="24"/>
      <c r="AD27" s="24"/>
      <c r="AE27" s="24"/>
      <c r="AF27" s="24"/>
      <c r="AG27" s="24"/>
      <c r="AH27" s="24"/>
      <c r="AI27" s="24"/>
      <c r="AJ27" s="24"/>
      <c r="AK27" s="24"/>
      <c r="AL27" s="24"/>
      <c r="AM27" s="24"/>
      <c r="AN27" s="24"/>
      <c r="AO27" s="24"/>
      <c r="AP27" s="24"/>
      <c r="AQ27" s="24"/>
      <c r="AR27" s="24"/>
      <c r="AS27" s="24"/>
      <c r="AT27" s="24"/>
      <c r="AU27" s="24"/>
      <c r="AV27" s="24"/>
      <c r="AW27" s="24"/>
      <c r="AX27" s="24"/>
      <c r="AY27" s="24"/>
      <c r="AZ27" s="24"/>
      <c r="BA27" s="24"/>
      <c r="BB27" s="24"/>
      <c r="BC27" s="24"/>
      <c r="BD27" s="24"/>
      <c r="BE27" s="24"/>
      <c r="BF27" s="24"/>
      <c r="BG27" s="24"/>
      <c r="BH27" s="24"/>
      <c r="BI27" s="24"/>
      <c r="BJ27" s="24"/>
      <c r="BK27" s="24"/>
      <c r="BL27" s="24"/>
      <c r="BM27" s="24"/>
      <c r="BN27" s="24"/>
      <c r="BO27" s="24"/>
      <c r="BP27" s="24"/>
      <c r="BQ27" s="24"/>
      <c r="BR27" s="24"/>
      <c r="BS27" s="24"/>
      <c r="BT27" s="24"/>
      <c r="BU27" s="24"/>
      <c r="BV27" s="24"/>
      <c r="BW27" s="24"/>
      <c r="BX27" s="24"/>
      <c r="BY27" s="24"/>
      <c r="BZ27" s="24"/>
      <c r="CA27" s="24"/>
      <c r="CB27" s="24"/>
      <c r="CC27" s="24"/>
      <c r="CD27" s="24"/>
      <c r="CE27" s="24"/>
      <c r="CF27" s="24"/>
      <c r="CG27" s="24"/>
      <c r="CH27" s="24"/>
      <c r="CI27" s="24"/>
      <c r="CJ27" s="24"/>
      <c r="CK27" s="24"/>
      <c r="CL27" s="24"/>
      <c r="CM27" s="24"/>
      <c r="CN27" s="24"/>
      <c r="CO27" s="24"/>
      <c r="CP27" s="24"/>
    </row>
    <row r="28" spans="1:94" ht="14.4" customHeight="1" x14ac:dyDescent="0.3">
      <c r="A28" s="222"/>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4"/>
      <c r="BJ28" s="24"/>
      <c r="BK28" s="24"/>
      <c r="BL28" s="24"/>
      <c r="BM28" s="24"/>
      <c r="BN28" s="24"/>
      <c r="BO28" s="24"/>
      <c r="BP28" s="24"/>
      <c r="BQ28" s="24"/>
      <c r="BR28" s="24"/>
      <c r="BS28" s="24"/>
      <c r="BT28" s="24"/>
      <c r="BU28" s="24"/>
      <c r="BV28" s="24"/>
      <c r="BW28" s="24"/>
      <c r="BX28" s="24"/>
      <c r="BY28" s="24"/>
      <c r="BZ28" s="24"/>
      <c r="CA28" s="24"/>
      <c r="CB28" s="24"/>
      <c r="CC28" s="24"/>
      <c r="CD28" s="24"/>
      <c r="CE28" s="24"/>
      <c r="CF28" s="24"/>
      <c r="CG28" s="24"/>
      <c r="CH28" s="24"/>
      <c r="CI28" s="24"/>
      <c r="CJ28" s="24"/>
      <c r="CK28" s="24"/>
      <c r="CL28" s="24"/>
      <c r="CM28" s="24"/>
      <c r="CN28" s="24"/>
      <c r="CO28" s="24"/>
      <c r="CP28" s="24"/>
    </row>
    <row r="29" spans="1:94" ht="14.4" customHeight="1" x14ac:dyDescent="0.3">
      <c r="A29" s="222"/>
      <c r="B29" s="24"/>
      <c r="C29" s="24"/>
      <c r="D29" s="24"/>
      <c r="E29" s="24"/>
      <c r="F29" s="24"/>
      <c r="G29" s="24"/>
      <c r="H29" s="24"/>
      <c r="I29" s="24"/>
      <c r="J29" s="24"/>
      <c r="K29" s="24"/>
      <c r="L29" s="24"/>
      <c r="M29" s="24"/>
      <c r="N29" s="24"/>
      <c r="O29" s="24"/>
      <c r="P29" s="24"/>
      <c r="Q29" s="24"/>
      <c r="R29" s="24"/>
      <c r="S29" s="24"/>
      <c r="T29" s="24"/>
      <c r="U29" s="24"/>
      <c r="V29" s="24"/>
      <c r="W29" s="24"/>
      <c r="X29" s="24"/>
      <c r="Y29" s="24"/>
      <c r="Z29" s="24"/>
      <c r="AA29" s="24"/>
      <c r="AB29" s="24"/>
      <c r="AC29" s="24"/>
      <c r="AD29" s="24"/>
      <c r="AE29" s="24"/>
      <c r="AF29" s="24"/>
      <c r="AG29" s="24"/>
      <c r="AH29" s="24"/>
      <c r="AI29" s="24"/>
      <c r="AJ29" s="24"/>
      <c r="AK29" s="24"/>
      <c r="AL29" s="24"/>
      <c r="AM29" s="24"/>
      <c r="AN29" s="24"/>
      <c r="AO29" s="24"/>
      <c r="AP29" s="24"/>
      <c r="AQ29" s="24"/>
      <c r="AR29" s="24"/>
      <c r="AS29" s="24"/>
      <c r="AT29" s="24"/>
      <c r="AU29" s="24"/>
      <c r="AV29" s="24"/>
      <c r="AW29" s="24"/>
      <c r="AX29" s="24"/>
      <c r="AY29" s="24"/>
      <c r="AZ29" s="24"/>
      <c r="BA29" s="24"/>
      <c r="BB29" s="24"/>
      <c r="BC29" s="24"/>
      <c r="BD29" s="24"/>
      <c r="BE29" s="24"/>
      <c r="BF29" s="24"/>
      <c r="BG29" s="24"/>
      <c r="BH29" s="24"/>
      <c r="BI29" s="24"/>
      <c r="BJ29" s="24"/>
      <c r="BK29" s="24"/>
      <c r="BL29" s="24"/>
      <c r="BM29" s="24"/>
      <c r="BN29" s="24"/>
      <c r="BO29" s="24"/>
      <c r="BP29" s="24"/>
      <c r="BQ29" s="24"/>
      <c r="BR29" s="24"/>
      <c r="BS29" s="24"/>
      <c r="BT29" s="24"/>
      <c r="BU29" s="24"/>
      <c r="BV29" s="24"/>
      <c r="BW29" s="24"/>
      <c r="BX29" s="24"/>
      <c r="BY29" s="24"/>
      <c r="BZ29" s="24"/>
      <c r="CA29" s="24"/>
      <c r="CB29" s="24"/>
      <c r="CC29" s="24"/>
      <c r="CD29" s="24"/>
      <c r="CE29" s="24"/>
      <c r="CF29" s="24"/>
      <c r="CG29" s="24"/>
      <c r="CH29" s="24"/>
      <c r="CI29" s="24"/>
      <c r="CJ29" s="24"/>
      <c r="CK29" s="24"/>
      <c r="CL29" s="24"/>
      <c r="CM29" s="24"/>
      <c r="CN29" s="24"/>
      <c r="CO29" s="24"/>
      <c r="CP29" s="24"/>
    </row>
    <row r="30" spans="1:94" x14ac:dyDescent="0.3">
      <c r="A30" s="222"/>
      <c r="B30" s="24"/>
      <c r="C30" s="24"/>
      <c r="D30" s="24"/>
      <c r="E30" s="24"/>
      <c r="F30" s="24"/>
      <c r="G30" s="24"/>
      <c r="H30" s="24"/>
      <c r="I30" s="24"/>
      <c r="J30" s="24"/>
      <c r="K30" s="24"/>
      <c r="L30" s="24"/>
      <c r="M30" s="24"/>
      <c r="N30" s="24"/>
      <c r="O30" s="24"/>
      <c r="P30" s="24"/>
      <c r="Q30" s="24"/>
      <c r="R30" s="24"/>
      <c r="S30" s="24"/>
      <c r="T30" s="24"/>
      <c r="U30" s="24"/>
      <c r="V30" s="24"/>
      <c r="W30" s="24"/>
      <c r="X30" s="24"/>
      <c r="Y30" s="24"/>
      <c r="Z30" s="24"/>
      <c r="AA30" s="24"/>
      <c r="AB30" s="24"/>
      <c r="AC30" s="24"/>
      <c r="AD30" s="24"/>
      <c r="AE30" s="24"/>
      <c r="AF30" s="24"/>
      <c r="AG30" s="24"/>
      <c r="AH30" s="24"/>
      <c r="AI30" s="24"/>
      <c r="AJ30" s="24"/>
      <c r="AK30" s="24"/>
      <c r="AL30" s="24"/>
      <c r="AM30" s="24"/>
      <c r="AN30" s="24"/>
      <c r="AO30" s="24"/>
      <c r="AP30" s="24"/>
      <c r="AQ30" s="24"/>
      <c r="AR30" s="24"/>
      <c r="AS30" s="24"/>
      <c r="AT30" s="24"/>
      <c r="AU30" s="24"/>
      <c r="AV30" s="24"/>
      <c r="AW30" s="24"/>
      <c r="AX30" s="24"/>
      <c r="AY30" s="24"/>
      <c r="AZ30" s="24"/>
      <c r="BA30" s="24"/>
      <c r="BB30" s="24"/>
      <c r="BC30" s="24"/>
      <c r="BD30" s="24"/>
      <c r="BE30" s="24"/>
      <c r="BF30" s="24"/>
      <c r="BG30" s="24"/>
      <c r="BH30" s="24"/>
      <c r="BI30" s="24"/>
      <c r="BJ30" s="24"/>
      <c r="BK30" s="24"/>
      <c r="BL30" s="24"/>
      <c r="BM30" s="24"/>
      <c r="BN30" s="24"/>
      <c r="BO30" s="24"/>
      <c r="BP30" s="24"/>
      <c r="BQ30" s="24"/>
      <c r="BR30" s="24"/>
      <c r="BS30" s="24"/>
      <c r="BT30" s="24"/>
      <c r="BU30" s="24"/>
      <c r="BV30" s="24"/>
      <c r="BW30" s="24"/>
      <c r="BX30" s="24"/>
      <c r="BY30" s="24"/>
      <c r="BZ30" s="24"/>
      <c r="CA30" s="24"/>
      <c r="CB30" s="24"/>
      <c r="CC30" s="24"/>
      <c r="CD30" s="24"/>
      <c r="CE30" s="24"/>
      <c r="CF30" s="24"/>
      <c r="CG30" s="24"/>
      <c r="CH30" s="24"/>
      <c r="CI30" s="24"/>
      <c r="CJ30" s="24"/>
      <c r="CK30" s="24"/>
      <c r="CL30" s="24"/>
      <c r="CM30" s="24"/>
      <c r="CN30" s="24"/>
      <c r="CO30" s="24"/>
      <c r="CP30" s="24"/>
    </row>
    <row r="31" spans="1:94" x14ac:dyDescent="0.3">
      <c r="A31" s="222"/>
      <c r="B31" s="24"/>
      <c r="C31" s="24"/>
      <c r="D31" s="24"/>
      <c r="E31" s="24"/>
      <c r="F31" s="24"/>
      <c r="G31" s="24"/>
      <c r="H31" s="24"/>
      <c r="I31" s="24"/>
      <c r="J31" s="24"/>
      <c r="K31" s="24"/>
      <c r="L31" s="24"/>
      <c r="M31" s="24"/>
      <c r="N31" s="24"/>
      <c r="O31" s="24"/>
      <c r="P31" s="24"/>
      <c r="Q31" s="24"/>
      <c r="R31" s="24"/>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c r="BT31" s="24"/>
      <c r="BU31" s="24"/>
      <c r="BV31" s="24"/>
      <c r="BW31" s="24"/>
      <c r="BX31" s="24"/>
      <c r="BY31" s="24"/>
      <c r="BZ31" s="24"/>
      <c r="CA31" s="24"/>
      <c r="CB31" s="24"/>
      <c r="CC31" s="24"/>
      <c r="CD31" s="24"/>
      <c r="CE31" s="24"/>
      <c r="CF31" s="24"/>
      <c r="CG31" s="24"/>
      <c r="CH31" s="24"/>
      <c r="CI31" s="24"/>
      <c r="CJ31" s="24"/>
      <c r="CK31" s="24"/>
      <c r="CL31" s="24"/>
      <c r="CM31" s="24"/>
      <c r="CN31" s="24"/>
      <c r="CO31" s="24"/>
      <c r="CP31" s="24"/>
    </row>
    <row r="32" spans="1:94" x14ac:dyDescent="0.3">
      <c r="B32" s="24"/>
      <c r="C32" s="24"/>
      <c r="D32" s="24"/>
      <c r="E32" s="24"/>
      <c r="F32" s="24"/>
      <c r="G32" s="24"/>
      <c r="H32" s="24"/>
      <c r="I32" s="24"/>
      <c r="J32" s="24"/>
      <c r="K32" s="24"/>
      <c r="L32" s="24"/>
      <c r="M32" s="24"/>
      <c r="N32" s="24"/>
      <c r="O32" s="24"/>
      <c r="P32" s="24"/>
      <c r="Q32" s="24"/>
      <c r="R32" s="24"/>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4"/>
      <c r="BJ32" s="24"/>
      <c r="BK32" s="24"/>
      <c r="BL32" s="24"/>
      <c r="BM32" s="24"/>
      <c r="BN32" s="24"/>
      <c r="BO32" s="24"/>
      <c r="BP32" s="24"/>
      <c r="BQ32" s="24"/>
      <c r="BR32" s="24"/>
      <c r="BS32" s="24"/>
      <c r="BT32" s="24"/>
      <c r="BU32" s="24"/>
      <c r="BV32" s="24"/>
      <c r="BW32" s="24"/>
      <c r="BX32" s="24"/>
      <c r="BY32" s="24"/>
      <c r="BZ32" s="24"/>
      <c r="CA32" s="24"/>
      <c r="CB32" s="24"/>
      <c r="CC32" s="24"/>
      <c r="CD32" s="24"/>
      <c r="CE32" s="24"/>
      <c r="CF32" s="24"/>
      <c r="CG32" s="24"/>
      <c r="CH32" s="24"/>
      <c r="CI32" s="24"/>
      <c r="CJ32" s="24"/>
      <c r="CK32" s="24"/>
      <c r="CL32" s="24"/>
      <c r="CM32" s="24"/>
      <c r="CN32" s="24"/>
      <c r="CO32" s="24"/>
      <c r="CP32" s="24"/>
    </row>
    <row r="33" spans="1:94" x14ac:dyDescent="0.3">
      <c r="A33" s="222" t="s">
        <v>555</v>
      </c>
      <c r="B33" s="24"/>
      <c r="C33" s="24"/>
      <c r="D33" s="24"/>
      <c r="E33" s="24"/>
      <c r="F33" s="24"/>
      <c r="G33" s="24"/>
      <c r="H33" s="24"/>
      <c r="I33" s="24"/>
      <c r="J33" s="24"/>
      <c r="K33" s="24"/>
      <c r="L33" s="24"/>
      <c r="M33" s="24"/>
      <c r="N33" s="24"/>
      <c r="O33" s="24"/>
      <c r="P33" s="24"/>
      <c r="Q33" s="24"/>
      <c r="R33" s="24"/>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4"/>
      <c r="BJ33" s="24"/>
      <c r="BK33" s="24"/>
      <c r="BL33" s="24"/>
      <c r="BM33" s="24"/>
      <c r="BN33" s="24"/>
      <c r="BO33" s="24"/>
      <c r="BP33" s="24"/>
      <c r="BQ33" s="24"/>
      <c r="BR33" s="24"/>
      <c r="BS33" s="24"/>
      <c r="BT33" s="24"/>
      <c r="BU33" s="24"/>
      <c r="BV33" s="24"/>
      <c r="BW33" s="24"/>
      <c r="BX33" s="24"/>
      <c r="BY33" s="24"/>
      <c r="BZ33" s="24"/>
      <c r="CA33" s="24"/>
      <c r="CB33" s="24"/>
      <c r="CC33" s="24"/>
      <c r="CD33" s="24"/>
      <c r="CE33" s="24"/>
      <c r="CF33" s="24"/>
      <c r="CG33" s="24"/>
      <c r="CH33" s="24"/>
      <c r="CI33" s="24"/>
      <c r="CJ33" s="24"/>
      <c r="CK33" s="24"/>
      <c r="CL33" s="24"/>
      <c r="CM33" s="24"/>
      <c r="CN33" s="24"/>
      <c r="CO33" s="24"/>
      <c r="CP33" s="24"/>
    </row>
    <row r="34" spans="1:94" x14ac:dyDescent="0.3">
      <c r="A34" s="222" t="s">
        <v>403</v>
      </c>
      <c r="B34" s="24"/>
      <c r="C34" s="24"/>
      <c r="D34" s="24"/>
      <c r="E34" s="24"/>
      <c r="F34" s="24"/>
      <c r="G34" s="24"/>
      <c r="H34" s="24"/>
      <c r="I34" s="24"/>
      <c r="J34" s="24"/>
      <c r="K34" s="24"/>
      <c r="L34" s="24"/>
      <c r="M34" s="24"/>
      <c r="N34" s="24"/>
      <c r="O34" s="24"/>
      <c r="P34" s="24"/>
      <c r="Q34" s="24"/>
      <c r="R34" s="24"/>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4"/>
      <c r="BJ34" s="24"/>
      <c r="BK34" s="24"/>
      <c r="BL34" s="24"/>
      <c r="BM34" s="24"/>
      <c r="BN34" s="24"/>
      <c r="BO34" s="24"/>
      <c r="BP34" s="24"/>
      <c r="BQ34" s="24"/>
      <c r="BR34" s="24"/>
      <c r="BS34" s="24"/>
      <c r="BT34" s="24"/>
      <c r="BU34" s="24"/>
      <c r="BV34" s="24"/>
      <c r="BW34" s="24"/>
      <c r="BX34" s="24"/>
      <c r="BY34" s="24"/>
      <c r="BZ34" s="24"/>
      <c r="CA34" s="24"/>
      <c r="CB34" s="24"/>
      <c r="CC34" s="24"/>
      <c r="CD34" s="24"/>
      <c r="CE34" s="24"/>
      <c r="CF34" s="24"/>
      <c r="CG34" s="24"/>
      <c r="CH34" s="24"/>
      <c r="CI34" s="24"/>
      <c r="CJ34" s="24"/>
      <c r="CK34" s="24"/>
      <c r="CL34" s="24"/>
      <c r="CM34" s="24"/>
      <c r="CN34" s="24"/>
      <c r="CO34" s="24"/>
      <c r="CP34" s="24"/>
    </row>
    <row r="35" spans="1:94" x14ac:dyDescent="0.3">
      <c r="A35" s="222"/>
      <c r="B35" s="24"/>
      <c r="C35" s="24"/>
      <c r="D35" s="24"/>
      <c r="E35" s="24"/>
      <c r="F35" s="24"/>
      <c r="G35" s="24"/>
      <c r="H35" s="24"/>
      <c r="I35" s="24"/>
      <c r="J35" s="24"/>
      <c r="K35" s="24"/>
      <c r="L35" s="24"/>
      <c r="M35" s="24"/>
      <c r="N35" s="24"/>
      <c r="O35" s="24"/>
      <c r="P35" s="24"/>
      <c r="Q35" s="24"/>
      <c r="R35" s="24"/>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4"/>
      <c r="BJ35" s="24"/>
      <c r="BK35" s="24"/>
      <c r="BL35" s="24"/>
      <c r="BM35" s="24"/>
      <c r="BN35" s="24"/>
      <c r="BO35" s="24"/>
      <c r="BP35" s="24"/>
      <c r="BQ35" s="24"/>
      <c r="BR35" s="24"/>
      <c r="BS35" s="24"/>
      <c r="BT35" s="24"/>
      <c r="BU35" s="24"/>
      <c r="BV35" s="24"/>
      <c r="BW35" s="24"/>
      <c r="BX35" s="24"/>
      <c r="BY35" s="24"/>
      <c r="BZ35" s="24"/>
      <c r="CA35" s="24"/>
      <c r="CB35" s="24"/>
      <c r="CC35" s="24"/>
      <c r="CD35" s="24"/>
      <c r="CE35" s="24"/>
      <c r="CF35" s="24"/>
      <c r="CG35" s="24"/>
      <c r="CH35" s="24"/>
      <c r="CI35" s="24"/>
      <c r="CJ35" s="24"/>
      <c r="CK35" s="24"/>
      <c r="CL35" s="24"/>
      <c r="CM35" s="24"/>
      <c r="CN35" s="24"/>
      <c r="CO35" s="24"/>
      <c r="CP35" s="24"/>
    </row>
    <row r="36" spans="1:94" x14ac:dyDescent="0.3">
      <c r="A36" s="222"/>
      <c r="B36" s="24"/>
      <c r="C36" s="24"/>
      <c r="D36" s="24"/>
      <c r="E36" s="24"/>
      <c r="F36" s="24"/>
      <c r="G36" s="24"/>
      <c r="H36" s="24"/>
      <c r="I36" s="24"/>
      <c r="J36" s="24"/>
      <c r="K36" s="24"/>
      <c r="L36" s="24"/>
      <c r="M36" s="24"/>
      <c r="N36" s="24"/>
      <c r="O36" s="24"/>
      <c r="P36" s="24"/>
      <c r="Q36" s="24"/>
      <c r="R36" s="24"/>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4"/>
      <c r="BJ36" s="24"/>
      <c r="BK36" s="24"/>
      <c r="BL36" s="24"/>
      <c r="BM36" s="24"/>
      <c r="BN36" s="24"/>
      <c r="BO36" s="24"/>
      <c r="BP36" s="24"/>
      <c r="BQ36" s="24"/>
      <c r="BR36" s="24"/>
      <c r="BS36" s="24"/>
      <c r="BT36" s="24"/>
      <c r="BU36" s="24"/>
      <c r="BV36" s="24"/>
      <c r="BW36" s="24"/>
      <c r="BX36" s="24"/>
      <c r="BY36" s="24"/>
      <c r="BZ36" s="24"/>
      <c r="CA36" s="24"/>
      <c r="CB36" s="24"/>
      <c r="CC36" s="24"/>
      <c r="CD36" s="24"/>
      <c r="CE36" s="24"/>
      <c r="CF36" s="24"/>
      <c r="CG36" s="24"/>
      <c r="CH36" s="24"/>
      <c r="CI36" s="24"/>
      <c r="CJ36" s="24"/>
      <c r="CK36" s="24"/>
      <c r="CL36" s="24"/>
      <c r="CM36" s="24"/>
      <c r="CN36" s="24"/>
      <c r="CO36" s="24"/>
      <c r="CP36" s="24"/>
    </row>
    <row r="37" spans="1:94" x14ac:dyDescent="0.3">
      <c r="A37" s="222"/>
      <c r="B37" s="24"/>
      <c r="C37" s="24"/>
      <c r="D37" s="24"/>
      <c r="E37" s="24"/>
      <c r="F37" s="24"/>
      <c r="G37" s="24"/>
      <c r="H37" s="24"/>
      <c r="I37" s="24"/>
      <c r="J37" s="195" t="s">
        <v>549</v>
      </c>
      <c r="K37" s="194"/>
      <c r="L37" s="194"/>
      <c r="M37" s="24"/>
      <c r="N37" s="24"/>
      <c r="O37" s="24"/>
      <c r="P37" s="24"/>
      <c r="Q37" s="195" t="s">
        <v>552</v>
      </c>
      <c r="R37" s="194"/>
      <c r="S37" s="194"/>
      <c r="T37" s="24"/>
      <c r="U37" s="24"/>
      <c r="V37" s="24"/>
      <c r="W37" s="24"/>
      <c r="X37" s="24"/>
      <c r="Y37" s="26" t="s">
        <v>550</v>
      </c>
      <c r="Z37" s="24"/>
      <c r="AA37" s="24"/>
      <c r="AB37" s="24"/>
      <c r="AC37" s="24"/>
      <c r="AD37" s="24"/>
      <c r="AE37" s="24"/>
      <c r="AF37" s="24"/>
      <c r="AG37" s="24"/>
      <c r="AH37" s="24"/>
      <c r="AI37" s="24"/>
      <c r="AJ37" s="24"/>
      <c r="AK37" s="24"/>
      <c r="AL37" s="24"/>
      <c r="AM37" s="24"/>
      <c r="AN37" s="24"/>
      <c r="AO37" s="195" t="s">
        <v>549</v>
      </c>
      <c r="AP37" s="194"/>
      <c r="AQ37" s="194"/>
      <c r="AR37" s="24"/>
      <c r="AS37" s="24"/>
      <c r="AT37" s="24"/>
      <c r="AU37" s="24"/>
      <c r="AV37" s="195" t="s">
        <v>552</v>
      </c>
      <c r="AW37" s="194"/>
      <c r="AX37" s="194"/>
      <c r="AY37" s="24"/>
      <c r="AZ37" s="24"/>
      <c r="BA37" s="24"/>
      <c r="BB37" s="24"/>
      <c r="BC37" s="24"/>
      <c r="BD37" s="26" t="s">
        <v>550</v>
      </c>
      <c r="BE37" s="24"/>
      <c r="BF37" s="24"/>
      <c r="BG37" s="24"/>
      <c r="BH37" s="24"/>
      <c r="BI37" s="24"/>
      <c r="BJ37" s="24"/>
      <c r="BK37" s="24"/>
      <c r="BL37" s="24"/>
      <c r="BM37" s="24"/>
      <c r="BN37" s="24"/>
      <c r="BO37" s="24"/>
      <c r="BP37" s="24"/>
      <c r="BQ37" s="24"/>
      <c r="BR37" s="24"/>
      <c r="BS37" s="24"/>
      <c r="BT37" s="24"/>
      <c r="BU37" s="24"/>
      <c r="BV37" s="24"/>
      <c r="BW37" s="24"/>
      <c r="BX37" s="24"/>
      <c r="BY37" s="24"/>
      <c r="BZ37" s="24"/>
      <c r="CA37" s="24"/>
      <c r="CB37" s="24"/>
      <c r="CC37" s="24"/>
      <c r="CD37" s="24"/>
      <c r="CE37" s="24"/>
      <c r="CF37" s="24"/>
      <c r="CG37" s="24"/>
      <c r="CH37" s="24"/>
      <c r="CI37" s="24"/>
      <c r="CJ37" s="24"/>
      <c r="CK37" s="24"/>
      <c r="CL37" s="24"/>
      <c r="CM37" s="24"/>
      <c r="CN37" s="24"/>
      <c r="CO37" s="24"/>
      <c r="CP37" s="24"/>
    </row>
    <row r="38" spans="1:94" x14ac:dyDescent="0.3">
      <c r="A38" s="222"/>
      <c r="B38" s="24"/>
      <c r="C38" s="24"/>
      <c r="D38" s="24"/>
      <c r="E38" s="24"/>
      <c r="F38" s="24"/>
      <c r="G38" s="24"/>
      <c r="H38" s="24"/>
      <c r="I38" s="24"/>
      <c r="J38" s="194" t="s">
        <v>329</v>
      </c>
      <c r="K38" s="194">
        <f t="array" ref="K38">-(1-EXP(SLOPE(IF(ISNUMBER(TRNG_Data!K4:K41),LN(TRNG_Data!K4:K41)),TRNG_Data!C4:C41)))*100</f>
        <v>-82.327422372500394</v>
      </c>
      <c r="L38" s="194" t="s">
        <v>356</v>
      </c>
      <c r="M38" s="66"/>
      <c r="N38" s="24"/>
      <c r="O38" s="24"/>
      <c r="P38" s="66"/>
      <c r="Q38" s="194" t="s">
        <v>329</v>
      </c>
      <c r="R38" s="194"/>
      <c r="S38" s="194" t="s">
        <v>356</v>
      </c>
      <c r="T38" s="66"/>
      <c r="U38" s="66"/>
      <c r="V38" s="66"/>
      <c r="W38" s="66"/>
      <c r="X38" s="66"/>
      <c r="Y38" s="66" t="s">
        <v>329</v>
      </c>
      <c r="Z38" s="66"/>
      <c r="AA38" s="66" t="s">
        <v>356</v>
      </c>
      <c r="AB38" s="24"/>
      <c r="AC38" s="24"/>
      <c r="AD38" s="24"/>
      <c r="AE38" s="24"/>
      <c r="AF38" s="24"/>
      <c r="AG38" s="24"/>
      <c r="AH38" s="24"/>
      <c r="AI38" s="24"/>
      <c r="AJ38" s="66"/>
      <c r="AK38" s="66"/>
      <c r="AL38" s="66"/>
      <c r="AM38" s="24"/>
      <c r="AN38" s="24"/>
      <c r="AO38" s="194" t="s">
        <v>329</v>
      </c>
      <c r="AP38" s="194">
        <f t="array" ref="AP38">-(1-EXP(SLOPE(IF(ISNUMBER(TRNG_Data!R4:R41),LN(TRNG_Data!K4:K41)),TRNG_Data!C4:C41)))*100</f>
        <v>-82.327422372500394</v>
      </c>
      <c r="AQ38" s="194" t="s">
        <v>356</v>
      </c>
      <c r="AR38" s="66"/>
      <c r="AS38" s="24"/>
      <c r="AT38" s="24"/>
      <c r="AU38" s="66"/>
      <c r="AV38" s="194" t="s">
        <v>329</v>
      </c>
      <c r="AW38" s="194"/>
      <c r="AX38" s="194" t="s">
        <v>356</v>
      </c>
      <c r="AY38" s="66"/>
      <c r="AZ38" s="66"/>
      <c r="BA38" s="66"/>
      <c r="BB38" s="66"/>
      <c r="BC38" s="66"/>
      <c r="BD38" s="66" t="s">
        <v>329</v>
      </c>
      <c r="BE38" s="66"/>
      <c r="BF38" s="66" t="s">
        <v>356</v>
      </c>
      <c r="BG38" s="24"/>
      <c r="BH38" s="24"/>
      <c r="BI38" s="24"/>
      <c r="BJ38" s="24"/>
      <c r="BK38" s="24"/>
      <c r="BL38" s="24"/>
      <c r="BM38" s="24"/>
      <c r="BN38" s="24"/>
      <c r="BO38" s="24"/>
      <c r="BP38" s="24"/>
      <c r="BQ38" s="24"/>
      <c r="BR38" s="24"/>
      <c r="BS38" s="24"/>
      <c r="BT38" s="24"/>
      <c r="BU38" s="24"/>
      <c r="BV38" s="24"/>
      <c r="BW38" s="24"/>
      <c r="BX38" s="24"/>
      <c r="BY38" s="24"/>
      <c r="BZ38" s="24"/>
      <c r="CA38" s="24"/>
      <c r="CB38" s="24"/>
      <c r="CC38" s="24"/>
      <c r="CD38" s="24"/>
      <c r="CE38" s="24"/>
      <c r="CF38" s="24"/>
      <c r="CG38" s="24"/>
      <c r="CH38" s="24"/>
      <c r="CI38" s="24"/>
      <c r="CJ38" s="24"/>
      <c r="CK38" s="24"/>
      <c r="CL38" s="24"/>
      <c r="CM38" s="24"/>
      <c r="CN38" s="24"/>
      <c r="CO38" s="24"/>
      <c r="CP38" s="24"/>
    </row>
    <row r="39" spans="1:94" x14ac:dyDescent="0.3">
      <c r="A39" s="222"/>
      <c r="B39" s="24"/>
      <c r="C39" s="24"/>
      <c r="D39" s="24"/>
      <c r="E39" s="24"/>
      <c r="F39" s="24"/>
      <c r="G39" s="24"/>
      <c r="H39" s="24"/>
      <c r="I39" s="24"/>
      <c r="J39" s="194" t="s">
        <v>66</v>
      </c>
      <c r="K39" s="194">
        <f t="array" ref="K39">-(1-EXP(SLOPE(IF(ISNUMBER(TRNG_Data!L4:L41),LN(TRNG_Data!L4:L41)),TRNG_Data!C4:C41)))*100</f>
        <v>-50.934817025064781</v>
      </c>
      <c r="L39" s="194" t="s">
        <v>356</v>
      </c>
      <c r="M39" s="67"/>
      <c r="N39" s="24"/>
      <c r="O39" s="24"/>
      <c r="P39" s="67"/>
      <c r="Q39" s="194" t="s">
        <v>66</v>
      </c>
      <c r="R39" s="194">
        <f t="array" ref="R39">-(1-EXP(SLOPE(IF(ISNUMBER(TRNG_Data!L4:L41),LN(TRNG_Data!L4:L41)),TRNG_Data!C4:C41)))*100</f>
        <v>-50.934817025064781</v>
      </c>
      <c r="S39" s="194" t="s">
        <v>356</v>
      </c>
      <c r="T39" s="67"/>
      <c r="U39" s="67"/>
      <c r="V39" s="67"/>
      <c r="W39" s="67"/>
      <c r="X39" s="67"/>
      <c r="Y39" s="67" t="s">
        <v>66</v>
      </c>
      <c r="Z39" s="67">
        <f>R39</f>
        <v>-50.934817025064781</v>
      </c>
      <c r="AA39" s="67" t="s">
        <v>356</v>
      </c>
      <c r="AB39" s="24"/>
      <c r="AC39" s="24"/>
      <c r="AD39" s="24"/>
      <c r="AE39" s="24"/>
      <c r="AF39" s="24"/>
      <c r="AG39" s="24"/>
      <c r="AH39" s="24"/>
      <c r="AI39" s="24"/>
      <c r="AJ39" s="67"/>
      <c r="AK39" s="67"/>
      <c r="AL39" s="67"/>
      <c r="AM39" s="24"/>
      <c r="AN39" s="24"/>
      <c r="AO39" s="194" t="s">
        <v>66</v>
      </c>
      <c r="AP39" s="194">
        <f t="array" ref="AP39">-(1-EXP(SLOPE(IF(ISNUMBER(TRNG_Data!S4:S41),LN(TRNG_Data!S4:S41)),TRNG_Data!C4:C41)))*100</f>
        <v>-0.69582102147662805</v>
      </c>
      <c r="AQ39" s="194" t="s">
        <v>356</v>
      </c>
      <c r="AR39" s="67"/>
      <c r="AS39" s="24"/>
      <c r="AT39" s="24"/>
      <c r="AU39" s="67"/>
      <c r="AV39" s="194" t="s">
        <v>66</v>
      </c>
      <c r="AW39" s="194">
        <f t="array" ref="AW39">-(1-EXP(SLOPE(IF(ISNUMBER(TRNG_Data!S4:S41),LN(TRNG_Data!S4:S41)),TRNG_Data!C4:C41)))*100</f>
        <v>-0.69582102147662805</v>
      </c>
      <c r="AX39" s="194" t="s">
        <v>356</v>
      </c>
      <c r="AY39" s="67"/>
      <c r="AZ39" s="67"/>
      <c r="BA39" s="67"/>
      <c r="BB39" s="67"/>
      <c r="BC39" s="67"/>
      <c r="BD39" s="67" t="s">
        <v>66</v>
      </c>
      <c r="BE39" s="67">
        <f>AW39</f>
        <v>-0.69582102147662805</v>
      </c>
      <c r="BF39" s="67" t="s">
        <v>356</v>
      </c>
      <c r="BG39" s="24"/>
      <c r="BH39" s="24"/>
      <c r="BI39" s="24"/>
      <c r="BJ39" s="24"/>
      <c r="BK39" s="24"/>
      <c r="BL39" s="24"/>
      <c r="BM39" s="24"/>
      <c r="BN39" s="24"/>
      <c r="BO39" s="24"/>
      <c r="BP39" s="24"/>
      <c r="BQ39" s="24"/>
      <c r="BR39" s="24"/>
      <c r="BS39" s="24"/>
      <c r="BT39" s="24"/>
      <c r="BU39" s="24"/>
      <c r="BV39" s="24"/>
      <c r="BW39" s="24"/>
      <c r="BX39" s="24"/>
      <c r="BY39" s="24"/>
      <c r="BZ39" s="24"/>
      <c r="CA39" s="24"/>
      <c r="CB39" s="24"/>
      <c r="CC39" s="24"/>
      <c r="CD39" s="24"/>
      <c r="CE39" s="24"/>
      <c r="CF39" s="24"/>
      <c r="CG39" s="24"/>
      <c r="CH39" s="24"/>
      <c r="CI39" s="24"/>
      <c r="CJ39" s="24"/>
      <c r="CK39" s="24"/>
      <c r="CL39" s="24"/>
      <c r="CM39" s="24"/>
      <c r="CN39" s="24"/>
      <c r="CO39" s="24"/>
      <c r="CP39" s="24"/>
    </row>
    <row r="40" spans="1:94" x14ac:dyDescent="0.3">
      <c r="A40" s="222"/>
      <c r="B40" s="24"/>
      <c r="C40" s="24"/>
      <c r="D40" s="24"/>
      <c r="E40" s="24"/>
      <c r="F40" s="24"/>
      <c r="G40" s="24"/>
      <c r="H40" s="24"/>
      <c r="I40" s="24"/>
      <c r="J40" s="194" t="s">
        <v>58</v>
      </c>
      <c r="K40" s="194">
        <f t="array" ref="K40">-(1-EXP(SLOPE(IF(ISNUMBER(TRNG_Data!M4:M41),LN(TRNG_Data!M4:M41)),TRNG_Data!C4:C41)))*100</f>
        <v>-80.639614018833299</v>
      </c>
      <c r="L40" s="194" t="s">
        <v>356</v>
      </c>
      <c r="M40" s="68"/>
      <c r="N40" s="24"/>
      <c r="O40" s="24"/>
      <c r="P40" s="68"/>
      <c r="Q40" s="194" t="s">
        <v>58</v>
      </c>
      <c r="R40" s="194"/>
      <c r="S40" s="194" t="s">
        <v>356</v>
      </c>
      <c r="T40" s="68"/>
      <c r="U40" s="68"/>
      <c r="V40" s="68"/>
      <c r="W40" s="68"/>
      <c r="X40" s="68"/>
      <c r="Y40" s="69" t="s">
        <v>58</v>
      </c>
      <c r="Z40" s="69"/>
      <c r="AA40" s="69" t="s">
        <v>356</v>
      </c>
      <c r="AB40" s="24"/>
      <c r="AC40" s="24"/>
      <c r="AD40" s="24"/>
      <c r="AE40" s="24"/>
      <c r="AF40" s="24"/>
      <c r="AG40" s="24"/>
      <c r="AH40" s="24"/>
      <c r="AI40" s="24"/>
      <c r="AJ40" s="68"/>
      <c r="AK40" s="68"/>
      <c r="AL40" s="68"/>
      <c r="AM40" s="24"/>
      <c r="AN40" s="24"/>
      <c r="AO40" s="194" t="s">
        <v>58</v>
      </c>
      <c r="AP40" s="194">
        <f t="array" ref="AP40">-(1-EXP(SLOPE(IF(ISNUMBER(TRNG_Data!T4:T41),LN(TRNG_Data!T4:T41)),TRNG_Data!C4:C41)))*100</f>
        <v>-2.2544463774938128</v>
      </c>
      <c r="AQ40" s="194" t="s">
        <v>356</v>
      </c>
      <c r="AR40" s="68"/>
      <c r="AS40" s="24"/>
      <c r="AT40" s="24"/>
      <c r="AU40" s="68"/>
      <c r="AV40" s="194" t="s">
        <v>58</v>
      </c>
      <c r="AW40" s="194">
        <f t="array" ref="AW40">-(1-EXP(SLOPE(IF(ISNUMBER(TRNG_Data!T4:T41),LN(TRNG_Data!T4:T41)),TRNG_Data!C4:C41)))*100</f>
        <v>-2.2544463774938128</v>
      </c>
      <c r="AX40" s="194" t="s">
        <v>356</v>
      </c>
      <c r="AY40" s="68"/>
      <c r="AZ40" s="68"/>
      <c r="BA40" s="68"/>
      <c r="BB40" s="68"/>
      <c r="BC40" s="68"/>
      <c r="BD40" s="69" t="s">
        <v>58</v>
      </c>
      <c r="BE40" s="69">
        <f>AW40</f>
        <v>-2.2544463774938128</v>
      </c>
      <c r="BF40" s="69" t="s">
        <v>356</v>
      </c>
      <c r="BG40" s="24"/>
      <c r="BH40" s="24"/>
      <c r="BI40" s="24"/>
      <c r="BJ40" s="24"/>
      <c r="BK40" s="24"/>
      <c r="BL40" s="24"/>
      <c r="BM40" s="24"/>
      <c r="BN40" s="24"/>
      <c r="BO40" s="24"/>
      <c r="BP40" s="24"/>
      <c r="BQ40" s="24"/>
      <c r="BR40" s="24"/>
      <c r="BS40" s="24"/>
      <c r="BT40" s="24"/>
      <c r="BU40" s="24"/>
      <c r="BV40" s="24"/>
      <c r="BW40" s="24"/>
      <c r="BX40" s="24"/>
      <c r="BY40" s="24"/>
      <c r="BZ40" s="24"/>
      <c r="CA40" s="24"/>
      <c r="CB40" s="24"/>
      <c r="CC40" s="24"/>
      <c r="CD40" s="24"/>
      <c r="CE40" s="24"/>
      <c r="CF40" s="24"/>
      <c r="CG40" s="24"/>
      <c r="CH40" s="24"/>
      <c r="CI40" s="24"/>
      <c r="CJ40" s="24"/>
      <c r="CK40" s="24"/>
      <c r="CL40" s="24"/>
      <c r="CM40" s="24"/>
      <c r="CN40" s="24"/>
      <c r="CO40" s="24"/>
      <c r="CP40" s="24"/>
    </row>
    <row r="41" spans="1:94" x14ac:dyDescent="0.3">
      <c r="A41" s="222"/>
      <c r="B41" s="24"/>
      <c r="C41" s="24"/>
      <c r="D41" s="24"/>
      <c r="E41" s="24"/>
      <c r="F41" s="24"/>
      <c r="G41" s="24"/>
      <c r="H41" s="24"/>
      <c r="I41" s="24"/>
      <c r="J41" s="194" t="s">
        <v>554</v>
      </c>
      <c r="K41" s="194">
        <f t="array" ref="K41">-(1-EXP(SLOPE(IF(ISNUMBER(TRNG_Data!N4:N41),LN(TRNG_Data!N4:N41)),TRNG_Data!C4:C41)))*100</f>
        <v>-76.279432999330737</v>
      </c>
      <c r="L41" s="194" t="s">
        <v>356</v>
      </c>
      <c r="M41" s="69"/>
      <c r="N41" s="24"/>
      <c r="O41" s="24"/>
      <c r="P41" s="69"/>
      <c r="Q41" s="194" t="s">
        <v>554</v>
      </c>
      <c r="R41" s="194">
        <f t="array" ref="R41">-(1-EXP(SLOPE(IF(ISNUMBER(TRNG_Data!N4:N41),LN(TRNG_Data!N4:N41)),TRNG_Data!C4:C41)))*100</f>
        <v>-76.279432999330737</v>
      </c>
      <c r="S41" s="194" t="s">
        <v>356</v>
      </c>
      <c r="T41" s="69"/>
      <c r="U41" s="69"/>
      <c r="V41" s="69"/>
      <c r="W41" s="69"/>
      <c r="X41" s="69"/>
      <c r="Y41" s="70" t="s">
        <v>554</v>
      </c>
      <c r="Z41" s="70">
        <f>R41</f>
        <v>-76.279432999330737</v>
      </c>
      <c r="AA41" s="70" t="s">
        <v>356</v>
      </c>
      <c r="AB41" s="24"/>
      <c r="AC41" s="24"/>
      <c r="AD41" s="24"/>
      <c r="AE41" s="24"/>
      <c r="AF41" s="24"/>
      <c r="AG41" s="24"/>
      <c r="AH41" s="24"/>
      <c r="AI41" s="24"/>
      <c r="AJ41" s="69"/>
      <c r="AK41" s="69"/>
      <c r="AL41" s="69"/>
      <c r="AM41" s="24"/>
      <c r="AN41" s="24"/>
      <c r="AO41" s="194" t="s">
        <v>554</v>
      </c>
      <c r="AP41" s="194">
        <f t="array" ref="AP41">-(1-EXP(SLOPE(IF(ISNUMBER(TRNG_Data!U4:U41),LN(TRNG_Data!U4:U41)),TRNG_Data!C4:C41)))*100</f>
        <v>-32.151546609335746</v>
      </c>
      <c r="AQ41" s="194" t="s">
        <v>356</v>
      </c>
      <c r="AR41" s="69"/>
      <c r="AS41" s="24"/>
      <c r="AT41" s="24"/>
      <c r="AU41" s="69"/>
      <c r="AV41" s="194" t="s">
        <v>554</v>
      </c>
      <c r="AW41" s="194"/>
      <c r="AX41" s="194" t="s">
        <v>356</v>
      </c>
      <c r="AY41" s="69"/>
      <c r="AZ41" s="69"/>
      <c r="BA41" s="69"/>
      <c r="BB41" s="69"/>
      <c r="BC41" s="69"/>
      <c r="BD41" s="70" t="s">
        <v>554</v>
      </c>
      <c r="BE41" s="70"/>
      <c r="BF41" s="70" t="s">
        <v>356</v>
      </c>
      <c r="BG41" s="24"/>
      <c r="BH41" s="24"/>
      <c r="BI41" s="24"/>
      <c r="BJ41" s="24"/>
      <c r="BK41" s="24"/>
      <c r="BL41" s="24"/>
      <c r="BM41" s="24"/>
      <c r="BN41" s="24"/>
      <c r="BO41" s="24"/>
      <c r="BP41" s="24"/>
      <c r="BQ41" s="24"/>
      <c r="BR41" s="24"/>
      <c r="BS41" s="24"/>
      <c r="BT41" s="24"/>
      <c r="BU41" s="24"/>
      <c r="BV41" s="24"/>
      <c r="BW41" s="24"/>
      <c r="BX41" s="24"/>
      <c r="BY41" s="24"/>
      <c r="BZ41" s="24"/>
      <c r="CA41" s="24"/>
      <c r="CB41" s="24"/>
      <c r="CC41" s="24"/>
      <c r="CD41" s="24"/>
      <c r="CE41" s="24"/>
      <c r="CF41" s="24"/>
      <c r="CG41" s="24"/>
      <c r="CH41" s="24"/>
      <c r="CI41" s="24"/>
      <c r="CJ41" s="24"/>
      <c r="CK41" s="24"/>
      <c r="CL41" s="24"/>
      <c r="CM41" s="24"/>
      <c r="CN41" s="24"/>
      <c r="CO41" s="24"/>
      <c r="CP41" s="24"/>
    </row>
    <row r="42" spans="1:94" x14ac:dyDescent="0.3">
      <c r="A42" s="222"/>
      <c r="B42" s="24"/>
      <c r="C42" s="24"/>
      <c r="D42" s="24"/>
      <c r="E42" s="24"/>
      <c r="F42" s="24"/>
      <c r="G42" s="24"/>
      <c r="H42" s="24"/>
      <c r="I42" s="24"/>
      <c r="J42" s="194" t="s">
        <v>496</v>
      </c>
      <c r="K42" s="194">
        <f t="array" ref="K42">-(1-EXP(SLOPE(IF(ISNUMBER(TRNG_Data!O4:O41),LN(TRNG_Data!O4:O41)),TRNG_Data!C4:C41)))*100</f>
        <v>-84.092991176636659</v>
      </c>
      <c r="L42" s="194" t="s">
        <v>356</v>
      </c>
      <c r="M42" s="70"/>
      <c r="N42" s="24"/>
      <c r="O42" s="24"/>
      <c r="P42" s="70"/>
      <c r="Q42" s="194" t="s">
        <v>496</v>
      </c>
      <c r="R42" s="194">
        <f t="array" ref="R42">-(1-EXP(SLOPE(IF(ISNUMBER(TRNG_Data!O4:O41),LN(TRNG_Data!O4:O41)),TRNG_Data!C4:C41)))*100</f>
        <v>-84.092991176636659</v>
      </c>
      <c r="S42" s="194" t="s">
        <v>356</v>
      </c>
      <c r="T42" s="70"/>
      <c r="U42" s="70"/>
      <c r="V42" s="70"/>
      <c r="W42" s="70"/>
      <c r="X42" s="70"/>
      <c r="Y42" s="193" t="s">
        <v>496</v>
      </c>
      <c r="Z42" s="193">
        <f>R42</f>
        <v>-84.092991176636659</v>
      </c>
      <c r="AA42" s="193" t="s">
        <v>356</v>
      </c>
      <c r="AB42" s="24"/>
      <c r="AC42" s="24"/>
      <c r="AD42" s="24"/>
      <c r="AE42" s="24"/>
      <c r="AF42" s="24"/>
      <c r="AG42" s="24"/>
      <c r="AH42" s="24"/>
      <c r="AI42" s="24"/>
      <c r="AJ42" s="70"/>
      <c r="AK42" s="70"/>
      <c r="AL42" s="70"/>
      <c r="AM42" s="24"/>
      <c r="AN42" s="24"/>
      <c r="AO42" s="194" t="s">
        <v>496</v>
      </c>
      <c r="AP42" s="194">
        <f t="array" ref="AP42">-(1-EXP(SLOPE(IF(ISNUMBER(TRNG_Data!V4:V41),LN(TRNG_Data!V4:V41)),TRNG_Data!C4:C41)))*100</f>
        <v>-41.69522807416692</v>
      </c>
      <c r="AQ42" s="194" t="s">
        <v>356</v>
      </c>
      <c r="AR42" s="70"/>
      <c r="AS42" s="24"/>
      <c r="AT42" s="24"/>
      <c r="AU42" s="70"/>
      <c r="AV42" s="194" t="s">
        <v>496</v>
      </c>
      <c r="AW42" s="194">
        <f t="array" ref="AW42">-(1-EXP(SLOPE(IF(ISNUMBER(TRNG_Data!V4:V41),LN(TRNG_Data!V4:V41)),TRNG_Data!C4:C41)))*100</f>
        <v>-41.69522807416692</v>
      </c>
      <c r="AX42" s="194" t="s">
        <v>356</v>
      </c>
      <c r="AY42" s="70"/>
      <c r="AZ42" s="70"/>
      <c r="BA42" s="70"/>
      <c r="BB42" s="70"/>
      <c r="BC42" s="70"/>
      <c r="BD42" s="193" t="s">
        <v>496</v>
      </c>
      <c r="BE42" s="193">
        <f>AW42</f>
        <v>-41.69522807416692</v>
      </c>
      <c r="BF42" s="193" t="s">
        <v>356</v>
      </c>
      <c r="BG42" s="24"/>
      <c r="BH42" s="24"/>
      <c r="BI42" s="24"/>
      <c r="BJ42" s="24"/>
      <c r="BK42" s="24"/>
      <c r="BL42" s="24"/>
      <c r="BM42" s="24"/>
      <c r="BN42" s="24"/>
      <c r="BO42" s="24"/>
      <c r="BP42" s="24"/>
      <c r="BQ42" s="24"/>
      <c r="BR42" s="24"/>
      <c r="BS42" s="24"/>
      <c r="BT42" s="24"/>
      <c r="BU42" s="24"/>
      <c r="BV42" s="24"/>
      <c r="BW42" s="24"/>
      <c r="BX42" s="24"/>
      <c r="BY42" s="24"/>
      <c r="BZ42" s="24"/>
      <c r="CA42" s="24"/>
      <c r="CB42" s="24"/>
      <c r="CC42" s="24"/>
      <c r="CD42" s="24"/>
      <c r="CE42" s="24"/>
      <c r="CF42" s="24"/>
      <c r="CG42" s="24"/>
      <c r="CH42" s="24"/>
      <c r="CI42" s="24"/>
      <c r="CJ42" s="24"/>
      <c r="CK42" s="24"/>
      <c r="CL42" s="24"/>
      <c r="CM42" s="24"/>
      <c r="CN42" s="24"/>
      <c r="CO42" s="24"/>
      <c r="CP42" s="24"/>
    </row>
    <row r="43" spans="1:94" x14ac:dyDescent="0.3">
      <c r="A43" s="222"/>
      <c r="B43" s="24"/>
      <c r="C43" s="24"/>
      <c r="D43" s="24"/>
      <c r="E43" s="24"/>
      <c r="F43" s="24"/>
      <c r="G43" s="24"/>
      <c r="H43" s="24"/>
      <c r="I43" s="24"/>
      <c r="J43" s="194" t="s">
        <v>345</v>
      </c>
      <c r="K43" s="194">
        <f t="array" ref="K43">-(1-EXP(SLOPE(IF(ISNUMBER(TRNG_Data!P4:P41),LN(TRNG_Data!P4:P41)),TRNG_Data!C4:C41)))*100</f>
        <v>-85.799810958600233</v>
      </c>
      <c r="L43" s="194" t="s">
        <v>356</v>
      </c>
      <c r="M43" s="24"/>
      <c r="N43" s="24"/>
      <c r="O43" s="24"/>
      <c r="P43" s="71"/>
      <c r="Q43" s="194" t="s">
        <v>345</v>
      </c>
      <c r="R43" s="194">
        <f t="array" ref="R43">-(1-EXP(SLOPE(IF(ISNUMBER(TRNG_Data!P4:P41),LN(TRNG_Data!P4:P41)),TRNG_Data!C4:C41)))*100</f>
        <v>-85.799810958600233</v>
      </c>
      <c r="S43" s="194" t="s">
        <v>356</v>
      </c>
      <c r="T43" s="71"/>
      <c r="U43" s="71"/>
      <c r="V43" s="71"/>
      <c r="W43" s="71"/>
      <c r="X43" s="24"/>
      <c r="Y43" s="197" t="s">
        <v>345</v>
      </c>
      <c r="Z43" s="197">
        <f>R43</f>
        <v>-85.799810958600233</v>
      </c>
      <c r="AA43" s="197" t="s">
        <v>356</v>
      </c>
      <c r="AB43" s="24"/>
      <c r="AC43" s="24"/>
      <c r="AD43" s="24"/>
      <c r="AE43" s="24"/>
      <c r="AF43" s="24"/>
      <c r="AG43" s="24"/>
      <c r="AH43" s="24"/>
      <c r="AI43" s="24"/>
      <c r="AJ43" s="24"/>
      <c r="AK43" s="24"/>
      <c r="AL43" s="24"/>
      <c r="AM43" s="24"/>
      <c r="AN43" s="24"/>
      <c r="AO43" s="194" t="s">
        <v>345</v>
      </c>
      <c r="AP43" s="194">
        <f t="array" ref="AP43">-(1-EXP(SLOPE(IF(ISNUMBER(TRNG_Data!W4:W41),LN(TRNG_Data!W4:W41)),TRNG_Data!C4:C41)))*100</f>
        <v>4.4486270679781503</v>
      </c>
      <c r="AQ43" s="194" t="s">
        <v>356</v>
      </c>
      <c r="AR43" s="24"/>
      <c r="AS43" s="24"/>
      <c r="AT43" s="24"/>
      <c r="AU43" s="71"/>
      <c r="AV43" s="194" t="s">
        <v>345</v>
      </c>
      <c r="AW43" s="194"/>
      <c r="AX43" s="194" t="s">
        <v>356</v>
      </c>
      <c r="AY43" s="71"/>
      <c r="AZ43" s="71"/>
      <c r="BA43" s="71"/>
      <c r="BB43" s="71"/>
      <c r="BC43" s="24"/>
      <c r="BD43" s="197" t="s">
        <v>345</v>
      </c>
      <c r="BE43" s="197"/>
      <c r="BF43" s="197" t="s">
        <v>356</v>
      </c>
      <c r="BG43" s="24"/>
      <c r="BH43" s="24"/>
      <c r="BI43" s="24"/>
      <c r="BJ43" s="24"/>
      <c r="BK43" s="24"/>
      <c r="BL43" s="24"/>
      <c r="BM43" s="24"/>
      <c r="BN43" s="24"/>
      <c r="BO43" s="24"/>
      <c r="BP43" s="24"/>
      <c r="BQ43" s="24"/>
      <c r="BR43" s="24"/>
      <c r="BS43" s="24"/>
      <c r="BT43" s="24"/>
      <c r="BU43" s="24"/>
      <c r="BV43" s="24"/>
      <c r="BW43" s="24"/>
      <c r="BX43" s="24"/>
      <c r="BY43" s="24"/>
      <c r="BZ43" s="24"/>
      <c r="CA43" s="24"/>
      <c r="CB43" s="24"/>
      <c r="CC43" s="24"/>
      <c r="CD43" s="24"/>
      <c r="CE43" s="24"/>
      <c r="CF43" s="24"/>
      <c r="CG43" s="24"/>
      <c r="CH43" s="24"/>
      <c r="CI43" s="24"/>
      <c r="CJ43" s="24"/>
      <c r="CK43" s="24"/>
      <c r="CL43" s="24"/>
      <c r="CM43" s="24"/>
      <c r="CN43" s="24"/>
      <c r="CO43" s="24"/>
      <c r="CP43" s="24"/>
    </row>
    <row r="44" spans="1:94" x14ac:dyDescent="0.3">
      <c r="A44" s="222"/>
      <c r="B44" s="24"/>
      <c r="C44" s="24"/>
      <c r="D44" s="24"/>
      <c r="E44" s="24"/>
      <c r="F44" s="24"/>
      <c r="G44" s="24"/>
      <c r="H44" s="24"/>
      <c r="I44" s="24"/>
      <c r="J44" s="24"/>
      <c r="K44" s="24"/>
      <c r="L44" s="24"/>
      <c r="M44" s="24"/>
      <c r="N44" s="24"/>
      <c r="O44" s="24"/>
      <c r="P44" s="24"/>
      <c r="Q44" s="24"/>
      <c r="R44" s="24"/>
      <c r="S44" s="24"/>
      <c r="T44" s="24"/>
      <c r="U44" s="24"/>
      <c r="V44" s="24"/>
      <c r="W44" s="24"/>
      <c r="X44" s="24"/>
      <c r="Y44" s="24"/>
      <c r="Z44" s="24"/>
      <c r="AA44" s="24"/>
      <c r="AB44" s="24"/>
      <c r="AC44" s="24"/>
      <c r="AD44" s="24"/>
      <c r="AE44" s="24"/>
      <c r="AF44" s="24"/>
      <c r="AG44" s="24"/>
      <c r="AH44" s="24"/>
      <c r="AI44" s="24"/>
      <c r="AJ44" s="24"/>
      <c r="AK44" s="24"/>
      <c r="AL44" s="24"/>
      <c r="AM44" s="24"/>
      <c r="AN44" s="24"/>
      <c r="AO44" s="24"/>
      <c r="AP44" s="24"/>
      <c r="AQ44" s="24"/>
      <c r="AR44" s="24"/>
      <c r="AS44" s="24"/>
      <c r="AT44" s="24"/>
      <c r="AU44" s="24"/>
      <c r="AV44" s="24"/>
      <c r="AW44" s="24"/>
      <c r="AX44" s="24"/>
      <c r="AY44" s="24"/>
      <c r="AZ44" s="24"/>
      <c r="BA44" s="24"/>
      <c r="BB44" s="24"/>
      <c r="BC44" s="24"/>
      <c r="BD44" s="24"/>
      <c r="BE44" s="24"/>
      <c r="BF44" s="24"/>
      <c r="BG44" s="24"/>
      <c r="BH44" s="24"/>
      <c r="BI44" s="24"/>
      <c r="BJ44" s="24"/>
      <c r="BK44" s="24"/>
      <c r="BL44" s="24"/>
      <c r="BM44" s="24"/>
      <c r="BN44" s="24"/>
      <c r="BO44" s="24"/>
      <c r="BP44" s="24"/>
      <c r="BQ44" s="24"/>
      <c r="BR44" s="24"/>
      <c r="BS44" s="24"/>
      <c r="BT44" s="24"/>
      <c r="BU44" s="24"/>
      <c r="BV44" s="24"/>
      <c r="BW44" s="24"/>
      <c r="BX44" s="24"/>
      <c r="BY44" s="24"/>
      <c r="BZ44" s="24"/>
      <c r="CA44" s="24"/>
      <c r="CB44" s="24"/>
      <c r="CC44" s="24"/>
      <c r="CD44" s="24"/>
      <c r="CE44" s="24"/>
      <c r="CF44" s="24"/>
      <c r="CG44" s="24"/>
      <c r="CH44" s="24"/>
      <c r="CI44" s="24"/>
      <c r="CJ44" s="24"/>
      <c r="CK44" s="24"/>
      <c r="CL44" s="24"/>
      <c r="CM44" s="24"/>
      <c r="CN44" s="24"/>
      <c r="CO44" s="24"/>
      <c r="CP44" s="24"/>
    </row>
    <row r="45" spans="1:94" x14ac:dyDescent="0.3">
      <c r="A45" s="222"/>
      <c r="B45" s="24"/>
      <c r="C45" s="24"/>
      <c r="D45" s="24"/>
      <c r="E45" s="24"/>
      <c r="F45" s="24"/>
      <c r="G45" s="24"/>
      <c r="H45" s="24"/>
      <c r="I45" s="24"/>
      <c r="J45" s="24"/>
      <c r="K45" s="24"/>
      <c r="L45" s="24"/>
      <c r="M45" s="24"/>
      <c r="N45" s="24"/>
      <c r="O45" s="24"/>
      <c r="P45" s="24"/>
      <c r="Q45" s="24"/>
      <c r="R45" s="24"/>
      <c r="S45" s="24"/>
      <c r="T45" s="24"/>
      <c r="U45" s="24"/>
      <c r="V45" s="24"/>
      <c r="W45" s="24"/>
      <c r="X45" s="24"/>
      <c r="Y45" s="24"/>
      <c r="Z45" s="24"/>
      <c r="AA45" s="24"/>
      <c r="AB45" s="24"/>
      <c r="AC45" s="24"/>
      <c r="AD45" s="24"/>
      <c r="AE45" s="24"/>
      <c r="AF45" s="24"/>
      <c r="AG45" s="24"/>
      <c r="AH45" s="24"/>
      <c r="AI45" s="24"/>
      <c r="AJ45" s="24"/>
      <c r="AK45" s="24"/>
      <c r="AL45" s="24"/>
      <c r="AM45" s="24"/>
      <c r="AN45" s="24"/>
      <c r="AO45" s="24"/>
      <c r="AP45" s="24"/>
      <c r="AQ45" s="24"/>
      <c r="AR45" s="24"/>
      <c r="AS45" s="24"/>
      <c r="AT45" s="24"/>
      <c r="AU45" s="24"/>
      <c r="AV45" s="24"/>
      <c r="AW45" s="24"/>
      <c r="AX45" s="24"/>
      <c r="AY45" s="24"/>
      <c r="AZ45" s="24"/>
      <c r="BA45" s="24"/>
      <c r="BB45" s="24"/>
      <c r="BC45" s="24"/>
      <c r="BD45" s="24"/>
      <c r="BE45" s="24"/>
      <c r="BF45" s="24"/>
      <c r="BG45" s="24"/>
      <c r="BH45" s="24"/>
      <c r="BI45" s="24"/>
      <c r="BJ45" s="24"/>
      <c r="BK45" s="24"/>
      <c r="BL45" s="24"/>
      <c r="BM45" s="24"/>
      <c r="BN45" s="24"/>
      <c r="BO45" s="24"/>
      <c r="BP45" s="24"/>
      <c r="BQ45" s="24"/>
      <c r="BR45" s="24"/>
      <c r="BS45" s="24"/>
      <c r="BT45" s="24"/>
      <c r="BU45" s="24"/>
      <c r="BV45" s="24"/>
      <c r="BW45" s="24"/>
      <c r="BX45" s="24"/>
      <c r="BY45" s="24"/>
      <c r="BZ45" s="24"/>
      <c r="CA45" s="24"/>
      <c r="CB45" s="24"/>
      <c r="CC45" s="24"/>
      <c r="CD45" s="24"/>
      <c r="CE45" s="24"/>
      <c r="CF45" s="24"/>
      <c r="CG45" s="24"/>
      <c r="CH45" s="24"/>
      <c r="CI45" s="24"/>
      <c r="CJ45" s="24"/>
      <c r="CK45" s="24"/>
      <c r="CL45" s="24"/>
      <c r="CM45" s="24"/>
      <c r="CN45" s="24"/>
      <c r="CO45" s="24"/>
      <c r="CP45" s="24"/>
    </row>
    <row r="46" spans="1:94" x14ac:dyDescent="0.3">
      <c r="A46" s="222"/>
      <c r="B46" s="24"/>
      <c r="C46" s="24"/>
      <c r="D46" s="24"/>
      <c r="E46" s="24"/>
      <c r="F46" s="24"/>
      <c r="G46" s="24"/>
      <c r="H46" s="24"/>
      <c r="I46" s="24"/>
      <c r="J46" s="24"/>
      <c r="K46" s="24"/>
      <c r="L46" s="24"/>
      <c r="M46" s="24"/>
      <c r="N46" s="24"/>
      <c r="O46" s="24"/>
      <c r="P46" s="24"/>
      <c r="Q46" s="24"/>
      <c r="R46" s="24"/>
      <c r="S46" s="24"/>
      <c r="T46" s="24"/>
      <c r="U46" s="24"/>
      <c r="V46" s="24"/>
      <c r="W46" s="24"/>
      <c r="X46" s="24"/>
      <c r="Y46" s="24"/>
      <c r="Z46" s="24"/>
      <c r="AA46" s="24"/>
      <c r="AB46" s="24"/>
      <c r="AC46" s="24"/>
      <c r="AD46" s="24"/>
      <c r="AE46" s="24"/>
      <c r="AF46" s="24"/>
      <c r="AG46" s="24"/>
      <c r="AH46" s="24"/>
      <c r="AI46" s="24"/>
      <c r="AJ46" s="24"/>
      <c r="AK46" s="24"/>
      <c r="AL46" s="24"/>
      <c r="AM46" s="24"/>
      <c r="AN46" s="24"/>
      <c r="AO46" s="24"/>
      <c r="AP46" s="24"/>
      <c r="AQ46" s="24"/>
      <c r="AR46" s="24"/>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4"/>
      <c r="BU46" s="24"/>
      <c r="BV46" s="24"/>
      <c r="BW46" s="24"/>
      <c r="BX46" s="24"/>
      <c r="BY46" s="24"/>
      <c r="BZ46" s="24"/>
      <c r="CA46" s="24"/>
      <c r="CB46" s="24"/>
      <c r="CC46" s="24"/>
      <c r="CD46" s="24"/>
      <c r="CE46" s="24"/>
      <c r="CF46" s="24"/>
      <c r="CG46" s="24"/>
      <c r="CH46" s="24"/>
      <c r="CI46" s="24"/>
      <c r="CJ46" s="24"/>
      <c r="CK46" s="24"/>
      <c r="CL46" s="24"/>
      <c r="CM46" s="24"/>
      <c r="CN46" s="24"/>
      <c r="CO46" s="24"/>
      <c r="CP46" s="24"/>
    </row>
    <row r="47" spans="1:94" x14ac:dyDescent="0.3">
      <c r="A47" s="222"/>
      <c r="B47" s="24"/>
      <c r="C47" s="24"/>
      <c r="D47" s="24"/>
      <c r="E47" s="24"/>
      <c r="F47" s="24"/>
      <c r="G47" s="24"/>
      <c r="H47" s="24"/>
      <c r="I47" s="24"/>
      <c r="J47" s="24"/>
      <c r="K47" s="24"/>
      <c r="L47" s="24"/>
      <c r="M47" s="24"/>
      <c r="N47" s="24"/>
      <c r="O47" s="24"/>
      <c r="P47" s="24"/>
      <c r="Q47" s="24"/>
      <c r="R47" s="24"/>
      <c r="S47" s="24"/>
      <c r="T47" s="24"/>
      <c r="U47" s="24"/>
      <c r="V47" s="24"/>
      <c r="W47" s="24"/>
      <c r="X47" s="24"/>
      <c r="Y47" s="24"/>
      <c r="Z47" s="24"/>
      <c r="AA47" s="24"/>
      <c r="AB47" s="24"/>
      <c r="AC47" s="24"/>
      <c r="AD47" s="24"/>
      <c r="AE47" s="24"/>
      <c r="AF47" s="24"/>
      <c r="AG47" s="24"/>
      <c r="AH47" s="24"/>
      <c r="AI47" s="24"/>
      <c r="AJ47" s="24"/>
      <c r="AK47" s="24"/>
      <c r="AL47" s="24"/>
      <c r="AM47" s="24"/>
      <c r="AN47" s="24"/>
      <c r="AO47" s="24"/>
      <c r="AP47" s="24"/>
      <c r="AQ47" s="24"/>
      <c r="AR47" s="24"/>
      <c r="AS47" s="24"/>
      <c r="AT47" s="24"/>
      <c r="AU47" s="24"/>
      <c r="AV47" s="24"/>
      <c r="AW47" s="24"/>
      <c r="AX47" s="24"/>
      <c r="AY47" s="24"/>
      <c r="AZ47" s="24"/>
      <c r="BA47" s="24"/>
      <c r="BB47" s="24"/>
      <c r="BC47" s="24"/>
      <c r="BD47" s="24"/>
      <c r="BE47" s="24"/>
      <c r="BF47" s="24"/>
      <c r="BG47" s="24"/>
      <c r="BH47" s="24"/>
      <c r="BI47" s="24"/>
      <c r="BJ47" s="24"/>
      <c r="BK47" s="24"/>
      <c r="BL47" s="24"/>
      <c r="BM47" s="24"/>
      <c r="BN47" s="24"/>
      <c r="BO47" s="24"/>
      <c r="BP47" s="24"/>
      <c r="BQ47" s="24"/>
      <c r="BR47" s="24"/>
      <c r="BS47" s="24"/>
      <c r="BT47" s="24"/>
      <c r="BU47" s="24"/>
      <c r="BV47" s="24"/>
      <c r="BW47" s="24"/>
      <c r="BX47" s="24"/>
      <c r="BY47" s="24"/>
      <c r="BZ47" s="24"/>
      <c r="CA47" s="24"/>
      <c r="CB47" s="24"/>
      <c r="CC47" s="24"/>
      <c r="CD47" s="24"/>
      <c r="CE47" s="24"/>
      <c r="CF47" s="24"/>
      <c r="CG47" s="24"/>
      <c r="CH47" s="24"/>
      <c r="CI47" s="24"/>
      <c r="CJ47" s="24"/>
      <c r="CK47" s="24"/>
      <c r="CL47" s="24"/>
      <c r="CM47" s="24"/>
      <c r="CN47" s="24"/>
      <c r="CO47" s="24"/>
      <c r="CP47" s="24"/>
    </row>
    <row r="48" spans="1:94" x14ac:dyDescent="0.3">
      <c r="A48" s="222"/>
      <c r="B48" s="24"/>
      <c r="C48" s="24"/>
      <c r="D48" s="24"/>
      <c r="E48" s="24"/>
      <c r="F48" s="24"/>
      <c r="G48" s="24"/>
      <c r="H48" s="24"/>
      <c r="I48" s="24"/>
      <c r="J48" s="24"/>
      <c r="K48" s="24"/>
      <c r="L48" s="24"/>
      <c r="M48" s="24"/>
      <c r="N48" s="24"/>
      <c r="O48" s="24"/>
      <c r="P48" s="24"/>
      <c r="Q48" s="24"/>
      <c r="R48" s="24"/>
      <c r="S48" s="24"/>
      <c r="T48" s="24"/>
      <c r="U48" s="24"/>
      <c r="V48" s="24"/>
      <c r="W48" s="24"/>
      <c r="X48" s="24"/>
      <c r="Y48" s="24"/>
      <c r="Z48" s="24"/>
      <c r="AA48" s="24"/>
      <c r="AB48" s="24"/>
      <c r="AC48" s="24"/>
      <c r="AD48" s="24"/>
      <c r="AE48" s="24"/>
      <c r="AF48" s="24"/>
      <c r="AG48" s="24"/>
      <c r="AH48" s="24"/>
      <c r="AI48" s="24"/>
      <c r="AJ48" s="24"/>
      <c r="AK48" s="24"/>
      <c r="AL48" s="24"/>
      <c r="AM48" s="24"/>
      <c r="AN48" s="24"/>
      <c r="AO48" s="24"/>
      <c r="AP48" s="24"/>
      <c r="AQ48" s="24"/>
      <c r="AR48" s="24"/>
      <c r="AS48" s="24"/>
      <c r="AT48" s="24"/>
      <c r="AU48" s="24"/>
      <c r="AV48" s="24"/>
      <c r="AW48" s="24"/>
      <c r="AX48" s="24"/>
      <c r="AY48" s="24"/>
      <c r="AZ48" s="24"/>
      <c r="BA48" s="24"/>
      <c r="BB48" s="24"/>
      <c r="BC48" s="24"/>
      <c r="BD48" s="24"/>
      <c r="BE48" s="24"/>
      <c r="BF48" s="24"/>
      <c r="BG48" s="24"/>
      <c r="BH48" s="24"/>
      <c r="BI48" s="24"/>
      <c r="BJ48" s="24"/>
      <c r="BK48" s="24"/>
      <c r="BL48" s="24"/>
      <c r="BM48" s="24"/>
      <c r="BN48" s="24"/>
      <c r="BO48" s="24"/>
      <c r="BP48" s="24"/>
      <c r="BQ48" s="24"/>
      <c r="BR48" s="24"/>
      <c r="BS48" s="24"/>
      <c r="BT48" s="24"/>
      <c r="BU48" s="24"/>
      <c r="BV48" s="24"/>
      <c r="BW48" s="24"/>
      <c r="BX48" s="24"/>
      <c r="BY48" s="24"/>
      <c r="BZ48" s="24"/>
      <c r="CA48" s="24"/>
      <c r="CB48" s="24"/>
      <c r="CC48" s="24"/>
      <c r="CD48" s="24"/>
      <c r="CE48" s="24"/>
      <c r="CF48" s="24"/>
      <c r="CG48" s="24"/>
      <c r="CH48" s="24"/>
      <c r="CI48" s="24"/>
      <c r="CJ48" s="24"/>
      <c r="CK48" s="24"/>
      <c r="CL48" s="24"/>
      <c r="CM48" s="24"/>
      <c r="CN48" s="24"/>
      <c r="CO48" s="24"/>
      <c r="CP48" s="24"/>
    </row>
    <row r="49" spans="1:94" x14ac:dyDescent="0.3">
      <c r="A49" s="222"/>
      <c r="B49" s="24"/>
      <c r="C49" s="24"/>
      <c r="D49" s="24"/>
      <c r="E49" s="24"/>
      <c r="F49" s="24"/>
      <c r="G49" s="24"/>
      <c r="H49" s="24"/>
      <c r="I49" s="24"/>
      <c r="J49" s="24"/>
      <c r="K49" s="24"/>
      <c r="L49" s="24"/>
      <c r="M49" s="24"/>
      <c r="N49" s="24"/>
      <c r="O49" s="24"/>
      <c r="P49" s="24"/>
      <c r="Q49" s="24"/>
      <c r="R49" s="24"/>
      <c r="S49" s="24"/>
      <c r="T49" s="24"/>
      <c r="U49" s="24"/>
      <c r="V49" s="24"/>
      <c r="W49" s="24"/>
      <c r="X49" s="24"/>
      <c r="Y49" s="24"/>
      <c r="Z49" s="24"/>
      <c r="AA49" s="24"/>
      <c r="AB49" s="24"/>
      <c r="AC49" s="24"/>
      <c r="AD49" s="24"/>
      <c r="AE49" s="24"/>
      <c r="AF49" s="24"/>
      <c r="AG49" s="24"/>
      <c r="AH49" s="24"/>
      <c r="AI49" s="24"/>
      <c r="AJ49" s="24"/>
      <c r="AK49" s="24"/>
      <c r="AL49" s="24"/>
      <c r="AM49" s="24"/>
      <c r="AN49" s="24"/>
      <c r="AO49" s="24"/>
      <c r="AP49" s="24"/>
      <c r="AQ49" s="24"/>
      <c r="AR49" s="24"/>
      <c r="AS49" s="24"/>
      <c r="AT49" s="24"/>
      <c r="AU49" s="24"/>
      <c r="AV49" s="24"/>
      <c r="AW49" s="24"/>
      <c r="AX49" s="24"/>
      <c r="AY49" s="24"/>
      <c r="AZ49" s="24"/>
      <c r="BA49" s="24"/>
      <c r="BB49" s="24"/>
      <c r="BC49" s="24"/>
      <c r="BD49" s="24"/>
      <c r="BE49" s="24"/>
      <c r="BF49" s="24"/>
      <c r="BG49" s="24"/>
      <c r="BH49" s="24"/>
      <c r="BI49" s="24"/>
      <c r="BJ49" s="24"/>
      <c r="BK49" s="24"/>
      <c r="BL49" s="24"/>
      <c r="BM49" s="24"/>
      <c r="BN49" s="24"/>
      <c r="BO49" s="24"/>
      <c r="BP49" s="24"/>
      <c r="BQ49" s="24"/>
      <c r="BR49" s="24"/>
      <c r="BS49" s="24"/>
      <c r="BT49" s="24"/>
      <c r="BU49" s="24"/>
      <c r="BV49" s="24"/>
      <c r="BW49" s="24"/>
      <c r="BX49" s="24"/>
      <c r="BY49" s="24"/>
      <c r="BZ49" s="24"/>
      <c r="CA49" s="24"/>
      <c r="CB49" s="24"/>
      <c r="CC49" s="24"/>
      <c r="CD49" s="24"/>
      <c r="CE49" s="24"/>
      <c r="CF49" s="24"/>
      <c r="CG49" s="24"/>
      <c r="CH49" s="24"/>
      <c r="CI49" s="24"/>
      <c r="CJ49" s="24"/>
      <c r="CK49" s="24"/>
      <c r="CL49" s="24"/>
      <c r="CM49" s="24"/>
      <c r="CN49" s="24"/>
      <c r="CO49" s="24"/>
      <c r="CP49" s="24"/>
    </row>
    <row r="50" spans="1:94" x14ac:dyDescent="0.3">
      <c r="B50" s="24"/>
      <c r="C50" s="24"/>
      <c r="D50" s="24"/>
      <c r="E50" s="24"/>
      <c r="F50" s="24"/>
      <c r="G50" s="24"/>
      <c r="H50" s="24"/>
      <c r="I50" s="24"/>
      <c r="J50" s="24"/>
      <c r="K50" s="24"/>
      <c r="L50" s="24"/>
      <c r="M50" s="24"/>
      <c r="N50" s="24"/>
      <c r="O50" s="24"/>
      <c r="P50" s="24"/>
      <c r="Q50" s="24"/>
      <c r="R50" s="24"/>
      <c r="S50" s="24"/>
      <c r="T50" s="24"/>
      <c r="U50" s="24"/>
      <c r="V50" s="24"/>
      <c r="W50" s="24"/>
      <c r="X50" s="24"/>
      <c r="Y50" s="24"/>
      <c r="Z50" s="24"/>
      <c r="AA50" s="24"/>
      <c r="AB50" s="24"/>
      <c r="AC50" s="24"/>
      <c r="AD50" s="24"/>
      <c r="AE50" s="24"/>
      <c r="AF50" s="24"/>
      <c r="AG50" s="24"/>
      <c r="AH50" s="24"/>
      <c r="AI50" s="24"/>
      <c r="AJ50" s="24"/>
      <c r="AK50" s="24"/>
      <c r="AL50" s="24"/>
      <c r="AM50" s="24"/>
      <c r="AN50" s="24"/>
      <c r="AO50" s="24"/>
      <c r="AP50" s="24"/>
      <c r="AQ50" s="24"/>
      <c r="AR50" s="24"/>
      <c r="AS50" s="24"/>
      <c r="AT50" s="24"/>
      <c r="AU50" s="24"/>
      <c r="AV50" s="24"/>
      <c r="AW50" s="24"/>
      <c r="AX50" s="24"/>
      <c r="AY50" s="24"/>
      <c r="AZ50" s="24"/>
      <c r="BA50" s="24"/>
      <c r="BB50" s="24"/>
      <c r="BC50" s="24"/>
      <c r="BD50" s="24"/>
      <c r="BE50" s="24"/>
      <c r="BF50" s="24"/>
      <c r="BG50" s="24"/>
      <c r="BH50" s="24"/>
      <c r="BI50" s="24"/>
      <c r="BJ50" s="24"/>
      <c r="BK50" s="24"/>
      <c r="BL50" s="24"/>
      <c r="BM50" s="24"/>
      <c r="BN50" s="24"/>
      <c r="BO50" s="24"/>
      <c r="BP50" s="24"/>
      <c r="BQ50" s="24"/>
      <c r="BR50" s="24"/>
      <c r="BS50" s="24"/>
      <c r="BT50" s="24"/>
      <c r="BU50" s="24"/>
      <c r="BV50" s="24"/>
      <c r="BW50" s="24"/>
      <c r="BX50" s="24"/>
      <c r="BY50" s="24"/>
      <c r="BZ50" s="24"/>
      <c r="CA50" s="24"/>
      <c r="CB50" s="24"/>
      <c r="CC50" s="24"/>
      <c r="CD50" s="24"/>
      <c r="CE50" s="24"/>
      <c r="CF50" s="24"/>
      <c r="CG50" s="24"/>
      <c r="CH50" s="24"/>
      <c r="CI50" s="24"/>
      <c r="CJ50" s="24"/>
      <c r="CK50" s="24"/>
      <c r="CL50" s="24"/>
      <c r="CM50" s="24"/>
      <c r="CN50" s="24"/>
      <c r="CO50" s="24"/>
      <c r="CP50" s="24"/>
    </row>
    <row r="51" spans="1:94" x14ac:dyDescent="0.3">
      <c r="B51" s="24"/>
      <c r="C51" s="24"/>
      <c r="D51" s="24"/>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H51" s="24"/>
      <c r="AI51" s="24"/>
      <c r="AJ51" s="24"/>
      <c r="AK51" s="24"/>
      <c r="AL51" s="24"/>
      <c r="AM51" s="24"/>
      <c r="AN51" s="24"/>
      <c r="AO51" s="24"/>
      <c r="AP51" s="24"/>
      <c r="AQ51" s="24"/>
      <c r="AR51" s="24"/>
      <c r="AS51" s="24"/>
      <c r="AT51" s="24"/>
      <c r="AU51" s="24"/>
      <c r="AV51" s="24"/>
      <c r="AW51" s="24"/>
      <c r="AX51" s="24"/>
      <c r="AY51" s="24"/>
      <c r="AZ51" s="24"/>
      <c r="BA51" s="24"/>
      <c r="BB51" s="24"/>
      <c r="BC51" s="24"/>
      <c r="BD51" s="24"/>
      <c r="BE51" s="24"/>
      <c r="BF51" s="24"/>
      <c r="BG51" s="24"/>
      <c r="BH51" s="24"/>
      <c r="BI51" s="24"/>
      <c r="BJ51" s="24"/>
      <c r="BK51" s="24"/>
      <c r="BL51" s="24"/>
      <c r="BM51" s="24"/>
      <c r="BN51" s="24"/>
      <c r="BO51" s="24"/>
      <c r="BP51" s="24"/>
      <c r="BQ51" s="24"/>
      <c r="BR51" s="24"/>
      <c r="BS51" s="24"/>
      <c r="BT51" s="24"/>
      <c r="BU51" s="24"/>
      <c r="BV51" s="24"/>
      <c r="BW51" s="24"/>
      <c r="BX51" s="24"/>
      <c r="BY51" s="24"/>
      <c r="BZ51" s="24"/>
      <c r="CA51" s="24"/>
      <c r="CB51" s="24"/>
      <c r="CC51" s="24"/>
      <c r="CD51" s="24"/>
      <c r="CE51" s="24"/>
      <c r="CF51" s="24"/>
      <c r="CG51" s="24"/>
      <c r="CH51" s="24"/>
      <c r="CI51" s="24"/>
      <c r="CJ51" s="24"/>
      <c r="CK51" s="24"/>
      <c r="CL51" s="24"/>
      <c r="CM51" s="24"/>
      <c r="CN51" s="24"/>
      <c r="CO51" s="24"/>
      <c r="CP51" s="24"/>
    </row>
    <row r="52" spans="1:94" x14ac:dyDescent="0.3">
      <c r="B52" s="24"/>
      <c r="C52" s="24"/>
      <c r="D52" s="24"/>
      <c r="E52" s="24"/>
      <c r="F52" s="24"/>
      <c r="G52" s="24"/>
      <c r="H52" s="24"/>
      <c r="I52" s="24"/>
      <c r="J52" s="24"/>
      <c r="K52" s="24"/>
      <c r="L52" s="24"/>
      <c r="M52" s="24"/>
      <c r="N52" s="24"/>
      <c r="O52" s="24"/>
      <c r="P52" s="24"/>
      <c r="Q52" s="24"/>
      <c r="R52" s="24"/>
      <c r="S52" s="24"/>
      <c r="T52" s="24"/>
      <c r="U52" s="24"/>
      <c r="V52" s="24"/>
      <c r="W52" s="24"/>
      <c r="X52" s="24"/>
      <c r="Y52" s="24"/>
      <c r="Z52" s="24"/>
      <c r="AA52" s="24"/>
      <c r="AB52" s="24"/>
      <c r="AC52" s="24"/>
      <c r="AD52" s="24"/>
      <c r="AE52" s="24"/>
      <c r="AF52" s="24"/>
      <c r="AG52" s="24"/>
      <c r="AH52" s="24"/>
      <c r="AI52" s="24"/>
      <c r="AJ52" s="24"/>
      <c r="AK52" s="24"/>
      <c r="AL52" s="24"/>
      <c r="AM52" s="24"/>
      <c r="AN52" s="24"/>
      <c r="AO52" s="24"/>
      <c r="AP52" s="24"/>
      <c r="AQ52" s="24"/>
      <c r="AR52" s="24"/>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4"/>
      <c r="BU52" s="24"/>
      <c r="BV52" s="24"/>
      <c r="BW52" s="24"/>
      <c r="BX52" s="24"/>
      <c r="BY52" s="24"/>
      <c r="BZ52" s="24"/>
      <c r="CA52" s="24"/>
      <c r="CB52" s="24"/>
      <c r="CC52" s="24"/>
      <c r="CD52" s="24"/>
      <c r="CE52" s="24"/>
      <c r="CF52" s="24"/>
      <c r="CG52" s="24"/>
      <c r="CH52" s="24"/>
      <c r="CI52" s="24"/>
      <c r="CJ52" s="24"/>
      <c r="CK52" s="24"/>
      <c r="CL52" s="24"/>
      <c r="CM52" s="24"/>
      <c r="CN52" s="24"/>
      <c r="CO52" s="24"/>
      <c r="CP52" s="24"/>
    </row>
    <row r="53" spans="1:94" x14ac:dyDescent="0.3">
      <c r="B53" s="24"/>
      <c r="C53" s="24"/>
      <c r="D53" s="24"/>
      <c r="E53" s="24"/>
      <c r="F53" s="24"/>
      <c r="G53" s="24"/>
      <c r="H53" s="24"/>
      <c r="I53" s="24"/>
      <c r="J53" s="24"/>
      <c r="K53" s="24"/>
      <c r="L53" s="24"/>
      <c r="M53" s="24"/>
      <c r="N53" s="24"/>
      <c r="O53" s="24"/>
      <c r="P53" s="24"/>
      <c r="Q53" s="24"/>
      <c r="R53" s="24"/>
      <c r="S53" s="24"/>
      <c r="T53" s="24"/>
      <c r="U53" s="24"/>
      <c r="V53" s="24"/>
      <c r="W53" s="24"/>
      <c r="X53" s="24"/>
      <c r="Y53" s="24"/>
      <c r="Z53" s="24"/>
      <c r="AA53" s="24"/>
      <c r="AB53" s="24"/>
      <c r="AC53" s="24"/>
      <c r="AD53" s="24"/>
      <c r="AE53" s="24"/>
      <c r="AF53" s="24"/>
      <c r="AG53" s="24"/>
      <c r="AH53" s="24"/>
      <c r="AI53" s="24"/>
      <c r="AJ53" s="24"/>
      <c r="AK53" s="24"/>
      <c r="AL53" s="24"/>
      <c r="AM53" s="24"/>
      <c r="AN53" s="24"/>
      <c r="AO53" s="24"/>
      <c r="AP53" s="24"/>
      <c r="AQ53" s="24"/>
      <c r="AR53" s="24"/>
      <c r="AS53" s="24"/>
      <c r="AT53" s="24"/>
      <c r="AU53" s="24"/>
      <c r="AV53" s="24"/>
      <c r="AW53" s="24"/>
      <c r="AX53" s="24"/>
      <c r="AY53" s="24"/>
      <c r="AZ53" s="24"/>
      <c r="BA53" s="24"/>
      <c r="BB53" s="24"/>
      <c r="BC53" s="24"/>
      <c r="BD53" s="24"/>
      <c r="BE53" s="24"/>
      <c r="BF53" s="24"/>
      <c r="BG53" s="24"/>
      <c r="BH53" s="24"/>
      <c r="BI53" s="24"/>
      <c r="BJ53" s="24"/>
      <c r="BK53" s="24"/>
      <c r="BL53" s="24"/>
      <c r="BM53" s="24"/>
      <c r="BN53" s="24"/>
      <c r="BO53" s="24"/>
      <c r="BP53" s="24"/>
      <c r="BQ53" s="24"/>
      <c r="BR53" s="24"/>
      <c r="BS53" s="24"/>
      <c r="BT53" s="24"/>
      <c r="BU53" s="24"/>
      <c r="BV53" s="24"/>
      <c r="BW53" s="24"/>
      <c r="BX53" s="24"/>
      <c r="BY53" s="24"/>
      <c r="BZ53" s="24"/>
      <c r="CA53" s="24"/>
      <c r="CB53" s="24"/>
      <c r="CC53" s="24"/>
      <c r="CD53" s="24"/>
      <c r="CE53" s="24"/>
      <c r="CF53" s="24"/>
      <c r="CG53" s="24"/>
      <c r="CH53" s="24"/>
      <c r="CI53" s="24"/>
      <c r="CJ53" s="24"/>
      <c r="CK53" s="24"/>
      <c r="CL53" s="24"/>
      <c r="CM53" s="24"/>
      <c r="CN53" s="24"/>
      <c r="CO53" s="24"/>
      <c r="CP53" s="24"/>
    </row>
    <row r="54" spans="1:94" x14ac:dyDescent="0.3">
      <c r="B54" s="24"/>
      <c r="C54" s="24"/>
      <c r="D54" s="24"/>
      <c r="E54" s="24"/>
      <c r="F54" s="24"/>
      <c r="G54" s="24"/>
      <c r="H54" s="24"/>
      <c r="I54" s="24"/>
      <c r="J54" s="24"/>
      <c r="K54" s="24"/>
      <c r="L54" s="24"/>
      <c r="M54" s="24"/>
      <c r="N54" s="24"/>
      <c r="O54" s="24"/>
      <c r="P54" s="24"/>
      <c r="Q54" s="24"/>
      <c r="R54" s="24"/>
      <c r="S54" s="24"/>
      <c r="T54" s="24"/>
      <c r="U54" s="24"/>
      <c r="V54" s="24"/>
      <c r="W54" s="24"/>
      <c r="X54" s="24"/>
      <c r="Y54" s="24"/>
      <c r="Z54" s="24"/>
      <c r="AA54" s="24"/>
      <c r="AB54" s="24"/>
      <c r="AC54" s="24"/>
      <c r="AD54" s="24"/>
      <c r="AE54" s="24"/>
      <c r="AF54" s="24"/>
      <c r="AG54" s="24"/>
      <c r="AH54" s="24"/>
      <c r="AI54" s="24"/>
      <c r="AJ54" s="24"/>
      <c r="AK54" s="24"/>
      <c r="AL54" s="24"/>
      <c r="AM54" s="24"/>
      <c r="AN54" s="24"/>
      <c r="AO54" s="24"/>
      <c r="AP54" s="24"/>
      <c r="AQ54" s="24"/>
      <c r="AR54" s="24"/>
      <c r="AS54" s="24"/>
      <c r="AT54" s="24"/>
      <c r="AU54" s="24"/>
      <c r="AV54" s="24"/>
      <c r="AW54" s="24"/>
      <c r="AX54" s="24"/>
      <c r="AY54" s="24"/>
      <c r="AZ54" s="24"/>
      <c r="BA54" s="24"/>
      <c r="BB54" s="24"/>
      <c r="BC54" s="24"/>
      <c r="BD54" s="24"/>
      <c r="BE54" s="24"/>
      <c r="BF54" s="24"/>
      <c r="BG54" s="24"/>
      <c r="BH54" s="24"/>
      <c r="BI54" s="24"/>
      <c r="BJ54" s="24"/>
      <c r="BK54" s="24"/>
      <c r="BL54" s="24"/>
      <c r="BM54" s="24"/>
      <c r="BN54" s="24"/>
      <c r="BO54" s="24"/>
      <c r="BP54" s="24"/>
      <c r="BQ54" s="24"/>
      <c r="BR54" s="24"/>
      <c r="BS54" s="24"/>
      <c r="BT54" s="24"/>
      <c r="BU54" s="24"/>
      <c r="BV54" s="24"/>
      <c r="BW54" s="24"/>
      <c r="BX54" s="24"/>
      <c r="BY54" s="24"/>
      <c r="BZ54" s="24"/>
      <c r="CA54" s="24"/>
      <c r="CB54" s="24"/>
      <c r="CC54" s="24"/>
      <c r="CD54" s="24"/>
      <c r="CE54" s="24"/>
      <c r="CF54" s="24"/>
      <c r="CG54" s="24"/>
      <c r="CH54" s="24"/>
      <c r="CI54" s="24"/>
      <c r="CJ54" s="24"/>
      <c r="CK54" s="24"/>
      <c r="CL54" s="24"/>
      <c r="CM54" s="24"/>
      <c r="CN54" s="24"/>
      <c r="CO54" s="24"/>
      <c r="CP54" s="24"/>
    </row>
    <row r="55" spans="1:94" x14ac:dyDescent="0.3">
      <c r="A55" s="222" t="s">
        <v>556</v>
      </c>
      <c r="B55" s="24"/>
      <c r="C55" s="24"/>
      <c r="D55" s="24"/>
      <c r="E55" s="24"/>
      <c r="F55" s="24"/>
      <c r="G55" s="24"/>
      <c r="H55" s="24"/>
      <c r="I55" s="24"/>
      <c r="J55" s="24"/>
      <c r="K55" s="24"/>
      <c r="L55" s="24"/>
      <c r="M55" s="24"/>
      <c r="N55" s="24"/>
      <c r="O55" s="24"/>
      <c r="P55" s="24"/>
      <c r="Q55" s="24"/>
      <c r="R55" s="24"/>
      <c r="S55" s="24"/>
      <c r="T55" s="24"/>
      <c r="U55" s="24"/>
      <c r="V55" s="24"/>
      <c r="W55" s="24"/>
      <c r="X55" s="24"/>
      <c r="Y55" s="24"/>
      <c r="Z55" s="24"/>
      <c r="AA55" s="24"/>
      <c r="AB55" s="24"/>
      <c r="AC55" s="24"/>
      <c r="AD55" s="24"/>
      <c r="AE55" s="24"/>
      <c r="AF55" s="24"/>
      <c r="AG55" s="24"/>
      <c r="AH55" s="24"/>
      <c r="AI55" s="24"/>
      <c r="AJ55" s="24"/>
      <c r="AK55" s="24"/>
      <c r="AL55" s="24"/>
      <c r="AM55" s="24"/>
      <c r="AN55" s="24"/>
      <c r="AO55" s="24"/>
      <c r="AP55" s="24"/>
      <c r="AQ55" s="24"/>
      <c r="AR55" s="24"/>
      <c r="AS55" s="24"/>
      <c r="AT55" s="24"/>
      <c r="AU55" s="24"/>
      <c r="AV55" s="24"/>
      <c r="AW55" s="24"/>
      <c r="AX55" s="24"/>
      <c r="AY55" s="24"/>
      <c r="AZ55" s="24"/>
      <c r="BA55" s="24"/>
      <c r="BB55" s="24"/>
      <c r="BC55" s="24"/>
      <c r="BD55" s="24"/>
      <c r="BE55" s="24"/>
      <c r="BF55" s="24"/>
      <c r="BG55" s="24"/>
      <c r="BH55" s="24"/>
      <c r="BI55" s="24"/>
      <c r="BJ55" s="24"/>
      <c r="BK55" s="24"/>
      <c r="BL55" s="24"/>
      <c r="BM55" s="24"/>
      <c r="BN55" s="24"/>
      <c r="BO55" s="24"/>
      <c r="BP55" s="24"/>
      <c r="BQ55" s="24"/>
      <c r="BR55" s="24"/>
      <c r="BS55" s="24"/>
      <c r="BT55" s="24"/>
      <c r="BU55" s="24"/>
      <c r="BV55" s="24"/>
      <c r="BW55" s="24"/>
      <c r="BX55" s="24"/>
      <c r="BY55" s="24"/>
      <c r="BZ55" s="24"/>
      <c r="CA55" s="24"/>
      <c r="CB55" s="24"/>
      <c r="CC55" s="24"/>
      <c r="CD55" s="24"/>
      <c r="CE55" s="24"/>
      <c r="CF55" s="24"/>
      <c r="CG55" s="24"/>
      <c r="CH55" s="24"/>
      <c r="CI55" s="24"/>
      <c r="CJ55" s="24"/>
      <c r="CK55" s="24"/>
      <c r="CL55" s="24"/>
      <c r="CM55" s="24"/>
      <c r="CN55" s="24"/>
      <c r="CO55" s="24"/>
      <c r="CP55" s="24"/>
    </row>
    <row r="56" spans="1:94" x14ac:dyDescent="0.3">
      <c r="A56" s="222" t="s">
        <v>403</v>
      </c>
      <c r="B56" s="24"/>
      <c r="C56" s="24"/>
      <c r="D56" s="24"/>
      <c r="E56" s="24"/>
      <c r="F56" s="24"/>
      <c r="G56" s="24"/>
      <c r="H56" s="24"/>
      <c r="I56" s="24"/>
      <c r="J56" s="24"/>
      <c r="K56" s="24"/>
      <c r="L56" s="24"/>
      <c r="M56" s="24"/>
      <c r="N56" s="24"/>
      <c r="O56" s="24"/>
      <c r="P56" s="24"/>
      <c r="Q56" s="24"/>
      <c r="R56" s="24"/>
      <c r="S56" s="24"/>
      <c r="T56" s="24"/>
      <c r="U56" s="24"/>
      <c r="V56" s="24"/>
      <c r="W56" s="24"/>
      <c r="X56" s="24"/>
      <c r="Y56" s="24"/>
      <c r="Z56" s="24"/>
      <c r="AA56" s="24"/>
      <c r="AB56" s="24"/>
      <c r="AC56" s="24"/>
      <c r="AD56" s="24"/>
      <c r="AE56" s="24"/>
      <c r="AF56" s="24"/>
      <c r="AG56" s="24"/>
      <c r="AH56" s="24"/>
      <c r="AI56" s="24"/>
      <c r="AJ56" s="24"/>
      <c r="AK56" s="24"/>
      <c r="AL56" s="24"/>
      <c r="AM56" s="24"/>
      <c r="AN56" s="24"/>
      <c r="AO56" s="24"/>
      <c r="AP56" s="24"/>
      <c r="AQ56" s="24"/>
      <c r="AR56" s="24"/>
      <c r="AS56" s="24"/>
      <c r="AT56" s="24"/>
      <c r="AU56" s="24"/>
      <c r="AV56" s="24"/>
      <c r="AW56" s="24"/>
      <c r="AX56" s="24"/>
      <c r="AY56" s="24"/>
      <c r="AZ56" s="24"/>
      <c r="BA56" s="24"/>
      <c r="BB56" s="24"/>
      <c r="BC56" s="24"/>
      <c r="BD56" s="24"/>
      <c r="BE56" s="24"/>
      <c r="BF56" s="24"/>
      <c r="BG56" s="24"/>
      <c r="BH56" s="24"/>
      <c r="BI56" s="24"/>
      <c r="BJ56" s="24"/>
      <c r="BK56" s="24"/>
      <c r="BL56" s="24"/>
      <c r="BM56" s="24"/>
      <c r="BN56" s="24"/>
      <c r="BO56" s="24"/>
      <c r="BP56" s="24"/>
      <c r="BQ56" s="24"/>
      <c r="BR56" s="24"/>
      <c r="BS56" s="24"/>
      <c r="BT56" s="24"/>
      <c r="BU56" s="24"/>
      <c r="BV56" s="24"/>
      <c r="BW56" s="24"/>
      <c r="BX56" s="24"/>
      <c r="BY56" s="24"/>
      <c r="BZ56" s="24"/>
      <c r="CA56" s="24"/>
      <c r="CB56" s="24"/>
      <c r="CC56" s="24"/>
      <c r="CD56" s="24"/>
      <c r="CE56" s="24"/>
      <c r="CF56" s="24"/>
      <c r="CG56" s="24"/>
      <c r="CH56" s="24"/>
      <c r="CI56" s="24"/>
      <c r="CJ56" s="24"/>
      <c r="CK56" s="24"/>
      <c r="CL56" s="24"/>
      <c r="CM56" s="24"/>
      <c r="CN56" s="24"/>
      <c r="CO56" s="24"/>
      <c r="CP56" s="24"/>
    </row>
    <row r="57" spans="1:94" x14ac:dyDescent="0.3">
      <c r="A57" s="222"/>
      <c r="B57" s="24"/>
      <c r="C57" s="24"/>
      <c r="D57" s="24"/>
      <c r="E57" s="24"/>
      <c r="F57" s="24"/>
      <c r="G57" s="24"/>
      <c r="H57" s="24"/>
      <c r="I57" s="24"/>
      <c r="J57" s="24"/>
      <c r="K57" s="24"/>
      <c r="L57" s="24"/>
      <c r="M57" s="24"/>
      <c r="N57" s="24"/>
      <c r="O57" s="24"/>
      <c r="P57" s="24"/>
      <c r="Q57" s="24"/>
      <c r="R57" s="24"/>
      <c r="S57" s="24"/>
      <c r="T57" s="24"/>
      <c r="U57" s="24"/>
      <c r="V57" s="24"/>
      <c r="W57" s="24"/>
      <c r="X57" s="24"/>
      <c r="Y57" s="24"/>
      <c r="Z57" s="24"/>
      <c r="AA57" s="24"/>
      <c r="AB57" s="24"/>
      <c r="AC57" s="24"/>
      <c r="AD57" s="24"/>
      <c r="AE57" s="24"/>
      <c r="AF57" s="24"/>
      <c r="AG57" s="24"/>
      <c r="AH57" s="24"/>
      <c r="AI57" s="24"/>
      <c r="AJ57" s="24"/>
      <c r="AK57" s="24"/>
      <c r="AL57" s="24"/>
      <c r="AM57" s="24"/>
      <c r="AN57" s="24"/>
      <c r="AO57" s="24"/>
      <c r="AP57" s="24"/>
      <c r="AQ57" s="24"/>
      <c r="AR57" s="24"/>
      <c r="AS57" s="24"/>
      <c r="AT57" s="24"/>
      <c r="AU57" s="24"/>
      <c r="AV57" s="24"/>
      <c r="AW57" s="24"/>
      <c r="AX57" s="24"/>
      <c r="AY57" s="24"/>
      <c r="AZ57" s="24"/>
      <c r="BA57" s="24"/>
      <c r="BB57" s="24"/>
      <c r="BC57" s="24"/>
      <c r="BD57" s="24"/>
      <c r="BE57" s="24"/>
      <c r="BF57" s="24"/>
      <c r="BG57" s="24"/>
      <c r="BH57" s="24"/>
      <c r="BI57" s="24"/>
      <c r="BJ57" s="24"/>
      <c r="BK57" s="24"/>
      <c r="BL57" s="24"/>
      <c r="BM57" s="24"/>
      <c r="BN57" s="24"/>
      <c r="BO57" s="24"/>
      <c r="BP57" s="24"/>
      <c r="BQ57" s="24"/>
      <c r="BR57" s="24"/>
      <c r="BS57" s="24"/>
      <c r="BT57" s="24"/>
      <c r="BU57" s="24"/>
      <c r="BV57" s="24"/>
      <c r="BW57" s="24"/>
      <c r="BX57" s="24"/>
      <c r="BY57" s="24"/>
      <c r="BZ57" s="24"/>
      <c r="CA57" s="24"/>
      <c r="CB57" s="24"/>
      <c r="CC57" s="24"/>
      <c r="CD57" s="24"/>
      <c r="CE57" s="24"/>
      <c r="CF57" s="24"/>
      <c r="CG57" s="24"/>
      <c r="CH57" s="24"/>
      <c r="CI57" s="24"/>
      <c r="CJ57" s="24"/>
      <c r="CK57" s="24"/>
      <c r="CL57" s="24"/>
      <c r="CM57" s="24"/>
      <c r="CN57" s="24"/>
      <c r="CO57" s="24"/>
      <c r="CP57" s="24"/>
    </row>
    <row r="58" spans="1:94" x14ac:dyDescent="0.3">
      <c r="A58" s="222"/>
      <c r="B58" s="24"/>
      <c r="C58" s="24"/>
      <c r="D58" s="24"/>
      <c r="E58" s="24"/>
      <c r="F58" s="24"/>
      <c r="G58" s="24"/>
      <c r="H58" s="24"/>
      <c r="I58" s="24"/>
      <c r="J58" s="24"/>
      <c r="K58" s="24"/>
      <c r="L58" s="24"/>
      <c r="M58" s="24"/>
      <c r="N58" s="24"/>
      <c r="O58" s="24"/>
      <c r="P58" s="24"/>
      <c r="Q58" s="24"/>
      <c r="R58" s="24"/>
      <c r="S58" s="24"/>
      <c r="T58" s="24"/>
      <c r="U58" s="24"/>
      <c r="V58" s="24"/>
      <c r="W58" s="24"/>
      <c r="X58" s="24"/>
      <c r="Y58" s="24"/>
      <c r="Z58" s="24"/>
      <c r="AA58" s="24"/>
      <c r="AB58" s="24"/>
      <c r="AC58" s="24"/>
      <c r="AD58" s="24"/>
      <c r="AE58" s="24"/>
      <c r="AF58" s="24"/>
      <c r="AG58" s="24"/>
      <c r="AH58" s="24"/>
      <c r="AI58" s="24"/>
      <c r="AJ58" s="24"/>
      <c r="AK58" s="24"/>
      <c r="AL58" s="24"/>
      <c r="AM58" s="24"/>
      <c r="AN58" s="24"/>
      <c r="AO58" s="24"/>
      <c r="AP58" s="24"/>
      <c r="AQ58" s="24"/>
      <c r="AR58" s="24"/>
      <c r="AS58" s="24"/>
      <c r="AT58" s="24"/>
      <c r="AU58" s="24"/>
      <c r="AV58" s="24"/>
      <c r="AW58" s="24"/>
      <c r="AX58" s="24"/>
      <c r="AY58" s="24"/>
      <c r="AZ58" s="24"/>
      <c r="BA58" s="24"/>
      <c r="BB58" s="24"/>
      <c r="BC58" s="24"/>
      <c r="BD58" s="24"/>
      <c r="BE58" s="24"/>
      <c r="BF58" s="24"/>
      <c r="BG58" s="24"/>
      <c r="BH58" s="24"/>
      <c r="BI58" s="24"/>
      <c r="BJ58" s="24"/>
      <c r="BK58" s="24"/>
      <c r="BL58" s="24"/>
      <c r="BM58" s="24"/>
      <c r="BN58" s="24"/>
      <c r="BO58" s="24"/>
      <c r="BP58" s="24"/>
      <c r="BQ58" s="24"/>
      <c r="BR58" s="24"/>
      <c r="BS58" s="24"/>
      <c r="BT58" s="24"/>
      <c r="BU58" s="24"/>
      <c r="BV58" s="24"/>
      <c r="BW58" s="24"/>
      <c r="BX58" s="24"/>
      <c r="BY58" s="24"/>
      <c r="BZ58" s="24"/>
      <c r="CA58" s="24"/>
      <c r="CB58" s="24"/>
      <c r="CC58" s="24"/>
      <c r="CD58" s="24"/>
      <c r="CE58" s="24"/>
      <c r="CF58" s="24"/>
      <c r="CG58" s="24"/>
      <c r="CH58" s="24"/>
      <c r="CI58" s="24"/>
      <c r="CJ58" s="24"/>
      <c r="CK58" s="24"/>
      <c r="CL58" s="24"/>
      <c r="CM58" s="24"/>
      <c r="CN58" s="24"/>
      <c r="CO58" s="24"/>
      <c r="CP58" s="24"/>
    </row>
    <row r="59" spans="1:94" x14ac:dyDescent="0.3">
      <c r="A59" s="222"/>
      <c r="B59" s="24"/>
      <c r="C59" s="24"/>
      <c r="D59" s="24"/>
      <c r="E59" s="24"/>
      <c r="F59" s="24"/>
      <c r="G59" s="24"/>
      <c r="H59" s="24"/>
      <c r="I59" s="24"/>
      <c r="J59" s="195" t="s">
        <v>549</v>
      </c>
      <c r="K59" s="194"/>
      <c r="L59" s="194"/>
      <c r="M59" s="24"/>
      <c r="N59" s="24"/>
      <c r="O59" s="24"/>
      <c r="P59" s="24"/>
      <c r="Q59" s="195" t="s">
        <v>552</v>
      </c>
      <c r="R59" s="194"/>
      <c r="S59" s="194"/>
      <c r="T59" s="24"/>
      <c r="U59" s="24"/>
      <c r="V59" s="24"/>
      <c r="W59" s="24"/>
      <c r="X59" s="24"/>
      <c r="Y59" s="26" t="s">
        <v>550</v>
      </c>
      <c r="Z59" s="24"/>
      <c r="AA59" s="24"/>
      <c r="AB59" s="24"/>
      <c r="AC59" s="24"/>
      <c r="AD59" s="24"/>
      <c r="AE59" s="24"/>
      <c r="AF59" s="24"/>
      <c r="AG59" s="24"/>
      <c r="AH59" s="24"/>
      <c r="AI59" s="24"/>
      <c r="AJ59" s="24"/>
      <c r="AK59" s="24"/>
      <c r="AL59" s="24"/>
      <c r="AM59" s="24"/>
      <c r="AN59" s="24"/>
      <c r="AO59" s="24"/>
      <c r="AP59" s="24"/>
      <c r="AQ59" s="24"/>
      <c r="AR59" s="24"/>
      <c r="AS59" s="24"/>
      <c r="AT59" s="24"/>
      <c r="AU59" s="24"/>
      <c r="AV59" s="24"/>
      <c r="AW59" s="24"/>
      <c r="AX59" s="24"/>
      <c r="AY59" s="24"/>
      <c r="AZ59" s="24"/>
      <c r="BA59" s="24"/>
      <c r="BB59" s="24"/>
      <c r="BC59" s="24"/>
      <c r="BD59" s="24"/>
      <c r="BE59" s="24"/>
      <c r="BF59" s="24"/>
      <c r="BG59" s="24"/>
      <c r="BH59" s="24"/>
      <c r="BI59" s="24"/>
      <c r="BJ59" s="24"/>
      <c r="BK59" s="24"/>
      <c r="BL59" s="24"/>
      <c r="BM59" s="24"/>
      <c r="BN59" s="24"/>
      <c r="BO59" s="24"/>
      <c r="BP59" s="24"/>
      <c r="BQ59" s="24"/>
      <c r="BR59" s="24"/>
      <c r="BS59" s="24"/>
      <c r="BT59" s="24"/>
      <c r="BU59" s="24"/>
      <c r="BV59" s="24"/>
      <c r="BW59" s="24"/>
      <c r="BX59" s="24"/>
      <c r="BY59" s="24"/>
      <c r="BZ59" s="24"/>
      <c r="CA59" s="24"/>
      <c r="CB59" s="24"/>
      <c r="CC59" s="24"/>
      <c r="CD59" s="24"/>
      <c r="CE59" s="24"/>
      <c r="CF59" s="24"/>
      <c r="CG59" s="24"/>
      <c r="CH59" s="24"/>
      <c r="CI59" s="24"/>
      <c r="CJ59" s="24"/>
      <c r="CK59" s="24"/>
      <c r="CL59" s="24"/>
      <c r="CM59" s="24"/>
      <c r="CN59" s="24"/>
      <c r="CO59" s="24"/>
      <c r="CP59" s="24"/>
    </row>
    <row r="60" spans="1:94" x14ac:dyDescent="0.3">
      <c r="A60" s="222"/>
      <c r="B60" s="24"/>
      <c r="C60" s="24"/>
      <c r="D60" s="24"/>
      <c r="E60" s="24"/>
      <c r="F60" s="24"/>
      <c r="G60" s="24"/>
      <c r="H60" s="24"/>
      <c r="I60" s="24"/>
      <c r="J60" s="194" t="s">
        <v>329</v>
      </c>
      <c r="K60" s="194">
        <f t="array" ref="K60">-(1-EXP(SLOPE(IF(ISNUMBER(TRNG_Data!Y4:Y41),LN(TRNG_Data!Y4:Y41)),TRNG_Data!C4:C41)))*100</f>
        <v>289.87177379235874</v>
      </c>
      <c r="L60" s="194" t="s">
        <v>356</v>
      </c>
      <c r="M60" s="66"/>
      <c r="N60" s="24"/>
      <c r="O60" s="24"/>
      <c r="P60" s="66"/>
      <c r="Q60" s="194" t="s">
        <v>329</v>
      </c>
      <c r="R60" s="194"/>
      <c r="S60" s="194" t="s">
        <v>356</v>
      </c>
      <c r="T60" s="66"/>
      <c r="U60" s="66"/>
      <c r="V60" s="66"/>
      <c r="W60" s="66"/>
      <c r="X60" s="66"/>
      <c r="Y60" s="66" t="s">
        <v>329</v>
      </c>
      <c r="Z60" s="66"/>
      <c r="AA60" s="66" t="s">
        <v>356</v>
      </c>
      <c r="AB60" s="24"/>
      <c r="AC60" s="24"/>
      <c r="AD60" s="24"/>
      <c r="AE60" s="24"/>
      <c r="AF60" s="24"/>
      <c r="AG60" s="24"/>
      <c r="AH60" s="24"/>
      <c r="AI60" s="24"/>
      <c r="AJ60" s="24"/>
      <c r="AK60" s="24"/>
      <c r="AL60" s="24"/>
      <c r="AM60" s="24"/>
      <c r="AN60" s="24"/>
      <c r="AO60" s="24"/>
      <c r="AP60" s="24"/>
      <c r="AQ60" s="24"/>
      <c r="AR60" s="24"/>
      <c r="AS60" s="24"/>
      <c r="AT60" s="24"/>
      <c r="AU60" s="24"/>
      <c r="AV60" s="24"/>
      <c r="AW60" s="24"/>
      <c r="AX60" s="24"/>
      <c r="AY60" s="24"/>
      <c r="AZ60" s="24"/>
      <c r="BA60" s="24"/>
      <c r="BB60" s="24"/>
      <c r="BC60" s="24"/>
      <c r="BD60" s="24"/>
      <c r="BE60" s="24"/>
      <c r="BF60" s="24"/>
      <c r="BG60" s="24"/>
      <c r="BH60" s="24"/>
      <c r="BI60" s="24"/>
      <c r="BJ60" s="24"/>
      <c r="BK60" s="24"/>
      <c r="BL60" s="24"/>
      <c r="BM60" s="24"/>
      <c r="BN60" s="24"/>
      <c r="BO60" s="24"/>
      <c r="BP60" s="24"/>
      <c r="BQ60" s="24"/>
      <c r="BR60" s="24"/>
      <c r="BS60" s="24"/>
      <c r="BT60" s="24"/>
      <c r="BU60" s="24"/>
      <c r="BV60" s="24"/>
      <c r="BW60" s="24"/>
      <c r="BX60" s="24"/>
      <c r="BY60" s="24"/>
      <c r="BZ60" s="24"/>
      <c r="CA60" s="24"/>
      <c r="CB60" s="24"/>
      <c r="CC60" s="24"/>
      <c r="CD60" s="24"/>
      <c r="CE60" s="24"/>
      <c r="CF60" s="24"/>
      <c r="CG60" s="24"/>
      <c r="CH60" s="24"/>
      <c r="CI60" s="24"/>
      <c r="CJ60" s="24"/>
      <c r="CK60" s="24"/>
      <c r="CL60" s="24"/>
      <c r="CM60" s="24"/>
      <c r="CN60" s="24"/>
      <c r="CO60" s="24"/>
      <c r="CP60" s="24"/>
    </row>
    <row r="61" spans="1:94" x14ac:dyDescent="0.3">
      <c r="A61" s="222"/>
      <c r="B61" s="24"/>
      <c r="C61" s="24"/>
      <c r="D61" s="24"/>
      <c r="E61" s="24"/>
      <c r="F61" s="24"/>
      <c r="G61" s="24"/>
      <c r="H61" s="24"/>
      <c r="I61" s="24"/>
      <c r="J61" s="194" t="s">
        <v>66</v>
      </c>
      <c r="K61" s="194">
        <f t="array" ref="K61">-(1-EXP(SLOPE(IF(ISNUMBER(TRNG_Data!Z4:Z41),LN(TRNG_Data!Z4:Z41)),TRNG_Data!C4:C41)))*100</f>
        <v>-17.273692485118865</v>
      </c>
      <c r="L61" s="194" t="s">
        <v>356</v>
      </c>
      <c r="M61" s="67"/>
      <c r="N61" s="24"/>
      <c r="O61" s="24"/>
      <c r="P61" s="67"/>
      <c r="Q61" s="194" t="s">
        <v>66</v>
      </c>
      <c r="R61" s="194">
        <f t="array" ref="R61">-(1-EXP(SLOPE(IF(ISNUMBER(TRNG_Data!Z4:Z41),LN(TRNG_Data!Z4:Z41)),TRNG_Data!C4:C41)))*100</f>
        <v>-17.273692485118865</v>
      </c>
      <c r="S61" s="194" t="s">
        <v>356</v>
      </c>
      <c r="T61" s="67"/>
      <c r="U61" s="67"/>
      <c r="V61" s="67"/>
      <c r="W61" s="67"/>
      <c r="X61" s="67"/>
      <c r="Y61" s="67" t="s">
        <v>66</v>
      </c>
      <c r="Z61" s="67">
        <f>R61</f>
        <v>-17.273692485118865</v>
      </c>
      <c r="AA61" s="67" t="s">
        <v>356</v>
      </c>
      <c r="AB61" s="24"/>
      <c r="AC61" s="24"/>
      <c r="AD61" s="24"/>
      <c r="AE61" s="24"/>
      <c r="AF61" s="24"/>
      <c r="AG61" s="24"/>
      <c r="AH61" s="24"/>
      <c r="AI61" s="24"/>
      <c r="AJ61" s="24"/>
      <c r="AK61" s="24"/>
      <c r="AL61" s="24"/>
      <c r="AM61" s="24"/>
      <c r="AN61" s="24"/>
      <c r="AO61" s="24"/>
      <c r="AP61" s="24"/>
      <c r="AQ61" s="24"/>
      <c r="AR61" s="24"/>
      <c r="AS61" s="24"/>
      <c r="AT61" s="24"/>
      <c r="AU61" s="24"/>
      <c r="AV61" s="24"/>
      <c r="AW61" s="24"/>
      <c r="AX61" s="24"/>
      <c r="AY61" s="24"/>
      <c r="AZ61" s="24"/>
      <c r="BA61" s="24"/>
      <c r="BB61" s="24"/>
      <c r="BC61" s="24"/>
      <c r="BD61" s="24"/>
      <c r="BE61" s="24"/>
      <c r="BF61" s="24"/>
      <c r="BG61" s="24"/>
      <c r="BH61" s="24"/>
      <c r="BI61" s="24"/>
      <c r="BJ61" s="24"/>
      <c r="BK61" s="24"/>
      <c r="BL61" s="24"/>
      <c r="BM61" s="24"/>
      <c r="BN61" s="24"/>
      <c r="BO61" s="24"/>
      <c r="BP61" s="24"/>
      <c r="BQ61" s="24"/>
      <c r="BR61" s="24"/>
      <c r="BS61" s="24"/>
      <c r="BT61" s="24"/>
      <c r="BU61" s="24"/>
      <c r="BV61" s="24"/>
      <c r="BW61" s="24"/>
      <c r="BX61" s="24"/>
      <c r="BY61" s="24"/>
      <c r="BZ61" s="24"/>
      <c r="CA61" s="24"/>
      <c r="CB61" s="24"/>
      <c r="CC61" s="24"/>
      <c r="CD61" s="24"/>
      <c r="CE61" s="24"/>
      <c r="CF61" s="24"/>
      <c r="CG61" s="24"/>
      <c r="CH61" s="24"/>
      <c r="CI61" s="24"/>
      <c r="CJ61" s="24"/>
      <c r="CK61" s="24"/>
      <c r="CL61" s="24"/>
      <c r="CM61" s="24"/>
      <c r="CN61" s="24"/>
      <c r="CO61" s="24"/>
      <c r="CP61" s="24"/>
    </row>
    <row r="62" spans="1:94" x14ac:dyDescent="0.3">
      <c r="A62" s="222"/>
      <c r="B62" s="24"/>
      <c r="C62" s="24"/>
      <c r="D62" s="24"/>
      <c r="E62" s="24"/>
      <c r="F62" s="24"/>
      <c r="G62" s="24"/>
      <c r="H62" s="24"/>
      <c r="I62" s="24"/>
      <c r="J62" s="194" t="s">
        <v>58</v>
      </c>
      <c r="K62" s="194">
        <f t="array" ref="K62">-(1-EXP(SLOPE(IF(ISNUMBER(TRNG_Data!AA4:AA41),LN(TRNG_Data!AA4:AA41)),TRNG_Data!C4:C41)))*100</f>
        <v>-6.2705746830194027</v>
      </c>
      <c r="L62" s="194" t="s">
        <v>356</v>
      </c>
      <c r="M62" s="68"/>
      <c r="N62" s="24"/>
      <c r="O62" s="24"/>
      <c r="P62" s="68"/>
      <c r="Q62" s="194" t="s">
        <v>58</v>
      </c>
      <c r="R62" s="194">
        <f t="array" ref="R62">-(1-EXP(SLOPE(IF(ISNUMBER(TRNG_Data!AA4:AA41),LN(TRNG_Data!AA4:AA41)),TRNG_Data!C4:C41)))*100</f>
        <v>-6.2705746830194027</v>
      </c>
      <c r="S62" s="194" t="s">
        <v>356</v>
      </c>
      <c r="T62" s="68"/>
      <c r="U62" s="68"/>
      <c r="V62" s="68"/>
      <c r="W62" s="68"/>
      <c r="X62" s="68"/>
      <c r="Y62" s="69" t="s">
        <v>58</v>
      </c>
      <c r="Z62" s="69">
        <f>R62</f>
        <v>-6.2705746830194027</v>
      </c>
      <c r="AA62" s="69" t="s">
        <v>356</v>
      </c>
      <c r="AB62" s="24"/>
      <c r="AC62" s="24"/>
      <c r="AD62" s="24"/>
      <c r="AE62" s="24"/>
      <c r="AF62" s="24"/>
      <c r="AG62" s="24"/>
      <c r="AH62" s="24"/>
      <c r="AI62" s="24"/>
      <c r="AJ62" s="24"/>
      <c r="AK62" s="24"/>
      <c r="AL62" s="24"/>
      <c r="AM62" s="24"/>
      <c r="AN62" s="24"/>
      <c r="AO62" s="24"/>
      <c r="AP62" s="24"/>
      <c r="AQ62" s="24"/>
      <c r="AR62" s="24"/>
      <c r="AS62" s="24"/>
      <c r="AT62" s="24"/>
      <c r="AU62" s="24"/>
      <c r="AV62" s="24"/>
      <c r="AW62" s="24"/>
      <c r="AX62" s="24"/>
      <c r="AY62" s="24"/>
      <c r="AZ62" s="24"/>
      <c r="BA62" s="24"/>
      <c r="BB62" s="24"/>
      <c r="BC62" s="24"/>
      <c r="BD62" s="24"/>
      <c r="BE62" s="24"/>
      <c r="BF62" s="24"/>
      <c r="BG62" s="24"/>
      <c r="BH62" s="24"/>
      <c r="BI62" s="24"/>
      <c r="BJ62" s="24"/>
      <c r="BK62" s="24"/>
      <c r="BL62" s="24"/>
      <c r="BM62" s="24"/>
      <c r="BN62" s="24"/>
      <c r="BO62" s="24"/>
      <c r="BP62" s="24"/>
      <c r="BQ62" s="24"/>
      <c r="BR62" s="24"/>
      <c r="BS62" s="24"/>
      <c r="BT62" s="24"/>
      <c r="BU62" s="24"/>
      <c r="BV62" s="24"/>
      <c r="BW62" s="24"/>
      <c r="BX62" s="24"/>
      <c r="BY62" s="24"/>
      <c r="BZ62" s="24"/>
      <c r="CA62" s="24"/>
      <c r="CB62" s="24"/>
      <c r="CC62" s="24"/>
      <c r="CD62" s="24"/>
      <c r="CE62" s="24"/>
      <c r="CF62" s="24"/>
      <c r="CG62" s="24"/>
      <c r="CH62" s="24"/>
      <c r="CI62" s="24"/>
      <c r="CJ62" s="24"/>
      <c r="CK62" s="24"/>
      <c r="CL62" s="24"/>
      <c r="CM62" s="24"/>
      <c r="CN62" s="24"/>
      <c r="CO62" s="24"/>
      <c r="CP62" s="24"/>
    </row>
    <row r="63" spans="1:94" x14ac:dyDescent="0.3">
      <c r="A63" s="222"/>
      <c r="B63" s="24"/>
      <c r="C63" s="24"/>
      <c r="D63" s="24"/>
      <c r="E63" s="24"/>
      <c r="F63" s="24"/>
      <c r="G63" s="24"/>
      <c r="H63" s="24"/>
      <c r="I63" s="24"/>
      <c r="J63" s="194" t="s">
        <v>554</v>
      </c>
      <c r="K63" s="194">
        <f t="array" ref="K63">-(1-EXP(SLOPE(IF(ISNUMBER(TRNG_Data!AB4:AB41),LN(TRNG_Data!AB4:AB41)),TRNG_Data!C4:C41)))*100</f>
        <v>-55.563403059295368</v>
      </c>
      <c r="L63" s="194" t="s">
        <v>356</v>
      </c>
      <c r="M63" s="69"/>
      <c r="N63" s="24"/>
      <c r="O63" s="24"/>
      <c r="P63" s="69"/>
      <c r="Q63" s="194" t="s">
        <v>554</v>
      </c>
      <c r="R63" s="194">
        <f t="array" ref="R63">-(1-EXP(SLOPE(IF(ISNUMBER(TRNG_Data!AB4:AB41),LN(TRNG_Data!AB4:AB41)),TRNG_Data!C4:C41)))*100</f>
        <v>-55.563403059295368</v>
      </c>
      <c r="S63" s="194" t="s">
        <v>356</v>
      </c>
      <c r="T63" s="69"/>
      <c r="U63" s="69"/>
      <c r="V63" s="69"/>
      <c r="W63" s="69"/>
      <c r="X63" s="69"/>
      <c r="Y63" s="70" t="s">
        <v>554</v>
      </c>
      <c r="Z63" s="70">
        <f>R63</f>
        <v>-55.563403059295368</v>
      </c>
      <c r="AA63" s="70" t="s">
        <v>356</v>
      </c>
      <c r="AB63" s="24"/>
      <c r="AC63" s="24"/>
      <c r="AD63" s="24"/>
      <c r="AE63" s="24"/>
      <c r="AF63" s="24"/>
      <c r="AG63" s="24"/>
      <c r="AH63" s="24"/>
      <c r="AI63" s="24"/>
      <c r="AJ63" s="24"/>
      <c r="AK63" s="24"/>
      <c r="AL63" s="24"/>
      <c r="AM63" s="24"/>
      <c r="AN63" s="24"/>
      <c r="AO63" s="24"/>
      <c r="AP63" s="24"/>
      <c r="AQ63" s="24"/>
      <c r="AR63" s="24"/>
      <c r="AS63" s="24"/>
      <c r="AT63" s="24"/>
      <c r="AU63" s="24"/>
      <c r="AV63" s="24"/>
      <c r="AW63" s="24"/>
      <c r="AX63" s="24"/>
      <c r="AY63" s="24"/>
      <c r="AZ63" s="24"/>
      <c r="BA63" s="24"/>
      <c r="BB63" s="24"/>
      <c r="BC63" s="24"/>
      <c r="BD63" s="24"/>
      <c r="BE63" s="24"/>
      <c r="BF63" s="24"/>
      <c r="BG63" s="24"/>
      <c r="BH63" s="24"/>
      <c r="BI63" s="24"/>
      <c r="BJ63" s="24"/>
      <c r="BK63" s="24"/>
      <c r="BL63" s="24"/>
      <c r="BM63" s="24"/>
      <c r="BN63" s="24"/>
      <c r="BO63" s="24"/>
      <c r="BP63" s="24"/>
      <c r="BQ63" s="24"/>
      <c r="BR63" s="24"/>
      <c r="BS63" s="24"/>
      <c r="BT63" s="24"/>
      <c r="BU63" s="24"/>
      <c r="BV63" s="24"/>
      <c r="BW63" s="24"/>
      <c r="BX63" s="24"/>
      <c r="BY63" s="24"/>
      <c r="BZ63" s="24"/>
      <c r="CA63" s="24"/>
      <c r="CB63" s="24"/>
      <c r="CC63" s="24"/>
      <c r="CD63" s="24"/>
      <c r="CE63" s="24"/>
      <c r="CF63" s="24"/>
      <c r="CG63" s="24"/>
      <c r="CH63" s="24"/>
      <c r="CI63" s="24"/>
      <c r="CJ63" s="24"/>
      <c r="CK63" s="24"/>
      <c r="CL63" s="24"/>
      <c r="CM63" s="24"/>
      <c r="CN63" s="24"/>
      <c r="CO63" s="24"/>
      <c r="CP63" s="24"/>
    </row>
    <row r="64" spans="1:94" x14ac:dyDescent="0.3">
      <c r="A64" s="222"/>
      <c r="B64" s="24"/>
      <c r="C64" s="24"/>
      <c r="D64" s="24"/>
      <c r="E64" s="24"/>
      <c r="F64" s="24"/>
      <c r="G64" s="24"/>
      <c r="H64" s="24"/>
      <c r="I64" s="24"/>
      <c r="J64" s="194" t="s">
        <v>496</v>
      </c>
      <c r="K64" s="194">
        <f t="array" ref="K64">-(1-EXP(SLOPE(IF(ISNUMBER(TRNG_Data!AC4:AC41),LN(TRNG_Data!AC4:AC41)),TRNG_Data!C4:C41)))*100</f>
        <v>-55.478769935452597</v>
      </c>
      <c r="L64" s="194" t="s">
        <v>356</v>
      </c>
      <c r="M64" s="70"/>
      <c r="N64" s="24"/>
      <c r="O64" s="24"/>
      <c r="P64" s="70"/>
      <c r="Q64" s="194" t="s">
        <v>496</v>
      </c>
      <c r="R64" s="194">
        <f t="array" ref="R64">-(1-EXP(SLOPE(IF(ISNUMBER(TRNG_Data!AC4:AC41),LN(TRNG_Data!AC4:AC41)),TRNG_Data!C4:C41)))*100</f>
        <v>-55.478769935452597</v>
      </c>
      <c r="S64" s="194" t="s">
        <v>356</v>
      </c>
      <c r="T64" s="70"/>
      <c r="U64" s="70"/>
      <c r="V64" s="70"/>
      <c r="W64" s="70"/>
      <c r="X64" s="70"/>
      <c r="Y64" s="193" t="s">
        <v>496</v>
      </c>
      <c r="Z64" s="193">
        <f>R64</f>
        <v>-55.478769935452597</v>
      </c>
      <c r="AA64" s="193" t="s">
        <v>356</v>
      </c>
      <c r="AB64" s="24"/>
      <c r="AC64" s="24"/>
      <c r="AD64" s="24"/>
      <c r="AE64" s="24"/>
      <c r="AF64" s="24"/>
      <c r="AG64" s="24"/>
      <c r="AH64" s="24"/>
      <c r="AI64" s="24"/>
      <c r="AJ64" s="24"/>
      <c r="AK64" s="24"/>
      <c r="AL64" s="24"/>
      <c r="AM64" s="24"/>
      <c r="AN64" s="24"/>
      <c r="AO64" s="24"/>
      <c r="AP64" s="24"/>
      <c r="AQ64" s="24"/>
      <c r="AR64" s="24"/>
      <c r="AS64" s="24"/>
      <c r="AT64" s="24"/>
      <c r="AU64" s="24"/>
      <c r="AV64" s="24"/>
      <c r="AW64" s="24"/>
      <c r="AX64" s="24"/>
      <c r="AY64" s="24"/>
      <c r="AZ64" s="24"/>
      <c r="BA64" s="24"/>
      <c r="BB64" s="24"/>
      <c r="BC64" s="24"/>
      <c r="BD64" s="24"/>
      <c r="BE64" s="24"/>
      <c r="BF64" s="24"/>
      <c r="BG64" s="24"/>
      <c r="BH64" s="24"/>
      <c r="BI64" s="24"/>
      <c r="BJ64" s="24"/>
      <c r="BK64" s="24"/>
      <c r="BL64" s="24"/>
      <c r="BM64" s="24"/>
      <c r="BN64" s="24"/>
      <c r="BO64" s="24"/>
      <c r="BP64" s="24"/>
      <c r="BQ64" s="24"/>
      <c r="BR64" s="24"/>
      <c r="BS64" s="24"/>
      <c r="BT64" s="24"/>
      <c r="BU64" s="24"/>
      <c r="BV64" s="24"/>
      <c r="BW64" s="24"/>
      <c r="BX64" s="24"/>
      <c r="BY64" s="24"/>
      <c r="BZ64" s="24"/>
      <c r="CA64" s="24"/>
      <c r="CB64" s="24"/>
      <c r="CC64" s="24"/>
      <c r="CD64" s="24"/>
      <c r="CE64" s="24"/>
      <c r="CF64" s="24"/>
      <c r="CG64" s="24"/>
      <c r="CH64" s="24"/>
      <c r="CI64" s="24"/>
      <c r="CJ64" s="24"/>
      <c r="CK64" s="24"/>
      <c r="CL64" s="24"/>
      <c r="CM64" s="24"/>
      <c r="CN64" s="24"/>
      <c r="CO64" s="24"/>
      <c r="CP64" s="24"/>
    </row>
    <row r="65" spans="1:94" x14ac:dyDescent="0.3">
      <c r="A65" s="222"/>
      <c r="B65" s="24"/>
      <c r="C65" s="24"/>
      <c r="D65" s="24"/>
      <c r="E65" s="24"/>
      <c r="F65" s="24"/>
      <c r="G65" s="24"/>
      <c r="H65" s="24"/>
      <c r="I65" s="24"/>
      <c r="J65" s="194" t="s">
        <v>345</v>
      </c>
      <c r="K65" s="194">
        <f t="array" ref="K65">-(1-EXP(SLOPE(IF(ISNUMBER(TRNG_Data!AD4:AD41),LN(TRNG_Data!AD4:AD41)),TRNG_Data!C4:C41)))*100</f>
        <v>-75.031432598571428</v>
      </c>
      <c r="L65" s="194" t="s">
        <v>356</v>
      </c>
      <c r="M65" s="24"/>
      <c r="N65" s="24"/>
      <c r="O65" s="24"/>
      <c r="P65" s="71"/>
      <c r="Q65" s="194" t="s">
        <v>345</v>
      </c>
      <c r="R65" s="194"/>
      <c r="S65" s="194" t="s">
        <v>356</v>
      </c>
      <c r="T65" s="71"/>
      <c r="U65" s="71"/>
      <c r="V65" s="71"/>
      <c r="W65" s="71"/>
      <c r="X65" s="24"/>
      <c r="Y65" s="197" t="s">
        <v>345</v>
      </c>
      <c r="Z65" s="197"/>
      <c r="AA65" s="197" t="s">
        <v>356</v>
      </c>
      <c r="AB65" s="24"/>
      <c r="AC65" s="24"/>
      <c r="AD65" s="24"/>
      <c r="AE65" s="24"/>
      <c r="AF65" s="24"/>
      <c r="AG65" s="24"/>
      <c r="AH65" s="24"/>
      <c r="AI65" s="24"/>
      <c r="AJ65" s="24"/>
      <c r="AK65" s="24"/>
      <c r="AL65" s="24"/>
      <c r="AM65" s="24"/>
      <c r="AN65" s="24"/>
      <c r="AO65" s="24"/>
      <c r="AP65" s="24"/>
      <c r="AQ65" s="24"/>
      <c r="AR65" s="24"/>
      <c r="AS65" s="24"/>
      <c r="AT65" s="24"/>
      <c r="AU65" s="24"/>
      <c r="AV65" s="24"/>
      <c r="AW65" s="24"/>
      <c r="AX65" s="24"/>
      <c r="AY65" s="24"/>
      <c r="AZ65" s="24"/>
      <c r="BA65" s="24"/>
      <c r="BB65" s="24"/>
      <c r="BC65" s="24"/>
      <c r="BD65" s="24"/>
      <c r="BE65" s="24"/>
      <c r="BF65" s="24"/>
      <c r="BG65" s="24"/>
      <c r="BH65" s="24"/>
      <c r="BI65" s="24"/>
      <c r="BJ65" s="24"/>
      <c r="BK65" s="24"/>
      <c r="BL65" s="24"/>
      <c r="BM65" s="24"/>
      <c r="BN65" s="24"/>
      <c r="BO65" s="24"/>
      <c r="BP65" s="24"/>
      <c r="BQ65" s="24"/>
      <c r="BR65" s="24"/>
      <c r="BS65" s="24"/>
      <c r="BT65" s="24"/>
      <c r="BU65" s="24"/>
      <c r="BV65" s="24"/>
      <c r="BW65" s="24"/>
      <c r="BX65" s="24"/>
      <c r="BY65" s="24"/>
      <c r="BZ65" s="24"/>
      <c r="CA65" s="24"/>
      <c r="CB65" s="24"/>
      <c r="CC65" s="24"/>
      <c r="CD65" s="24"/>
      <c r="CE65" s="24"/>
      <c r="CF65" s="24"/>
      <c r="CG65" s="24"/>
      <c r="CH65" s="24"/>
      <c r="CI65" s="24"/>
      <c r="CJ65" s="24"/>
      <c r="CK65" s="24"/>
      <c r="CL65" s="24"/>
      <c r="CM65" s="24"/>
      <c r="CN65" s="24"/>
      <c r="CO65" s="24"/>
      <c r="CP65" s="24"/>
    </row>
    <row r="66" spans="1:94" x14ac:dyDescent="0.3">
      <c r="A66" s="222"/>
      <c r="B66" s="24"/>
      <c r="C66" s="24"/>
      <c r="D66" s="24"/>
      <c r="E66" s="24"/>
      <c r="F66" s="24"/>
      <c r="G66" s="24"/>
      <c r="H66" s="24"/>
      <c r="I66" s="24"/>
      <c r="J66" s="24"/>
      <c r="K66" s="24"/>
      <c r="L66" s="24"/>
      <c r="M66" s="24"/>
      <c r="N66" s="24"/>
      <c r="O66" s="24"/>
      <c r="P66" s="24"/>
      <c r="Q66" s="24"/>
      <c r="R66" s="24"/>
      <c r="S66" s="24"/>
      <c r="T66" s="24"/>
      <c r="U66" s="24"/>
      <c r="V66" s="24"/>
      <c r="W66" s="24"/>
      <c r="X66" s="24"/>
      <c r="Y66" s="24"/>
      <c r="Z66" s="24"/>
      <c r="AA66" s="24"/>
      <c r="AB66" s="24"/>
      <c r="AC66" s="24"/>
      <c r="AD66" s="24"/>
      <c r="AE66" s="24"/>
      <c r="AF66" s="24"/>
      <c r="AG66" s="24"/>
      <c r="AH66" s="24"/>
      <c r="AI66" s="24"/>
      <c r="AJ66" s="24"/>
      <c r="AK66" s="24"/>
      <c r="AL66" s="24"/>
      <c r="AM66" s="24"/>
      <c r="AN66" s="24"/>
      <c r="AO66" s="24"/>
      <c r="AP66" s="24"/>
      <c r="AQ66" s="24"/>
      <c r="AR66" s="24"/>
      <c r="AS66" s="24"/>
      <c r="AT66" s="24"/>
      <c r="AU66" s="24"/>
      <c r="AV66" s="24"/>
      <c r="AW66" s="24"/>
      <c r="AX66" s="24"/>
      <c r="AY66" s="24"/>
      <c r="AZ66" s="24"/>
      <c r="BA66" s="24"/>
      <c r="BB66" s="24"/>
      <c r="BC66" s="24"/>
      <c r="BD66" s="24"/>
      <c r="BE66" s="24"/>
      <c r="BF66" s="24"/>
      <c r="BG66" s="24"/>
      <c r="BH66" s="24"/>
      <c r="BI66" s="24"/>
      <c r="BJ66" s="24"/>
      <c r="BK66" s="24"/>
      <c r="BL66" s="24"/>
      <c r="BM66" s="24"/>
      <c r="BN66" s="24"/>
      <c r="BO66" s="24"/>
      <c r="BP66" s="24"/>
      <c r="BQ66" s="24"/>
      <c r="BR66" s="24"/>
      <c r="BS66" s="24"/>
      <c r="BT66" s="24"/>
      <c r="BU66" s="24"/>
      <c r="BV66" s="24"/>
      <c r="BW66" s="24"/>
      <c r="BX66" s="24"/>
      <c r="BY66" s="24"/>
      <c r="BZ66" s="24"/>
      <c r="CA66" s="24"/>
      <c r="CB66" s="24"/>
      <c r="CC66" s="24"/>
      <c r="CD66" s="24"/>
      <c r="CE66" s="24"/>
      <c r="CF66" s="24"/>
      <c r="CG66" s="24"/>
      <c r="CH66" s="24"/>
      <c r="CI66" s="24"/>
      <c r="CJ66" s="24"/>
      <c r="CK66" s="24"/>
      <c r="CL66" s="24"/>
      <c r="CM66" s="24"/>
      <c r="CN66" s="24"/>
      <c r="CO66" s="24"/>
      <c r="CP66" s="24"/>
    </row>
    <row r="67" spans="1:94" x14ac:dyDescent="0.3">
      <c r="A67" s="222"/>
      <c r="B67" s="24"/>
      <c r="C67" s="24"/>
      <c r="D67" s="24"/>
      <c r="E67" s="24"/>
      <c r="F67" s="24"/>
      <c r="G67" s="24"/>
      <c r="H67" s="24"/>
      <c r="I67" s="24"/>
      <c r="J67" s="24"/>
      <c r="K67" s="24"/>
      <c r="L67" s="24"/>
      <c r="M67" s="24"/>
      <c r="N67" s="24"/>
      <c r="O67" s="24"/>
      <c r="P67" s="24"/>
      <c r="Q67" s="24"/>
      <c r="R67" s="24"/>
      <c r="S67" s="24"/>
      <c r="T67" s="24"/>
      <c r="U67" s="24"/>
      <c r="V67" s="24"/>
      <c r="W67" s="24"/>
      <c r="X67" s="24"/>
      <c r="Y67" s="24"/>
      <c r="Z67" s="24"/>
      <c r="AA67" s="24"/>
      <c r="AB67" s="24"/>
      <c r="AC67" s="24"/>
      <c r="AD67" s="24"/>
      <c r="AE67" s="24"/>
      <c r="AF67" s="24"/>
      <c r="AG67" s="24"/>
      <c r="AH67" s="24"/>
      <c r="AI67" s="24"/>
      <c r="AJ67" s="24"/>
      <c r="AK67" s="24"/>
      <c r="AL67" s="24"/>
      <c r="AM67" s="24"/>
      <c r="AN67" s="24"/>
      <c r="AO67" s="24"/>
      <c r="AP67" s="24"/>
      <c r="AQ67" s="24"/>
      <c r="AR67" s="24"/>
      <c r="AS67" s="24"/>
      <c r="AT67" s="24"/>
      <c r="AU67" s="24"/>
      <c r="AV67" s="24"/>
      <c r="AW67" s="24"/>
      <c r="AX67" s="24"/>
      <c r="AY67" s="24"/>
      <c r="AZ67" s="24"/>
      <c r="BA67" s="24"/>
      <c r="BB67" s="24"/>
      <c r="BC67" s="24"/>
      <c r="BD67" s="24"/>
      <c r="BE67" s="24"/>
      <c r="BF67" s="24"/>
      <c r="BG67" s="24"/>
      <c r="BH67" s="24"/>
      <c r="BI67" s="24"/>
      <c r="BJ67" s="24"/>
      <c r="BK67" s="24"/>
      <c r="BL67" s="24"/>
      <c r="BM67" s="24"/>
      <c r="BN67" s="24"/>
      <c r="BO67" s="24"/>
      <c r="BP67" s="24"/>
      <c r="BQ67" s="24"/>
      <c r="BR67" s="24"/>
      <c r="BS67" s="24"/>
      <c r="BT67" s="24"/>
      <c r="BU67" s="24"/>
      <c r="BV67" s="24"/>
      <c r="BW67" s="24"/>
      <c r="BX67" s="24"/>
      <c r="BY67" s="24"/>
      <c r="BZ67" s="24"/>
      <c r="CA67" s="24"/>
      <c r="CB67" s="24"/>
      <c r="CC67" s="24"/>
      <c r="CD67" s="24"/>
      <c r="CE67" s="24"/>
      <c r="CF67" s="24"/>
      <c r="CG67" s="24"/>
      <c r="CH67" s="24"/>
      <c r="CI67" s="24"/>
      <c r="CJ67" s="24"/>
      <c r="CK67" s="24"/>
      <c r="CL67" s="24"/>
      <c r="CM67" s="24"/>
      <c r="CN67" s="24"/>
      <c r="CO67" s="24"/>
      <c r="CP67" s="24"/>
    </row>
    <row r="68" spans="1:94" x14ac:dyDescent="0.3">
      <c r="A68" s="222"/>
      <c r="B68" s="24"/>
      <c r="C68" s="24"/>
      <c r="D68" s="24"/>
      <c r="E68" s="24"/>
      <c r="F68" s="24"/>
      <c r="G68" s="24"/>
      <c r="H68" s="24"/>
      <c r="I68" s="24"/>
      <c r="J68" s="24"/>
      <c r="K68" s="24"/>
      <c r="L68" s="24"/>
      <c r="M68" s="24"/>
      <c r="N68" s="24"/>
      <c r="O68" s="24"/>
      <c r="P68" s="24"/>
      <c r="Q68" s="24"/>
      <c r="R68" s="24"/>
      <c r="S68" s="24"/>
      <c r="T68" s="24"/>
      <c r="U68" s="24"/>
      <c r="V68" s="24"/>
      <c r="W68" s="24"/>
      <c r="X68" s="24"/>
      <c r="Y68" s="24"/>
      <c r="Z68" s="24"/>
      <c r="AA68" s="24"/>
      <c r="AB68" s="24"/>
      <c r="AC68" s="24"/>
      <c r="AD68" s="24"/>
      <c r="AE68" s="24"/>
      <c r="AF68" s="24"/>
      <c r="AG68" s="24"/>
      <c r="AH68" s="24"/>
      <c r="AI68" s="24"/>
      <c r="AJ68" s="24"/>
      <c r="AK68" s="24"/>
      <c r="AL68" s="24"/>
      <c r="AM68" s="24"/>
      <c r="AN68" s="24"/>
      <c r="AO68" s="24"/>
      <c r="AP68" s="24"/>
      <c r="AQ68" s="24"/>
      <c r="AR68" s="24"/>
      <c r="AS68" s="24"/>
      <c r="AT68" s="24"/>
      <c r="AU68" s="24"/>
      <c r="AV68" s="24"/>
      <c r="AW68" s="24"/>
      <c r="AX68" s="24"/>
      <c r="AY68" s="24"/>
      <c r="AZ68" s="24"/>
      <c r="BA68" s="24"/>
      <c r="BB68" s="24"/>
      <c r="BC68" s="24"/>
      <c r="BD68" s="24"/>
      <c r="BE68" s="24"/>
      <c r="BF68" s="24"/>
      <c r="BG68" s="24"/>
      <c r="BH68" s="24"/>
      <c r="BI68" s="24"/>
      <c r="BJ68" s="24"/>
      <c r="BK68" s="24"/>
      <c r="BL68" s="24"/>
      <c r="BM68" s="24"/>
      <c r="BN68" s="24"/>
      <c r="BO68" s="24"/>
      <c r="BP68" s="24"/>
      <c r="BQ68" s="24"/>
      <c r="BR68" s="24"/>
      <c r="BS68" s="24"/>
      <c r="BT68" s="24"/>
      <c r="BU68" s="24"/>
      <c r="BV68" s="24"/>
      <c r="BW68" s="24"/>
      <c r="BX68" s="24"/>
      <c r="BY68" s="24"/>
      <c r="BZ68" s="24"/>
      <c r="CA68" s="24"/>
      <c r="CB68" s="24"/>
      <c r="CC68" s="24"/>
      <c r="CD68" s="24"/>
      <c r="CE68" s="24"/>
      <c r="CF68" s="24"/>
      <c r="CG68" s="24"/>
      <c r="CH68" s="24"/>
      <c r="CI68" s="24"/>
      <c r="CJ68" s="24"/>
      <c r="CK68" s="24"/>
      <c r="CL68" s="24"/>
      <c r="CM68" s="24"/>
      <c r="CN68" s="24"/>
      <c r="CO68" s="24"/>
      <c r="CP68" s="24"/>
    </row>
    <row r="69" spans="1:94" x14ac:dyDescent="0.3">
      <c r="A69" s="222"/>
      <c r="B69" s="24"/>
      <c r="C69" s="24"/>
      <c r="D69" s="24"/>
      <c r="E69" s="24"/>
      <c r="F69" s="24"/>
      <c r="G69" s="24"/>
      <c r="H69" s="24"/>
      <c r="I69" s="24"/>
      <c r="J69" s="24"/>
      <c r="K69" s="24"/>
      <c r="L69" s="24"/>
      <c r="M69" s="24"/>
      <c r="N69" s="24"/>
      <c r="O69" s="24"/>
      <c r="P69" s="24"/>
      <c r="Q69" s="24"/>
      <c r="R69" s="24"/>
      <c r="S69" s="24"/>
      <c r="T69" s="24"/>
      <c r="U69" s="24"/>
      <c r="V69" s="24"/>
      <c r="W69" s="24"/>
      <c r="X69" s="24"/>
      <c r="Y69" s="24"/>
      <c r="Z69" s="24"/>
      <c r="AA69" s="24"/>
      <c r="AB69" s="24"/>
      <c r="AC69" s="24"/>
      <c r="AD69" s="24"/>
      <c r="AE69" s="24"/>
      <c r="AF69" s="24"/>
      <c r="AG69" s="24"/>
      <c r="AH69" s="24"/>
      <c r="AI69" s="24"/>
      <c r="AJ69" s="24"/>
      <c r="AK69" s="24"/>
      <c r="AL69" s="24"/>
      <c r="AM69" s="24"/>
      <c r="AN69" s="24"/>
      <c r="AO69" s="24"/>
      <c r="AP69" s="24"/>
      <c r="AQ69" s="24"/>
      <c r="AR69" s="24"/>
      <c r="AS69" s="24"/>
      <c r="AT69" s="24"/>
      <c r="AU69" s="24"/>
      <c r="AV69" s="24"/>
      <c r="AW69" s="24"/>
      <c r="AX69" s="24"/>
      <c r="AY69" s="24"/>
      <c r="AZ69" s="24"/>
      <c r="BA69" s="24"/>
      <c r="BB69" s="24"/>
      <c r="BC69" s="24"/>
      <c r="BD69" s="24"/>
      <c r="BE69" s="24"/>
      <c r="BF69" s="24"/>
      <c r="BG69" s="24"/>
      <c r="BH69" s="24"/>
      <c r="BI69" s="24"/>
      <c r="BJ69" s="24"/>
      <c r="BK69" s="24"/>
      <c r="BL69" s="24"/>
      <c r="BM69" s="24"/>
      <c r="BN69" s="24"/>
      <c r="BO69" s="24"/>
      <c r="BP69" s="24"/>
      <c r="BQ69" s="24"/>
      <c r="BR69" s="24"/>
      <c r="BS69" s="24"/>
      <c r="BT69" s="24"/>
      <c r="BU69" s="24"/>
      <c r="BV69" s="24"/>
      <c r="BW69" s="24"/>
      <c r="BX69" s="24"/>
      <c r="BY69" s="24"/>
      <c r="BZ69" s="24"/>
      <c r="CA69" s="24"/>
      <c r="CB69" s="24"/>
      <c r="CC69" s="24"/>
      <c r="CD69" s="24"/>
      <c r="CE69" s="24"/>
      <c r="CF69" s="24"/>
      <c r="CG69" s="24"/>
      <c r="CH69" s="24"/>
      <c r="CI69" s="24"/>
      <c r="CJ69" s="24"/>
      <c r="CK69" s="24"/>
      <c r="CL69" s="24"/>
      <c r="CM69" s="24"/>
      <c r="CN69" s="24"/>
      <c r="CO69" s="24"/>
      <c r="CP69" s="24"/>
    </row>
    <row r="70" spans="1:94" x14ac:dyDescent="0.3">
      <c r="A70" s="222"/>
      <c r="B70" s="24"/>
      <c r="C70" s="24"/>
      <c r="D70" s="24"/>
      <c r="E70" s="24"/>
      <c r="F70" s="24"/>
      <c r="G70" s="24"/>
      <c r="H70" s="24"/>
      <c r="I70" s="24"/>
      <c r="J70" s="24"/>
      <c r="K70" s="24"/>
      <c r="L70" s="24"/>
      <c r="M70" s="24"/>
      <c r="N70" s="24"/>
      <c r="O70" s="24"/>
      <c r="P70" s="24"/>
      <c r="Q70" s="24"/>
      <c r="R70" s="24"/>
      <c r="S70" s="24"/>
      <c r="T70" s="24"/>
      <c r="U70" s="24"/>
      <c r="V70" s="24"/>
      <c r="W70" s="24"/>
      <c r="X70" s="24"/>
      <c r="Y70" s="24"/>
      <c r="Z70" s="24"/>
      <c r="AA70" s="24"/>
      <c r="AB70" s="24"/>
      <c r="AC70" s="24"/>
      <c r="AD70" s="24"/>
      <c r="AE70" s="24"/>
      <c r="AF70" s="24"/>
      <c r="AG70" s="24"/>
      <c r="AH70" s="24"/>
      <c r="AI70" s="24"/>
      <c r="AJ70" s="24"/>
      <c r="AK70" s="24"/>
      <c r="AL70" s="24"/>
      <c r="AM70" s="24"/>
      <c r="AN70" s="24"/>
      <c r="AO70" s="24"/>
      <c r="AP70" s="24"/>
      <c r="AQ70" s="24"/>
      <c r="AR70" s="24"/>
      <c r="AS70" s="24"/>
      <c r="AT70" s="24"/>
      <c r="AU70" s="24"/>
      <c r="AV70" s="24"/>
      <c r="AW70" s="24"/>
      <c r="AX70" s="24"/>
      <c r="AY70" s="24"/>
      <c r="AZ70" s="24"/>
      <c r="BA70" s="24"/>
      <c r="BB70" s="24"/>
      <c r="BC70" s="24"/>
      <c r="BD70" s="24"/>
      <c r="BE70" s="24"/>
      <c r="BF70" s="24"/>
      <c r="BG70" s="24"/>
      <c r="BH70" s="24"/>
      <c r="BI70" s="24"/>
      <c r="BJ70" s="24"/>
      <c r="BK70" s="24"/>
      <c r="BL70" s="24"/>
      <c r="BM70" s="24"/>
      <c r="BN70" s="24"/>
      <c r="BO70" s="24"/>
      <c r="BP70" s="24"/>
      <c r="BQ70" s="24"/>
      <c r="BR70" s="24"/>
      <c r="BS70" s="24"/>
      <c r="BT70" s="24"/>
      <c r="BU70" s="24"/>
      <c r="BV70" s="24"/>
      <c r="BW70" s="24"/>
      <c r="BX70" s="24"/>
      <c r="BY70" s="24"/>
      <c r="BZ70" s="24"/>
      <c r="CA70" s="24"/>
      <c r="CB70" s="24"/>
      <c r="CC70" s="24"/>
      <c r="CD70" s="24"/>
      <c r="CE70" s="24"/>
      <c r="CF70" s="24"/>
      <c r="CG70" s="24"/>
      <c r="CH70" s="24"/>
      <c r="CI70" s="24"/>
      <c r="CJ70" s="24"/>
      <c r="CK70" s="24"/>
      <c r="CL70" s="24"/>
      <c r="CM70" s="24"/>
      <c r="CN70" s="24"/>
      <c r="CO70" s="24"/>
      <c r="CP70" s="24"/>
    </row>
    <row r="71" spans="1:94" x14ac:dyDescent="0.3">
      <c r="A71" s="222"/>
      <c r="B71" s="24"/>
      <c r="C71" s="24"/>
      <c r="D71" s="24"/>
      <c r="E71" s="24"/>
      <c r="F71" s="24"/>
      <c r="G71" s="24"/>
      <c r="H71" s="24"/>
      <c r="I71" s="24"/>
      <c r="J71" s="24"/>
      <c r="K71" s="24"/>
      <c r="L71" s="24"/>
      <c r="M71" s="24"/>
      <c r="N71" s="24"/>
      <c r="O71" s="24"/>
      <c r="P71" s="24"/>
      <c r="Q71" s="24"/>
      <c r="R71" s="24"/>
      <c r="S71" s="24"/>
      <c r="T71" s="24"/>
      <c r="U71" s="24"/>
      <c r="V71" s="24"/>
      <c r="W71" s="24"/>
      <c r="X71" s="24"/>
      <c r="Y71" s="24"/>
      <c r="Z71" s="24"/>
      <c r="AA71" s="24"/>
      <c r="AB71" s="24"/>
      <c r="AC71" s="24"/>
      <c r="AD71" s="24"/>
      <c r="AE71" s="24"/>
      <c r="AF71" s="24"/>
      <c r="AG71" s="24"/>
      <c r="AH71" s="24"/>
      <c r="AI71" s="24"/>
      <c r="AJ71" s="24"/>
      <c r="AK71" s="24"/>
      <c r="AL71" s="24"/>
      <c r="AM71" s="24"/>
      <c r="AN71" s="24"/>
      <c r="AO71" s="24"/>
      <c r="AP71" s="24"/>
      <c r="AQ71" s="24"/>
      <c r="AR71" s="24"/>
      <c r="AS71" s="24"/>
      <c r="AT71" s="24"/>
      <c r="AU71" s="24"/>
      <c r="AV71" s="24"/>
      <c r="AW71" s="24"/>
      <c r="AX71" s="24"/>
      <c r="AY71" s="24"/>
      <c r="AZ71" s="24"/>
      <c r="BA71" s="24"/>
      <c r="BB71" s="24"/>
      <c r="BC71" s="24"/>
      <c r="BD71" s="24"/>
      <c r="BE71" s="24"/>
      <c r="BF71" s="24"/>
      <c r="BG71" s="24"/>
      <c r="BH71" s="24"/>
      <c r="BI71" s="24"/>
      <c r="BJ71" s="24"/>
      <c r="BK71" s="24"/>
      <c r="BL71" s="24"/>
      <c r="BM71" s="24"/>
      <c r="BN71" s="24"/>
      <c r="BO71" s="24"/>
      <c r="BP71" s="24"/>
      <c r="BQ71" s="24"/>
      <c r="BR71" s="24"/>
      <c r="BS71" s="24"/>
      <c r="BT71" s="24"/>
      <c r="BU71" s="24"/>
      <c r="BV71" s="24"/>
      <c r="BW71" s="24"/>
      <c r="BX71" s="24"/>
      <c r="BY71" s="24"/>
      <c r="BZ71" s="24"/>
      <c r="CA71" s="24"/>
      <c r="CB71" s="24"/>
      <c r="CC71" s="24"/>
      <c r="CD71" s="24"/>
      <c r="CE71" s="24"/>
      <c r="CF71" s="24"/>
      <c r="CG71" s="24"/>
      <c r="CH71" s="24"/>
      <c r="CI71" s="24"/>
      <c r="CJ71" s="24"/>
      <c r="CK71" s="24"/>
      <c r="CL71" s="24"/>
      <c r="CM71" s="24"/>
      <c r="CN71" s="24"/>
      <c r="CO71" s="24"/>
      <c r="CP71" s="24"/>
    </row>
    <row r="72" spans="1:94" x14ac:dyDescent="0.3">
      <c r="B72" s="24"/>
      <c r="C72" s="24"/>
      <c r="D72" s="24"/>
      <c r="E72" s="24"/>
      <c r="F72" s="24"/>
      <c r="G72" s="24"/>
      <c r="H72" s="24"/>
      <c r="I72" s="24"/>
      <c r="J72" s="24"/>
      <c r="K72" s="24"/>
      <c r="L72" s="24"/>
      <c r="M72" s="24"/>
      <c r="N72" s="24"/>
      <c r="O72" s="24"/>
      <c r="P72" s="24"/>
      <c r="Q72" s="24"/>
      <c r="R72" s="24"/>
      <c r="S72" s="24"/>
      <c r="T72" s="24"/>
      <c r="U72" s="24"/>
      <c r="V72" s="24"/>
      <c r="W72" s="24"/>
      <c r="X72" s="24"/>
      <c r="Y72" s="24"/>
      <c r="Z72" s="24"/>
      <c r="AA72" s="24"/>
      <c r="AB72" s="24"/>
      <c r="AC72" s="24"/>
      <c r="AD72" s="24"/>
      <c r="AE72" s="24"/>
      <c r="AF72" s="24"/>
      <c r="AG72" s="24"/>
      <c r="AH72" s="24"/>
      <c r="AI72" s="24"/>
      <c r="AJ72" s="24"/>
      <c r="AK72" s="24"/>
      <c r="AL72" s="24"/>
      <c r="AM72" s="24"/>
      <c r="AN72" s="24"/>
      <c r="AO72" s="24"/>
      <c r="AP72" s="24"/>
      <c r="AQ72" s="24"/>
      <c r="AR72" s="24"/>
      <c r="AS72" s="24"/>
      <c r="AT72" s="24"/>
      <c r="AU72" s="24"/>
      <c r="AV72" s="24"/>
      <c r="AW72" s="24"/>
      <c r="AX72" s="24"/>
      <c r="AY72" s="24"/>
      <c r="AZ72" s="24"/>
      <c r="BA72" s="24"/>
      <c r="BB72" s="24"/>
      <c r="BC72" s="24"/>
      <c r="BD72" s="24"/>
      <c r="BE72" s="24"/>
      <c r="BF72" s="24"/>
      <c r="BG72" s="24"/>
      <c r="BH72" s="24"/>
      <c r="BI72" s="24"/>
      <c r="BJ72" s="24"/>
      <c r="BK72" s="24"/>
      <c r="BL72" s="24"/>
      <c r="BM72" s="24"/>
      <c r="BN72" s="24"/>
      <c r="BO72" s="24"/>
      <c r="BP72" s="24"/>
      <c r="BQ72" s="24"/>
      <c r="BR72" s="24"/>
      <c r="BS72" s="24"/>
      <c r="BT72" s="24"/>
      <c r="BU72" s="24"/>
      <c r="BV72" s="24"/>
      <c r="BW72" s="24"/>
      <c r="BX72" s="24"/>
      <c r="BY72" s="24"/>
      <c r="BZ72" s="24"/>
      <c r="CA72" s="24"/>
      <c r="CB72" s="24"/>
      <c r="CC72" s="24"/>
      <c r="CD72" s="24"/>
      <c r="CE72" s="24"/>
      <c r="CF72" s="24"/>
      <c r="CG72" s="24"/>
      <c r="CH72" s="24"/>
      <c r="CI72" s="24"/>
      <c r="CJ72" s="24"/>
      <c r="CK72" s="24"/>
      <c r="CL72" s="24"/>
      <c r="CM72" s="24"/>
      <c r="CN72" s="24"/>
      <c r="CO72" s="24"/>
      <c r="CP72" s="24"/>
    </row>
    <row r="73" spans="1:94" x14ac:dyDescent="0.3">
      <c r="A73" s="222" t="s">
        <v>584</v>
      </c>
      <c r="B73" s="24"/>
      <c r="C73" s="24"/>
      <c r="D73" s="24"/>
      <c r="E73" s="24"/>
      <c r="F73" s="24"/>
      <c r="G73" s="24"/>
      <c r="H73" s="24"/>
      <c r="I73" s="24"/>
      <c r="J73" s="24"/>
      <c r="K73" s="24"/>
      <c r="L73" s="24"/>
      <c r="M73" s="24"/>
      <c r="N73" s="24"/>
      <c r="O73" s="24"/>
      <c r="P73" s="24"/>
      <c r="Q73" s="24"/>
      <c r="R73" s="24"/>
      <c r="S73" s="24"/>
      <c r="T73" s="24"/>
      <c r="U73" s="24"/>
      <c r="V73" s="24"/>
      <c r="W73" s="24"/>
      <c r="X73" s="24"/>
      <c r="Y73" s="24"/>
      <c r="Z73" s="24"/>
      <c r="AA73" s="24"/>
      <c r="AB73" s="24"/>
      <c r="AC73" s="24"/>
      <c r="AD73" s="24"/>
      <c r="AE73" s="24"/>
      <c r="AF73" s="24"/>
      <c r="AG73" s="24"/>
      <c r="AH73" s="24"/>
      <c r="AI73" s="24"/>
      <c r="AJ73" s="24"/>
      <c r="AK73" s="24"/>
      <c r="AL73" s="24"/>
      <c r="AM73" s="24"/>
      <c r="AN73" s="24"/>
      <c r="AO73" s="24"/>
      <c r="AP73" s="24"/>
      <c r="AQ73" s="24"/>
      <c r="AR73" s="24"/>
      <c r="AS73" s="24"/>
      <c r="AT73" s="24"/>
      <c r="AU73" s="24"/>
      <c r="AV73" s="24"/>
      <c r="AW73" s="24"/>
      <c r="AX73" s="24"/>
      <c r="AY73" s="24"/>
      <c r="AZ73" s="24"/>
      <c r="BA73" s="24"/>
      <c r="BB73" s="24"/>
      <c r="BC73" s="24"/>
      <c r="BD73" s="24"/>
      <c r="BE73" s="24"/>
      <c r="BF73" s="24"/>
      <c r="BG73" s="24"/>
      <c r="BH73" s="24"/>
      <c r="BI73" s="24"/>
      <c r="BJ73" s="24"/>
      <c r="BK73" s="24"/>
      <c r="BL73" s="24"/>
      <c r="BM73" s="24"/>
      <c r="BN73" s="24"/>
      <c r="BO73" s="24"/>
      <c r="BP73" s="24"/>
      <c r="BQ73" s="24"/>
      <c r="BR73" s="24"/>
      <c r="BS73" s="24"/>
      <c r="BT73" s="24"/>
      <c r="BU73" s="24"/>
      <c r="BV73" s="24"/>
      <c r="BW73" s="24"/>
      <c r="BX73" s="24"/>
      <c r="BY73" s="24"/>
      <c r="BZ73" s="24"/>
      <c r="CA73" s="24"/>
      <c r="CB73" s="24"/>
      <c r="CC73" s="24"/>
      <c r="CD73" s="24"/>
      <c r="CE73" s="24"/>
      <c r="CF73" s="24"/>
      <c r="CG73" s="24"/>
      <c r="CH73" s="24"/>
      <c r="CI73" s="24"/>
      <c r="CJ73" s="24"/>
      <c r="CK73" s="24"/>
      <c r="CL73" s="24"/>
      <c r="CM73" s="24"/>
      <c r="CN73" s="24"/>
      <c r="CO73" s="24"/>
      <c r="CP73" s="24"/>
    </row>
    <row r="74" spans="1:94" x14ac:dyDescent="0.3">
      <c r="A74" s="222"/>
      <c r="M74" s="24"/>
      <c r="N74" s="24"/>
      <c r="O74" s="24"/>
      <c r="P74" s="24"/>
      <c r="Q74" s="24"/>
      <c r="R74" s="24"/>
      <c r="S74" s="24"/>
      <c r="T74" s="24"/>
      <c r="U74" s="24"/>
      <c r="V74" s="24"/>
      <c r="W74" s="24"/>
      <c r="X74" s="24"/>
      <c r="Y74" s="24"/>
      <c r="Z74" s="24"/>
      <c r="AA74" s="24"/>
      <c r="AB74" s="24"/>
      <c r="AC74" s="24"/>
      <c r="AD74" s="24"/>
      <c r="AE74" s="24"/>
      <c r="AF74" s="24"/>
      <c r="AG74" s="24"/>
      <c r="AH74" s="24"/>
      <c r="AI74" s="24"/>
      <c r="AJ74" s="24"/>
      <c r="AK74" s="24"/>
      <c r="AL74" s="24"/>
      <c r="AM74" s="24"/>
      <c r="AN74" s="24"/>
      <c r="AO74" s="24"/>
      <c r="AP74" s="24"/>
      <c r="AQ74" s="24"/>
      <c r="AR74" s="24"/>
      <c r="AS74" s="24"/>
      <c r="AT74" s="24"/>
      <c r="AU74" s="24"/>
      <c r="AV74" s="24"/>
      <c r="AW74" s="24"/>
      <c r="AX74" s="24"/>
      <c r="AY74" s="24"/>
      <c r="AZ74" s="24"/>
      <c r="BA74" s="24"/>
      <c r="BB74" s="24"/>
      <c r="BC74" s="24"/>
      <c r="BD74" s="24"/>
      <c r="BE74" s="24"/>
      <c r="BF74" s="24"/>
      <c r="BG74" s="24"/>
      <c r="BH74" s="24"/>
      <c r="BI74" s="24"/>
      <c r="BJ74" s="24"/>
      <c r="BK74" s="24"/>
      <c r="BL74" s="24"/>
      <c r="BM74" s="24"/>
      <c r="BN74" s="24"/>
      <c r="BO74" s="24"/>
      <c r="BP74" s="24"/>
      <c r="BQ74" s="24"/>
      <c r="BR74" s="24"/>
      <c r="BS74" s="24"/>
      <c r="BT74" s="24"/>
      <c r="BU74" s="24"/>
      <c r="BV74" s="24"/>
      <c r="BW74" s="24"/>
      <c r="BX74" s="24"/>
      <c r="BY74" s="24"/>
      <c r="BZ74" s="24"/>
      <c r="CA74" s="24"/>
      <c r="CB74" s="24"/>
      <c r="CC74" s="24"/>
      <c r="CD74" s="24"/>
      <c r="CE74" s="24"/>
      <c r="CF74" s="24"/>
      <c r="CG74" s="24"/>
      <c r="CH74" s="24"/>
      <c r="CI74" s="24"/>
      <c r="CJ74" s="24"/>
      <c r="CK74" s="24"/>
      <c r="CL74" s="24"/>
      <c r="CM74" s="24"/>
      <c r="CN74" s="24"/>
      <c r="CO74" s="24"/>
      <c r="CP74" s="24"/>
    </row>
    <row r="75" spans="1:94" x14ac:dyDescent="0.3">
      <c r="A75" s="222"/>
      <c r="AO75" s="24"/>
      <c r="AP75" s="24"/>
      <c r="AQ75" s="24"/>
      <c r="AR75" s="24"/>
      <c r="AS75" s="24"/>
      <c r="AT75" s="24"/>
      <c r="AU75" s="24"/>
      <c r="AV75" s="24"/>
      <c r="AW75" s="24"/>
      <c r="AX75" s="24"/>
      <c r="AY75" s="24"/>
      <c r="AZ75" s="24"/>
      <c r="BA75" s="24"/>
      <c r="BB75" s="24"/>
      <c r="BC75" s="24"/>
      <c r="BD75" s="24"/>
      <c r="BE75" s="24"/>
      <c r="BF75" s="24"/>
      <c r="BG75" s="24"/>
      <c r="BH75" s="24"/>
      <c r="BI75" s="24"/>
      <c r="BJ75" s="24"/>
      <c r="BK75" s="24"/>
      <c r="BL75" s="24"/>
      <c r="BM75" s="24"/>
      <c r="BN75" s="24"/>
      <c r="BO75" s="24"/>
      <c r="BP75" s="24"/>
      <c r="BQ75" s="24"/>
      <c r="BR75" s="24"/>
      <c r="BS75" s="24"/>
      <c r="BT75" s="24"/>
      <c r="BU75" s="24"/>
      <c r="BV75" s="24"/>
      <c r="BW75" s="24"/>
      <c r="BX75" s="24"/>
      <c r="BY75" s="24"/>
      <c r="BZ75" s="24"/>
      <c r="CA75" s="24"/>
      <c r="CB75" s="24"/>
      <c r="CC75" s="24"/>
      <c r="CD75" s="24"/>
      <c r="CE75" s="24"/>
      <c r="CF75" s="24"/>
      <c r="CG75" s="24"/>
      <c r="CH75" s="24"/>
      <c r="CI75" s="24"/>
      <c r="CJ75" s="24"/>
      <c r="CK75" s="24"/>
      <c r="CL75" s="24"/>
      <c r="CM75" s="24"/>
      <c r="CN75" s="24"/>
      <c r="CO75" s="24"/>
      <c r="CP75" s="24"/>
    </row>
    <row r="76" spans="1:94" x14ac:dyDescent="0.3">
      <c r="A76" s="222"/>
      <c r="BK76" s="24"/>
      <c r="BL76" s="24"/>
      <c r="BM76" s="24"/>
      <c r="BN76" s="24"/>
      <c r="BO76" s="24"/>
      <c r="BP76" s="24"/>
      <c r="BQ76" s="24"/>
      <c r="BR76" s="24"/>
      <c r="BS76" s="24"/>
      <c r="BT76" s="24"/>
      <c r="BU76" s="24"/>
      <c r="BV76" s="24"/>
      <c r="BW76" s="24"/>
      <c r="BX76" s="24"/>
      <c r="BY76" s="24"/>
      <c r="BZ76" s="24"/>
      <c r="CA76" s="24"/>
      <c r="CB76" s="24"/>
      <c r="CC76" s="24"/>
      <c r="CD76" s="24"/>
      <c r="CE76" s="24"/>
      <c r="CF76" s="24"/>
      <c r="CG76" s="24"/>
      <c r="CH76" s="24"/>
      <c r="CI76" s="24"/>
      <c r="CJ76" s="24"/>
      <c r="CK76" s="24"/>
      <c r="CL76" s="24"/>
      <c r="CM76" s="24"/>
      <c r="CN76" s="24"/>
      <c r="CO76" s="24"/>
      <c r="CP76" s="24"/>
    </row>
    <row r="77" spans="1:94" x14ac:dyDescent="0.3">
      <c r="A77" s="222"/>
    </row>
    <row r="78" spans="1:94" x14ac:dyDescent="0.3">
      <c r="A78" s="222"/>
    </row>
    <row r="79" spans="1:94" x14ac:dyDescent="0.3">
      <c r="A79" s="222"/>
    </row>
    <row r="80" spans="1:94" x14ac:dyDescent="0.3">
      <c r="A80" s="222"/>
    </row>
    <row r="81" spans="1:1" x14ac:dyDescent="0.3">
      <c r="A81" s="222"/>
    </row>
    <row r="82" spans="1:1" x14ac:dyDescent="0.3">
      <c r="A82" s="222"/>
    </row>
    <row r="83" spans="1:1" x14ac:dyDescent="0.3">
      <c r="A83" s="222"/>
    </row>
    <row r="84" spans="1:1" x14ac:dyDescent="0.3">
      <c r="A84" s="222"/>
    </row>
    <row r="85" spans="1:1" x14ac:dyDescent="0.3">
      <c r="A85" s="222"/>
    </row>
    <row r="86" spans="1:1" x14ac:dyDescent="0.3">
      <c r="A86" s="222"/>
    </row>
    <row r="87" spans="1:1" x14ac:dyDescent="0.3">
      <c r="A87" s="222"/>
    </row>
    <row r="88" spans="1:1" x14ac:dyDescent="0.3">
      <c r="A88" s="222"/>
    </row>
    <row r="89" spans="1:1" x14ac:dyDescent="0.3">
      <c r="A89" s="222"/>
    </row>
  </sheetData>
  <sheetProtection algorithmName="SHA-512" hashValue="5vnMnggFRadxIwTvbhdGw3ziIZUi1E5vP39MPW88IuvGw3+yO3j91gPygaS6paXI9OPNkkoqCq5K6A2FB3/MMg==" saltValue="x+scnWxlHt2yyTTehG6a/g==" spinCount="100000" sheet="1" formatCells="0" formatColumns="0" formatRows="0" insertColumns="0" insertRows="0" insertHyperlinks="0" deleteColumns="0" deleteRows="0" sort="0" autoFilter="0" pivotTables="0"/>
  <mergeCells count="4">
    <mergeCell ref="A33:A49"/>
    <mergeCell ref="A55:A71"/>
    <mergeCell ref="A6:A31"/>
    <mergeCell ref="A73:A89"/>
  </mergeCells>
  <pageMargins left="0.7" right="0.7" top="0.75" bottom="0.75" header="0.3" footer="0.3"/>
  <pageSetup paperSize="9" orientation="portrait" horizontalDpi="1200" verticalDpi="12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CN89"/>
  <sheetViews>
    <sheetView zoomScale="77" workbookViewId="0">
      <pane xSplit="1" topLeftCell="AZ1" activePane="topRight" state="frozen"/>
      <selection activeCell="O84" sqref="O84"/>
      <selection pane="topRight" activeCell="O84" sqref="O84"/>
    </sheetView>
  </sheetViews>
  <sheetFormatPr defaultColWidth="9.109375" defaultRowHeight="14.4" x14ac:dyDescent="0.3"/>
  <cols>
    <col min="1" max="1" width="5.77734375" style="6" bestFit="1" customWidth="1"/>
    <col min="2" max="2" width="19.6640625" style="6" bestFit="1" customWidth="1"/>
    <col min="3" max="3" width="11.21875" customWidth="1"/>
    <col min="4" max="4" width="11.44140625" style="6" customWidth="1"/>
    <col min="5" max="5" width="10.5546875" style="6" customWidth="1"/>
    <col min="6" max="6" width="12.109375" style="6" customWidth="1"/>
    <col min="7" max="7" width="15.77734375" style="6" bestFit="1" customWidth="1"/>
    <col min="8" max="8" width="12.6640625" style="6" customWidth="1"/>
    <col min="9" max="9" width="11.5546875" style="6" customWidth="1"/>
    <col min="10" max="10" width="19.77734375" style="6" bestFit="1" customWidth="1"/>
    <col min="11" max="11" width="6.44140625" style="6" bestFit="1" customWidth="1"/>
    <col min="12" max="12" width="8.44140625" style="6" customWidth="1"/>
    <col min="13" max="13" width="9.109375" style="6" customWidth="1"/>
    <col min="14" max="14" width="16.33203125" style="6" customWidth="1"/>
    <col min="15" max="16" width="9.5546875" style="6" customWidth="1"/>
    <col min="17" max="17" width="15.6640625" style="6" bestFit="1" customWidth="1"/>
    <col min="18" max="18" width="12.77734375" style="6" customWidth="1"/>
    <col min="19" max="19" width="12.6640625" style="6" customWidth="1"/>
    <col min="20" max="20" width="19.6640625" style="6" bestFit="1" customWidth="1"/>
    <col min="21" max="26" width="12.6640625" style="6" customWidth="1"/>
    <col min="27" max="27" width="15.6640625" style="6" bestFit="1" customWidth="1"/>
    <col min="28" max="29" width="12.6640625" style="6" customWidth="1"/>
    <col min="30" max="30" width="19.6640625" style="6" bestFit="1" customWidth="1"/>
    <col min="31" max="32" width="12.6640625" style="6" customWidth="1"/>
    <col min="33" max="33" width="9.109375" style="6" customWidth="1"/>
    <col min="34" max="34" width="13.44140625" style="5" customWidth="1"/>
    <col min="35" max="36" width="11.77734375" style="5" customWidth="1"/>
    <col min="37" max="37" width="15.6640625" style="5" bestFit="1" customWidth="1"/>
    <col min="38" max="39" width="11.77734375" style="5" customWidth="1"/>
    <col min="40" max="40" width="19.6640625" style="5" bestFit="1" customWidth="1"/>
    <col min="41" max="42" width="11.77734375" style="5" customWidth="1"/>
    <col min="43" max="43" width="11.77734375" style="10" customWidth="1"/>
    <col min="44" max="51" width="11.77734375" customWidth="1"/>
    <col min="52" max="54" width="9.109375" style="6" customWidth="1"/>
    <col min="55" max="55" width="12" style="6" customWidth="1"/>
    <col min="56" max="56" width="12.44140625" style="6" customWidth="1"/>
    <col min="57" max="57" width="15.6640625" style="6" bestFit="1" customWidth="1"/>
    <col min="58" max="58" width="11.5546875" style="6" bestFit="1" customWidth="1"/>
    <col min="59" max="59" width="10.77734375" style="6" bestFit="1" customWidth="1"/>
    <col min="60" max="60" width="19.6640625" style="6" bestFit="1" customWidth="1"/>
    <col min="61" max="64" width="9.109375" style="6" customWidth="1"/>
    <col min="65" max="65" width="10.21875" style="6" customWidth="1"/>
    <col min="66" max="66" width="10.33203125" style="6" customWidth="1"/>
    <col min="67" max="67" width="15.6640625" style="6" bestFit="1" customWidth="1"/>
    <col min="68" max="68" width="11.5546875" style="6" bestFit="1" customWidth="1"/>
    <col min="69" max="69" width="10.77734375" style="6" bestFit="1" customWidth="1"/>
    <col min="70" max="70" width="19.6640625" style="6" bestFit="1" customWidth="1"/>
    <col min="71" max="71" width="9.109375" style="6" customWidth="1"/>
    <col min="72" max="72" width="10.88671875" style="6" customWidth="1"/>
    <col min="73" max="74" width="9.109375" style="6" customWidth="1"/>
    <col min="75" max="75" width="10.6640625" style="6" customWidth="1"/>
    <col min="76" max="76" width="10.44140625" style="6" customWidth="1"/>
    <col min="77" max="77" width="15.6640625" style="6" bestFit="1" customWidth="1"/>
    <col min="78" max="78" width="11.5546875" style="6" bestFit="1" customWidth="1"/>
    <col min="79" max="79" width="10.77734375" style="6" bestFit="1" customWidth="1"/>
    <col min="80" max="80" width="19.6640625" style="6" bestFit="1" customWidth="1"/>
    <col min="81" max="83" width="9.109375" style="6" customWidth="1"/>
    <col min="84" max="84" width="9.109375" style="6"/>
    <col min="85" max="85" width="10.109375" style="6" customWidth="1"/>
    <col min="86" max="86" width="10.21875" style="6" customWidth="1"/>
    <col min="87" max="87" width="15.6640625" style="6" bestFit="1" customWidth="1"/>
    <col min="88" max="88" width="11.5546875" style="6" bestFit="1" customWidth="1"/>
    <col min="89" max="89" width="10.77734375" style="6" bestFit="1" customWidth="1"/>
    <col min="90" max="90" width="19.6640625" style="6" bestFit="1" customWidth="1"/>
    <col min="91" max="16384" width="9.109375" style="6"/>
  </cols>
  <sheetData>
    <row r="1" spans="1:92" s="7" customFormat="1" x14ac:dyDescent="0.3">
      <c r="A1" s="65" t="s">
        <v>551</v>
      </c>
      <c r="C1" s="159"/>
      <c r="D1" s="7" t="s">
        <v>349</v>
      </c>
      <c r="N1" s="7" t="s">
        <v>349</v>
      </c>
      <c r="X1" s="7" t="s">
        <v>349</v>
      </c>
      <c r="AH1" s="204" t="s">
        <v>349</v>
      </c>
      <c r="AI1" s="204"/>
      <c r="AJ1" s="204"/>
      <c r="AK1" s="204"/>
      <c r="AL1" s="204"/>
      <c r="AM1" s="204"/>
      <c r="AN1" s="204"/>
      <c r="AO1" s="204"/>
      <c r="AP1" s="204"/>
      <c r="AQ1" s="205"/>
      <c r="AR1" s="159"/>
      <c r="AS1" s="159"/>
      <c r="AT1" s="159"/>
      <c r="AU1" s="159"/>
      <c r="AV1" s="159"/>
      <c r="AW1" s="159"/>
      <c r="AX1" s="159"/>
      <c r="AY1" s="159"/>
      <c r="BB1" s="65" t="s">
        <v>350</v>
      </c>
      <c r="BL1" s="65" t="s">
        <v>350</v>
      </c>
      <c r="BV1" s="65" t="s">
        <v>350</v>
      </c>
      <c r="CF1" s="65" t="s">
        <v>350</v>
      </c>
    </row>
    <row r="2" spans="1:92" x14ac:dyDescent="0.3">
      <c r="A2" s="160"/>
      <c r="C2" s="161"/>
      <c r="D2" s="162" t="s">
        <v>346</v>
      </c>
      <c r="E2" s="163"/>
      <c r="F2" s="164"/>
      <c r="G2" s="164"/>
      <c r="H2" s="164"/>
      <c r="I2" s="164"/>
      <c r="J2" s="164"/>
      <c r="K2" s="164"/>
      <c r="L2" s="165"/>
      <c r="N2" s="162" t="s">
        <v>400</v>
      </c>
      <c r="O2" s="164"/>
      <c r="P2" s="164"/>
      <c r="Q2" s="164"/>
      <c r="R2" s="164"/>
      <c r="S2" s="164"/>
      <c r="T2" s="164"/>
      <c r="U2" s="164"/>
      <c r="V2" s="165"/>
      <c r="X2" s="162" t="s">
        <v>402</v>
      </c>
      <c r="Y2" s="164"/>
      <c r="Z2" s="164"/>
      <c r="AA2" s="164"/>
      <c r="AB2" s="164"/>
      <c r="AC2" s="164"/>
      <c r="AD2" s="164"/>
      <c r="AE2" s="164"/>
      <c r="AF2" s="165"/>
      <c r="AH2" s="203" t="s">
        <v>348</v>
      </c>
      <c r="AI2" s="206"/>
      <c r="AJ2" s="206"/>
      <c r="AK2" s="206"/>
      <c r="AL2" s="206"/>
      <c r="AM2" s="206"/>
      <c r="AN2" s="206"/>
      <c r="AO2" s="206"/>
      <c r="AP2" s="207"/>
      <c r="BB2" s="162" t="s">
        <v>401</v>
      </c>
      <c r="BC2" s="164"/>
      <c r="BD2" s="178"/>
      <c r="BE2" s="164"/>
      <c r="BF2" s="164"/>
      <c r="BG2" s="164"/>
      <c r="BH2" s="164"/>
      <c r="BI2" s="164"/>
      <c r="BJ2" s="165"/>
      <c r="BL2" s="162" t="s">
        <v>400</v>
      </c>
      <c r="BM2" s="164"/>
      <c r="BN2" s="164"/>
      <c r="BO2" s="164"/>
      <c r="BP2" s="164"/>
      <c r="BQ2" s="164"/>
      <c r="BR2" s="164"/>
      <c r="BS2" s="164"/>
      <c r="BT2" s="165"/>
      <c r="BV2" s="162" t="s">
        <v>371</v>
      </c>
      <c r="CF2" s="162" t="s">
        <v>348</v>
      </c>
    </row>
    <row r="3" spans="1:92" x14ac:dyDescent="0.3">
      <c r="A3" s="6" t="s">
        <v>81</v>
      </c>
      <c r="B3" s="6" t="s">
        <v>355</v>
      </c>
      <c r="C3" t="s">
        <v>347</v>
      </c>
      <c r="D3" s="11" t="s">
        <v>55</v>
      </c>
      <c r="E3" s="12" t="s">
        <v>490</v>
      </c>
      <c r="F3" s="12" t="s">
        <v>491</v>
      </c>
      <c r="G3" s="11" t="s">
        <v>494</v>
      </c>
      <c r="H3" s="11" t="s">
        <v>58</v>
      </c>
      <c r="I3" s="11" t="s">
        <v>493</v>
      </c>
      <c r="J3" s="11" t="s">
        <v>495</v>
      </c>
      <c r="K3" s="11" t="s">
        <v>496</v>
      </c>
      <c r="L3" s="11" t="s">
        <v>345</v>
      </c>
      <c r="N3" s="11" t="s">
        <v>55</v>
      </c>
      <c r="O3" s="12" t="s">
        <v>490</v>
      </c>
      <c r="P3" s="12" t="s">
        <v>491</v>
      </c>
      <c r="Q3" s="11" t="s">
        <v>494</v>
      </c>
      <c r="R3" s="11" t="s">
        <v>58</v>
      </c>
      <c r="S3" s="11" t="s">
        <v>493</v>
      </c>
      <c r="T3" s="11" t="s">
        <v>495</v>
      </c>
      <c r="U3" s="11" t="s">
        <v>496</v>
      </c>
      <c r="V3" s="11" t="s">
        <v>345</v>
      </c>
      <c r="X3" s="11" t="s">
        <v>55</v>
      </c>
      <c r="Y3" s="12" t="s">
        <v>490</v>
      </c>
      <c r="Z3" s="12" t="s">
        <v>491</v>
      </c>
      <c r="AA3" s="11" t="s">
        <v>494</v>
      </c>
      <c r="AB3" s="11" t="s">
        <v>58</v>
      </c>
      <c r="AC3" s="11" t="s">
        <v>493</v>
      </c>
      <c r="AD3" s="11" t="s">
        <v>495</v>
      </c>
      <c r="AE3" s="11" t="s">
        <v>496</v>
      </c>
      <c r="AF3" s="11" t="s">
        <v>345</v>
      </c>
      <c r="AH3" s="208" t="str">
        <f>N3</f>
        <v>year</v>
      </c>
      <c r="AI3" s="209" t="s">
        <v>490</v>
      </c>
      <c r="AJ3" s="209" t="s">
        <v>491</v>
      </c>
      <c r="AK3" s="208" t="s">
        <v>494</v>
      </c>
      <c r="AL3" s="208" t="s">
        <v>58</v>
      </c>
      <c r="AM3" s="208" t="s">
        <v>493</v>
      </c>
      <c r="AN3" s="208" t="s">
        <v>495</v>
      </c>
      <c r="AO3" s="208" t="s">
        <v>496</v>
      </c>
      <c r="AP3" s="208" t="s">
        <v>345</v>
      </c>
      <c r="BB3" s="11" t="s">
        <v>55</v>
      </c>
      <c r="BC3" s="12" t="s">
        <v>490</v>
      </c>
      <c r="BD3" s="12" t="s">
        <v>491</v>
      </c>
      <c r="BE3" s="11" t="s">
        <v>494</v>
      </c>
      <c r="BF3" s="11" t="s">
        <v>58</v>
      </c>
      <c r="BG3" s="11" t="s">
        <v>493</v>
      </c>
      <c r="BH3" s="11" t="s">
        <v>495</v>
      </c>
      <c r="BI3" s="11" t="s">
        <v>496</v>
      </c>
      <c r="BJ3" s="11" t="s">
        <v>345</v>
      </c>
      <c r="BL3" s="11" t="s">
        <v>55</v>
      </c>
      <c r="BM3" s="12" t="s">
        <v>490</v>
      </c>
      <c r="BN3" s="12" t="s">
        <v>491</v>
      </c>
      <c r="BO3" s="11" t="s">
        <v>494</v>
      </c>
      <c r="BP3" s="11" t="s">
        <v>58</v>
      </c>
      <c r="BQ3" s="11" t="s">
        <v>493</v>
      </c>
      <c r="BR3" s="11" t="s">
        <v>495</v>
      </c>
      <c r="BS3" s="11" t="s">
        <v>496</v>
      </c>
      <c r="BT3" s="11" t="s">
        <v>345</v>
      </c>
      <c r="BV3" s="11" t="s">
        <v>55</v>
      </c>
      <c r="BW3" s="12" t="s">
        <v>490</v>
      </c>
      <c r="BX3" s="12" t="s">
        <v>491</v>
      </c>
      <c r="BY3" s="11" t="s">
        <v>494</v>
      </c>
      <c r="BZ3" s="11" t="s">
        <v>58</v>
      </c>
      <c r="CA3" s="11" t="s">
        <v>493</v>
      </c>
      <c r="CB3" s="11" t="s">
        <v>495</v>
      </c>
      <c r="CC3" s="11" t="s">
        <v>496</v>
      </c>
      <c r="CD3" s="11" t="s">
        <v>345</v>
      </c>
      <c r="CF3" s="11" t="str">
        <f>BL3</f>
        <v>year</v>
      </c>
      <c r="CG3" s="12" t="s">
        <v>490</v>
      </c>
      <c r="CH3" s="12" t="s">
        <v>491</v>
      </c>
      <c r="CI3" s="11" t="s">
        <v>494</v>
      </c>
      <c r="CJ3" s="11" t="s">
        <v>58</v>
      </c>
      <c r="CK3" s="11" t="s">
        <v>493</v>
      </c>
      <c r="CL3" s="11" t="s">
        <v>495</v>
      </c>
      <c r="CM3" s="11" t="s">
        <v>496</v>
      </c>
      <c r="CN3" s="11" t="s">
        <v>345</v>
      </c>
    </row>
    <row r="4" spans="1:92" x14ac:dyDescent="0.3">
      <c r="A4" s="6">
        <f>PUF!A2</f>
        <v>1</v>
      </c>
      <c r="B4" s="6" t="str">
        <f>PUF!G2</f>
        <v>analog</v>
      </c>
      <c r="C4" t="str">
        <f>PUF!AL2</f>
        <v>Weak</v>
      </c>
      <c r="D4" s="166">
        <f>PUF!C2</f>
        <v>2000</v>
      </c>
      <c r="E4" s="167">
        <f>IF(AND($B4=E$3,$C4="Weak"),IF(PUF!$X2&gt;0,PUF!$X2,""),"")</f>
        <v>1708.1632653061226</v>
      </c>
      <c r="F4" s="167" t="str">
        <f>IF(AND($B4=F$3,$C4="Weak"),IF(PUF!$X2&gt;0,PUF!$X2,""),"")</f>
        <v/>
      </c>
      <c r="G4" s="167" t="str">
        <f>IF(AND($B4=G$3,$C4="Weak"),IF(PUF!$X2&gt;0,PUF!$X2,""),"")</f>
        <v/>
      </c>
      <c r="H4" s="167" t="str">
        <f>IF(AND($B4=H$3,$C4="Weak"),IF(PUF!$X2&gt;0,PUF!$X2,""),"")</f>
        <v/>
      </c>
      <c r="I4" s="167" t="str">
        <f>IF(AND($B4=I$3,$C4="Weak"),IF(PUF!$X2&gt;0,PUF!$X2,""),"")</f>
        <v/>
      </c>
      <c r="J4" s="167" t="str">
        <f>IF(AND($B4=J$3,$C4="Weak"),IF(PUF!$X2&gt;0,PUF!$X2,""),"")</f>
        <v/>
      </c>
      <c r="K4" s="167" t="str">
        <f>IF(AND($B4=K$3,$C4="Weak"),IF(PUF!$X2&gt;0,PUF!$X2,""),"")</f>
        <v/>
      </c>
      <c r="L4" s="167" t="str">
        <f>IF(AND($B4=L$3,$C4="Weak"),IF(PUF!$X2&gt;0,PUF!$X2,""),"")</f>
        <v/>
      </c>
      <c r="N4" s="166">
        <f t="shared" ref="N4:N35" si="0">D4</f>
        <v>2000</v>
      </c>
      <c r="O4" s="57" t="str">
        <f>IF(AND($B4=O$3,$C4="Weak"),IF(PUF!$M2&gt;0,PUF!$M2,""),"")</f>
        <v>N/A</v>
      </c>
      <c r="P4" s="57" t="str">
        <f>IF(AND($B4=P$3,$C4="Weak"),IF(PUF!$M2&gt;0,PUF!$M2,""),"")</f>
        <v/>
      </c>
      <c r="Q4" s="57" t="str">
        <f>IF(AND($B4=Q$3,$C4="Weak"),IF(PUF!$M2&gt;0,PUF!$M2,""),"")</f>
        <v/>
      </c>
      <c r="R4" s="57" t="str">
        <f>IF(AND($B4=R$3,$C4="Weak"),IF(PUF!$M2&gt;0,PUF!$M2,""),"")</f>
        <v/>
      </c>
      <c r="S4" s="57" t="str">
        <f>IF(AND($B4=S$3,$C4="Weak"),IF(PUF!$M2&gt;0,PUF!$M2,""),"")</f>
        <v/>
      </c>
      <c r="T4" s="57" t="str">
        <f>IF(AND($B4=T$3,$C4="Weak"),IF(PUF!$M2&gt;0,PUF!$M2,""),"")</f>
        <v/>
      </c>
      <c r="U4" s="57" t="str">
        <f>IF(AND($B4=U$3,$C4="Weak"),IF(PUF!$M2&gt;0,PUF!$M2,""),"")</f>
        <v/>
      </c>
      <c r="V4" s="57" t="str">
        <f>IF(AND($B4=V$3,$C4="Weak"),IF(PUF!$M2&gt;0,PUF!$M2,""),"")</f>
        <v/>
      </c>
      <c r="W4" s="168"/>
      <c r="X4" s="166">
        <f>N4</f>
        <v>2000</v>
      </c>
      <c r="Y4" s="57" t="str">
        <f>IF(AND($B4=Y$3,$C4="Weak"),IF(PUF!$S2&gt;0,PUF!$S2,""),"")</f>
        <v>N/A</v>
      </c>
      <c r="Z4" s="57" t="str">
        <f>IF(AND($B4=Z$3,$C4="Weak"),IF(PUF!$S2&gt;0,PUF!$S2,""),"")</f>
        <v/>
      </c>
      <c r="AA4" s="57" t="str">
        <f>IF(AND($B4=AA$3,$C4="Weak"),IF(PUF!$S2&gt;0,PUF!$S2,""),"")</f>
        <v/>
      </c>
      <c r="AB4" s="57" t="str">
        <f>IF(AND($B4=AB$3,$C4="Weak"),IF(PUF!$S2&gt;0,PUF!$S2,""),"")</f>
        <v/>
      </c>
      <c r="AC4" s="57" t="str">
        <f>IF(AND($B4=AC$3,$C4="Weak"),IF(PUF!$S2&gt;0,PUF!$S2,""),"")</f>
        <v/>
      </c>
      <c r="AD4" s="57" t="str">
        <f>IF(AND($B4=AD$3,$C4="Weak"),IF(PUF!$S2&gt;0,PUF!$S2,""),"")</f>
        <v/>
      </c>
      <c r="AE4" s="57" t="str">
        <f>IF(AND($B4=AE$3,$C4="Weak"),IF(PUF!$S2&gt;0,PUF!$S2,""),"")</f>
        <v/>
      </c>
      <c r="AF4" s="57" t="str">
        <f>IF(AND($B4=AF$3,$C4="Weak"),IF(PUF!$S2&gt;0,PUF!$S2,""),"")</f>
        <v/>
      </c>
      <c r="AH4" s="210">
        <f t="shared" ref="AH4:AH35" si="1">D4</f>
        <v>2000</v>
      </c>
      <c r="AI4" s="211">
        <f>IF(AND($B4=AI$3,$C4="Weak"),IF(PUF!$U2&gt;0,PUF!$U2,""),"")</f>
        <v>8333.3333333333339</v>
      </c>
      <c r="AJ4" s="211" t="str">
        <f>IF(AND($B4=AJ$3,$C4="Weak"),IF(PUF!$U2&gt;0,PUF!$U2,""),"")</f>
        <v/>
      </c>
      <c r="AK4" s="211" t="str">
        <f>IF(AND($B4=AK$3,$C4="Weak"),IF(PUF!$U2&gt;0,PUF!$U2,""),"")</f>
        <v/>
      </c>
      <c r="AL4" s="211" t="str">
        <f>IF(AND($B4=AL$3,$C4="Weak"),IF(PUF!$U2&gt;0,PUF!$U2,""),"")</f>
        <v/>
      </c>
      <c r="AM4" s="211" t="str">
        <f>IF(AND($B4=AM$3,$C4="Weak"),IF(PUF!$U2&gt;0,PUF!$U2,""),"")</f>
        <v/>
      </c>
      <c r="AN4" s="211" t="str">
        <f>IF(AND($B4=AN$3,$C4="Weak"),IF(PUF!$U2&gt;0,PUF!$U2,""),"")</f>
        <v/>
      </c>
      <c r="AO4" s="211" t="str">
        <f>IF(AND($B4=AO$3,$C4="Weak"),IF(PUF!$U2&gt;0,PUF!$U2,""),"")</f>
        <v/>
      </c>
      <c r="AP4" s="211" t="str">
        <f>IF(AND($B4=AP$3,$C4="Weak"),IF(PUF!$U2&gt;0,PUF!$U2,""),"")</f>
        <v/>
      </c>
      <c r="BB4" s="166">
        <f t="shared" ref="BB4:BB35" si="2">D4</f>
        <v>2000</v>
      </c>
      <c r="BC4" s="57" t="str">
        <f>IF(AND($B4=BC$3,$C4="Strong"),IF(PUF!$X2&gt;0,PUF!$X2,""),"")</f>
        <v/>
      </c>
      <c r="BD4" s="57" t="str">
        <f>IF(AND($B4=BD$3,$C4="Strong"),IF(PUF!$X2&gt;0,PUF!$X2,""),"")</f>
        <v/>
      </c>
      <c r="BE4" s="57" t="str">
        <f>IF(AND($B4=BE$3,$C4="Strong"),IF(PUF!$X2&gt;0,PUF!$X2,""),"")</f>
        <v/>
      </c>
      <c r="BF4" s="57" t="str">
        <f>IF(AND($B4=BF$3,$C4="Strong"),IF(PUF!$X2&gt;0,PUF!$X2,""),"")</f>
        <v/>
      </c>
      <c r="BG4" s="57" t="str">
        <f>IF(AND($B4=BG$3,$C4="Strong"),IF(PUF!$X2&gt;0,PUF!$X2,""),"")</f>
        <v/>
      </c>
      <c r="BH4" s="57" t="str">
        <f>IF(AND($B4=BH$3,$C4="Strong"),IF(PUF!$X2&gt;0,PUF!$X2,""),"")</f>
        <v/>
      </c>
      <c r="BI4" s="57" t="str">
        <f>IF(AND($B4=BI$3,$C4="Strong"),IF(PUF!$X2&gt;0,PUF!$X2,""),"")</f>
        <v/>
      </c>
      <c r="BJ4" s="57" t="str">
        <f>IF(AND($B4=BJ$3,$C4="Strong"),IF(PUF!$X2&gt;0,PUF!$X2,""),"")</f>
        <v/>
      </c>
      <c r="BL4" s="166">
        <f t="shared" ref="BL4:BL35" si="3">D4</f>
        <v>2000</v>
      </c>
      <c r="BM4" s="57" t="str">
        <f>IF(AND($B4=BM$3,$C4="Strong"),IF(PUF!$M2&gt;0,PUF!$M2,""),"")</f>
        <v/>
      </c>
      <c r="BN4" s="57" t="str">
        <f>IF(AND($B4=BN$3,$C4="Strong"),IF(PUF!$M2&gt;0,PUF!$M2,""),"")</f>
        <v/>
      </c>
      <c r="BO4" s="57" t="str">
        <f>IF(AND($B4=BO$3,$C4="Strong"),IF(PUF!$M2&gt;0,PUF!$M2,""),"")</f>
        <v/>
      </c>
      <c r="BP4" s="57" t="str">
        <f>IF(AND($B4=BP$3,$C4="Strong"),IF(PUF!$M2&gt;0,PUF!$M2,""),"")</f>
        <v/>
      </c>
      <c r="BQ4" s="57" t="str">
        <f>IF(AND($B4=BQ$3,$C4="Strong"),IF(PUF!$M2&gt;0,PUF!$M2,""),"")</f>
        <v/>
      </c>
      <c r="BR4" s="57" t="str">
        <f>IF(AND($B4=BR$3,$C4="Strong"),IF(PUF!$M2&gt;0,PUF!$M2,""),"")</f>
        <v/>
      </c>
      <c r="BS4" s="57" t="str">
        <f>IF(AND($B4=BS$3,$C4="Strong"),IF(PUF!$M2&gt;0,PUF!$M2,""),"")</f>
        <v/>
      </c>
      <c r="BT4" s="57" t="str">
        <f>IF(AND($B4=BT$3,$C4="Strong"),IF(PUF!$M2&gt;0,PUF!$M2,""),"")</f>
        <v/>
      </c>
      <c r="BV4" s="166">
        <f>N4</f>
        <v>2000</v>
      </c>
      <c r="BW4" s="57" t="str">
        <f>IF(AND($B4=BW$3,$C4="Strong"),IF(PUF!$S2&gt;0,PUF!$S2,""),"")</f>
        <v/>
      </c>
      <c r="BX4" s="57" t="str">
        <f>IF(AND($B4=BX$3,$C4="Strong"),IF(PUF!$S2&gt;0,PUF!$S2,""),"")</f>
        <v/>
      </c>
      <c r="BY4" s="57" t="str">
        <f>IF(AND($B4=BY$3,$C4="Strong"),IF(PUF!$S2&gt;0,PUF!$S2,""),"")</f>
        <v/>
      </c>
      <c r="BZ4" s="57" t="str">
        <f>IF(AND($B4=BZ$3,$C4="Strong"),IF(PUF!$S2&gt;0,PUF!$S2,""),"")</f>
        <v/>
      </c>
      <c r="CA4" s="57" t="str">
        <f>IF(AND($B4=CA$3,$C4="Strong"),IF(PUF!$S2&gt;0,PUF!$S2,""),"")</f>
        <v/>
      </c>
      <c r="CB4" s="57" t="str">
        <f>IF(AND($B4=CB$3,$C4="Strong"),IF(PUF!$S2&gt;0,PUF!$S2,""),"")</f>
        <v/>
      </c>
      <c r="CC4" s="57" t="str">
        <f>IF(AND($B4=CC$3,$C4="Strong"),IF(PUF!$S2&gt;0,PUF!$S2,""),"")</f>
        <v/>
      </c>
      <c r="CD4" s="57" t="str">
        <f>IF(AND($B4=CD$3,$C4="Strong"),IF(PUF!$S2&gt;0,PUF!$S2,""),"")</f>
        <v/>
      </c>
      <c r="CF4" s="11">
        <f>D4</f>
        <v>2000</v>
      </c>
      <c r="CG4" s="57" t="str">
        <f>IF(AND($B4=CG$3,$C4="Strong"),IF(PUF!$U2&gt;0,PUF!$U2,""),"")</f>
        <v/>
      </c>
      <c r="CH4" s="57" t="str">
        <f>IF(AND($B4=CH$3,$C4="Strong"),IF(PUF!$U2&gt;0,PUF!$U2,""),"")</f>
        <v/>
      </c>
      <c r="CI4" s="57" t="str">
        <f>IF(AND($B4=CI$3,$C4="Strong"),IF(PUF!$U2&gt;0,PUF!$U2,""),"")</f>
        <v/>
      </c>
      <c r="CJ4" s="57" t="str">
        <f>IF(AND($B4=CJ$3,$C4="Strong"),IF(PUF!$U2&gt;0,PUF!$U2,""),"")</f>
        <v/>
      </c>
      <c r="CK4" s="57" t="str">
        <f>IF(AND($B4=CK$3,$C4="Strong"),IF(PUF!$U2&gt;0,PUF!$U2,""),"")</f>
        <v/>
      </c>
      <c r="CL4" s="57" t="str">
        <f>IF(AND($B4=CL$3,$C4="Strong"),IF(PUF!$U2&gt;0,PUF!$U2,""),"")</f>
        <v/>
      </c>
      <c r="CM4" s="57" t="str">
        <f>IF(AND($B4=CM$3,$C4="Strong"),IF(PUF!$U2&gt;0,PUF!$U2,""),"")</f>
        <v/>
      </c>
      <c r="CN4" s="57" t="str">
        <f>IF(AND($B4=CN$3,$C4="Strong"),IF(PUF!$U2&gt;0,PUF!$U2,""),"")</f>
        <v/>
      </c>
    </row>
    <row r="5" spans="1:92" x14ac:dyDescent="0.3">
      <c r="A5" s="6">
        <f>PUF!A3</f>
        <v>2</v>
      </c>
      <c r="B5" s="6" t="str">
        <f>PUF!G3</f>
        <v>delay</v>
      </c>
      <c r="C5" t="str">
        <f>PUF!AL3</f>
        <v>Strong</v>
      </c>
      <c r="D5" s="166">
        <f>PUF!C3</f>
        <v>2004</v>
      </c>
      <c r="E5" s="167" t="str">
        <f>IF(AND($B5=E$3,$C5="Weak"),IF(PUF!$X3&gt;0,PUF!$X3,""),"")</f>
        <v/>
      </c>
      <c r="F5" s="167" t="str">
        <f>IF(AND($B5=F$3,$C5="Weak"),IF(PUF!$X3&gt;0,PUF!$X3,""),"")</f>
        <v/>
      </c>
      <c r="G5" s="167" t="str">
        <f>IF(AND($B5=G$3,$C5="Weak"),IF(PUF!$X3&gt;0,PUF!$X3,""),"")</f>
        <v/>
      </c>
      <c r="H5" s="167" t="str">
        <f>IF(AND($B5=H$3,$C5="Weak"),IF(PUF!$X3&gt;0,PUF!$X3,""),"")</f>
        <v/>
      </c>
      <c r="I5" s="167" t="str">
        <f>IF(AND($B5=I$3,$C5="Weak"),IF(PUF!$X3&gt;0,PUF!$X3,""),"")</f>
        <v/>
      </c>
      <c r="J5" s="167" t="str">
        <f>IF(AND($B5=J$3,$C5="Weak"),IF(PUF!$X3&gt;0,PUF!$X3,""),"")</f>
        <v/>
      </c>
      <c r="K5" s="167" t="str">
        <f>IF(AND($B5=K$3,$C5="Weak"),IF(PUF!$X3&gt;0,PUF!$X3,""),"")</f>
        <v/>
      </c>
      <c r="L5" s="167" t="str">
        <f>IF(AND($B5=L$3,$C5="Weak"),IF(PUF!$X3&gt;0,PUF!$X3,""),"")</f>
        <v/>
      </c>
      <c r="N5" s="11">
        <f t="shared" si="0"/>
        <v>2004</v>
      </c>
      <c r="O5" s="57" t="str">
        <f>IF(AND($B5=O$3,$C5="Weak"),IF(PUF!$M3&gt;0,PUF!$M3,""),"")</f>
        <v/>
      </c>
      <c r="P5" s="57" t="str">
        <f>IF(AND($B5=P$3,$C5="Weak"),IF(PUF!$M3&gt;0,PUF!$M3,""),"")</f>
        <v/>
      </c>
      <c r="Q5" s="57" t="str">
        <f>IF(AND($B5=Q$3,$C5="Weak"),IF(PUF!$M3&gt;0,PUF!$M3,""),"")</f>
        <v/>
      </c>
      <c r="R5" s="57" t="str">
        <f>IF(AND($B5=R$3,$C5="Weak"),IF(PUF!$M3&gt;0,PUF!$M3,""),"")</f>
        <v/>
      </c>
      <c r="S5" s="57" t="str">
        <f>IF(AND($B5=S$3,$C5="Weak"),IF(PUF!$M3&gt;0,PUF!$M3,""),"")</f>
        <v/>
      </c>
      <c r="T5" s="57" t="str">
        <f>IF(AND($B5=T$3,$C5="Weak"),IF(PUF!$M3&gt;0,PUF!$M3,""),"")</f>
        <v/>
      </c>
      <c r="U5" s="57" t="str">
        <f>IF(AND($B5=U$3,$C5="Weak"),IF(PUF!$M3&gt;0,PUF!$M3,""),"")</f>
        <v/>
      </c>
      <c r="V5" s="57" t="str">
        <f>IF(AND($B5=V$3,$C5="Weak"),IF(PUF!$M3&gt;0,PUF!$M3,""),"")</f>
        <v/>
      </c>
      <c r="W5" s="168"/>
      <c r="X5" s="166">
        <f t="shared" ref="X5:X61" si="4">N5</f>
        <v>2004</v>
      </c>
      <c r="Y5" s="57" t="str">
        <f>IF(AND($B5=Y$3,$C5="Weak"),IF(PUF!$S3&gt;0,PUF!$S3,""),"")</f>
        <v/>
      </c>
      <c r="Z5" s="57" t="str">
        <f>IF(AND($B5=Z$3,$C5="Weak"),IF(PUF!$S3&gt;0,PUF!$S3,""),"")</f>
        <v/>
      </c>
      <c r="AA5" s="57" t="str">
        <f>IF(AND($B5=AA$3,$C5="Weak"),IF(PUF!$S3&gt;0,PUF!$S3,""),"")</f>
        <v/>
      </c>
      <c r="AB5" s="57" t="str">
        <f>IF(AND($B5=AB$3,$C5="Weak"),IF(PUF!$S3&gt;0,PUF!$S3,""),"")</f>
        <v/>
      </c>
      <c r="AC5" s="57" t="str">
        <f>IF(AND($B5=AC$3,$C5="Weak"),IF(PUF!$S3&gt;0,PUF!$S3,""),"")</f>
        <v/>
      </c>
      <c r="AD5" s="57" t="str">
        <f>IF(AND($B5=AD$3,$C5="Weak"),IF(PUF!$S3&gt;0,PUF!$S3,""),"")</f>
        <v/>
      </c>
      <c r="AE5" s="57" t="str">
        <f>IF(AND($B5=AE$3,$C5="Weak"),IF(PUF!$S3&gt;0,PUF!$S3,""),"")</f>
        <v/>
      </c>
      <c r="AF5" s="57" t="str">
        <f>IF(AND($B5=AF$3,$C5="Weak"),IF(PUF!$S3&gt;0,PUF!$S3,""),"")</f>
        <v/>
      </c>
      <c r="AH5" s="210">
        <f t="shared" si="1"/>
        <v>2004</v>
      </c>
      <c r="AI5" s="211" t="str">
        <f>IF(AND($B5=AI$3,$C5="Weak"),IF(PUF!$U3&gt;0,PUF!$U3,""),"")</f>
        <v/>
      </c>
      <c r="AJ5" s="211" t="str">
        <f>IF(AND($B5=AJ$3,$C5="Weak"),IF(PUF!$U3&gt;0,PUF!$U3,""),"")</f>
        <v/>
      </c>
      <c r="AK5" s="211" t="str">
        <f>IF(AND($B5=AK$3,$C5="Weak"),IF(PUF!$U3&gt;0,PUF!$U3,""),"")</f>
        <v/>
      </c>
      <c r="AL5" s="211" t="str">
        <f>IF(AND($B5=AL$3,$C5="Weak"),IF(PUF!$U3&gt;0,PUF!$U3,""),"")</f>
        <v/>
      </c>
      <c r="AM5" s="211" t="str">
        <f>IF(AND($B5=AM$3,$C5="Weak"),IF(PUF!$U3&gt;0,PUF!$U3,""),"")</f>
        <v/>
      </c>
      <c r="AN5" s="211" t="str">
        <f>IF(AND($B5=AN$3,$C5="Weak"),IF(PUF!$U3&gt;0,PUF!$U3,""),"")</f>
        <v/>
      </c>
      <c r="AO5" s="211" t="str">
        <f>IF(AND($B5=AO$3,$C5="Weak"),IF(PUF!$U3&gt;0,PUF!$U3,""),"")</f>
        <v/>
      </c>
      <c r="AP5" s="211" t="str">
        <f>IF(AND($B5=AP$3,$C5="Weak"),IF(PUF!$U3&gt;0,PUF!$U3,""),"")</f>
        <v/>
      </c>
      <c r="BB5" s="166">
        <f t="shared" si="2"/>
        <v>2004</v>
      </c>
      <c r="BC5" s="57" t="str">
        <f>IF(AND($B5=BC$3,$C5="Strong"),IF(PUF!$X3&gt;0,PUF!$X3,""),"")</f>
        <v/>
      </c>
      <c r="BD5" s="57">
        <f>IF(AND($B5=BD$3,$C5="Strong"),IF(PUF!$X3&gt;0,PUF!$X3,""),"")</f>
        <v>45337777.777777784</v>
      </c>
      <c r="BE5" s="57" t="str">
        <f>IF(AND($B5=BE$3,$C5="Strong"),IF(PUF!$X3&gt;0,PUF!$X3,""),"")</f>
        <v/>
      </c>
      <c r="BF5" s="57" t="str">
        <f>IF(AND($B5=BF$3,$C5="Strong"),IF(PUF!$X3&gt;0,PUF!$X3,""),"")</f>
        <v/>
      </c>
      <c r="BG5" s="57" t="str">
        <f>IF(AND($B5=BG$3,$C5="Strong"),IF(PUF!$X3&gt;0,PUF!$X3,""),"")</f>
        <v/>
      </c>
      <c r="BH5" s="57" t="str">
        <f>IF(AND($B5=BH$3,$C5="Strong"),IF(PUF!$X3&gt;0,PUF!$X3,""),"")</f>
        <v/>
      </c>
      <c r="BI5" s="57" t="str">
        <f>IF(AND($B5=BI$3,$C5="Strong"),IF(PUF!$X3&gt;0,PUF!$X3,""),"")</f>
        <v/>
      </c>
      <c r="BJ5" s="57" t="str">
        <f>IF(AND($B5=BJ$3,$C5="Strong"),IF(PUF!$X3&gt;0,PUF!$X3,""),"")</f>
        <v/>
      </c>
      <c r="BL5" s="166">
        <f t="shared" si="3"/>
        <v>2004</v>
      </c>
      <c r="BM5" s="57" t="str">
        <f>IF(AND($B5=BM$3,$C5="Strong"),IF(PUF!$M3&gt;0,PUF!$M3,""),"")</f>
        <v/>
      </c>
      <c r="BN5" s="57">
        <f>IF(AND($B5=BN$3,$C5="Strong"),IF(PUF!$M3&gt;0,PUF!$M3,""),"")</f>
        <v>4.82</v>
      </c>
      <c r="BO5" s="57" t="str">
        <f>IF(AND($B5=BO$3,$C5="Strong"),IF(PUF!$M3&gt;0,PUF!$M3,""),"")</f>
        <v/>
      </c>
      <c r="BP5" s="57" t="str">
        <f>IF(AND($B5=BP$3,$C5="Strong"),IF(PUF!$M3&gt;0,PUF!$M3,""),"")</f>
        <v/>
      </c>
      <c r="BQ5" s="57" t="str">
        <f>IF(AND($B5=BQ$3,$C5="Strong"),IF(PUF!$M3&gt;0,PUF!$M3,""),"")</f>
        <v/>
      </c>
      <c r="BR5" s="57" t="str">
        <f>IF(AND($B5=BR$3,$C5="Strong"),IF(PUF!$M3&gt;0,PUF!$M3,""),"")</f>
        <v/>
      </c>
      <c r="BS5" s="57" t="str">
        <f>IF(AND($B5=BS$3,$C5="Strong"),IF(PUF!$M3&gt;0,PUF!$M3,""),"")</f>
        <v/>
      </c>
      <c r="BT5" s="57" t="str">
        <f>IF(AND($B5=BT$3,$C5="Strong"),IF(PUF!$M3&gt;0,PUF!$M3,""),"")</f>
        <v/>
      </c>
      <c r="BV5" s="166">
        <f t="shared" ref="BV5:BV64" si="5">N5</f>
        <v>2004</v>
      </c>
      <c r="BW5" s="57" t="str">
        <f>IF(AND($B5=BW$3,$C5="Strong"),IF(PUF!$S3&gt;0,PUF!$S3,""),"")</f>
        <v/>
      </c>
      <c r="BX5" s="57" t="str">
        <f>IF(AND($B5=BX$3,$C5="Strong"),IF(PUF!$S3&gt;0,PUF!$S3,""),"")</f>
        <v>N/A</v>
      </c>
      <c r="BY5" s="57" t="str">
        <f>IF(AND($B5=BY$3,$C5="Strong"),IF(PUF!$S3&gt;0,PUF!$S3,""),"")</f>
        <v/>
      </c>
      <c r="BZ5" s="57" t="str">
        <f>IF(AND($B5=BZ$3,$C5="Strong"),IF(PUF!$S3&gt;0,PUF!$S3,""),"")</f>
        <v/>
      </c>
      <c r="CA5" s="57" t="str">
        <f>IF(AND($B5=CA$3,$C5="Strong"),IF(PUF!$S3&gt;0,PUF!$S3,""),"")</f>
        <v/>
      </c>
      <c r="CB5" s="57" t="str">
        <f>IF(AND($B5=CB$3,$C5="Strong"),IF(PUF!$S3&gt;0,PUF!$S3,""),"")</f>
        <v/>
      </c>
      <c r="CC5" s="57" t="str">
        <f>IF(AND($B5=CC$3,$C5="Strong"),IF(PUF!$S3&gt;0,PUF!$S3,""),"")</f>
        <v/>
      </c>
      <c r="CD5" s="57" t="str">
        <f>IF(AND($B5=CD$3,$C5="Strong"),IF(PUF!$S3&gt;0,PUF!$S3,""),"")</f>
        <v/>
      </c>
      <c r="CF5" s="11">
        <f t="shared" ref="CF5:CF64" si="6">D5</f>
        <v>2004</v>
      </c>
      <c r="CG5" s="57" t="str">
        <f>IF(AND($B5=CG$3,$C5="Strong"),IF(PUF!$U3&gt;0,PUF!$U3,""),"")</f>
        <v/>
      </c>
      <c r="CH5" s="57" t="str">
        <f>IF(AND($B5=CH$3,$C5="Strong"),IF(PUF!$U3&gt;0,PUF!$U3,""),"")</f>
        <v>N/A</v>
      </c>
      <c r="CI5" s="57" t="str">
        <f>IF(AND($B5=CI$3,$C5="Strong"),IF(PUF!$U3&gt;0,PUF!$U3,""),"")</f>
        <v/>
      </c>
      <c r="CJ5" s="57" t="str">
        <f>IF(AND($B5=CJ$3,$C5="Strong"),IF(PUF!$U3&gt;0,PUF!$U3,""),"")</f>
        <v/>
      </c>
      <c r="CK5" s="57" t="str">
        <f>IF(AND($B5=CK$3,$C5="Strong"),IF(PUF!$U3&gt;0,PUF!$U3,""),"")</f>
        <v/>
      </c>
      <c r="CL5" s="57" t="str">
        <f>IF(AND($B5=CL$3,$C5="Strong"),IF(PUF!$U3&gt;0,PUF!$U3,""),"")</f>
        <v/>
      </c>
      <c r="CM5" s="57" t="str">
        <f>IF(AND($B5=CM$3,$C5="Strong"),IF(PUF!$U3&gt;0,PUF!$U3,""),"")</f>
        <v/>
      </c>
      <c r="CN5" s="57" t="str">
        <f>IF(AND($B5=CN$3,$C5="Strong"),IF(PUF!$U3&gt;0,PUF!$U3,""),"")</f>
        <v/>
      </c>
    </row>
    <row r="6" spans="1:92" x14ac:dyDescent="0.3">
      <c r="A6" s="6">
        <f>PUF!A4</f>
        <v>3</v>
      </c>
      <c r="B6" s="6" t="str">
        <f>PUF!G4</f>
        <v>delay</v>
      </c>
      <c r="C6" t="str">
        <f>PUF!AL4</f>
        <v>Strong</v>
      </c>
      <c r="D6" s="166">
        <f>PUF!C4</f>
        <v>2005</v>
      </c>
      <c r="E6" s="167" t="str">
        <f>IF(AND($B6=E$3,$C6="Weak"),IF(PUF!$X4&gt;0,PUF!$X4,""),"")</f>
        <v/>
      </c>
      <c r="F6" s="167" t="str">
        <f>IF(AND($B6=F$3,$C6="Weak"),IF(PUF!$X4&gt;0,PUF!$X4,""),"")</f>
        <v/>
      </c>
      <c r="G6" s="167" t="str">
        <f>IF(AND($B6=G$3,$C6="Weak"),IF(PUF!$X4&gt;0,PUF!$X4,""),"")</f>
        <v/>
      </c>
      <c r="H6" s="167" t="str">
        <f>IF(AND($B6=H$3,$C6="Weak"),IF(PUF!$X4&gt;0,PUF!$X4,""),"")</f>
        <v/>
      </c>
      <c r="I6" s="167" t="str">
        <f>IF(AND($B6=I$3,$C6="Weak"),IF(PUF!$X4&gt;0,PUF!$X4,""),"")</f>
        <v/>
      </c>
      <c r="J6" s="167" t="str">
        <f>IF(AND($B6=J$3,$C6="Weak"),IF(PUF!$X4&gt;0,PUF!$X4,""),"")</f>
        <v/>
      </c>
      <c r="K6" s="167" t="str">
        <f>IF(AND($B6=K$3,$C6="Weak"),IF(PUF!$X4&gt;0,PUF!$X4,""),"")</f>
        <v/>
      </c>
      <c r="L6" s="167" t="str">
        <f>IF(AND($B6=L$3,$C6="Weak"),IF(PUF!$X4&gt;0,PUF!$X4,""),"")</f>
        <v/>
      </c>
      <c r="N6" s="11">
        <f t="shared" si="0"/>
        <v>2005</v>
      </c>
      <c r="O6" s="57" t="str">
        <f>IF(AND($B6=O$3,$C6="Weak"),IF(PUF!$M4&gt;0,PUF!$M4,""),"")</f>
        <v/>
      </c>
      <c r="P6" s="57" t="str">
        <f>IF(AND($B6=P$3,$C6="Weak"),IF(PUF!$M4&gt;0,PUF!$M4,""),"")</f>
        <v/>
      </c>
      <c r="Q6" s="57" t="str">
        <f>IF(AND($B6=Q$3,$C6="Weak"),IF(PUF!$M4&gt;0,PUF!$M4,""),"")</f>
        <v/>
      </c>
      <c r="R6" s="57" t="str">
        <f>IF(AND($B6=R$3,$C6="Weak"),IF(PUF!$M4&gt;0,PUF!$M4,""),"")</f>
        <v/>
      </c>
      <c r="S6" s="57" t="str">
        <f>IF(AND($B6=S$3,$C6="Weak"),IF(PUF!$M4&gt;0,PUF!$M4,""),"")</f>
        <v/>
      </c>
      <c r="T6" s="57" t="str">
        <f>IF(AND($B6=T$3,$C6="Weak"),IF(PUF!$M4&gt;0,PUF!$M4,""),"")</f>
        <v/>
      </c>
      <c r="U6" s="57" t="str">
        <f>IF(AND($B6=U$3,$C6="Weak"),IF(PUF!$M4&gt;0,PUF!$M4,""),"")</f>
        <v/>
      </c>
      <c r="V6" s="57" t="str">
        <f>IF(AND($B6=V$3,$C6="Weak"),IF(PUF!$M4&gt;0,PUF!$M4,""),"")</f>
        <v/>
      </c>
      <c r="W6" s="168"/>
      <c r="X6" s="166">
        <f t="shared" si="4"/>
        <v>2005</v>
      </c>
      <c r="Y6" s="57" t="str">
        <f>IF(AND($B6=Y$3,$C6="Weak"),IF(PUF!$S4&gt;0,PUF!$S4,""),"")</f>
        <v/>
      </c>
      <c r="Z6" s="57" t="str">
        <f>IF(AND($B6=Z$3,$C6="Weak"),IF(PUF!$S4&gt;0,PUF!$S4,""),"")</f>
        <v/>
      </c>
      <c r="AA6" s="57" t="str">
        <f>IF(AND($B6=AA$3,$C6="Weak"),IF(PUF!$S4&gt;0,PUF!$S4,""),"")</f>
        <v/>
      </c>
      <c r="AB6" s="57" t="str">
        <f>IF(AND($B6=AB$3,$C6="Weak"),IF(PUF!$S4&gt;0,PUF!$S4,""),"")</f>
        <v/>
      </c>
      <c r="AC6" s="57" t="str">
        <f>IF(AND($B6=AC$3,$C6="Weak"),IF(PUF!$S4&gt;0,PUF!$S4,""),"")</f>
        <v/>
      </c>
      <c r="AD6" s="57" t="str">
        <f>IF(AND($B6=AD$3,$C6="Weak"),IF(PUF!$S4&gt;0,PUF!$S4,""),"")</f>
        <v/>
      </c>
      <c r="AE6" s="57" t="str">
        <f>IF(AND($B6=AE$3,$C6="Weak"),IF(PUF!$S4&gt;0,PUF!$S4,""),"")</f>
        <v/>
      </c>
      <c r="AF6" s="57" t="str">
        <f>IF(AND($B6=AF$3,$C6="Weak"),IF(PUF!$S4&gt;0,PUF!$S4,""),"")</f>
        <v/>
      </c>
      <c r="AH6" s="210">
        <f t="shared" si="1"/>
        <v>2005</v>
      </c>
      <c r="AI6" s="211" t="str">
        <f>IF(AND($B6=AI$3,$C6="Weak"),IF(PUF!$U4&gt;0,PUF!$U4,""),"")</f>
        <v/>
      </c>
      <c r="AJ6" s="211" t="str">
        <f>IF(AND($B6=AJ$3,$C6="Weak"),IF(PUF!$U4&gt;0,PUF!$U4,""),"")</f>
        <v/>
      </c>
      <c r="AK6" s="211" t="str">
        <f>IF(AND($B6=AK$3,$C6="Weak"),IF(PUF!$U4&gt;0,PUF!$U4,""),"")</f>
        <v/>
      </c>
      <c r="AL6" s="211" t="str">
        <f>IF(AND($B6=AL$3,$C6="Weak"),IF(PUF!$U4&gt;0,PUF!$U4,""),"")</f>
        <v/>
      </c>
      <c r="AM6" s="211" t="str">
        <f>IF(AND($B6=AM$3,$C6="Weak"),IF(PUF!$U4&gt;0,PUF!$U4,""),"")</f>
        <v/>
      </c>
      <c r="AN6" s="211" t="str">
        <f>IF(AND($B6=AN$3,$C6="Weak"),IF(PUF!$U4&gt;0,PUF!$U4,""),"")</f>
        <v/>
      </c>
      <c r="AO6" s="211" t="str">
        <f>IF(AND($B6=AO$3,$C6="Weak"),IF(PUF!$U4&gt;0,PUF!$U4,""),"")</f>
        <v/>
      </c>
      <c r="AP6" s="211" t="str">
        <f>IF(AND($B6=AP$3,$C6="Weak"),IF(PUF!$U4&gt;0,PUF!$U4,""),"")</f>
        <v/>
      </c>
      <c r="BB6" s="166">
        <f t="shared" si="2"/>
        <v>2005</v>
      </c>
      <c r="BC6" s="57" t="str">
        <f>IF(AND($B6=BC$3,$C6="Strong"),IF(PUF!$X4&gt;0,PUF!$X4,""),"")</f>
        <v/>
      </c>
      <c r="BD6" s="57">
        <f>IF(AND($B6=BD$3,$C6="Strong"),IF(PUF!$X4&gt;0,PUF!$X4,""),"")</f>
        <v>45337777.777777784</v>
      </c>
      <c r="BE6" s="57" t="str">
        <f>IF(AND($B6=BE$3,$C6="Strong"),IF(PUF!$X4&gt;0,PUF!$X4,""),"")</f>
        <v/>
      </c>
      <c r="BF6" s="57" t="str">
        <f>IF(AND($B6=BF$3,$C6="Strong"),IF(PUF!$X4&gt;0,PUF!$X4,""),"")</f>
        <v/>
      </c>
      <c r="BG6" s="57" t="str">
        <f>IF(AND($B6=BG$3,$C6="Strong"),IF(PUF!$X4&gt;0,PUF!$X4,""),"")</f>
        <v/>
      </c>
      <c r="BH6" s="57" t="str">
        <f>IF(AND($B6=BH$3,$C6="Strong"),IF(PUF!$X4&gt;0,PUF!$X4,""),"")</f>
        <v/>
      </c>
      <c r="BI6" s="57" t="str">
        <f>IF(AND($B6=BI$3,$C6="Strong"),IF(PUF!$X4&gt;0,PUF!$X4,""),"")</f>
        <v/>
      </c>
      <c r="BJ6" s="57" t="str">
        <f>IF(AND($B6=BJ$3,$C6="Strong"),IF(PUF!$X4&gt;0,PUF!$X4,""),"")</f>
        <v/>
      </c>
      <c r="BL6" s="166">
        <f t="shared" si="3"/>
        <v>2005</v>
      </c>
      <c r="BM6" s="57" t="str">
        <f>IF(AND($B6=BM$3,$C6="Strong"),IF(PUF!$M4&gt;0,PUF!$M4,""),"")</f>
        <v/>
      </c>
      <c r="BN6" s="57">
        <f>IF(AND($B6=BN$3,$C6="Strong"),IF(PUF!$M4&gt;0,PUF!$M4,""),"")</f>
        <v>4.82</v>
      </c>
      <c r="BO6" s="57" t="str">
        <f>IF(AND($B6=BO$3,$C6="Strong"),IF(PUF!$M4&gt;0,PUF!$M4,""),"")</f>
        <v/>
      </c>
      <c r="BP6" s="57" t="str">
        <f>IF(AND($B6=BP$3,$C6="Strong"),IF(PUF!$M4&gt;0,PUF!$M4,""),"")</f>
        <v/>
      </c>
      <c r="BQ6" s="57" t="str">
        <f>IF(AND($B6=BQ$3,$C6="Strong"),IF(PUF!$M4&gt;0,PUF!$M4,""),"")</f>
        <v/>
      </c>
      <c r="BR6" s="57" t="str">
        <f>IF(AND($B6=BR$3,$C6="Strong"),IF(PUF!$M4&gt;0,PUF!$M4,""),"")</f>
        <v/>
      </c>
      <c r="BS6" s="57" t="str">
        <f>IF(AND($B6=BS$3,$C6="Strong"),IF(PUF!$M4&gt;0,PUF!$M4,""),"")</f>
        <v/>
      </c>
      <c r="BT6" s="57" t="str">
        <f>IF(AND($B6=BT$3,$C6="Strong"),IF(PUF!$M4&gt;0,PUF!$M4,""),"")</f>
        <v/>
      </c>
      <c r="BV6" s="166">
        <f t="shared" si="5"/>
        <v>2005</v>
      </c>
      <c r="BW6" s="57" t="str">
        <f>IF(AND($B6=BW$3,$C6="Strong"),IF(PUF!$S4&gt;0,PUF!$S4,""),"")</f>
        <v/>
      </c>
      <c r="BX6" s="57" t="str">
        <f>IF(AND($B6=BX$3,$C6="Strong"),IF(PUF!$S4&gt;0,PUF!$S4,""),"")</f>
        <v>N/A</v>
      </c>
      <c r="BY6" s="57" t="str">
        <f>IF(AND($B6=BY$3,$C6="Strong"),IF(PUF!$S4&gt;0,PUF!$S4,""),"")</f>
        <v/>
      </c>
      <c r="BZ6" s="57" t="str">
        <f>IF(AND($B6=BZ$3,$C6="Strong"),IF(PUF!$S4&gt;0,PUF!$S4,""),"")</f>
        <v/>
      </c>
      <c r="CA6" s="57" t="str">
        <f>IF(AND($B6=CA$3,$C6="Strong"),IF(PUF!$S4&gt;0,PUF!$S4,""),"")</f>
        <v/>
      </c>
      <c r="CB6" s="57" t="str">
        <f>IF(AND($B6=CB$3,$C6="Strong"),IF(PUF!$S4&gt;0,PUF!$S4,""),"")</f>
        <v/>
      </c>
      <c r="CC6" s="57" t="str">
        <f>IF(AND($B6=CC$3,$C6="Strong"),IF(PUF!$S4&gt;0,PUF!$S4,""),"")</f>
        <v/>
      </c>
      <c r="CD6" s="57" t="str">
        <f>IF(AND($B6=CD$3,$C6="Strong"),IF(PUF!$S4&gt;0,PUF!$S4,""),"")</f>
        <v/>
      </c>
      <c r="CF6" s="11">
        <f t="shared" si="6"/>
        <v>2005</v>
      </c>
      <c r="CG6" s="57" t="str">
        <f>IF(AND($B6=CG$3,$C6="Strong"),IF(PUF!$U4&gt;0,PUF!$U4,""),"")</f>
        <v/>
      </c>
      <c r="CH6" s="57">
        <f>IF(AND($B6=CH$3,$C6="Strong"),IF(PUF!$U4&gt;0,PUF!$U4,""),"")</f>
        <v>0.17125000000000001</v>
      </c>
      <c r="CI6" s="57" t="str">
        <f>IF(AND($B6=CI$3,$C6="Strong"),IF(PUF!$U4&gt;0,PUF!$U4,""),"")</f>
        <v/>
      </c>
      <c r="CJ6" s="57" t="str">
        <f>IF(AND($B6=CJ$3,$C6="Strong"),IF(PUF!$U4&gt;0,PUF!$U4,""),"")</f>
        <v/>
      </c>
      <c r="CK6" s="57" t="str">
        <f>IF(AND($B6=CK$3,$C6="Strong"),IF(PUF!$U4&gt;0,PUF!$U4,""),"")</f>
        <v/>
      </c>
      <c r="CL6" s="57" t="str">
        <f>IF(AND($B6=CL$3,$C6="Strong"),IF(PUF!$U4&gt;0,PUF!$U4,""),"")</f>
        <v/>
      </c>
      <c r="CM6" s="57" t="str">
        <f>IF(AND($B6=CM$3,$C6="Strong"),IF(PUF!$U4&gt;0,PUF!$U4,""),"")</f>
        <v/>
      </c>
      <c r="CN6" s="57" t="str">
        <f>IF(AND($B6=CN$3,$C6="Strong"),IF(PUF!$U4&gt;0,PUF!$U4,""),"")</f>
        <v/>
      </c>
    </row>
    <row r="7" spans="1:92" x14ac:dyDescent="0.3">
      <c r="A7" s="6">
        <f>PUF!A5</f>
        <v>4</v>
      </c>
      <c r="B7" s="6" t="str">
        <f>PUF!G5</f>
        <v>memory (volatile)</v>
      </c>
      <c r="C7" t="str">
        <f>PUF!AL5</f>
        <v>Weak</v>
      </c>
      <c r="D7" s="166">
        <f>PUF!C5</f>
        <v>2007</v>
      </c>
      <c r="E7" s="167" t="str">
        <f>IF(AND($B7=E$3,$C7="Weak"),IF(PUF!$X5&gt;0,PUF!$X5,""),"")</f>
        <v/>
      </c>
      <c r="F7" s="167" t="str">
        <f>IF(AND($B7=F$3,$C7="Weak"),IF(PUF!$X5&gt;0,PUF!$X5,""),"")</f>
        <v/>
      </c>
      <c r="G7" s="167">
        <f>IF(AND($B7=G$3,$C7="Weak"),IF(PUF!$X5&gt;0,PUF!$X5,""),"")</f>
        <v>3106.5088757396447</v>
      </c>
      <c r="H7" s="167" t="str">
        <f>IF(AND($B7=H$3,$C7="Weak"),IF(PUF!$X5&gt;0,PUF!$X5,""),"")</f>
        <v/>
      </c>
      <c r="I7" s="167" t="str">
        <f>IF(AND($B7=I$3,$C7="Weak"),IF(PUF!$X5&gt;0,PUF!$X5,""),"")</f>
        <v/>
      </c>
      <c r="J7" s="167" t="str">
        <f>IF(AND($B7=J$3,$C7="Weak"),IF(PUF!$X5&gt;0,PUF!$X5,""),"")</f>
        <v/>
      </c>
      <c r="K7" s="167" t="str">
        <f>IF(AND($B7=K$3,$C7="Weak"),IF(PUF!$X5&gt;0,PUF!$X5,""),"")</f>
        <v/>
      </c>
      <c r="L7" s="167" t="str">
        <f>IF(AND($B7=L$3,$C7="Weak"),IF(PUF!$X5&gt;0,PUF!$X5,""),"")</f>
        <v/>
      </c>
      <c r="N7" s="11">
        <f t="shared" si="0"/>
        <v>2007</v>
      </c>
      <c r="O7" s="57" t="str">
        <f>IF(AND($B7=O$3,$C7="Weak"),IF(PUF!$M5&gt;0,PUF!$M5,""),"")</f>
        <v/>
      </c>
      <c r="P7" s="57" t="str">
        <f>IF(AND($B7=P$3,$C7="Weak"),IF(PUF!$M5&gt;0,PUF!$M5,""),"")</f>
        <v/>
      </c>
      <c r="Q7" s="57">
        <f>IF(AND($B7=Q$3,$C7="Weak"),IF(PUF!$M5&gt;0,PUF!$M5,""),"")</f>
        <v>5.46875</v>
      </c>
      <c r="R7" s="57" t="str">
        <f>IF(AND($B7=R$3,$C7="Weak"),IF(PUF!$M5&gt;0,PUF!$M5,""),"")</f>
        <v/>
      </c>
      <c r="S7" s="57" t="str">
        <f>IF(AND($B7=S$3,$C7="Weak"),IF(PUF!$M5&gt;0,PUF!$M5,""),"")</f>
        <v/>
      </c>
      <c r="T7" s="57" t="str">
        <f>IF(AND($B7=T$3,$C7="Weak"),IF(PUF!$M5&gt;0,PUF!$M5,""),"")</f>
        <v/>
      </c>
      <c r="U7" s="57" t="str">
        <f>IF(AND($B7=U$3,$C7="Weak"),IF(PUF!$M5&gt;0,PUF!$M5,""),"")</f>
        <v/>
      </c>
      <c r="V7" s="57" t="str">
        <f>IF(AND($B7=V$3,$C7="Weak"),IF(PUF!$M5&gt;0,PUF!$M5,""),"")</f>
        <v/>
      </c>
      <c r="W7" s="168"/>
      <c r="X7" s="166">
        <f t="shared" si="4"/>
        <v>2007</v>
      </c>
      <c r="Y7" s="57" t="str">
        <f>IF(AND($B7=Y$3,$C7="Weak"),IF(PUF!$S5&gt;0,PUF!$S5,""),"")</f>
        <v/>
      </c>
      <c r="Z7" s="57" t="str">
        <f>IF(AND($B7=Z$3,$C7="Weak"),IF(PUF!$S5&gt;0,PUF!$S5,""),"")</f>
        <v/>
      </c>
      <c r="AA7" s="57" t="str">
        <f>IF(AND($B7=AA$3,$C7="Weak"),IF(PUF!$S5&gt;0,PUF!$S5,""),"")</f>
        <v>N/A</v>
      </c>
      <c r="AB7" s="57" t="str">
        <f>IF(AND($B7=AB$3,$C7="Weak"),IF(PUF!$S5&gt;0,PUF!$S5,""),"")</f>
        <v/>
      </c>
      <c r="AC7" s="57" t="str">
        <f>IF(AND($B7=AC$3,$C7="Weak"),IF(PUF!$S5&gt;0,PUF!$S5,""),"")</f>
        <v/>
      </c>
      <c r="AD7" s="57" t="str">
        <f>IF(AND($B7=AD$3,$C7="Weak"),IF(PUF!$S5&gt;0,PUF!$S5,""),"")</f>
        <v/>
      </c>
      <c r="AE7" s="57" t="str">
        <f>IF(AND($B7=AE$3,$C7="Weak"),IF(PUF!$S5&gt;0,PUF!$S5,""),"")</f>
        <v/>
      </c>
      <c r="AF7" s="57" t="str">
        <f>IF(AND($B7=AF$3,$C7="Weak"),IF(PUF!$S5&gt;0,PUF!$S5,""),"")</f>
        <v/>
      </c>
      <c r="AH7" s="210">
        <f t="shared" si="1"/>
        <v>2007</v>
      </c>
      <c r="AI7" s="211" t="str">
        <f>IF(AND($B7=AI$3,$C7="Weak"),IF(PUF!$U5&gt;0,PUF!$U5,""),"")</f>
        <v/>
      </c>
      <c r="AJ7" s="211" t="str">
        <f>IF(AND($B7=AJ$3,$C7="Weak"),IF(PUF!$U5&gt;0,PUF!$U5,""),"")</f>
        <v/>
      </c>
      <c r="AK7" s="211">
        <f>IF(AND($B7=AK$3,$C7="Weak"),IF(PUF!$U5&gt;0,PUF!$U5,""),"")</f>
        <v>0.93</v>
      </c>
      <c r="AL7" s="211" t="str">
        <f>IF(AND($B7=AL$3,$C7="Weak"),IF(PUF!$U5&gt;0,PUF!$U5,""),"")</f>
        <v/>
      </c>
      <c r="AM7" s="211" t="str">
        <f>IF(AND($B7=AM$3,$C7="Weak"),IF(PUF!$U5&gt;0,PUF!$U5,""),"")</f>
        <v/>
      </c>
      <c r="AN7" s="211" t="str">
        <f>IF(AND($B7=AN$3,$C7="Weak"),IF(PUF!$U5&gt;0,PUF!$U5,""),"")</f>
        <v/>
      </c>
      <c r="AO7" s="211" t="str">
        <f>IF(AND($B7=AO$3,$C7="Weak"),IF(PUF!$U5&gt;0,PUF!$U5,""),"")</f>
        <v/>
      </c>
      <c r="AP7" s="211" t="str">
        <f>IF(AND($B7=AP$3,$C7="Weak"),IF(PUF!$U5&gt;0,PUF!$U5,""),"")</f>
        <v/>
      </c>
      <c r="BB7" s="166">
        <f t="shared" si="2"/>
        <v>2007</v>
      </c>
      <c r="BC7" s="57" t="str">
        <f>IF(AND($B7=BC$3,$C7="Strong"),IF(PUF!$X5&gt;0,PUF!$X5,""),"")</f>
        <v/>
      </c>
      <c r="BD7" s="57" t="str">
        <f>IF(AND($B7=BD$3,$C7="Strong"),IF(PUF!$X5&gt;0,PUF!$X5,""),"")</f>
        <v/>
      </c>
      <c r="BE7" s="57" t="str">
        <f>IF(AND($B7=BE$3,$C7="Strong"),IF(PUF!$X5&gt;0,PUF!$X5,""),"")</f>
        <v/>
      </c>
      <c r="BF7" s="57" t="str">
        <f>IF(AND($B7=BF$3,$C7="Strong"),IF(PUF!$X5&gt;0,PUF!$X5,""),"")</f>
        <v/>
      </c>
      <c r="BG7" s="57" t="str">
        <f>IF(AND($B7=BG$3,$C7="Strong"),IF(PUF!$X5&gt;0,PUF!$X5,""),"")</f>
        <v/>
      </c>
      <c r="BH7" s="57" t="str">
        <f>IF(AND($B7=BH$3,$C7="Strong"),IF(PUF!$X5&gt;0,PUF!$X5,""),"")</f>
        <v/>
      </c>
      <c r="BI7" s="57" t="str">
        <f>IF(AND($B7=BI$3,$C7="Strong"),IF(PUF!$X5&gt;0,PUF!$X5,""),"")</f>
        <v/>
      </c>
      <c r="BJ7" s="57" t="str">
        <f>IF(AND($B7=BJ$3,$C7="Strong"),IF(PUF!$X5&gt;0,PUF!$X5,""),"")</f>
        <v/>
      </c>
      <c r="BL7" s="166">
        <f t="shared" si="3"/>
        <v>2007</v>
      </c>
      <c r="BM7" s="57" t="str">
        <f>IF(AND($B7=BM$3,$C7="Strong"),IF(PUF!$M5&gt;0,PUF!$M5,""),"")</f>
        <v/>
      </c>
      <c r="BN7" s="57" t="str">
        <f>IF(AND($B7=BN$3,$C7="Strong"),IF(PUF!$M5&gt;0,PUF!$M5,""),"")</f>
        <v/>
      </c>
      <c r="BO7" s="57" t="str">
        <f>IF(AND($B7=BO$3,$C7="Strong"),IF(PUF!$M5&gt;0,PUF!$M5,""),"")</f>
        <v/>
      </c>
      <c r="BP7" s="57" t="str">
        <f>IF(AND($B7=BP$3,$C7="Strong"),IF(PUF!$M5&gt;0,PUF!$M5,""),"")</f>
        <v/>
      </c>
      <c r="BQ7" s="57" t="str">
        <f>IF(AND($B7=BQ$3,$C7="Strong"),IF(PUF!$M5&gt;0,PUF!$M5,""),"")</f>
        <v/>
      </c>
      <c r="BR7" s="57" t="str">
        <f>IF(AND($B7=BR$3,$C7="Strong"),IF(PUF!$M5&gt;0,PUF!$M5,""),"")</f>
        <v/>
      </c>
      <c r="BS7" s="57" t="str">
        <f>IF(AND($B7=BS$3,$C7="Strong"),IF(PUF!$M5&gt;0,PUF!$M5,""),"")</f>
        <v/>
      </c>
      <c r="BT7" s="57" t="str">
        <f>IF(AND($B7=BT$3,$C7="Strong"),IF(PUF!$M5&gt;0,PUF!$M5,""),"")</f>
        <v/>
      </c>
      <c r="BV7" s="166">
        <f t="shared" si="5"/>
        <v>2007</v>
      </c>
      <c r="BW7" s="57" t="str">
        <f>IF(AND($B7=BW$3,$C7="Strong"),IF(PUF!$S5&gt;0,PUF!$S5,""),"")</f>
        <v/>
      </c>
      <c r="BX7" s="57" t="str">
        <f>IF(AND($B7=BX$3,$C7="Strong"),IF(PUF!$S5&gt;0,PUF!$S5,""),"")</f>
        <v/>
      </c>
      <c r="BY7" s="57" t="str">
        <f>IF(AND($B7=BY$3,$C7="Strong"),IF(PUF!$S5&gt;0,PUF!$S5,""),"")</f>
        <v/>
      </c>
      <c r="BZ7" s="57" t="str">
        <f>IF(AND($B7=BZ$3,$C7="Strong"),IF(PUF!$S5&gt;0,PUF!$S5,""),"")</f>
        <v/>
      </c>
      <c r="CA7" s="57" t="str">
        <f>IF(AND($B7=CA$3,$C7="Strong"),IF(PUF!$S5&gt;0,PUF!$S5,""),"")</f>
        <v/>
      </c>
      <c r="CB7" s="57" t="str">
        <f>IF(AND($B7=CB$3,$C7="Strong"),IF(PUF!$S5&gt;0,PUF!$S5,""),"")</f>
        <v/>
      </c>
      <c r="CC7" s="57" t="str">
        <f>IF(AND($B7=CC$3,$C7="Strong"),IF(PUF!$S5&gt;0,PUF!$S5,""),"")</f>
        <v/>
      </c>
      <c r="CD7" s="57" t="str">
        <f>IF(AND($B7=CD$3,$C7="Strong"),IF(PUF!$S5&gt;0,PUF!$S5,""),"")</f>
        <v/>
      </c>
      <c r="CF7" s="11">
        <f t="shared" si="6"/>
        <v>2007</v>
      </c>
      <c r="CG7" s="57" t="str">
        <f>IF(AND($B7=CG$3,$C7="Strong"),IF(PUF!$U5&gt;0,PUF!$U5,""),"")</f>
        <v/>
      </c>
      <c r="CH7" s="57" t="str">
        <f>IF(AND($B7=CH$3,$C7="Strong"),IF(PUF!$U5&gt;0,PUF!$U5,""),"")</f>
        <v/>
      </c>
      <c r="CI7" s="57" t="str">
        <f>IF(AND($B7=CI$3,$C7="Strong"),IF(PUF!$U5&gt;0,PUF!$U5,""),"")</f>
        <v/>
      </c>
      <c r="CJ7" s="57" t="str">
        <f>IF(AND($B7=CJ$3,$C7="Strong"),IF(PUF!$U5&gt;0,PUF!$U5,""),"")</f>
        <v/>
      </c>
      <c r="CK7" s="57" t="str">
        <f>IF(AND($B7=CK$3,$C7="Strong"),IF(PUF!$U5&gt;0,PUF!$U5,""),"")</f>
        <v/>
      </c>
      <c r="CL7" s="57" t="str">
        <f>IF(AND($B7=CL$3,$C7="Strong"),IF(PUF!$U5&gt;0,PUF!$U5,""),"")</f>
        <v/>
      </c>
      <c r="CM7" s="57" t="str">
        <f>IF(AND($B7=CM$3,$C7="Strong"),IF(PUF!$U5&gt;0,PUF!$U5,""),"")</f>
        <v/>
      </c>
      <c r="CN7" s="57" t="str">
        <f>IF(AND($B7=CN$3,$C7="Strong"),IF(PUF!$U5&gt;0,PUF!$U5,""),"")</f>
        <v/>
      </c>
    </row>
    <row r="8" spans="1:92" x14ac:dyDescent="0.3">
      <c r="A8" s="6">
        <f>PUF!A6</f>
        <v>5</v>
      </c>
      <c r="B8" s="6" t="str">
        <f>PUF!G6</f>
        <v>memory (volatile)</v>
      </c>
      <c r="C8" t="str">
        <f>PUF!AL6</f>
        <v>Weak</v>
      </c>
      <c r="D8" s="166">
        <f>PUF!C6</f>
        <v>2008</v>
      </c>
      <c r="E8" s="167" t="str">
        <f>IF(AND($B8=E$3,$C8="Weak"),IF(PUF!$X6&gt;0,PUF!$X6,""),"")</f>
        <v/>
      </c>
      <c r="F8" s="167" t="str">
        <f>IF(AND($B8=F$3,$C8="Weak"),IF(PUF!$X6&gt;0,PUF!$X6,""),"")</f>
        <v/>
      </c>
      <c r="G8" s="167">
        <f>IF(AND($B8=G$3,$C8="Weak"),IF(PUF!$X6&gt;0,PUF!$X6,""),"")</f>
        <v>1092</v>
      </c>
      <c r="H8" s="167" t="str">
        <f>IF(AND($B8=H$3,$C8="Weak"),IF(PUF!$X6&gt;0,PUF!$X6,""),"")</f>
        <v/>
      </c>
      <c r="I8" s="167" t="str">
        <f>IF(AND($B8=I$3,$C8="Weak"),IF(PUF!$X6&gt;0,PUF!$X6,""),"")</f>
        <v/>
      </c>
      <c r="J8" s="167" t="str">
        <f>IF(AND($B8=J$3,$C8="Weak"),IF(PUF!$X6&gt;0,PUF!$X6,""),"")</f>
        <v/>
      </c>
      <c r="K8" s="167" t="str">
        <f>IF(AND($B8=K$3,$C8="Weak"),IF(PUF!$X6&gt;0,PUF!$X6,""),"")</f>
        <v/>
      </c>
      <c r="L8" s="167" t="str">
        <f>IF(AND($B8=L$3,$C8="Weak"),IF(PUF!$X6&gt;0,PUF!$X6,""),"")</f>
        <v/>
      </c>
      <c r="N8" s="11">
        <f t="shared" si="0"/>
        <v>2008</v>
      </c>
      <c r="O8" s="57" t="str">
        <f>IF(AND($B8=O$3,$C8="Weak"),IF(PUF!$M6&gt;0,PUF!$M6,""),"")</f>
        <v/>
      </c>
      <c r="P8" s="57" t="str">
        <f>IF(AND($B8=P$3,$C8="Weak"),IF(PUF!$M6&gt;0,PUF!$M6,""),"")</f>
        <v/>
      </c>
      <c r="Q8" s="57">
        <f>IF(AND($B8=Q$3,$C8="Weak"),IF(PUF!$M6&gt;0,PUF!$M6,""),"")</f>
        <v>5.46875</v>
      </c>
      <c r="R8" s="57" t="str">
        <f>IF(AND($B8=R$3,$C8="Weak"),IF(PUF!$M6&gt;0,PUF!$M6,""),"")</f>
        <v/>
      </c>
      <c r="S8" s="57" t="str">
        <f>IF(AND($B8=S$3,$C8="Weak"),IF(PUF!$M6&gt;0,PUF!$M6,""),"")</f>
        <v/>
      </c>
      <c r="T8" s="57" t="str">
        <f>IF(AND($B8=T$3,$C8="Weak"),IF(PUF!$M6&gt;0,PUF!$M6,""),"")</f>
        <v/>
      </c>
      <c r="U8" s="57" t="str">
        <f>IF(AND($B8=U$3,$C8="Weak"),IF(PUF!$M6&gt;0,PUF!$M6,""),"")</f>
        <v/>
      </c>
      <c r="V8" s="57" t="str">
        <f>IF(AND($B8=V$3,$C8="Weak"),IF(PUF!$M6&gt;0,PUF!$M6,""),"")</f>
        <v/>
      </c>
      <c r="W8" s="168"/>
      <c r="X8" s="166">
        <f t="shared" si="4"/>
        <v>2008</v>
      </c>
      <c r="Y8" s="57" t="str">
        <f>IF(AND($B8=Y$3,$C8="Weak"),IF(PUF!$S6&gt;0,PUF!$S6,""),"")</f>
        <v/>
      </c>
      <c r="Z8" s="57" t="str">
        <f>IF(AND($B8=Z$3,$C8="Weak"),IF(PUF!$S6&gt;0,PUF!$S6,""),"")</f>
        <v/>
      </c>
      <c r="AA8" s="57">
        <f>IF(AND($B8=AA$3,$C8="Weak"),IF(PUF!$S6&gt;0,PUF!$S6,""),"")</f>
        <v>3.04</v>
      </c>
      <c r="AB8" s="57" t="str">
        <f>IF(AND($B8=AB$3,$C8="Weak"),IF(PUF!$S6&gt;0,PUF!$S6,""),"")</f>
        <v/>
      </c>
      <c r="AC8" s="57" t="str">
        <f>IF(AND($B8=AC$3,$C8="Weak"),IF(PUF!$S6&gt;0,PUF!$S6,""),"")</f>
        <v/>
      </c>
      <c r="AD8" s="57" t="str">
        <f>IF(AND($B8=AD$3,$C8="Weak"),IF(PUF!$S6&gt;0,PUF!$S6,""),"")</f>
        <v/>
      </c>
      <c r="AE8" s="57" t="str">
        <f>IF(AND($B8=AE$3,$C8="Weak"),IF(PUF!$S6&gt;0,PUF!$S6,""),"")</f>
        <v/>
      </c>
      <c r="AF8" s="57" t="str">
        <f>IF(AND($B8=AF$3,$C8="Weak"),IF(PUF!$S6&gt;0,PUF!$S6,""),"")</f>
        <v/>
      </c>
      <c r="AH8" s="210">
        <f t="shared" si="1"/>
        <v>2008</v>
      </c>
      <c r="AI8" s="211" t="str">
        <f>IF(AND($B8=AI$3,$C8="Weak"),IF(PUF!$U6&gt;0,PUF!$U6,""),"")</f>
        <v/>
      </c>
      <c r="AJ8" s="211" t="str">
        <f>IF(AND($B8=AJ$3,$C8="Weak"),IF(PUF!$U6&gt;0,PUF!$U6,""),"")</f>
        <v/>
      </c>
      <c r="AK8" s="211">
        <f>IF(AND($B8=AK$3,$C8="Weak"),IF(PUF!$U6&gt;0,PUF!$U6,""),"")</f>
        <v>0.93</v>
      </c>
      <c r="AL8" s="211" t="str">
        <f>IF(AND($B8=AL$3,$C8="Weak"),IF(PUF!$U6&gt;0,PUF!$U6,""),"")</f>
        <v/>
      </c>
      <c r="AM8" s="211" t="str">
        <f>IF(AND($B8=AM$3,$C8="Weak"),IF(PUF!$U6&gt;0,PUF!$U6,""),"")</f>
        <v/>
      </c>
      <c r="AN8" s="211" t="str">
        <f>IF(AND($B8=AN$3,$C8="Weak"),IF(PUF!$U6&gt;0,PUF!$U6,""),"")</f>
        <v/>
      </c>
      <c r="AO8" s="211" t="str">
        <f>IF(AND($B8=AO$3,$C8="Weak"),IF(PUF!$U6&gt;0,PUF!$U6,""),"")</f>
        <v/>
      </c>
      <c r="AP8" s="211" t="str">
        <f>IF(AND($B8=AP$3,$C8="Weak"),IF(PUF!$U6&gt;0,PUF!$U6,""),"")</f>
        <v/>
      </c>
      <c r="BB8" s="166">
        <f t="shared" si="2"/>
        <v>2008</v>
      </c>
      <c r="BC8" s="57" t="str">
        <f>IF(AND($B8=BC$3,$C8="Strong"),IF(PUF!$X6&gt;0,PUF!$X6,""),"")</f>
        <v/>
      </c>
      <c r="BD8" s="57" t="str">
        <f>IF(AND($B8=BD$3,$C8="Strong"),IF(PUF!$X6&gt;0,PUF!$X6,""),"")</f>
        <v/>
      </c>
      <c r="BE8" s="57" t="str">
        <f>IF(AND($B8=BE$3,$C8="Strong"),IF(PUF!$X6&gt;0,PUF!$X6,""),"")</f>
        <v/>
      </c>
      <c r="BF8" s="57" t="str">
        <f>IF(AND($B8=BF$3,$C8="Strong"),IF(PUF!$X6&gt;0,PUF!$X6,""),"")</f>
        <v/>
      </c>
      <c r="BG8" s="57" t="str">
        <f>IF(AND($B8=BG$3,$C8="Strong"),IF(PUF!$X6&gt;0,PUF!$X6,""),"")</f>
        <v/>
      </c>
      <c r="BH8" s="57" t="str">
        <f>IF(AND($B8=BH$3,$C8="Strong"),IF(PUF!$X6&gt;0,PUF!$X6,""),"")</f>
        <v/>
      </c>
      <c r="BI8" s="57" t="str">
        <f>IF(AND($B8=BI$3,$C8="Strong"),IF(PUF!$X6&gt;0,PUF!$X6,""),"")</f>
        <v/>
      </c>
      <c r="BJ8" s="57" t="str">
        <f>IF(AND($B8=BJ$3,$C8="Strong"),IF(PUF!$X6&gt;0,PUF!$X6,""),"")</f>
        <v/>
      </c>
      <c r="BL8" s="166">
        <f t="shared" si="3"/>
        <v>2008</v>
      </c>
      <c r="BM8" s="57" t="str">
        <f>IF(AND($B8=BM$3,$C8="Strong"),IF(PUF!$M6&gt;0,PUF!$M6,""),"")</f>
        <v/>
      </c>
      <c r="BN8" s="57" t="str">
        <f>IF(AND($B8=BN$3,$C8="Strong"),IF(PUF!$M6&gt;0,PUF!$M6,""),"")</f>
        <v/>
      </c>
      <c r="BO8" s="57" t="str">
        <f>IF(AND($B8=BO$3,$C8="Strong"),IF(PUF!$M6&gt;0,PUF!$M6,""),"")</f>
        <v/>
      </c>
      <c r="BP8" s="57" t="str">
        <f>IF(AND($B8=BP$3,$C8="Strong"),IF(PUF!$M6&gt;0,PUF!$M6,""),"")</f>
        <v/>
      </c>
      <c r="BQ8" s="57" t="str">
        <f>IF(AND($B8=BQ$3,$C8="Strong"),IF(PUF!$M6&gt;0,PUF!$M6,""),"")</f>
        <v/>
      </c>
      <c r="BR8" s="57" t="str">
        <f>IF(AND($B8=BR$3,$C8="Strong"),IF(PUF!$M6&gt;0,PUF!$M6,""),"")</f>
        <v/>
      </c>
      <c r="BS8" s="57" t="str">
        <f>IF(AND($B8=BS$3,$C8="Strong"),IF(PUF!$M6&gt;0,PUF!$M6,""),"")</f>
        <v/>
      </c>
      <c r="BT8" s="57" t="str">
        <f>IF(AND($B8=BT$3,$C8="Strong"),IF(PUF!$M6&gt;0,PUF!$M6,""),"")</f>
        <v/>
      </c>
      <c r="BV8" s="166">
        <f t="shared" si="5"/>
        <v>2008</v>
      </c>
      <c r="BW8" s="57" t="str">
        <f>IF(AND($B8=BW$3,$C8="Strong"),IF(PUF!$S6&gt;0,PUF!$S6,""),"")</f>
        <v/>
      </c>
      <c r="BX8" s="57" t="str">
        <f>IF(AND($B8=BX$3,$C8="Strong"),IF(PUF!$S6&gt;0,PUF!$S6,""),"")</f>
        <v/>
      </c>
      <c r="BY8" s="57" t="str">
        <f>IF(AND($B8=BY$3,$C8="Strong"),IF(PUF!$S6&gt;0,PUF!$S6,""),"")</f>
        <v/>
      </c>
      <c r="BZ8" s="57" t="str">
        <f>IF(AND($B8=BZ$3,$C8="Strong"),IF(PUF!$S6&gt;0,PUF!$S6,""),"")</f>
        <v/>
      </c>
      <c r="CA8" s="57" t="str">
        <f>IF(AND($B8=CA$3,$C8="Strong"),IF(PUF!$S6&gt;0,PUF!$S6,""),"")</f>
        <v/>
      </c>
      <c r="CB8" s="57" t="str">
        <f>IF(AND($B8=CB$3,$C8="Strong"),IF(PUF!$S6&gt;0,PUF!$S6,""),"")</f>
        <v/>
      </c>
      <c r="CC8" s="57" t="str">
        <f>IF(AND($B8=CC$3,$C8="Strong"),IF(PUF!$S6&gt;0,PUF!$S6,""),"")</f>
        <v/>
      </c>
      <c r="CD8" s="57" t="str">
        <f>IF(AND($B8=CD$3,$C8="Strong"),IF(PUF!$S6&gt;0,PUF!$S6,""),"")</f>
        <v/>
      </c>
      <c r="CF8" s="11">
        <f t="shared" si="6"/>
        <v>2008</v>
      </c>
      <c r="CG8" s="57" t="str">
        <f>IF(AND($B8=CG$3,$C8="Strong"),IF(PUF!$U6&gt;0,PUF!$U6,""),"")</f>
        <v/>
      </c>
      <c r="CH8" s="57" t="str">
        <f>IF(AND($B8=CH$3,$C8="Strong"),IF(PUF!$U6&gt;0,PUF!$U6,""),"")</f>
        <v/>
      </c>
      <c r="CI8" s="57" t="str">
        <f>IF(AND($B8=CI$3,$C8="Strong"),IF(PUF!$U6&gt;0,PUF!$U6,""),"")</f>
        <v/>
      </c>
      <c r="CJ8" s="57" t="str">
        <f>IF(AND($B8=CJ$3,$C8="Strong"),IF(PUF!$U6&gt;0,PUF!$U6,""),"")</f>
        <v/>
      </c>
      <c r="CK8" s="57" t="str">
        <f>IF(AND($B8=CK$3,$C8="Strong"),IF(PUF!$U6&gt;0,PUF!$U6,""),"")</f>
        <v/>
      </c>
      <c r="CL8" s="57" t="str">
        <f>IF(AND($B8=CL$3,$C8="Strong"),IF(PUF!$U6&gt;0,PUF!$U6,""),"")</f>
        <v/>
      </c>
      <c r="CM8" s="57" t="str">
        <f>IF(AND($B8=CM$3,$C8="Strong"),IF(PUF!$U6&gt;0,PUF!$U6,""),"")</f>
        <v/>
      </c>
      <c r="CN8" s="57" t="str">
        <f>IF(AND($B8=CN$3,$C8="Strong"),IF(PUF!$U6&gt;0,PUF!$U6,""),"")</f>
        <v/>
      </c>
    </row>
    <row r="9" spans="1:92" x14ac:dyDescent="0.3">
      <c r="A9" s="6">
        <f>PUF!A7</f>
        <v>6</v>
      </c>
      <c r="B9" s="6" t="str">
        <f>PUF!G7</f>
        <v>analog</v>
      </c>
      <c r="C9" t="str">
        <f>PUF!AL7</f>
        <v>Weak</v>
      </c>
      <c r="D9" s="166">
        <f>PUF!C7</f>
        <v>2008</v>
      </c>
      <c r="E9" s="167">
        <f>IF(AND($B9=E$3,$C9="Weak"),IF(PUF!$X7&gt;0,PUF!$X7,""),"")</f>
        <v>4340.2777777777783</v>
      </c>
      <c r="F9" s="167" t="str">
        <f>IF(AND($B9=F$3,$C9="Weak"),IF(PUF!$X7&gt;0,PUF!$X7,""),"")</f>
        <v/>
      </c>
      <c r="G9" s="167" t="str">
        <f>IF(AND($B9=G$3,$C9="Weak"),IF(PUF!$X7&gt;0,PUF!$X7,""),"")</f>
        <v/>
      </c>
      <c r="H9" s="167" t="str">
        <f>IF(AND($B9=H$3,$C9="Weak"),IF(PUF!$X7&gt;0,PUF!$X7,""),"")</f>
        <v/>
      </c>
      <c r="I9" s="167" t="str">
        <f>IF(AND($B9=I$3,$C9="Weak"),IF(PUF!$X7&gt;0,PUF!$X7,""),"")</f>
        <v/>
      </c>
      <c r="J9" s="167" t="str">
        <f>IF(AND($B9=J$3,$C9="Weak"),IF(PUF!$X7&gt;0,PUF!$X7,""),"")</f>
        <v/>
      </c>
      <c r="K9" s="167" t="str">
        <f>IF(AND($B9=K$3,$C9="Weak"),IF(PUF!$X7&gt;0,PUF!$X7,""),"")</f>
        <v/>
      </c>
      <c r="L9" s="167" t="str">
        <f>IF(AND($B9=L$3,$C9="Weak"),IF(PUF!$X7&gt;0,PUF!$X7,""),"")</f>
        <v/>
      </c>
      <c r="N9" s="11">
        <f t="shared" si="0"/>
        <v>2008</v>
      </c>
      <c r="O9" s="57">
        <f>IF(AND($B9=O$3,$C9="Weak"),IF(PUF!$M7&gt;0,PUF!$M7,""),"")</f>
        <v>7.0000000000000007E-2</v>
      </c>
      <c r="P9" s="57" t="str">
        <f>IF(AND($B9=P$3,$C9="Weak"),IF(PUF!$M7&gt;0,PUF!$M7,""),"")</f>
        <v/>
      </c>
      <c r="Q9" s="57" t="str">
        <f>IF(AND($B9=Q$3,$C9="Weak"),IF(PUF!$M7&gt;0,PUF!$M7,""),"")</f>
        <v/>
      </c>
      <c r="R9" s="57" t="str">
        <f>IF(AND($B9=R$3,$C9="Weak"),IF(PUF!$M7&gt;0,PUF!$M7,""),"")</f>
        <v/>
      </c>
      <c r="S9" s="57" t="str">
        <f>IF(AND($B9=S$3,$C9="Weak"),IF(PUF!$M7&gt;0,PUF!$M7,""),"")</f>
        <v/>
      </c>
      <c r="T9" s="57" t="str">
        <f>IF(AND($B9=T$3,$C9="Weak"),IF(PUF!$M7&gt;0,PUF!$M7,""),"")</f>
        <v/>
      </c>
      <c r="U9" s="57" t="str">
        <f>IF(AND($B9=U$3,$C9="Weak"),IF(PUF!$M7&gt;0,PUF!$M7,""),"")</f>
        <v/>
      </c>
      <c r="V9" s="57" t="str">
        <f>IF(AND($B9=V$3,$C9="Weak"),IF(PUF!$M7&gt;0,PUF!$M7,""),"")</f>
        <v/>
      </c>
      <c r="W9" s="168"/>
      <c r="X9" s="166">
        <f t="shared" si="4"/>
        <v>2008</v>
      </c>
      <c r="Y9" s="57" t="str">
        <f>IF(AND($B9=Y$3,$C9="Weak"),IF(PUF!$S7&gt;0,PUF!$S7,""),"")</f>
        <v>N/A</v>
      </c>
      <c r="Z9" s="57" t="str">
        <f>IF(AND($B9=Z$3,$C9="Weak"),IF(PUF!$S7&gt;0,PUF!$S7,""),"")</f>
        <v/>
      </c>
      <c r="AA9" s="57" t="str">
        <f>IF(AND($B9=AA$3,$C9="Weak"),IF(PUF!$S7&gt;0,PUF!$S7,""),"")</f>
        <v/>
      </c>
      <c r="AB9" s="57" t="str">
        <f>IF(AND($B9=AB$3,$C9="Weak"),IF(PUF!$S7&gt;0,PUF!$S7,""),"")</f>
        <v/>
      </c>
      <c r="AC9" s="57" t="str">
        <f>IF(AND($B9=AC$3,$C9="Weak"),IF(PUF!$S7&gt;0,PUF!$S7,""),"")</f>
        <v/>
      </c>
      <c r="AD9" s="57" t="str">
        <f>IF(AND($B9=AD$3,$C9="Weak"),IF(PUF!$S7&gt;0,PUF!$S7,""),"")</f>
        <v/>
      </c>
      <c r="AE9" s="57" t="str">
        <f>IF(AND($B9=AE$3,$C9="Weak"),IF(PUF!$S7&gt;0,PUF!$S7,""),"")</f>
        <v/>
      </c>
      <c r="AF9" s="57" t="str">
        <f>IF(AND($B9=AF$3,$C9="Weak"),IF(PUF!$S7&gt;0,PUF!$S7,""),"")</f>
        <v/>
      </c>
      <c r="AH9" s="210">
        <f t="shared" si="1"/>
        <v>2008</v>
      </c>
      <c r="AI9" s="211">
        <f>IF(AND($B9=AI$3,$C9="Weak"),IF(PUF!$U7&gt;0,PUF!$U7,""),"")</f>
        <v>39.0625</v>
      </c>
      <c r="AJ9" s="211" t="str">
        <f>IF(AND($B9=AJ$3,$C9="Weak"),IF(PUF!$U7&gt;0,PUF!$U7,""),"")</f>
        <v/>
      </c>
      <c r="AK9" s="211" t="str">
        <f>IF(AND($B9=AK$3,$C9="Weak"),IF(PUF!$U7&gt;0,PUF!$U7,""),"")</f>
        <v/>
      </c>
      <c r="AL9" s="211" t="str">
        <f>IF(AND($B9=AL$3,$C9="Weak"),IF(PUF!$U7&gt;0,PUF!$U7,""),"")</f>
        <v/>
      </c>
      <c r="AM9" s="211" t="str">
        <f>IF(AND($B9=AM$3,$C9="Weak"),IF(PUF!$U7&gt;0,PUF!$U7,""),"")</f>
        <v/>
      </c>
      <c r="AN9" s="211" t="str">
        <f>IF(AND($B9=AN$3,$C9="Weak"),IF(PUF!$U7&gt;0,PUF!$U7,""),"")</f>
        <v/>
      </c>
      <c r="AO9" s="211" t="str">
        <f>IF(AND($B9=AO$3,$C9="Weak"),IF(PUF!$U7&gt;0,PUF!$U7,""),"")</f>
        <v/>
      </c>
      <c r="AP9" s="211" t="str">
        <f>IF(AND($B9=AP$3,$C9="Weak"),IF(PUF!$U7&gt;0,PUF!$U7,""),"")</f>
        <v/>
      </c>
      <c r="BB9" s="166">
        <f t="shared" si="2"/>
        <v>2008</v>
      </c>
      <c r="BC9" s="57" t="str">
        <f>IF(AND($B9=BC$3,$C9="Strong"),IF(PUF!$X7&gt;0,PUF!$X7,""),"")</f>
        <v/>
      </c>
      <c r="BD9" s="57" t="str">
        <f>IF(AND($B9=BD$3,$C9="Strong"),IF(PUF!$X7&gt;0,PUF!$X7,""),"")</f>
        <v/>
      </c>
      <c r="BE9" s="57" t="str">
        <f>IF(AND($B9=BE$3,$C9="Strong"),IF(PUF!$X7&gt;0,PUF!$X7,""),"")</f>
        <v/>
      </c>
      <c r="BF9" s="57" t="str">
        <f>IF(AND($B9=BF$3,$C9="Strong"),IF(PUF!$X7&gt;0,PUF!$X7,""),"")</f>
        <v/>
      </c>
      <c r="BG9" s="57" t="str">
        <f>IF(AND($B9=BG$3,$C9="Strong"),IF(PUF!$X7&gt;0,PUF!$X7,""),"")</f>
        <v/>
      </c>
      <c r="BH9" s="57" t="str">
        <f>IF(AND($B9=BH$3,$C9="Strong"),IF(PUF!$X7&gt;0,PUF!$X7,""),"")</f>
        <v/>
      </c>
      <c r="BI9" s="57" t="str">
        <f>IF(AND($B9=BI$3,$C9="Strong"),IF(PUF!$X7&gt;0,PUF!$X7,""),"")</f>
        <v/>
      </c>
      <c r="BJ9" s="57" t="str">
        <f>IF(AND($B9=BJ$3,$C9="Strong"),IF(PUF!$X7&gt;0,PUF!$X7,""),"")</f>
        <v/>
      </c>
      <c r="BL9" s="166">
        <f t="shared" si="3"/>
        <v>2008</v>
      </c>
      <c r="BM9" s="57" t="str">
        <f>IF(AND($B9=BM$3,$C9="Strong"),IF(PUF!$M7&gt;0,PUF!$M7,""),"")</f>
        <v/>
      </c>
      <c r="BN9" s="57" t="str">
        <f>IF(AND($B9=BN$3,$C9="Strong"),IF(PUF!$M7&gt;0,PUF!$M7,""),"")</f>
        <v/>
      </c>
      <c r="BO9" s="57" t="str">
        <f>IF(AND($B9=BO$3,$C9="Strong"),IF(PUF!$M7&gt;0,PUF!$M7,""),"")</f>
        <v/>
      </c>
      <c r="BP9" s="57" t="str">
        <f>IF(AND($B9=BP$3,$C9="Strong"),IF(PUF!$M7&gt;0,PUF!$M7,""),"")</f>
        <v/>
      </c>
      <c r="BQ9" s="57" t="str">
        <f>IF(AND($B9=BQ$3,$C9="Strong"),IF(PUF!$M7&gt;0,PUF!$M7,""),"")</f>
        <v/>
      </c>
      <c r="BR9" s="57" t="str">
        <f>IF(AND($B9=BR$3,$C9="Strong"),IF(PUF!$M7&gt;0,PUF!$M7,""),"")</f>
        <v/>
      </c>
      <c r="BS9" s="57" t="str">
        <f>IF(AND($B9=BS$3,$C9="Strong"),IF(PUF!$M7&gt;0,PUF!$M7,""),"")</f>
        <v/>
      </c>
      <c r="BT9" s="57" t="str">
        <f>IF(AND($B9=BT$3,$C9="Strong"),IF(PUF!$M7&gt;0,PUF!$M7,""),"")</f>
        <v/>
      </c>
      <c r="BV9" s="166">
        <f t="shared" si="5"/>
        <v>2008</v>
      </c>
      <c r="BW9" s="57" t="str">
        <f>IF(AND($B9=BW$3,$C9="Strong"),IF(PUF!$S7&gt;0,PUF!$S7,""),"")</f>
        <v/>
      </c>
      <c r="BX9" s="57" t="str">
        <f>IF(AND($B9=BX$3,$C9="Strong"),IF(PUF!$S7&gt;0,PUF!$S7,""),"")</f>
        <v/>
      </c>
      <c r="BY9" s="57" t="str">
        <f>IF(AND($B9=BY$3,$C9="Strong"),IF(PUF!$S7&gt;0,PUF!$S7,""),"")</f>
        <v/>
      </c>
      <c r="BZ9" s="57" t="str">
        <f>IF(AND($B9=BZ$3,$C9="Strong"),IF(PUF!$S7&gt;0,PUF!$S7,""),"")</f>
        <v/>
      </c>
      <c r="CA9" s="57" t="str">
        <f>IF(AND($B9=CA$3,$C9="Strong"),IF(PUF!$S7&gt;0,PUF!$S7,""),"")</f>
        <v/>
      </c>
      <c r="CB9" s="57" t="str">
        <f>IF(AND($B9=CB$3,$C9="Strong"),IF(PUF!$S7&gt;0,PUF!$S7,""),"")</f>
        <v/>
      </c>
      <c r="CC9" s="57" t="str">
        <f>IF(AND($B9=CC$3,$C9="Strong"),IF(PUF!$S7&gt;0,PUF!$S7,""),"")</f>
        <v/>
      </c>
      <c r="CD9" s="57" t="str">
        <f>IF(AND($B9=CD$3,$C9="Strong"),IF(PUF!$S7&gt;0,PUF!$S7,""),"")</f>
        <v/>
      </c>
      <c r="CF9" s="11">
        <f t="shared" si="6"/>
        <v>2008</v>
      </c>
      <c r="CG9" s="57" t="str">
        <f>IF(AND($B9=CG$3,$C9="Strong"),IF(PUF!$U7&gt;0,PUF!$U7,""),"")</f>
        <v/>
      </c>
      <c r="CH9" s="57" t="str">
        <f>IF(AND($B9=CH$3,$C9="Strong"),IF(PUF!$U7&gt;0,PUF!$U7,""),"")</f>
        <v/>
      </c>
      <c r="CI9" s="57" t="str">
        <f>IF(AND($B9=CI$3,$C9="Strong"),IF(PUF!$U7&gt;0,PUF!$U7,""),"")</f>
        <v/>
      </c>
      <c r="CJ9" s="57" t="str">
        <f>IF(AND($B9=CJ$3,$C9="Strong"),IF(PUF!$U7&gt;0,PUF!$U7,""),"")</f>
        <v/>
      </c>
      <c r="CK9" s="57" t="str">
        <f>IF(AND($B9=CK$3,$C9="Strong"),IF(PUF!$U7&gt;0,PUF!$U7,""),"")</f>
        <v/>
      </c>
      <c r="CL9" s="57" t="str">
        <f>IF(AND($B9=CL$3,$C9="Strong"),IF(PUF!$U7&gt;0,PUF!$U7,""),"")</f>
        <v/>
      </c>
      <c r="CM9" s="57" t="str">
        <f>IF(AND($B9=CM$3,$C9="Strong"),IF(PUF!$U7&gt;0,PUF!$U7,""),"")</f>
        <v/>
      </c>
      <c r="CN9" s="57" t="str">
        <f>IF(AND($B9=CN$3,$C9="Strong"),IF(PUF!$U7&gt;0,PUF!$U7,""),"")</f>
        <v/>
      </c>
    </row>
    <row r="10" spans="1:92" x14ac:dyDescent="0.3">
      <c r="A10" s="6">
        <f>PUF!A8</f>
        <v>7</v>
      </c>
      <c r="B10" s="6" t="str">
        <f>PUF!G8</f>
        <v>analog</v>
      </c>
      <c r="C10" t="str">
        <f>PUF!AL8</f>
        <v>Weak</v>
      </c>
      <c r="D10" s="166">
        <f>PUF!C8</f>
        <v>2009</v>
      </c>
      <c r="E10" s="167">
        <f>IF(AND($B10=E$3,$C10="Weak"),IF(PUF!$X8&gt;0,PUF!$X8,""),"")</f>
        <v>1055.8328510802469</v>
      </c>
      <c r="F10" s="167" t="str">
        <f>IF(AND($B10=F$3,$C10="Weak"),IF(PUF!$X8&gt;0,PUF!$X8,""),"")</f>
        <v/>
      </c>
      <c r="G10" s="167" t="str">
        <f>IF(AND($B10=G$3,$C10="Weak"),IF(PUF!$X8&gt;0,PUF!$X8,""),"")</f>
        <v/>
      </c>
      <c r="H10" s="167" t="str">
        <f>IF(AND($B10=H$3,$C10="Weak"),IF(PUF!$X8&gt;0,PUF!$X8,""),"")</f>
        <v/>
      </c>
      <c r="I10" s="167" t="str">
        <f>IF(AND($B10=I$3,$C10="Weak"),IF(PUF!$X8&gt;0,PUF!$X8,""),"")</f>
        <v/>
      </c>
      <c r="J10" s="167" t="str">
        <f>IF(AND($B10=J$3,$C10="Weak"),IF(PUF!$X8&gt;0,PUF!$X8,""),"")</f>
        <v/>
      </c>
      <c r="K10" s="167" t="str">
        <f>IF(AND($B10=K$3,$C10="Weak"),IF(PUF!$X8&gt;0,PUF!$X8,""),"")</f>
        <v/>
      </c>
      <c r="L10" s="167" t="str">
        <f>IF(AND($B10=L$3,$C10="Weak"),IF(PUF!$X8&gt;0,PUF!$X8,""),"")</f>
        <v/>
      </c>
      <c r="N10" s="11">
        <f t="shared" si="0"/>
        <v>2009</v>
      </c>
      <c r="O10" s="57">
        <f>IF(AND($B10=O$3,$C10="Weak"),IF(PUF!$M8&gt;0,PUF!$M8,""),"")</f>
        <v>8.9999999999999993E-3</v>
      </c>
      <c r="P10" s="57" t="str">
        <f>IF(AND($B10=P$3,$C10="Weak"),IF(PUF!$M8&gt;0,PUF!$M8,""),"")</f>
        <v/>
      </c>
      <c r="Q10" s="57" t="str">
        <f>IF(AND($B10=Q$3,$C10="Weak"),IF(PUF!$M8&gt;0,PUF!$M8,""),"")</f>
        <v/>
      </c>
      <c r="R10" s="57" t="str">
        <f>IF(AND($B10=R$3,$C10="Weak"),IF(PUF!$M8&gt;0,PUF!$M8,""),"")</f>
        <v/>
      </c>
      <c r="S10" s="57" t="str">
        <f>IF(AND($B10=S$3,$C10="Weak"),IF(PUF!$M8&gt;0,PUF!$M8,""),"")</f>
        <v/>
      </c>
      <c r="T10" s="57" t="str">
        <f>IF(AND($B10=T$3,$C10="Weak"),IF(PUF!$M8&gt;0,PUF!$M8,""),"")</f>
        <v/>
      </c>
      <c r="U10" s="57" t="str">
        <f>IF(AND($B10=U$3,$C10="Weak"),IF(PUF!$M8&gt;0,PUF!$M8,""),"")</f>
        <v/>
      </c>
      <c r="V10" s="57" t="str">
        <f>IF(AND($B10=V$3,$C10="Weak"),IF(PUF!$M8&gt;0,PUF!$M8,""),"")</f>
        <v/>
      </c>
      <c r="W10" s="168"/>
      <c r="X10" s="166">
        <f t="shared" si="4"/>
        <v>2009</v>
      </c>
      <c r="Y10" s="57" t="str">
        <f>IF(AND($B10=Y$3,$C10="Weak"),IF(PUF!$S8&gt;0,PUF!$S8,""),"")</f>
        <v>N/A</v>
      </c>
      <c r="Z10" s="57" t="str">
        <f>IF(AND($B10=Z$3,$C10="Weak"),IF(PUF!$S8&gt;0,PUF!$S8,""),"")</f>
        <v/>
      </c>
      <c r="AA10" s="57" t="str">
        <f>IF(AND($B10=AA$3,$C10="Weak"),IF(PUF!$S8&gt;0,PUF!$S8,""),"")</f>
        <v/>
      </c>
      <c r="AB10" s="57" t="str">
        <f>IF(AND($B10=AB$3,$C10="Weak"),IF(PUF!$S8&gt;0,PUF!$S8,""),"")</f>
        <v/>
      </c>
      <c r="AC10" s="57" t="str">
        <f>IF(AND($B10=AC$3,$C10="Weak"),IF(PUF!$S8&gt;0,PUF!$S8,""),"")</f>
        <v/>
      </c>
      <c r="AD10" s="57" t="str">
        <f>IF(AND($B10=AD$3,$C10="Weak"),IF(PUF!$S8&gt;0,PUF!$S8,""),"")</f>
        <v/>
      </c>
      <c r="AE10" s="57" t="str">
        <f>IF(AND($B10=AE$3,$C10="Weak"),IF(PUF!$S8&gt;0,PUF!$S8,""),"")</f>
        <v/>
      </c>
      <c r="AF10" s="57" t="str">
        <f>IF(AND($B10=AF$3,$C10="Weak"),IF(PUF!$S8&gt;0,PUF!$S8,""),"")</f>
        <v/>
      </c>
      <c r="AH10" s="210">
        <f t="shared" si="1"/>
        <v>2009</v>
      </c>
      <c r="AI10" s="211">
        <f>IF(AND($B10=AI$3,$C10="Weak"),IF(PUF!$U8&gt;0,PUF!$U8,""),"")</f>
        <v>49.479166666666664</v>
      </c>
      <c r="AJ10" s="211" t="str">
        <f>IF(AND($B10=AJ$3,$C10="Weak"),IF(PUF!$U8&gt;0,PUF!$U8,""),"")</f>
        <v/>
      </c>
      <c r="AK10" s="211" t="str">
        <f>IF(AND($B10=AK$3,$C10="Weak"),IF(PUF!$U8&gt;0,PUF!$U8,""),"")</f>
        <v/>
      </c>
      <c r="AL10" s="211" t="str">
        <f>IF(AND($B10=AL$3,$C10="Weak"),IF(PUF!$U8&gt;0,PUF!$U8,""),"")</f>
        <v/>
      </c>
      <c r="AM10" s="211" t="str">
        <f>IF(AND($B10=AM$3,$C10="Weak"),IF(PUF!$U8&gt;0,PUF!$U8,""),"")</f>
        <v/>
      </c>
      <c r="AN10" s="211" t="str">
        <f>IF(AND($B10=AN$3,$C10="Weak"),IF(PUF!$U8&gt;0,PUF!$U8,""),"")</f>
        <v/>
      </c>
      <c r="AO10" s="211" t="str">
        <f>IF(AND($B10=AO$3,$C10="Weak"),IF(PUF!$U8&gt;0,PUF!$U8,""),"")</f>
        <v/>
      </c>
      <c r="AP10" s="211" t="str">
        <f>IF(AND($B10=AP$3,$C10="Weak"),IF(PUF!$U8&gt;0,PUF!$U8,""),"")</f>
        <v/>
      </c>
      <c r="BB10" s="166">
        <f t="shared" si="2"/>
        <v>2009</v>
      </c>
      <c r="BC10" s="57" t="str">
        <f>IF(AND($B10=BC$3,$C10="Strong"),IF(PUF!$X8&gt;0,PUF!$X8,""),"")</f>
        <v/>
      </c>
      <c r="BD10" s="57" t="str">
        <f>IF(AND($B10=BD$3,$C10="Strong"),IF(PUF!$X8&gt;0,PUF!$X8,""),"")</f>
        <v/>
      </c>
      <c r="BE10" s="57" t="str">
        <f>IF(AND($B10=BE$3,$C10="Strong"),IF(PUF!$X8&gt;0,PUF!$X8,""),"")</f>
        <v/>
      </c>
      <c r="BF10" s="57" t="str">
        <f>IF(AND($B10=BF$3,$C10="Strong"),IF(PUF!$X8&gt;0,PUF!$X8,""),"")</f>
        <v/>
      </c>
      <c r="BG10" s="57" t="str">
        <f>IF(AND($B10=BG$3,$C10="Strong"),IF(PUF!$X8&gt;0,PUF!$X8,""),"")</f>
        <v/>
      </c>
      <c r="BH10" s="57" t="str">
        <f>IF(AND($B10=BH$3,$C10="Strong"),IF(PUF!$X8&gt;0,PUF!$X8,""),"")</f>
        <v/>
      </c>
      <c r="BI10" s="57" t="str">
        <f>IF(AND($B10=BI$3,$C10="Strong"),IF(PUF!$X8&gt;0,PUF!$X8,""),"")</f>
        <v/>
      </c>
      <c r="BJ10" s="57" t="str">
        <f>IF(AND($B10=BJ$3,$C10="Strong"),IF(PUF!$X8&gt;0,PUF!$X8,""),"")</f>
        <v/>
      </c>
      <c r="BL10" s="166">
        <f t="shared" si="3"/>
        <v>2009</v>
      </c>
      <c r="BM10" s="57" t="str">
        <f>IF(AND($B10=BM$3,$C10="Strong"),IF(PUF!$M8&gt;0,PUF!$M8,""),"")</f>
        <v/>
      </c>
      <c r="BN10" s="57" t="str">
        <f>IF(AND($B10=BN$3,$C10="Strong"),IF(PUF!$M8&gt;0,PUF!$M8,""),"")</f>
        <v/>
      </c>
      <c r="BO10" s="57" t="str">
        <f>IF(AND($B10=BO$3,$C10="Strong"),IF(PUF!$M8&gt;0,PUF!$M8,""),"")</f>
        <v/>
      </c>
      <c r="BP10" s="57" t="str">
        <f>IF(AND($B10=BP$3,$C10="Strong"),IF(PUF!$M8&gt;0,PUF!$M8,""),"")</f>
        <v/>
      </c>
      <c r="BQ10" s="57" t="str">
        <f>IF(AND($B10=BQ$3,$C10="Strong"),IF(PUF!$M8&gt;0,PUF!$M8,""),"")</f>
        <v/>
      </c>
      <c r="BR10" s="57" t="str">
        <f>IF(AND($B10=BR$3,$C10="Strong"),IF(PUF!$M8&gt;0,PUF!$M8,""),"")</f>
        <v/>
      </c>
      <c r="BS10" s="57" t="str">
        <f>IF(AND($B10=BS$3,$C10="Strong"),IF(PUF!$M8&gt;0,PUF!$M8,""),"")</f>
        <v/>
      </c>
      <c r="BT10" s="57" t="str">
        <f>IF(AND($B10=BT$3,$C10="Strong"),IF(PUF!$M8&gt;0,PUF!$M8,""),"")</f>
        <v/>
      </c>
      <c r="BV10" s="166">
        <f t="shared" si="5"/>
        <v>2009</v>
      </c>
      <c r="BW10" s="57" t="str">
        <f>IF(AND($B10=BW$3,$C10="Strong"),IF(PUF!$S8&gt;0,PUF!$S8,""),"")</f>
        <v/>
      </c>
      <c r="BX10" s="57" t="str">
        <f>IF(AND($B10=BX$3,$C10="Strong"),IF(PUF!$S8&gt;0,PUF!$S8,""),"")</f>
        <v/>
      </c>
      <c r="BY10" s="57" t="str">
        <f>IF(AND($B10=BY$3,$C10="Strong"),IF(PUF!$S8&gt;0,PUF!$S8,""),"")</f>
        <v/>
      </c>
      <c r="BZ10" s="57" t="str">
        <f>IF(AND($B10=BZ$3,$C10="Strong"),IF(PUF!$S8&gt;0,PUF!$S8,""),"")</f>
        <v/>
      </c>
      <c r="CA10" s="57" t="str">
        <f>IF(AND($B10=CA$3,$C10="Strong"),IF(PUF!$S8&gt;0,PUF!$S8,""),"")</f>
        <v/>
      </c>
      <c r="CB10" s="57" t="str">
        <f>IF(AND($B10=CB$3,$C10="Strong"),IF(PUF!$S8&gt;0,PUF!$S8,""),"")</f>
        <v/>
      </c>
      <c r="CC10" s="57" t="str">
        <f>IF(AND($B10=CC$3,$C10="Strong"),IF(PUF!$S8&gt;0,PUF!$S8,""),"")</f>
        <v/>
      </c>
      <c r="CD10" s="57" t="str">
        <f>IF(AND($B10=CD$3,$C10="Strong"),IF(PUF!$S8&gt;0,PUF!$S8,""),"")</f>
        <v/>
      </c>
      <c r="CF10" s="11">
        <f t="shared" si="6"/>
        <v>2009</v>
      </c>
      <c r="CG10" s="57" t="str">
        <f>IF(AND($B10=CG$3,$C10="Strong"),IF(PUF!$U8&gt;0,PUF!$U8,""),"")</f>
        <v/>
      </c>
      <c r="CH10" s="57" t="str">
        <f>IF(AND($B10=CH$3,$C10="Strong"),IF(PUF!$U8&gt;0,PUF!$U8,""),"")</f>
        <v/>
      </c>
      <c r="CI10" s="57" t="str">
        <f>IF(AND($B10=CI$3,$C10="Strong"),IF(PUF!$U8&gt;0,PUF!$U8,""),"")</f>
        <v/>
      </c>
      <c r="CJ10" s="57" t="str">
        <f>IF(AND($B10=CJ$3,$C10="Strong"),IF(PUF!$U8&gt;0,PUF!$U8,""),"")</f>
        <v/>
      </c>
      <c r="CK10" s="57" t="str">
        <f>IF(AND($B10=CK$3,$C10="Strong"),IF(PUF!$U8&gt;0,PUF!$U8,""),"")</f>
        <v/>
      </c>
      <c r="CL10" s="57" t="str">
        <f>IF(AND($B10=CL$3,$C10="Strong"),IF(PUF!$U8&gt;0,PUF!$U8,""),"")</f>
        <v/>
      </c>
      <c r="CM10" s="57" t="str">
        <f>IF(AND($B10=CM$3,$C10="Strong"),IF(PUF!$U8&gt;0,PUF!$U8,""),"")</f>
        <v/>
      </c>
      <c r="CN10" s="57" t="str">
        <f>IF(AND($B10=CN$3,$C10="Strong"),IF(PUF!$U8&gt;0,PUF!$U8,""),"")</f>
        <v/>
      </c>
    </row>
    <row r="11" spans="1:92" x14ac:dyDescent="0.3">
      <c r="A11" s="6">
        <f>PUF!A9</f>
        <v>8</v>
      </c>
      <c r="B11" s="6" t="str">
        <f>PUF!G9</f>
        <v>others</v>
      </c>
      <c r="C11" t="str">
        <f>PUF!AL9</f>
        <v>Weak</v>
      </c>
      <c r="D11" s="166">
        <f>PUF!C9</f>
        <v>2010</v>
      </c>
      <c r="E11" s="167" t="str">
        <f>IF(AND($B11=E$3,$C11="Weak"),IF(PUF!$X9&gt;0,PUF!$X9,""),"")</f>
        <v/>
      </c>
      <c r="F11" s="167" t="str">
        <f>IF(AND($B11=F$3,$C11="Weak"),IF(PUF!$X9&gt;0,PUF!$X9,""),"")</f>
        <v/>
      </c>
      <c r="G11" s="167" t="str">
        <f>IF(AND($B11=G$3,$C11="Weak"),IF(PUF!$X9&gt;0,PUF!$X9,""),"")</f>
        <v/>
      </c>
      <c r="H11" s="167" t="str">
        <f>IF(AND($B11=H$3,$C11="Weak"),IF(PUF!$X9&gt;0,PUF!$X9,""),"")</f>
        <v/>
      </c>
      <c r="I11" s="167" t="str">
        <f>IF(AND($B11=I$3,$C11="Weak"),IF(PUF!$X9&gt;0,PUF!$X9,""),"")</f>
        <v/>
      </c>
      <c r="J11" s="167" t="str">
        <f>IF(AND($B11=J$3,$C11="Weak"),IF(PUF!$X9&gt;0,PUF!$X9,""),"")</f>
        <v/>
      </c>
      <c r="K11" s="167" t="str">
        <f>IF(AND($B11=K$3,$C11="Weak"),IF(PUF!$X9&gt;0,PUF!$X9,""),"")</f>
        <v/>
      </c>
      <c r="L11" s="167">
        <f>IF(AND($B11=L$3,$C11="Weak"),IF(PUF!$X9&gt;0,PUF!$X9,""),"")</f>
        <v>710.05917159763305</v>
      </c>
      <c r="N11" s="11">
        <f t="shared" si="0"/>
        <v>2010</v>
      </c>
      <c r="O11" s="57" t="str">
        <f>IF(AND($B11=O$3,$C11="Weak"),IF(PUF!$M9&gt;0,PUF!$M9,""),"")</f>
        <v/>
      </c>
      <c r="P11" s="57" t="str">
        <f>IF(AND($B11=P$3,$C11="Weak"),IF(PUF!$M9&gt;0,PUF!$M9,""),"")</f>
        <v/>
      </c>
      <c r="Q11" s="57" t="str">
        <f>IF(AND($B11=Q$3,$C11="Weak"),IF(PUF!$M9&gt;0,PUF!$M9,""),"")</f>
        <v/>
      </c>
      <c r="R11" s="57" t="str">
        <f>IF(AND($B11=R$3,$C11="Weak"),IF(PUF!$M9&gt;0,PUF!$M9,""),"")</f>
        <v/>
      </c>
      <c r="S11" s="57" t="str">
        <f>IF(AND($B11=S$3,$C11="Weak"),IF(PUF!$M9&gt;0,PUF!$M9,""),"")</f>
        <v/>
      </c>
      <c r="T11" s="57" t="str">
        <f>IF(AND($B11=T$3,$C11="Weak"),IF(PUF!$M9&gt;0,PUF!$M9,""),"")</f>
        <v/>
      </c>
      <c r="U11" s="57" t="str">
        <f>IF(AND($B11=U$3,$C11="Weak"),IF(PUF!$M9&gt;0,PUF!$M9,""),"")</f>
        <v/>
      </c>
      <c r="V11" s="57" t="str">
        <f>IF(AND($B11=V$3,$C11="Weak"),IF(PUF!$M9&gt;0,PUF!$M9,""),"")</f>
        <v>N/A</v>
      </c>
      <c r="W11" s="168"/>
      <c r="X11" s="166">
        <f t="shared" si="4"/>
        <v>2010</v>
      </c>
      <c r="Y11" s="57" t="str">
        <f>IF(AND($B11=Y$3,$C11="Weak"),IF(PUF!$S9&gt;0,PUF!$S9,""),"")</f>
        <v/>
      </c>
      <c r="Z11" s="57" t="str">
        <f>IF(AND($B11=Z$3,$C11="Weak"),IF(PUF!$S9&gt;0,PUF!$S9,""),"")</f>
        <v/>
      </c>
      <c r="AA11" s="57" t="str">
        <f>IF(AND($B11=AA$3,$C11="Weak"),IF(PUF!$S9&gt;0,PUF!$S9,""),"")</f>
        <v/>
      </c>
      <c r="AB11" s="57" t="str">
        <f>IF(AND($B11=AB$3,$C11="Weak"),IF(PUF!$S9&gt;0,PUF!$S9,""),"")</f>
        <v/>
      </c>
      <c r="AC11" s="57" t="str">
        <f>IF(AND($B11=AC$3,$C11="Weak"),IF(PUF!$S9&gt;0,PUF!$S9,""),"")</f>
        <v/>
      </c>
      <c r="AD11" s="57" t="str">
        <f>IF(AND($B11=AD$3,$C11="Weak"),IF(PUF!$S9&gt;0,PUF!$S9,""),"")</f>
        <v/>
      </c>
      <c r="AE11" s="57" t="str">
        <f>IF(AND($B11=AE$3,$C11="Weak"),IF(PUF!$S9&gt;0,PUF!$S9,""),"")</f>
        <v/>
      </c>
      <c r="AF11" s="57" t="str">
        <f>IF(AND($B11=AF$3,$C11="Weak"),IF(PUF!$S9&gt;0,PUF!$S9,""),"")</f>
        <v>N/A</v>
      </c>
      <c r="AH11" s="210">
        <f t="shared" si="1"/>
        <v>2010</v>
      </c>
      <c r="AI11" s="211" t="str">
        <f>IF(AND($B11=AI$3,$C11="Weak"),IF(PUF!$U9&gt;0,PUF!$U9,""),"")</f>
        <v/>
      </c>
      <c r="AJ11" s="211" t="str">
        <f>IF(AND($B11=AJ$3,$C11="Weak"),IF(PUF!$U9&gt;0,PUF!$U9,""),"")</f>
        <v/>
      </c>
      <c r="AK11" s="211" t="str">
        <f>IF(AND($B11=AK$3,$C11="Weak"),IF(PUF!$U9&gt;0,PUF!$U9,""),"")</f>
        <v/>
      </c>
      <c r="AL11" s="211" t="str">
        <f>IF(AND($B11=AL$3,$C11="Weak"),IF(PUF!$U9&gt;0,PUF!$U9,""),"")</f>
        <v/>
      </c>
      <c r="AM11" s="211" t="str">
        <f>IF(AND($B11=AM$3,$C11="Weak"),IF(PUF!$U9&gt;0,PUF!$U9,""),"")</f>
        <v/>
      </c>
      <c r="AN11" s="211" t="str">
        <f>IF(AND($B11=AN$3,$C11="Weak"),IF(PUF!$U9&gt;0,PUF!$U9,""),"")</f>
        <v/>
      </c>
      <c r="AO11" s="211" t="str">
        <f>IF(AND($B11=AO$3,$C11="Weak"),IF(PUF!$U9&gt;0,PUF!$U9,""),"")</f>
        <v/>
      </c>
      <c r="AP11" s="211">
        <f>IF(AND($B11=AP$3,$C11="Weak"),IF(PUF!$U9&gt;0,PUF!$U9,""),"")</f>
        <v>0.34</v>
      </c>
      <c r="BB11" s="166">
        <f t="shared" si="2"/>
        <v>2010</v>
      </c>
      <c r="BC11" s="57" t="str">
        <f>IF(AND($B11=BC$3,$C11="Strong"),IF(PUF!$X9&gt;0,PUF!$X9,""),"")</f>
        <v/>
      </c>
      <c r="BD11" s="57" t="str">
        <f>IF(AND($B11=BD$3,$C11="Strong"),IF(PUF!$X9&gt;0,PUF!$X9,""),"")</f>
        <v/>
      </c>
      <c r="BE11" s="57" t="str">
        <f>IF(AND($B11=BE$3,$C11="Strong"),IF(PUF!$X9&gt;0,PUF!$X9,""),"")</f>
        <v/>
      </c>
      <c r="BF11" s="57" t="str">
        <f>IF(AND($B11=BF$3,$C11="Strong"),IF(PUF!$X9&gt;0,PUF!$X9,""),"")</f>
        <v/>
      </c>
      <c r="BG11" s="57" t="str">
        <f>IF(AND($B11=BG$3,$C11="Strong"),IF(PUF!$X9&gt;0,PUF!$X9,""),"")</f>
        <v/>
      </c>
      <c r="BH11" s="57" t="str">
        <f>IF(AND($B11=BH$3,$C11="Strong"),IF(PUF!$X9&gt;0,PUF!$X9,""),"")</f>
        <v/>
      </c>
      <c r="BI11" s="57" t="str">
        <f>IF(AND($B11=BI$3,$C11="Strong"),IF(PUF!$X9&gt;0,PUF!$X9,""),"")</f>
        <v/>
      </c>
      <c r="BJ11" s="57" t="str">
        <f>IF(AND($B11=BJ$3,$C11="Strong"),IF(PUF!$X9&gt;0,PUF!$X9,""),"")</f>
        <v/>
      </c>
      <c r="BL11" s="166">
        <f t="shared" si="3"/>
        <v>2010</v>
      </c>
      <c r="BM11" s="57" t="str">
        <f>IF(AND($B11=BM$3,$C11="Strong"),IF(PUF!$M9&gt;0,PUF!$M9,""),"")</f>
        <v/>
      </c>
      <c r="BN11" s="57" t="str">
        <f>IF(AND($B11=BN$3,$C11="Strong"),IF(PUF!$M9&gt;0,PUF!$M9,""),"")</f>
        <v/>
      </c>
      <c r="BO11" s="57" t="str">
        <f>IF(AND($B11=BO$3,$C11="Strong"),IF(PUF!$M9&gt;0,PUF!$M9,""),"")</f>
        <v/>
      </c>
      <c r="BP11" s="57" t="str">
        <f>IF(AND($B11=BP$3,$C11="Strong"),IF(PUF!$M9&gt;0,PUF!$M9,""),"")</f>
        <v/>
      </c>
      <c r="BQ11" s="57" t="str">
        <f>IF(AND($B11=BQ$3,$C11="Strong"),IF(PUF!$M9&gt;0,PUF!$M9,""),"")</f>
        <v/>
      </c>
      <c r="BR11" s="57" t="str">
        <f>IF(AND($B11=BR$3,$C11="Strong"),IF(PUF!$M9&gt;0,PUF!$M9,""),"")</f>
        <v/>
      </c>
      <c r="BS11" s="57" t="str">
        <f>IF(AND($B11=BS$3,$C11="Strong"),IF(PUF!$M9&gt;0,PUF!$M9,""),"")</f>
        <v/>
      </c>
      <c r="BT11" s="57" t="str">
        <f>IF(AND($B11=BT$3,$C11="Strong"),IF(PUF!$M9&gt;0,PUF!$M9,""),"")</f>
        <v/>
      </c>
      <c r="BV11" s="166">
        <f t="shared" si="5"/>
        <v>2010</v>
      </c>
      <c r="BW11" s="57" t="str">
        <f>IF(AND($B11=BW$3,$C11="Strong"),IF(PUF!$S9&gt;0,PUF!$S9,""),"")</f>
        <v/>
      </c>
      <c r="BX11" s="57" t="str">
        <f>IF(AND($B11=BX$3,$C11="Strong"),IF(PUF!$S9&gt;0,PUF!$S9,""),"")</f>
        <v/>
      </c>
      <c r="BY11" s="57" t="str">
        <f>IF(AND($B11=BY$3,$C11="Strong"),IF(PUF!$S9&gt;0,PUF!$S9,""),"")</f>
        <v/>
      </c>
      <c r="BZ11" s="57" t="str">
        <f>IF(AND($B11=BZ$3,$C11="Strong"),IF(PUF!$S9&gt;0,PUF!$S9,""),"")</f>
        <v/>
      </c>
      <c r="CA11" s="57" t="str">
        <f>IF(AND($B11=CA$3,$C11="Strong"),IF(PUF!$S9&gt;0,PUF!$S9,""),"")</f>
        <v/>
      </c>
      <c r="CB11" s="57" t="str">
        <f>IF(AND($B11=CB$3,$C11="Strong"),IF(PUF!$S9&gt;0,PUF!$S9,""),"")</f>
        <v/>
      </c>
      <c r="CC11" s="57" t="str">
        <f>IF(AND($B11=CC$3,$C11="Strong"),IF(PUF!$S9&gt;0,PUF!$S9,""),"")</f>
        <v/>
      </c>
      <c r="CD11" s="57" t="str">
        <f>IF(AND($B11=CD$3,$C11="Strong"),IF(PUF!$S9&gt;0,PUF!$S9,""),"")</f>
        <v/>
      </c>
      <c r="CF11" s="11">
        <f t="shared" si="6"/>
        <v>2010</v>
      </c>
      <c r="CG11" s="57" t="str">
        <f>IF(AND($B11=CG$3,$C11="Strong"),IF(PUF!$U9&gt;0,PUF!$U9,""),"")</f>
        <v/>
      </c>
      <c r="CH11" s="57" t="str">
        <f>IF(AND($B11=CH$3,$C11="Strong"),IF(PUF!$U9&gt;0,PUF!$U9,""),"")</f>
        <v/>
      </c>
      <c r="CI11" s="57" t="str">
        <f>IF(AND($B11=CI$3,$C11="Strong"),IF(PUF!$U9&gt;0,PUF!$U9,""),"")</f>
        <v/>
      </c>
      <c r="CJ11" s="57" t="str">
        <f>IF(AND($B11=CJ$3,$C11="Strong"),IF(PUF!$U9&gt;0,PUF!$U9,""),"")</f>
        <v/>
      </c>
      <c r="CK11" s="57" t="str">
        <f>IF(AND($B11=CK$3,$C11="Strong"),IF(PUF!$U9&gt;0,PUF!$U9,""),"")</f>
        <v/>
      </c>
      <c r="CL11" s="57" t="str">
        <f>IF(AND($B11=CL$3,$C11="Strong"),IF(PUF!$U9&gt;0,PUF!$U9,""),"")</f>
        <v/>
      </c>
      <c r="CM11" s="57" t="str">
        <f>IF(AND($B11=CM$3,$C11="Strong"),IF(PUF!$U9&gt;0,PUF!$U9,""),"")</f>
        <v/>
      </c>
      <c r="CN11" s="57" t="str">
        <f>IF(AND($B11=CN$3,$C11="Strong"),IF(PUF!$U9&gt;0,PUF!$U9,""),"")</f>
        <v/>
      </c>
    </row>
    <row r="12" spans="1:92" x14ac:dyDescent="0.3">
      <c r="A12" s="6">
        <f>PUF!A10</f>
        <v>9</v>
      </c>
      <c r="B12" s="6" t="str">
        <f>PUF!G10</f>
        <v>memory (volatile)</v>
      </c>
      <c r="C12" t="str">
        <f>PUF!AL10</f>
        <v>Weak</v>
      </c>
      <c r="D12" s="166">
        <f>PUF!C10</f>
        <v>2011</v>
      </c>
      <c r="E12" s="167" t="str">
        <f>IF(AND($B12=E$3,$C12="Weak"),IF(PUF!$X10&gt;0,PUF!$X10,""),"")</f>
        <v/>
      </c>
      <c r="F12" s="167" t="str">
        <f>IF(AND($B12=F$3,$C12="Weak"),IF(PUF!$X10&gt;0,PUF!$X10,""),"")</f>
        <v/>
      </c>
      <c r="G12" s="167" t="str">
        <f>IF(AND($B12=G$3,$C12="Weak"),IF(PUF!$X10&gt;0,PUF!$X10,""),"")</f>
        <v>N/A</v>
      </c>
      <c r="H12" s="167" t="str">
        <f>IF(AND($B12=H$3,$C12="Weak"),IF(PUF!$X10&gt;0,PUF!$X10,""),"")</f>
        <v/>
      </c>
      <c r="I12" s="167" t="str">
        <f>IF(AND($B12=I$3,$C12="Weak"),IF(PUF!$X10&gt;0,PUF!$X10,""),"")</f>
        <v/>
      </c>
      <c r="J12" s="167" t="str">
        <f>IF(AND($B12=J$3,$C12="Weak"),IF(PUF!$X10&gt;0,PUF!$X10,""),"")</f>
        <v/>
      </c>
      <c r="K12" s="167" t="str">
        <f>IF(AND($B12=K$3,$C12="Weak"),IF(PUF!$X10&gt;0,PUF!$X10,""),"")</f>
        <v/>
      </c>
      <c r="L12" s="167" t="str">
        <f>IF(AND($B12=L$3,$C12="Weak"),IF(PUF!$X10&gt;0,PUF!$X10,""),"")</f>
        <v/>
      </c>
      <c r="N12" s="11">
        <f t="shared" si="0"/>
        <v>2011</v>
      </c>
      <c r="O12" s="57" t="str">
        <f>IF(AND($B12=O$3,$C12="Weak"),IF(PUF!$M10&gt;0,PUF!$M10,""),"")</f>
        <v/>
      </c>
      <c r="P12" s="57" t="str">
        <f>IF(AND($B12=P$3,$C12="Weak"),IF(PUF!$M10&gt;0,PUF!$M10,""),"")</f>
        <v/>
      </c>
      <c r="Q12" s="57" t="str">
        <f>IF(AND($B12=Q$3,$C12="Weak"),IF(PUF!$M10&gt;0,PUF!$M10,""),"")</f>
        <v>N/A</v>
      </c>
      <c r="R12" s="57" t="str">
        <f>IF(AND($B12=R$3,$C12="Weak"),IF(PUF!$M10&gt;0,PUF!$M10,""),"")</f>
        <v/>
      </c>
      <c r="S12" s="57" t="str">
        <f>IF(AND($B12=S$3,$C12="Weak"),IF(PUF!$M10&gt;0,PUF!$M10,""),"")</f>
        <v/>
      </c>
      <c r="T12" s="57" t="str">
        <f>IF(AND($B12=T$3,$C12="Weak"),IF(PUF!$M10&gt;0,PUF!$M10,""),"")</f>
        <v/>
      </c>
      <c r="U12" s="57" t="str">
        <f>IF(AND($B12=U$3,$C12="Weak"),IF(PUF!$M10&gt;0,PUF!$M10,""),"")</f>
        <v/>
      </c>
      <c r="V12" s="57" t="str">
        <f>IF(AND($B12=V$3,$C12="Weak"),IF(PUF!$M10&gt;0,PUF!$M10,""),"")</f>
        <v/>
      </c>
      <c r="W12" s="168"/>
      <c r="X12" s="166">
        <f t="shared" si="4"/>
        <v>2011</v>
      </c>
      <c r="Y12" s="57" t="str">
        <f>IF(AND($B12=Y$3,$C12="Weak"),IF(PUF!$S10&gt;0,PUF!$S10,""),"")</f>
        <v/>
      </c>
      <c r="Z12" s="57" t="str">
        <f>IF(AND($B12=Z$3,$C12="Weak"),IF(PUF!$S10&gt;0,PUF!$S10,""),"")</f>
        <v/>
      </c>
      <c r="AA12" s="57" t="str">
        <f>IF(AND($B12=AA$3,$C12="Weak"),IF(PUF!$S10&gt;0,PUF!$S10,""),"")</f>
        <v>N/A</v>
      </c>
      <c r="AB12" s="57" t="str">
        <f>IF(AND($B12=AB$3,$C12="Weak"),IF(PUF!$S10&gt;0,PUF!$S10,""),"")</f>
        <v/>
      </c>
      <c r="AC12" s="57" t="str">
        <f>IF(AND($B12=AC$3,$C12="Weak"),IF(PUF!$S10&gt;0,PUF!$S10,""),"")</f>
        <v/>
      </c>
      <c r="AD12" s="57" t="str">
        <f>IF(AND($B12=AD$3,$C12="Weak"),IF(PUF!$S10&gt;0,PUF!$S10,""),"")</f>
        <v/>
      </c>
      <c r="AE12" s="57" t="str">
        <f>IF(AND($B12=AE$3,$C12="Weak"),IF(PUF!$S10&gt;0,PUF!$S10,""),"")</f>
        <v/>
      </c>
      <c r="AF12" s="57" t="str">
        <f>IF(AND($B12=AF$3,$C12="Weak"),IF(PUF!$S10&gt;0,PUF!$S10,""),"")</f>
        <v/>
      </c>
      <c r="AH12" s="210">
        <f t="shared" si="1"/>
        <v>2011</v>
      </c>
      <c r="AI12" s="211" t="str">
        <f>IF(AND($B12=AI$3,$C12="Weak"),IF(PUF!$U10&gt;0,PUF!$U10,""),"")</f>
        <v/>
      </c>
      <c r="AJ12" s="211" t="str">
        <f>IF(AND($B12=AJ$3,$C12="Weak"),IF(PUF!$U10&gt;0,PUF!$U10,""),"")</f>
        <v/>
      </c>
      <c r="AK12" s="211" t="str">
        <f>IF(AND($B12=AK$3,$C12="Weak"),IF(PUF!$U10&gt;0,PUF!$U10,""),"")</f>
        <v>N/A</v>
      </c>
      <c r="AL12" s="211" t="str">
        <f>IF(AND($B12=AL$3,$C12="Weak"),IF(PUF!$U10&gt;0,PUF!$U10,""),"")</f>
        <v/>
      </c>
      <c r="AM12" s="211" t="str">
        <f>IF(AND($B12=AM$3,$C12="Weak"),IF(PUF!$U10&gt;0,PUF!$U10,""),"")</f>
        <v/>
      </c>
      <c r="AN12" s="211" t="str">
        <f>IF(AND($B12=AN$3,$C12="Weak"),IF(PUF!$U10&gt;0,PUF!$U10,""),"")</f>
        <v/>
      </c>
      <c r="AO12" s="211" t="str">
        <f>IF(AND($B12=AO$3,$C12="Weak"),IF(PUF!$U10&gt;0,PUF!$U10,""),"")</f>
        <v/>
      </c>
      <c r="AP12" s="211" t="str">
        <f>IF(AND($B12=AP$3,$C12="Weak"),IF(PUF!$U10&gt;0,PUF!$U10,""),"")</f>
        <v/>
      </c>
      <c r="BB12" s="166">
        <f t="shared" si="2"/>
        <v>2011</v>
      </c>
      <c r="BC12" s="57" t="str">
        <f>IF(AND($B12=BC$3,$C12="Strong"),IF(PUF!$X10&gt;0,PUF!$X10,""),"")</f>
        <v/>
      </c>
      <c r="BD12" s="57" t="str">
        <f>IF(AND($B12=BD$3,$C12="Strong"),IF(PUF!$X10&gt;0,PUF!$X10,""),"")</f>
        <v/>
      </c>
      <c r="BE12" s="57" t="str">
        <f>IF(AND($B12=BE$3,$C12="Strong"),IF(PUF!$X10&gt;0,PUF!$X10,""),"")</f>
        <v/>
      </c>
      <c r="BF12" s="57" t="str">
        <f>IF(AND($B12=BF$3,$C12="Strong"),IF(PUF!$X10&gt;0,PUF!$X10,""),"")</f>
        <v/>
      </c>
      <c r="BG12" s="57" t="str">
        <f>IF(AND($B12=BG$3,$C12="Strong"),IF(PUF!$X10&gt;0,PUF!$X10,""),"")</f>
        <v/>
      </c>
      <c r="BH12" s="57" t="str">
        <f>IF(AND($B12=BH$3,$C12="Strong"),IF(PUF!$X10&gt;0,PUF!$X10,""),"")</f>
        <v/>
      </c>
      <c r="BI12" s="57" t="str">
        <f>IF(AND($B12=BI$3,$C12="Strong"),IF(PUF!$X10&gt;0,PUF!$X10,""),"")</f>
        <v/>
      </c>
      <c r="BJ12" s="57" t="str">
        <f>IF(AND($B12=BJ$3,$C12="Strong"),IF(PUF!$X10&gt;0,PUF!$X10,""),"")</f>
        <v/>
      </c>
      <c r="BL12" s="166">
        <f t="shared" si="3"/>
        <v>2011</v>
      </c>
      <c r="BM12" s="57" t="str">
        <f>IF(AND($B12=BM$3,$C12="Strong"),IF(PUF!$M10&gt;0,PUF!$M10,""),"")</f>
        <v/>
      </c>
      <c r="BN12" s="57" t="str">
        <f>IF(AND($B12=BN$3,$C12="Strong"),IF(PUF!$M10&gt;0,PUF!$M10,""),"")</f>
        <v/>
      </c>
      <c r="BO12" s="57" t="str">
        <f>IF(AND($B12=BO$3,$C12="Strong"),IF(PUF!$M10&gt;0,PUF!$M10,""),"")</f>
        <v/>
      </c>
      <c r="BP12" s="57" t="str">
        <f>IF(AND($B12=BP$3,$C12="Strong"),IF(PUF!$M10&gt;0,PUF!$M10,""),"")</f>
        <v/>
      </c>
      <c r="BQ12" s="57" t="str">
        <f>IF(AND($B12=BQ$3,$C12="Strong"),IF(PUF!$M10&gt;0,PUF!$M10,""),"")</f>
        <v/>
      </c>
      <c r="BR12" s="57" t="str">
        <f>IF(AND($B12=BR$3,$C12="Strong"),IF(PUF!$M10&gt;0,PUF!$M10,""),"")</f>
        <v/>
      </c>
      <c r="BS12" s="57" t="str">
        <f>IF(AND($B12=BS$3,$C12="Strong"),IF(PUF!$M10&gt;0,PUF!$M10,""),"")</f>
        <v/>
      </c>
      <c r="BT12" s="57" t="str">
        <f>IF(AND($B12=BT$3,$C12="Strong"),IF(PUF!$M10&gt;0,PUF!$M10,""),"")</f>
        <v/>
      </c>
      <c r="BV12" s="166">
        <f t="shared" si="5"/>
        <v>2011</v>
      </c>
      <c r="BW12" s="57" t="str">
        <f>IF(AND($B12=BW$3,$C12="Strong"),IF(PUF!$S10&gt;0,PUF!$S10,""),"")</f>
        <v/>
      </c>
      <c r="BX12" s="57" t="str">
        <f>IF(AND($B12=BX$3,$C12="Strong"),IF(PUF!$S10&gt;0,PUF!$S10,""),"")</f>
        <v/>
      </c>
      <c r="BY12" s="57" t="str">
        <f>IF(AND($B12=BY$3,$C12="Strong"),IF(PUF!$S10&gt;0,PUF!$S10,""),"")</f>
        <v/>
      </c>
      <c r="BZ12" s="57" t="str">
        <f>IF(AND($B12=BZ$3,$C12="Strong"),IF(PUF!$S10&gt;0,PUF!$S10,""),"")</f>
        <v/>
      </c>
      <c r="CA12" s="57" t="str">
        <f>IF(AND($B12=CA$3,$C12="Strong"),IF(PUF!$S10&gt;0,PUF!$S10,""),"")</f>
        <v/>
      </c>
      <c r="CB12" s="57" t="str">
        <f>IF(AND($B12=CB$3,$C12="Strong"),IF(PUF!$S10&gt;0,PUF!$S10,""),"")</f>
        <v/>
      </c>
      <c r="CC12" s="57" t="str">
        <f>IF(AND($B12=CC$3,$C12="Strong"),IF(PUF!$S10&gt;0,PUF!$S10,""),"")</f>
        <v/>
      </c>
      <c r="CD12" s="57" t="str">
        <f>IF(AND($B12=CD$3,$C12="Strong"),IF(PUF!$S10&gt;0,PUF!$S10,""),"")</f>
        <v/>
      </c>
      <c r="CF12" s="11">
        <f t="shared" si="6"/>
        <v>2011</v>
      </c>
      <c r="CG12" s="57" t="str">
        <f>IF(AND($B12=CG$3,$C12="Strong"),IF(PUF!$U10&gt;0,PUF!$U10,""),"")</f>
        <v/>
      </c>
      <c r="CH12" s="57" t="str">
        <f>IF(AND($B12=CH$3,$C12="Strong"),IF(PUF!$U10&gt;0,PUF!$U10,""),"")</f>
        <v/>
      </c>
      <c r="CI12" s="57" t="str">
        <f>IF(AND($B12=CI$3,$C12="Strong"),IF(PUF!$U10&gt;0,PUF!$U10,""),"")</f>
        <v/>
      </c>
      <c r="CJ12" s="57" t="str">
        <f>IF(AND($B12=CJ$3,$C12="Strong"),IF(PUF!$U10&gt;0,PUF!$U10,""),"")</f>
        <v/>
      </c>
      <c r="CK12" s="57" t="str">
        <f>IF(AND($B12=CK$3,$C12="Strong"),IF(PUF!$U10&gt;0,PUF!$U10,""),"")</f>
        <v/>
      </c>
      <c r="CL12" s="57" t="str">
        <f>IF(AND($B12=CL$3,$C12="Strong"),IF(PUF!$U10&gt;0,PUF!$U10,""),"")</f>
        <v/>
      </c>
      <c r="CM12" s="57" t="str">
        <f>IF(AND($B12=CM$3,$C12="Strong"),IF(PUF!$U10&gt;0,PUF!$U10,""),"")</f>
        <v/>
      </c>
      <c r="CN12" s="57" t="str">
        <f>IF(AND($B12=CN$3,$C12="Strong"),IF(PUF!$U10&gt;0,PUF!$U10,""),"")</f>
        <v/>
      </c>
    </row>
    <row r="13" spans="1:92" x14ac:dyDescent="0.3">
      <c r="A13" s="6">
        <f>PUF!A11</f>
        <v>10</v>
      </c>
      <c r="B13" s="6" t="str">
        <f>PUF!G11</f>
        <v>analog</v>
      </c>
      <c r="C13" t="str">
        <f>PUF!AL11</f>
        <v>Weak</v>
      </c>
      <c r="D13" s="166">
        <f>PUF!C11</f>
        <v>2011</v>
      </c>
      <c r="E13" s="167">
        <f>IF(AND($B13=E$3,$C13="Weak"),IF(PUF!$X11&gt;0,PUF!$X11,""),"")</f>
        <v>1055.8328510802469</v>
      </c>
      <c r="F13" s="167" t="str">
        <f>IF(AND($B13=F$3,$C13="Weak"),IF(PUF!$X11&gt;0,PUF!$X11,""),"")</f>
        <v/>
      </c>
      <c r="G13" s="167" t="str">
        <f>IF(AND($B13=G$3,$C13="Weak"),IF(PUF!$X11&gt;0,PUF!$X11,""),"")</f>
        <v/>
      </c>
      <c r="H13" s="167" t="str">
        <f>IF(AND($B13=H$3,$C13="Weak"),IF(PUF!$X11&gt;0,PUF!$X11,""),"")</f>
        <v/>
      </c>
      <c r="I13" s="167" t="str">
        <f>IF(AND($B13=I$3,$C13="Weak"),IF(PUF!$X11&gt;0,PUF!$X11,""),"")</f>
        <v/>
      </c>
      <c r="J13" s="167" t="str">
        <f>IF(AND($B13=J$3,$C13="Weak"),IF(PUF!$X11&gt;0,PUF!$X11,""),"")</f>
        <v/>
      </c>
      <c r="K13" s="167" t="str">
        <f>IF(AND($B13=K$3,$C13="Weak"),IF(PUF!$X11&gt;0,PUF!$X11,""),"")</f>
        <v/>
      </c>
      <c r="L13" s="167" t="str">
        <f>IF(AND($B13=L$3,$C13="Weak"),IF(PUF!$X11&gt;0,PUF!$X11,""),"")</f>
        <v/>
      </c>
      <c r="N13" s="11">
        <f t="shared" si="0"/>
        <v>2011</v>
      </c>
      <c r="O13" s="57">
        <f>IF(AND($B13=O$3,$C13="Weak"),IF(PUF!$M11&gt;0,PUF!$M11,""),"")</f>
        <v>8.9999999999999993E-3</v>
      </c>
      <c r="P13" s="57" t="str">
        <f>IF(AND($B13=P$3,$C13="Weak"),IF(PUF!$M11&gt;0,PUF!$M11,""),"")</f>
        <v/>
      </c>
      <c r="Q13" s="57" t="str">
        <f>IF(AND($B13=Q$3,$C13="Weak"),IF(PUF!$M11&gt;0,PUF!$M11,""),"")</f>
        <v/>
      </c>
      <c r="R13" s="57" t="str">
        <f>IF(AND($B13=R$3,$C13="Weak"),IF(PUF!$M11&gt;0,PUF!$M11,""),"")</f>
        <v/>
      </c>
      <c r="S13" s="57" t="str">
        <f>IF(AND($B13=S$3,$C13="Weak"),IF(PUF!$M11&gt;0,PUF!$M11,""),"")</f>
        <v/>
      </c>
      <c r="T13" s="57" t="str">
        <f>IF(AND($B13=T$3,$C13="Weak"),IF(PUF!$M11&gt;0,PUF!$M11,""),"")</f>
        <v/>
      </c>
      <c r="U13" s="57" t="str">
        <f>IF(AND($B13=U$3,$C13="Weak"),IF(PUF!$M11&gt;0,PUF!$M11,""),"")</f>
        <v/>
      </c>
      <c r="V13" s="57" t="str">
        <f>IF(AND($B13=V$3,$C13="Weak"),IF(PUF!$M11&gt;0,PUF!$M11,""),"")</f>
        <v/>
      </c>
      <c r="W13" s="168"/>
      <c r="X13" s="166">
        <f t="shared" si="4"/>
        <v>2011</v>
      </c>
      <c r="Y13" s="57" t="str">
        <f>IF(AND($B13=Y$3,$C13="Weak"),IF(PUF!$S11&gt;0,PUF!$S11,""),"")</f>
        <v>N/A</v>
      </c>
      <c r="Z13" s="57" t="str">
        <f>IF(AND($B13=Z$3,$C13="Weak"),IF(PUF!$S11&gt;0,PUF!$S11,""),"")</f>
        <v/>
      </c>
      <c r="AA13" s="57" t="str">
        <f>IF(AND($B13=AA$3,$C13="Weak"),IF(PUF!$S11&gt;0,PUF!$S11,""),"")</f>
        <v/>
      </c>
      <c r="AB13" s="57" t="str">
        <f>IF(AND($B13=AB$3,$C13="Weak"),IF(PUF!$S11&gt;0,PUF!$S11,""),"")</f>
        <v/>
      </c>
      <c r="AC13" s="57" t="str">
        <f>IF(AND($B13=AC$3,$C13="Weak"),IF(PUF!$S11&gt;0,PUF!$S11,""),"")</f>
        <v/>
      </c>
      <c r="AD13" s="57" t="str">
        <f>IF(AND($B13=AD$3,$C13="Weak"),IF(PUF!$S11&gt;0,PUF!$S11,""),"")</f>
        <v/>
      </c>
      <c r="AE13" s="57" t="str">
        <f>IF(AND($B13=AE$3,$C13="Weak"),IF(PUF!$S11&gt;0,PUF!$S11,""),"")</f>
        <v/>
      </c>
      <c r="AF13" s="57" t="str">
        <f>IF(AND($B13=AF$3,$C13="Weak"),IF(PUF!$S11&gt;0,PUF!$S11,""),"")</f>
        <v/>
      </c>
      <c r="AH13" s="210">
        <f t="shared" si="1"/>
        <v>2011</v>
      </c>
      <c r="AI13" s="211">
        <f>IF(AND($B13=AI$3,$C13="Weak"),IF(PUF!$U11&gt;0,PUF!$U11,""),"")</f>
        <v>49.479166666666664</v>
      </c>
      <c r="AJ13" s="211" t="str">
        <f>IF(AND($B13=AJ$3,$C13="Weak"),IF(PUF!$U11&gt;0,PUF!$U11,""),"")</f>
        <v/>
      </c>
      <c r="AK13" s="211" t="str">
        <f>IF(AND($B13=AK$3,$C13="Weak"),IF(PUF!$U11&gt;0,PUF!$U11,""),"")</f>
        <v/>
      </c>
      <c r="AL13" s="211" t="str">
        <f>IF(AND($B13=AL$3,$C13="Weak"),IF(PUF!$U11&gt;0,PUF!$U11,""),"")</f>
        <v/>
      </c>
      <c r="AM13" s="211" t="str">
        <f>IF(AND($B13=AM$3,$C13="Weak"),IF(PUF!$U11&gt;0,PUF!$U11,""),"")</f>
        <v/>
      </c>
      <c r="AN13" s="211" t="str">
        <f>IF(AND($B13=AN$3,$C13="Weak"),IF(PUF!$U11&gt;0,PUF!$U11,""),"")</f>
        <v/>
      </c>
      <c r="AO13" s="211" t="str">
        <f>IF(AND($B13=AO$3,$C13="Weak"),IF(PUF!$U11&gt;0,PUF!$U11,""),"")</f>
        <v/>
      </c>
      <c r="AP13" s="211" t="str">
        <f>IF(AND($B13=AP$3,$C13="Weak"),IF(PUF!$U11&gt;0,PUF!$U11,""),"")</f>
        <v/>
      </c>
      <c r="BB13" s="166">
        <f t="shared" si="2"/>
        <v>2011</v>
      </c>
      <c r="BC13" s="57" t="str">
        <f>IF(AND($B13=BC$3,$C13="Strong"),IF(PUF!$X11&gt;0,PUF!$X11,""),"")</f>
        <v/>
      </c>
      <c r="BD13" s="57" t="str">
        <f>IF(AND($B13=BD$3,$C13="Strong"),IF(PUF!$X11&gt;0,PUF!$X11,""),"")</f>
        <v/>
      </c>
      <c r="BE13" s="57" t="str">
        <f>IF(AND($B13=BE$3,$C13="Strong"),IF(PUF!$X11&gt;0,PUF!$X11,""),"")</f>
        <v/>
      </c>
      <c r="BF13" s="57" t="str">
        <f>IF(AND($B13=BF$3,$C13="Strong"),IF(PUF!$X11&gt;0,PUF!$X11,""),"")</f>
        <v/>
      </c>
      <c r="BG13" s="57" t="str">
        <f>IF(AND($B13=BG$3,$C13="Strong"),IF(PUF!$X11&gt;0,PUF!$X11,""),"")</f>
        <v/>
      </c>
      <c r="BH13" s="57" t="str">
        <f>IF(AND($B13=BH$3,$C13="Strong"),IF(PUF!$X11&gt;0,PUF!$X11,""),"")</f>
        <v/>
      </c>
      <c r="BI13" s="57" t="str">
        <f>IF(AND($B13=BI$3,$C13="Strong"),IF(PUF!$X11&gt;0,PUF!$X11,""),"")</f>
        <v/>
      </c>
      <c r="BJ13" s="57" t="str">
        <f>IF(AND($B13=BJ$3,$C13="Strong"),IF(PUF!$X11&gt;0,PUF!$X11,""),"")</f>
        <v/>
      </c>
      <c r="BL13" s="166">
        <f t="shared" si="3"/>
        <v>2011</v>
      </c>
      <c r="BM13" s="57" t="str">
        <f>IF(AND($B13=BM$3,$C13="Strong"),IF(PUF!$M11&gt;0,PUF!$M11,""),"")</f>
        <v/>
      </c>
      <c r="BN13" s="57" t="str">
        <f>IF(AND($B13=BN$3,$C13="Strong"),IF(PUF!$M11&gt;0,PUF!$M11,""),"")</f>
        <v/>
      </c>
      <c r="BO13" s="57" t="str">
        <f>IF(AND($B13=BO$3,$C13="Strong"),IF(PUF!$M11&gt;0,PUF!$M11,""),"")</f>
        <v/>
      </c>
      <c r="BP13" s="57" t="str">
        <f>IF(AND($B13=BP$3,$C13="Strong"),IF(PUF!$M11&gt;0,PUF!$M11,""),"")</f>
        <v/>
      </c>
      <c r="BQ13" s="57" t="str">
        <f>IF(AND($B13=BQ$3,$C13="Strong"),IF(PUF!$M11&gt;0,PUF!$M11,""),"")</f>
        <v/>
      </c>
      <c r="BR13" s="57" t="str">
        <f>IF(AND($B13=BR$3,$C13="Strong"),IF(PUF!$M11&gt;0,PUF!$M11,""),"")</f>
        <v/>
      </c>
      <c r="BS13" s="57" t="str">
        <f>IF(AND($B13=BS$3,$C13="Strong"),IF(PUF!$M11&gt;0,PUF!$M11,""),"")</f>
        <v/>
      </c>
      <c r="BT13" s="57" t="str">
        <f>IF(AND($B13=BT$3,$C13="Strong"),IF(PUF!$M11&gt;0,PUF!$M11,""),"")</f>
        <v/>
      </c>
      <c r="BV13" s="166">
        <f t="shared" si="5"/>
        <v>2011</v>
      </c>
      <c r="BW13" s="57" t="str">
        <f>IF(AND($B13=BW$3,$C13="Strong"),IF(PUF!$S11&gt;0,PUF!$S11,""),"")</f>
        <v/>
      </c>
      <c r="BX13" s="57" t="str">
        <f>IF(AND($B13=BX$3,$C13="Strong"),IF(PUF!$S11&gt;0,PUF!$S11,""),"")</f>
        <v/>
      </c>
      <c r="BY13" s="57" t="str">
        <f>IF(AND($B13=BY$3,$C13="Strong"),IF(PUF!$S11&gt;0,PUF!$S11,""),"")</f>
        <v/>
      </c>
      <c r="BZ13" s="57" t="str">
        <f>IF(AND($B13=BZ$3,$C13="Strong"),IF(PUF!$S11&gt;0,PUF!$S11,""),"")</f>
        <v/>
      </c>
      <c r="CA13" s="57" t="str">
        <f>IF(AND($B13=CA$3,$C13="Strong"),IF(PUF!$S11&gt;0,PUF!$S11,""),"")</f>
        <v/>
      </c>
      <c r="CB13" s="57" t="str">
        <f>IF(AND($B13=CB$3,$C13="Strong"),IF(PUF!$S11&gt;0,PUF!$S11,""),"")</f>
        <v/>
      </c>
      <c r="CC13" s="57" t="str">
        <f>IF(AND($B13=CC$3,$C13="Strong"),IF(PUF!$S11&gt;0,PUF!$S11,""),"")</f>
        <v/>
      </c>
      <c r="CD13" s="57" t="str">
        <f>IF(AND($B13=CD$3,$C13="Strong"),IF(PUF!$S11&gt;0,PUF!$S11,""),"")</f>
        <v/>
      </c>
      <c r="CF13" s="11">
        <f t="shared" si="6"/>
        <v>2011</v>
      </c>
      <c r="CG13" s="57" t="str">
        <f>IF(AND($B13=CG$3,$C13="Strong"),IF(PUF!$U11&gt;0,PUF!$U11,""),"")</f>
        <v/>
      </c>
      <c r="CH13" s="57" t="str">
        <f>IF(AND($B13=CH$3,$C13="Strong"),IF(PUF!$U11&gt;0,PUF!$U11,""),"")</f>
        <v/>
      </c>
      <c r="CI13" s="57" t="str">
        <f>IF(AND($B13=CI$3,$C13="Strong"),IF(PUF!$U11&gt;0,PUF!$U11,""),"")</f>
        <v/>
      </c>
      <c r="CJ13" s="57" t="str">
        <f>IF(AND($B13=CJ$3,$C13="Strong"),IF(PUF!$U11&gt;0,PUF!$U11,""),"")</f>
        <v/>
      </c>
      <c r="CK13" s="57" t="str">
        <f>IF(AND($B13=CK$3,$C13="Strong"),IF(PUF!$U11&gt;0,PUF!$U11,""),"")</f>
        <v/>
      </c>
      <c r="CL13" s="57" t="str">
        <f>IF(AND($B13=CL$3,$C13="Strong"),IF(PUF!$U11&gt;0,PUF!$U11,""),"")</f>
        <v/>
      </c>
      <c r="CM13" s="57" t="str">
        <f>IF(AND($B13=CM$3,$C13="Strong"),IF(PUF!$U11&gt;0,PUF!$U11,""),"")</f>
        <v/>
      </c>
      <c r="CN13" s="57" t="str">
        <f>IF(AND($B13=CN$3,$C13="Strong"),IF(PUF!$U11&gt;0,PUF!$U11,""),"")</f>
        <v/>
      </c>
    </row>
    <row r="14" spans="1:92" x14ac:dyDescent="0.3">
      <c r="A14" s="6">
        <f>PUF!A12</f>
        <v>11</v>
      </c>
      <c r="B14" s="6" t="str">
        <f>PUF!G12</f>
        <v>metastability</v>
      </c>
      <c r="C14" t="str">
        <f>PUF!AL12</f>
        <v>Weak</v>
      </c>
      <c r="D14" s="166">
        <f>PUF!C12</f>
        <v>2011</v>
      </c>
      <c r="E14" s="167" t="str">
        <f>IF(AND($B14=E$3,$C14="Weak"),IF(PUF!$X12&gt;0,PUF!$X12,""),"")</f>
        <v/>
      </c>
      <c r="F14" s="167" t="str">
        <f>IF(AND($B14=F$3,$C14="Weak"),IF(PUF!$X12&gt;0,PUF!$X12,""),"")</f>
        <v/>
      </c>
      <c r="G14" s="167" t="str">
        <f>IF(AND($B14=G$3,$C14="Weak"),IF(PUF!$X12&gt;0,PUF!$X12,""),"")</f>
        <v/>
      </c>
      <c r="H14" s="167" t="str">
        <f>IF(AND($B14=H$3,$C14="Weak"),IF(PUF!$X12&gt;0,PUF!$X12,""),"")</f>
        <v/>
      </c>
      <c r="I14" s="167" t="str">
        <f>IF(AND($B14=I$3,$C14="Weak"),IF(PUF!$X12&gt;0,PUF!$X12,""),"")</f>
        <v/>
      </c>
      <c r="J14" s="167" t="str">
        <f>IF(AND($B14=J$3,$C14="Weak"),IF(PUF!$X12&gt;0,PUF!$X12,""),"")</f>
        <v/>
      </c>
      <c r="K14" s="167" t="str">
        <f>IF(AND($B14=K$3,$C14="Weak"),IF(PUF!$X12&gt;0,PUF!$X12,""),"")</f>
        <v/>
      </c>
      <c r="L14" s="167" t="str">
        <f>IF(AND($B14=L$3,$C14="Weak"),IF(PUF!$X12&gt;0,PUF!$X12,""),"")</f>
        <v/>
      </c>
      <c r="N14" s="11">
        <f t="shared" si="0"/>
        <v>2011</v>
      </c>
      <c r="O14" s="57" t="str">
        <f>IF(AND($B14=O$3,$C14="Weak"),IF(PUF!$M12&gt;0,PUF!$M12,""),"")</f>
        <v/>
      </c>
      <c r="P14" s="57" t="str">
        <f>IF(AND($B14=P$3,$C14="Weak"),IF(PUF!$M12&gt;0,PUF!$M12,""),"")</f>
        <v/>
      </c>
      <c r="Q14" s="57" t="str">
        <f>IF(AND($B14=Q$3,$C14="Weak"),IF(PUF!$M12&gt;0,PUF!$M12,""),"")</f>
        <v/>
      </c>
      <c r="R14" s="57">
        <f>IF(AND($B14=R$3,$C14="Weak"),IF(PUF!$M12&gt;0,PUF!$M12,""),"")</f>
        <v>0.1</v>
      </c>
      <c r="S14" s="57" t="str">
        <f>IF(AND($B14=S$3,$C14="Weak"),IF(PUF!$M12&gt;0,PUF!$M12,""),"")</f>
        <v/>
      </c>
      <c r="T14" s="57" t="str">
        <f>IF(AND($B14=T$3,$C14="Weak"),IF(PUF!$M12&gt;0,PUF!$M12,""),"")</f>
        <v/>
      </c>
      <c r="U14" s="57" t="str">
        <f>IF(AND($B14=U$3,$C14="Weak"),IF(PUF!$M12&gt;0,PUF!$M12,""),"")</f>
        <v/>
      </c>
      <c r="V14" s="57" t="str">
        <f>IF(AND($B14=V$3,$C14="Weak"),IF(PUF!$M12&gt;0,PUF!$M12,""),"")</f>
        <v/>
      </c>
      <c r="W14" s="168"/>
      <c r="X14" s="166">
        <f t="shared" si="4"/>
        <v>2011</v>
      </c>
      <c r="Y14" s="57" t="str">
        <f>IF(AND($B14=Y$3,$C14="Weak"),IF(PUF!$S12&gt;0,PUF!$S12,""),"")</f>
        <v/>
      </c>
      <c r="Z14" s="57" t="str">
        <f>IF(AND($B14=Z$3,$C14="Weak"),IF(PUF!$S12&gt;0,PUF!$S12,""),"")</f>
        <v/>
      </c>
      <c r="AA14" s="57" t="str">
        <f>IF(AND($B14=AA$3,$C14="Weak"),IF(PUF!$S12&gt;0,PUF!$S12,""),"")</f>
        <v/>
      </c>
      <c r="AB14" s="57" t="str">
        <f>IF(AND($B14=AB$3,$C14="Weak"),IF(PUF!$S12&gt;0,PUF!$S12,""),"")</f>
        <v>N/A</v>
      </c>
      <c r="AC14" s="57" t="str">
        <f>IF(AND($B14=AC$3,$C14="Weak"),IF(PUF!$S12&gt;0,PUF!$S12,""),"")</f>
        <v/>
      </c>
      <c r="AD14" s="57" t="str">
        <f>IF(AND($B14=AD$3,$C14="Weak"),IF(PUF!$S12&gt;0,PUF!$S12,""),"")</f>
        <v/>
      </c>
      <c r="AE14" s="57" t="str">
        <f>IF(AND($B14=AE$3,$C14="Weak"),IF(PUF!$S12&gt;0,PUF!$S12,""),"")</f>
        <v/>
      </c>
      <c r="AF14" s="57" t="str">
        <f>IF(AND($B14=AF$3,$C14="Weak"),IF(PUF!$S12&gt;0,PUF!$S12,""),"")</f>
        <v/>
      </c>
      <c r="AH14" s="210">
        <f t="shared" si="1"/>
        <v>2011</v>
      </c>
      <c r="AI14" s="211" t="str">
        <f>IF(AND($B14=AI$3,$C14="Weak"),IF(PUF!$U12&gt;0,PUF!$U12,""),"")</f>
        <v/>
      </c>
      <c r="AJ14" s="211" t="str">
        <f>IF(AND($B14=AJ$3,$C14="Weak"),IF(PUF!$U12&gt;0,PUF!$U12,""),"")</f>
        <v/>
      </c>
      <c r="AK14" s="211" t="str">
        <f>IF(AND($B14=AK$3,$C14="Weak"),IF(PUF!$U12&gt;0,PUF!$U12,""),"")</f>
        <v/>
      </c>
      <c r="AL14" s="211" t="str">
        <f>IF(AND($B14=AL$3,$C14="Weak"),IF(PUF!$U12&gt;0,PUF!$U12,""),"")</f>
        <v>N/A</v>
      </c>
      <c r="AM14" s="211" t="str">
        <f>IF(AND($B14=AM$3,$C14="Weak"),IF(PUF!$U12&gt;0,PUF!$U12,""),"")</f>
        <v/>
      </c>
      <c r="AN14" s="211" t="str">
        <f>IF(AND($B14=AN$3,$C14="Weak"),IF(PUF!$U12&gt;0,PUF!$U12,""),"")</f>
        <v/>
      </c>
      <c r="AO14" s="211" t="str">
        <f>IF(AND($B14=AO$3,$C14="Weak"),IF(PUF!$U12&gt;0,PUF!$U12,""),"")</f>
        <v/>
      </c>
      <c r="AP14" s="211" t="str">
        <f>IF(AND($B14=AP$3,$C14="Weak"),IF(PUF!$U12&gt;0,PUF!$U12,""),"")</f>
        <v/>
      </c>
      <c r="BB14" s="166">
        <f t="shared" si="2"/>
        <v>2011</v>
      </c>
      <c r="BC14" s="57" t="str">
        <f>IF(AND($B14=BC$3,$C14="Strong"),IF(PUF!$X12&gt;0,PUF!$X12,""),"")</f>
        <v/>
      </c>
      <c r="BD14" s="57" t="str">
        <f>IF(AND($B14=BD$3,$C14="Strong"),IF(PUF!$X12&gt;0,PUF!$X12,""),"")</f>
        <v/>
      </c>
      <c r="BE14" s="57" t="str">
        <f>IF(AND($B14=BE$3,$C14="Strong"),IF(PUF!$X12&gt;0,PUF!$X12,""),"")</f>
        <v/>
      </c>
      <c r="BF14" s="57" t="str">
        <f>IF(AND($B14=BF$3,$C14="Strong"),IF(PUF!$X12&gt;0,PUF!$X12,""),"")</f>
        <v/>
      </c>
      <c r="BG14" s="57" t="str">
        <f>IF(AND($B14=BG$3,$C14="Strong"),IF(PUF!$X12&gt;0,PUF!$X12,""),"")</f>
        <v/>
      </c>
      <c r="BH14" s="57" t="str">
        <f>IF(AND($B14=BH$3,$C14="Strong"),IF(PUF!$X12&gt;0,PUF!$X12,""),"")</f>
        <v/>
      </c>
      <c r="BI14" s="57" t="str">
        <f>IF(AND($B14=BI$3,$C14="Strong"),IF(PUF!$X12&gt;0,PUF!$X12,""),"")</f>
        <v/>
      </c>
      <c r="BJ14" s="57" t="str">
        <f>IF(AND($B14=BJ$3,$C14="Strong"),IF(PUF!$X12&gt;0,PUF!$X12,""),"")</f>
        <v/>
      </c>
      <c r="BL14" s="166">
        <f t="shared" si="3"/>
        <v>2011</v>
      </c>
      <c r="BM14" s="57" t="str">
        <f>IF(AND($B14=BM$3,$C14="Strong"),IF(PUF!$M12&gt;0,PUF!$M12,""),"")</f>
        <v/>
      </c>
      <c r="BN14" s="57" t="str">
        <f>IF(AND($B14=BN$3,$C14="Strong"),IF(PUF!$M12&gt;0,PUF!$M12,""),"")</f>
        <v/>
      </c>
      <c r="BO14" s="57" t="str">
        <f>IF(AND($B14=BO$3,$C14="Strong"),IF(PUF!$M12&gt;0,PUF!$M12,""),"")</f>
        <v/>
      </c>
      <c r="BP14" s="57" t="str">
        <f>IF(AND($B14=BP$3,$C14="Strong"),IF(PUF!$M12&gt;0,PUF!$M12,""),"")</f>
        <v/>
      </c>
      <c r="BQ14" s="57" t="str">
        <f>IF(AND($B14=BQ$3,$C14="Strong"),IF(PUF!$M12&gt;0,PUF!$M12,""),"")</f>
        <v/>
      </c>
      <c r="BR14" s="57" t="str">
        <f>IF(AND($B14=BR$3,$C14="Strong"),IF(PUF!$M12&gt;0,PUF!$M12,""),"")</f>
        <v/>
      </c>
      <c r="BS14" s="57" t="str">
        <f>IF(AND($B14=BS$3,$C14="Strong"),IF(PUF!$M12&gt;0,PUF!$M12,""),"")</f>
        <v/>
      </c>
      <c r="BT14" s="57" t="str">
        <f>IF(AND($B14=BT$3,$C14="Strong"),IF(PUF!$M12&gt;0,PUF!$M12,""),"")</f>
        <v/>
      </c>
      <c r="BV14" s="166">
        <f t="shared" si="5"/>
        <v>2011</v>
      </c>
      <c r="BW14" s="57" t="str">
        <f>IF(AND($B14=BW$3,$C14="Strong"),IF(PUF!$S12&gt;0,PUF!$S12,""),"")</f>
        <v/>
      </c>
      <c r="BX14" s="57" t="str">
        <f>IF(AND($B14=BX$3,$C14="Strong"),IF(PUF!$S12&gt;0,PUF!$S12,""),"")</f>
        <v/>
      </c>
      <c r="BY14" s="57" t="str">
        <f>IF(AND($B14=BY$3,$C14="Strong"),IF(PUF!$S12&gt;0,PUF!$S12,""),"")</f>
        <v/>
      </c>
      <c r="BZ14" s="57" t="str">
        <f>IF(AND($B14=BZ$3,$C14="Strong"),IF(PUF!$S12&gt;0,PUF!$S12,""),"")</f>
        <v/>
      </c>
      <c r="CA14" s="57" t="str">
        <f>IF(AND($B14=CA$3,$C14="Strong"),IF(PUF!$S12&gt;0,PUF!$S12,""),"")</f>
        <v/>
      </c>
      <c r="CB14" s="57" t="str">
        <f>IF(AND($B14=CB$3,$C14="Strong"),IF(PUF!$S12&gt;0,PUF!$S12,""),"")</f>
        <v/>
      </c>
      <c r="CC14" s="57" t="str">
        <f>IF(AND($B14=CC$3,$C14="Strong"),IF(PUF!$S12&gt;0,PUF!$S12,""),"")</f>
        <v/>
      </c>
      <c r="CD14" s="57" t="str">
        <f>IF(AND($B14=CD$3,$C14="Strong"),IF(PUF!$S12&gt;0,PUF!$S12,""),"")</f>
        <v/>
      </c>
      <c r="CF14" s="11">
        <f t="shared" si="6"/>
        <v>2011</v>
      </c>
      <c r="CG14" s="57" t="str">
        <f>IF(AND($B14=CG$3,$C14="Strong"),IF(PUF!$U12&gt;0,PUF!$U12,""),"")</f>
        <v/>
      </c>
      <c r="CH14" s="57" t="str">
        <f>IF(AND($B14=CH$3,$C14="Strong"),IF(PUF!$U12&gt;0,PUF!$U12,""),"")</f>
        <v/>
      </c>
      <c r="CI14" s="57" t="str">
        <f>IF(AND($B14=CI$3,$C14="Strong"),IF(PUF!$U12&gt;0,PUF!$U12,""),"")</f>
        <v/>
      </c>
      <c r="CJ14" s="57" t="str">
        <f>IF(AND($B14=CJ$3,$C14="Strong"),IF(PUF!$U12&gt;0,PUF!$U12,""),"")</f>
        <v/>
      </c>
      <c r="CK14" s="57" t="str">
        <f>IF(AND($B14=CK$3,$C14="Strong"),IF(PUF!$U12&gt;0,PUF!$U12,""),"")</f>
        <v/>
      </c>
      <c r="CL14" s="57" t="str">
        <f>IF(AND($B14=CL$3,$C14="Strong"),IF(PUF!$U12&gt;0,PUF!$U12,""),"")</f>
        <v/>
      </c>
      <c r="CM14" s="57" t="str">
        <f>IF(AND($B14=CM$3,$C14="Strong"),IF(PUF!$U12&gt;0,PUF!$U12,""),"")</f>
        <v/>
      </c>
      <c r="CN14" s="57" t="str">
        <f>IF(AND($B14=CN$3,$C14="Strong"),IF(PUF!$U12&gt;0,PUF!$U12,""),"")</f>
        <v/>
      </c>
    </row>
    <row r="15" spans="1:92" x14ac:dyDescent="0.3">
      <c r="A15" s="6">
        <f>PUF!A13</f>
        <v>12</v>
      </c>
      <c r="B15" s="6" t="str">
        <f>PUF!G13</f>
        <v>memory (volatile)</v>
      </c>
      <c r="C15" t="str">
        <f>PUF!AL13</f>
        <v>Weak</v>
      </c>
      <c r="D15" s="166">
        <f>PUF!C13</f>
        <v>2012</v>
      </c>
      <c r="E15" s="167" t="str">
        <f>IF(AND($B15=E$3,$C15="Weak"),IF(PUF!$X13&gt;0,PUF!$X13,""),"")</f>
        <v/>
      </c>
      <c r="F15" s="167" t="str">
        <f>IF(AND($B15=F$3,$C15="Weak"),IF(PUF!$X13&gt;0,PUF!$X13,""),"")</f>
        <v/>
      </c>
      <c r="G15" s="167" t="str">
        <f>IF(AND($B15=G$3,$C15="Weak"),IF(PUF!$X13&gt;0,PUF!$X13,""),"")</f>
        <v>N/A</v>
      </c>
      <c r="H15" s="167" t="str">
        <f>IF(AND($B15=H$3,$C15="Weak"),IF(PUF!$X13&gt;0,PUF!$X13,""),"")</f>
        <v/>
      </c>
      <c r="I15" s="167" t="str">
        <f>IF(AND($B15=I$3,$C15="Weak"),IF(PUF!$X13&gt;0,PUF!$X13,""),"")</f>
        <v/>
      </c>
      <c r="J15" s="167" t="str">
        <f>IF(AND($B15=J$3,$C15="Weak"),IF(PUF!$X13&gt;0,PUF!$X13,""),"")</f>
        <v/>
      </c>
      <c r="K15" s="167" t="str">
        <f>IF(AND($B15=K$3,$C15="Weak"),IF(PUF!$X13&gt;0,PUF!$X13,""),"")</f>
        <v/>
      </c>
      <c r="L15" s="167" t="str">
        <f>IF(AND($B15=L$3,$C15="Weak"),IF(PUF!$X13&gt;0,PUF!$X13,""),"")</f>
        <v/>
      </c>
      <c r="N15" s="11">
        <f t="shared" si="0"/>
        <v>2012</v>
      </c>
      <c r="O15" s="57" t="str">
        <f>IF(AND($B15=O$3,$C15="Weak"),IF(PUF!$M13&gt;0,PUF!$M13,""),"")</f>
        <v/>
      </c>
      <c r="P15" s="57" t="str">
        <f>IF(AND($B15=P$3,$C15="Weak"),IF(PUF!$M13&gt;0,PUF!$M13,""),"")</f>
        <v/>
      </c>
      <c r="Q15" s="57" t="str">
        <f>IF(AND($B15=Q$3,$C15="Weak"),IF(PUF!$M13&gt;0,PUF!$M13,""),"")</f>
        <v>N/A</v>
      </c>
      <c r="R15" s="57" t="str">
        <f>IF(AND($B15=R$3,$C15="Weak"),IF(PUF!$M13&gt;0,PUF!$M13,""),"")</f>
        <v/>
      </c>
      <c r="S15" s="57" t="str">
        <f>IF(AND($B15=S$3,$C15="Weak"),IF(PUF!$M13&gt;0,PUF!$M13,""),"")</f>
        <v/>
      </c>
      <c r="T15" s="57" t="str">
        <f>IF(AND($B15=T$3,$C15="Weak"),IF(PUF!$M13&gt;0,PUF!$M13,""),"")</f>
        <v/>
      </c>
      <c r="U15" s="57" t="str">
        <f>IF(AND($B15=U$3,$C15="Weak"),IF(PUF!$M13&gt;0,PUF!$M13,""),"")</f>
        <v/>
      </c>
      <c r="V15" s="57" t="str">
        <f>IF(AND($B15=V$3,$C15="Weak"),IF(PUF!$M13&gt;0,PUF!$M13,""),"")</f>
        <v/>
      </c>
      <c r="W15" s="168"/>
      <c r="X15" s="166">
        <f t="shared" si="4"/>
        <v>2012</v>
      </c>
      <c r="Y15" s="57" t="str">
        <f>IF(AND($B15=Y$3,$C15="Weak"),IF(PUF!$S13&gt;0,PUF!$S13,""),"")</f>
        <v/>
      </c>
      <c r="Z15" s="57" t="str">
        <f>IF(AND($B15=Z$3,$C15="Weak"),IF(PUF!$S13&gt;0,PUF!$S13,""),"")</f>
        <v/>
      </c>
      <c r="AA15" s="57" t="str">
        <f>IF(AND($B15=AA$3,$C15="Weak"),IF(PUF!$S13&gt;0,PUF!$S13,""),"")</f>
        <v>N/A</v>
      </c>
      <c r="AB15" s="57" t="str">
        <f>IF(AND($B15=AB$3,$C15="Weak"),IF(PUF!$S13&gt;0,PUF!$S13,""),"")</f>
        <v/>
      </c>
      <c r="AC15" s="57" t="str">
        <f>IF(AND($B15=AC$3,$C15="Weak"),IF(PUF!$S13&gt;0,PUF!$S13,""),"")</f>
        <v/>
      </c>
      <c r="AD15" s="57" t="str">
        <f>IF(AND($B15=AD$3,$C15="Weak"),IF(PUF!$S13&gt;0,PUF!$S13,""),"")</f>
        <v/>
      </c>
      <c r="AE15" s="57" t="str">
        <f>IF(AND($B15=AE$3,$C15="Weak"),IF(PUF!$S13&gt;0,PUF!$S13,""),"")</f>
        <v/>
      </c>
      <c r="AF15" s="57" t="str">
        <f>IF(AND($B15=AF$3,$C15="Weak"),IF(PUF!$S13&gt;0,PUF!$S13,""),"")</f>
        <v/>
      </c>
      <c r="AH15" s="210">
        <f t="shared" si="1"/>
        <v>2012</v>
      </c>
      <c r="AI15" s="211" t="str">
        <f>IF(AND($B15=AI$3,$C15="Weak"),IF(PUF!$U13&gt;0,PUF!$U13,""),"")</f>
        <v/>
      </c>
      <c r="AJ15" s="211" t="str">
        <f>IF(AND($B15=AJ$3,$C15="Weak"),IF(PUF!$U13&gt;0,PUF!$U13,""),"")</f>
        <v/>
      </c>
      <c r="AK15" s="211" t="str">
        <f>IF(AND($B15=AK$3,$C15="Weak"),IF(PUF!$U13&gt;0,PUF!$U13,""),"")</f>
        <v>N/A</v>
      </c>
      <c r="AL15" s="211" t="str">
        <f>IF(AND($B15=AL$3,$C15="Weak"),IF(PUF!$U13&gt;0,PUF!$U13,""),"")</f>
        <v/>
      </c>
      <c r="AM15" s="211" t="str">
        <f>IF(AND($B15=AM$3,$C15="Weak"),IF(PUF!$U13&gt;0,PUF!$U13,""),"")</f>
        <v/>
      </c>
      <c r="AN15" s="211" t="str">
        <f>IF(AND($B15=AN$3,$C15="Weak"),IF(PUF!$U13&gt;0,PUF!$U13,""),"")</f>
        <v/>
      </c>
      <c r="AO15" s="211" t="str">
        <f>IF(AND($B15=AO$3,$C15="Weak"),IF(PUF!$U13&gt;0,PUF!$U13,""),"")</f>
        <v/>
      </c>
      <c r="AP15" s="211" t="str">
        <f>IF(AND($B15=AP$3,$C15="Weak"),IF(PUF!$U13&gt;0,PUF!$U13,""),"")</f>
        <v/>
      </c>
      <c r="BB15" s="166">
        <f t="shared" si="2"/>
        <v>2012</v>
      </c>
      <c r="BC15" s="57" t="str">
        <f>IF(AND($B15=BC$3,$C15="Strong"),IF(PUF!$X13&gt;0,PUF!$X13,""),"")</f>
        <v/>
      </c>
      <c r="BD15" s="57" t="str">
        <f>IF(AND($B15=BD$3,$C15="Strong"),IF(PUF!$X13&gt;0,PUF!$X13,""),"")</f>
        <v/>
      </c>
      <c r="BE15" s="57" t="str">
        <f>IF(AND($B15=BE$3,$C15="Strong"),IF(PUF!$X13&gt;0,PUF!$X13,""),"")</f>
        <v/>
      </c>
      <c r="BF15" s="57" t="str">
        <f>IF(AND($B15=BF$3,$C15="Strong"),IF(PUF!$X13&gt;0,PUF!$X13,""),"")</f>
        <v/>
      </c>
      <c r="BG15" s="57" t="str">
        <f>IF(AND($B15=BG$3,$C15="Strong"),IF(PUF!$X13&gt;0,PUF!$X13,""),"")</f>
        <v/>
      </c>
      <c r="BH15" s="57" t="str">
        <f>IF(AND($B15=BH$3,$C15="Strong"),IF(PUF!$X13&gt;0,PUF!$X13,""),"")</f>
        <v/>
      </c>
      <c r="BI15" s="57" t="str">
        <f>IF(AND($B15=BI$3,$C15="Strong"),IF(PUF!$X13&gt;0,PUF!$X13,""),"")</f>
        <v/>
      </c>
      <c r="BJ15" s="57" t="str">
        <f>IF(AND($B15=BJ$3,$C15="Strong"),IF(PUF!$X13&gt;0,PUF!$X13,""),"")</f>
        <v/>
      </c>
      <c r="BL15" s="166">
        <f t="shared" si="3"/>
        <v>2012</v>
      </c>
      <c r="BM15" s="57" t="str">
        <f>IF(AND($B15=BM$3,$C15="Strong"),IF(PUF!$M13&gt;0,PUF!$M13,""),"")</f>
        <v/>
      </c>
      <c r="BN15" s="57" t="str">
        <f>IF(AND($B15=BN$3,$C15="Strong"),IF(PUF!$M13&gt;0,PUF!$M13,""),"")</f>
        <v/>
      </c>
      <c r="BO15" s="57" t="str">
        <f>IF(AND($B15=BO$3,$C15="Strong"),IF(PUF!$M13&gt;0,PUF!$M13,""),"")</f>
        <v/>
      </c>
      <c r="BP15" s="57" t="str">
        <f>IF(AND($B15=BP$3,$C15="Strong"),IF(PUF!$M13&gt;0,PUF!$M13,""),"")</f>
        <v/>
      </c>
      <c r="BQ15" s="57" t="str">
        <f>IF(AND($B15=BQ$3,$C15="Strong"),IF(PUF!$M13&gt;0,PUF!$M13,""),"")</f>
        <v/>
      </c>
      <c r="BR15" s="57" t="str">
        <f>IF(AND($B15=BR$3,$C15="Strong"),IF(PUF!$M13&gt;0,PUF!$M13,""),"")</f>
        <v/>
      </c>
      <c r="BS15" s="57" t="str">
        <f>IF(AND($B15=BS$3,$C15="Strong"),IF(PUF!$M13&gt;0,PUF!$M13,""),"")</f>
        <v/>
      </c>
      <c r="BT15" s="57" t="str">
        <f>IF(AND($B15=BT$3,$C15="Strong"),IF(PUF!$M13&gt;0,PUF!$M13,""),"")</f>
        <v/>
      </c>
      <c r="BV15" s="166">
        <f t="shared" si="5"/>
        <v>2012</v>
      </c>
      <c r="BW15" s="57" t="str">
        <f>IF(AND($B15=BW$3,$C15="Strong"),IF(PUF!$S13&gt;0,PUF!$S13,""),"")</f>
        <v/>
      </c>
      <c r="BX15" s="57" t="str">
        <f>IF(AND($B15=BX$3,$C15="Strong"),IF(PUF!$S13&gt;0,PUF!$S13,""),"")</f>
        <v/>
      </c>
      <c r="BY15" s="57" t="str">
        <f>IF(AND($B15=BY$3,$C15="Strong"),IF(PUF!$S13&gt;0,PUF!$S13,""),"")</f>
        <v/>
      </c>
      <c r="BZ15" s="57" t="str">
        <f>IF(AND($B15=BZ$3,$C15="Strong"),IF(PUF!$S13&gt;0,PUF!$S13,""),"")</f>
        <v/>
      </c>
      <c r="CA15" s="57" t="str">
        <f>IF(AND($B15=CA$3,$C15="Strong"),IF(PUF!$S13&gt;0,PUF!$S13,""),"")</f>
        <v/>
      </c>
      <c r="CB15" s="57" t="str">
        <f>IF(AND($B15=CB$3,$C15="Strong"),IF(PUF!$S13&gt;0,PUF!$S13,""),"")</f>
        <v/>
      </c>
      <c r="CC15" s="57" t="str">
        <f>IF(AND($B15=CC$3,$C15="Strong"),IF(PUF!$S13&gt;0,PUF!$S13,""),"")</f>
        <v/>
      </c>
      <c r="CD15" s="57" t="str">
        <f>IF(AND($B15=CD$3,$C15="Strong"),IF(PUF!$S13&gt;0,PUF!$S13,""),"")</f>
        <v/>
      </c>
      <c r="CF15" s="11">
        <f t="shared" si="6"/>
        <v>2012</v>
      </c>
      <c r="CG15" s="57" t="str">
        <f>IF(AND($B15=CG$3,$C15="Strong"),IF(PUF!$U13&gt;0,PUF!$U13,""),"")</f>
        <v/>
      </c>
      <c r="CH15" s="57" t="str">
        <f>IF(AND($B15=CH$3,$C15="Strong"),IF(PUF!$U13&gt;0,PUF!$U13,""),"")</f>
        <v/>
      </c>
      <c r="CI15" s="57" t="str">
        <f>IF(AND($B15=CI$3,$C15="Strong"),IF(PUF!$U13&gt;0,PUF!$U13,""),"")</f>
        <v/>
      </c>
      <c r="CJ15" s="57" t="str">
        <f>IF(AND($B15=CJ$3,$C15="Strong"),IF(PUF!$U13&gt;0,PUF!$U13,""),"")</f>
        <v/>
      </c>
      <c r="CK15" s="57" t="str">
        <f>IF(AND($B15=CK$3,$C15="Strong"),IF(PUF!$U13&gt;0,PUF!$U13,""),"")</f>
        <v/>
      </c>
      <c r="CL15" s="57" t="str">
        <f>IF(AND($B15=CL$3,$C15="Strong"),IF(PUF!$U13&gt;0,PUF!$U13,""),"")</f>
        <v/>
      </c>
      <c r="CM15" s="57" t="str">
        <f>IF(AND($B15=CM$3,$C15="Strong"),IF(PUF!$U13&gt;0,PUF!$U13,""),"")</f>
        <v/>
      </c>
      <c r="CN15" s="57" t="str">
        <f>IF(AND($B15=CN$3,$C15="Strong"),IF(PUF!$U13&gt;0,PUF!$U13,""),"")</f>
        <v/>
      </c>
    </row>
    <row r="16" spans="1:92" x14ac:dyDescent="0.3">
      <c r="A16" s="6">
        <f>PUF!A14</f>
        <v>13</v>
      </c>
      <c r="B16" s="6" t="str">
        <f>PUF!G14</f>
        <v>memory (volatile)</v>
      </c>
      <c r="C16" t="str">
        <f>PUF!AL14</f>
        <v>Weak</v>
      </c>
      <c r="D16" s="166">
        <f>PUF!C14</f>
        <v>2012</v>
      </c>
      <c r="E16" s="167" t="str">
        <f>IF(AND($B16=E$3,$C16="Weak"),IF(PUF!$X14&gt;0,PUF!$X14,""),"")</f>
        <v/>
      </c>
      <c r="F16" s="167" t="str">
        <f>IF(AND($B16=F$3,$C16="Weak"),IF(PUF!$X14&gt;0,PUF!$X14,""),"")</f>
        <v/>
      </c>
      <c r="G16" s="167">
        <f>IF(AND($B16=G$3,$C16="Weak"),IF(PUF!$X14&gt;0,PUF!$X14,""),"")</f>
        <v>192.31491540310648</v>
      </c>
      <c r="H16" s="167" t="str">
        <f>IF(AND($B16=H$3,$C16="Weak"),IF(PUF!$X14&gt;0,PUF!$X14,""),"")</f>
        <v/>
      </c>
      <c r="I16" s="167" t="str">
        <f>IF(AND($B16=I$3,$C16="Weak"),IF(PUF!$X14&gt;0,PUF!$X14,""),"")</f>
        <v/>
      </c>
      <c r="J16" s="167" t="str">
        <f>IF(AND($B16=J$3,$C16="Weak"),IF(PUF!$X14&gt;0,PUF!$X14,""),"")</f>
        <v/>
      </c>
      <c r="K16" s="167" t="str">
        <f>IF(AND($B16=K$3,$C16="Weak"),IF(PUF!$X14&gt;0,PUF!$X14,""),"")</f>
        <v/>
      </c>
      <c r="L16" s="167" t="str">
        <f>IF(AND($B16=L$3,$C16="Weak"),IF(PUF!$X14&gt;0,PUF!$X14,""),"")</f>
        <v/>
      </c>
      <c r="N16" s="11">
        <f t="shared" si="0"/>
        <v>2012</v>
      </c>
      <c r="O16" s="57" t="str">
        <f>IF(AND($B16=O$3,$C16="Weak"),IF(PUF!$M14&gt;0,PUF!$M14,""),"")</f>
        <v/>
      </c>
      <c r="P16" s="57" t="str">
        <f>IF(AND($B16=P$3,$C16="Weak"),IF(PUF!$M14&gt;0,PUF!$M14,""),"")</f>
        <v/>
      </c>
      <c r="Q16" s="57" t="str">
        <f>IF(AND($B16=Q$3,$C16="Weak"),IF(PUF!$M14&gt;0,PUF!$M14,""),"")</f>
        <v>N/A</v>
      </c>
      <c r="R16" s="57" t="str">
        <f>IF(AND($B16=R$3,$C16="Weak"),IF(PUF!$M14&gt;0,PUF!$M14,""),"")</f>
        <v/>
      </c>
      <c r="S16" s="57" t="str">
        <f>IF(AND($B16=S$3,$C16="Weak"),IF(PUF!$M14&gt;0,PUF!$M14,""),"")</f>
        <v/>
      </c>
      <c r="T16" s="57" t="str">
        <f>IF(AND($B16=T$3,$C16="Weak"),IF(PUF!$M14&gt;0,PUF!$M14,""),"")</f>
        <v/>
      </c>
      <c r="U16" s="57" t="str">
        <f>IF(AND($B16=U$3,$C16="Weak"),IF(PUF!$M14&gt;0,PUF!$M14,""),"")</f>
        <v/>
      </c>
      <c r="V16" s="57" t="str">
        <f>IF(AND($B16=V$3,$C16="Weak"),IF(PUF!$M14&gt;0,PUF!$M14,""),"")</f>
        <v/>
      </c>
      <c r="W16" s="168"/>
      <c r="X16" s="166">
        <f t="shared" si="4"/>
        <v>2012</v>
      </c>
      <c r="Y16" s="57" t="str">
        <f>IF(AND($B16=Y$3,$C16="Weak"),IF(PUF!$S14&gt;0,PUF!$S14,""),"")</f>
        <v/>
      </c>
      <c r="Z16" s="57" t="str">
        <f>IF(AND($B16=Z$3,$C16="Weak"),IF(PUF!$S14&gt;0,PUF!$S14,""),"")</f>
        <v/>
      </c>
      <c r="AA16" s="57" t="str">
        <f>IF(AND($B16=AA$3,$C16="Weak"),IF(PUF!$S14&gt;0,PUF!$S14,""),"")</f>
        <v>N/A</v>
      </c>
      <c r="AB16" s="57" t="str">
        <f>IF(AND($B16=AB$3,$C16="Weak"),IF(PUF!$S14&gt;0,PUF!$S14,""),"")</f>
        <v/>
      </c>
      <c r="AC16" s="57" t="str">
        <f>IF(AND($B16=AC$3,$C16="Weak"),IF(PUF!$S14&gt;0,PUF!$S14,""),"")</f>
        <v/>
      </c>
      <c r="AD16" s="57" t="str">
        <f>IF(AND($B16=AD$3,$C16="Weak"),IF(PUF!$S14&gt;0,PUF!$S14,""),"")</f>
        <v/>
      </c>
      <c r="AE16" s="57" t="str">
        <f>IF(AND($B16=AE$3,$C16="Weak"),IF(PUF!$S14&gt;0,PUF!$S14,""),"")</f>
        <v/>
      </c>
      <c r="AF16" s="57" t="str">
        <f>IF(AND($B16=AF$3,$C16="Weak"),IF(PUF!$S14&gt;0,PUF!$S14,""),"")</f>
        <v/>
      </c>
      <c r="AH16" s="210">
        <f t="shared" si="1"/>
        <v>2012</v>
      </c>
      <c r="AI16" s="211" t="str">
        <f>IF(AND($B16=AI$3,$C16="Weak"),IF(PUF!$U14&gt;0,PUF!$U14,""),"")</f>
        <v/>
      </c>
      <c r="AJ16" s="211" t="str">
        <f>IF(AND($B16=AJ$3,$C16="Weak"),IF(PUF!$U14&gt;0,PUF!$U14,""),"")</f>
        <v/>
      </c>
      <c r="AK16" s="211" t="str">
        <f>IF(AND($B16=AK$3,$C16="Weak"),IF(PUF!$U14&gt;0,PUF!$U14,""),"")</f>
        <v>N/A</v>
      </c>
      <c r="AL16" s="211" t="str">
        <f>IF(AND($B16=AL$3,$C16="Weak"),IF(PUF!$U14&gt;0,PUF!$U14,""),"")</f>
        <v/>
      </c>
      <c r="AM16" s="211" t="str">
        <f>IF(AND($B16=AM$3,$C16="Weak"),IF(PUF!$U14&gt;0,PUF!$U14,""),"")</f>
        <v/>
      </c>
      <c r="AN16" s="211" t="str">
        <f>IF(AND($B16=AN$3,$C16="Weak"),IF(PUF!$U14&gt;0,PUF!$U14,""),"")</f>
        <v/>
      </c>
      <c r="AO16" s="211" t="str">
        <f>IF(AND($B16=AO$3,$C16="Weak"),IF(PUF!$U14&gt;0,PUF!$U14,""),"")</f>
        <v/>
      </c>
      <c r="AP16" s="211" t="str">
        <f>IF(AND($B16=AP$3,$C16="Weak"),IF(PUF!$U14&gt;0,PUF!$U14,""),"")</f>
        <v/>
      </c>
      <c r="BB16" s="166">
        <f t="shared" si="2"/>
        <v>2012</v>
      </c>
      <c r="BC16" s="57" t="str">
        <f>IF(AND($B16=BC$3,$C16="Strong"),IF(PUF!$X14&gt;0,PUF!$X14,""),"")</f>
        <v/>
      </c>
      <c r="BD16" s="57" t="str">
        <f>IF(AND($B16=BD$3,$C16="Strong"),IF(PUF!$X14&gt;0,PUF!$X14,""),"")</f>
        <v/>
      </c>
      <c r="BE16" s="57" t="str">
        <f>IF(AND($B16=BE$3,$C16="Strong"),IF(PUF!$X14&gt;0,PUF!$X14,""),"")</f>
        <v/>
      </c>
      <c r="BF16" s="57" t="str">
        <f>IF(AND($B16=BF$3,$C16="Strong"),IF(PUF!$X14&gt;0,PUF!$X14,""),"")</f>
        <v/>
      </c>
      <c r="BG16" s="57" t="str">
        <f>IF(AND($B16=BG$3,$C16="Strong"),IF(PUF!$X14&gt;0,PUF!$X14,""),"")</f>
        <v/>
      </c>
      <c r="BH16" s="57" t="str">
        <f>IF(AND($B16=BH$3,$C16="Strong"),IF(PUF!$X14&gt;0,PUF!$X14,""),"")</f>
        <v/>
      </c>
      <c r="BI16" s="57" t="str">
        <f>IF(AND($B16=BI$3,$C16="Strong"),IF(PUF!$X14&gt;0,PUF!$X14,""),"")</f>
        <v/>
      </c>
      <c r="BJ16" s="57" t="str">
        <f>IF(AND($B16=BJ$3,$C16="Strong"),IF(PUF!$X14&gt;0,PUF!$X14,""),"")</f>
        <v/>
      </c>
      <c r="BL16" s="166">
        <f t="shared" si="3"/>
        <v>2012</v>
      </c>
      <c r="BM16" s="57" t="str">
        <f>IF(AND($B16=BM$3,$C16="Strong"),IF(PUF!$M14&gt;0,PUF!$M14,""),"")</f>
        <v/>
      </c>
      <c r="BN16" s="57" t="str">
        <f>IF(AND($B16=BN$3,$C16="Strong"),IF(PUF!$M14&gt;0,PUF!$M14,""),"")</f>
        <v/>
      </c>
      <c r="BO16" s="57" t="str">
        <f>IF(AND($B16=BO$3,$C16="Strong"),IF(PUF!$M14&gt;0,PUF!$M14,""),"")</f>
        <v/>
      </c>
      <c r="BP16" s="57" t="str">
        <f>IF(AND($B16=BP$3,$C16="Strong"),IF(PUF!$M14&gt;0,PUF!$M14,""),"")</f>
        <v/>
      </c>
      <c r="BQ16" s="57" t="str">
        <f>IF(AND($B16=BQ$3,$C16="Strong"),IF(PUF!$M14&gt;0,PUF!$M14,""),"")</f>
        <v/>
      </c>
      <c r="BR16" s="57" t="str">
        <f>IF(AND($B16=BR$3,$C16="Strong"),IF(PUF!$M14&gt;0,PUF!$M14,""),"")</f>
        <v/>
      </c>
      <c r="BS16" s="57" t="str">
        <f>IF(AND($B16=BS$3,$C16="Strong"),IF(PUF!$M14&gt;0,PUF!$M14,""),"")</f>
        <v/>
      </c>
      <c r="BT16" s="57" t="str">
        <f>IF(AND($B16=BT$3,$C16="Strong"),IF(PUF!$M14&gt;0,PUF!$M14,""),"")</f>
        <v/>
      </c>
      <c r="BV16" s="166">
        <f t="shared" si="5"/>
        <v>2012</v>
      </c>
      <c r="BW16" s="57" t="str">
        <f>IF(AND($B16=BW$3,$C16="Strong"),IF(PUF!$S14&gt;0,PUF!$S14,""),"")</f>
        <v/>
      </c>
      <c r="BX16" s="57" t="str">
        <f>IF(AND($B16=BX$3,$C16="Strong"),IF(PUF!$S14&gt;0,PUF!$S14,""),"")</f>
        <v/>
      </c>
      <c r="BY16" s="57" t="str">
        <f>IF(AND($B16=BY$3,$C16="Strong"),IF(PUF!$S14&gt;0,PUF!$S14,""),"")</f>
        <v/>
      </c>
      <c r="BZ16" s="57" t="str">
        <f>IF(AND($B16=BZ$3,$C16="Strong"),IF(PUF!$S14&gt;0,PUF!$S14,""),"")</f>
        <v/>
      </c>
      <c r="CA16" s="57" t="str">
        <f>IF(AND($B16=CA$3,$C16="Strong"),IF(PUF!$S14&gt;0,PUF!$S14,""),"")</f>
        <v/>
      </c>
      <c r="CB16" s="57" t="str">
        <f>IF(AND($B16=CB$3,$C16="Strong"),IF(PUF!$S14&gt;0,PUF!$S14,""),"")</f>
        <v/>
      </c>
      <c r="CC16" s="57" t="str">
        <f>IF(AND($B16=CC$3,$C16="Strong"),IF(PUF!$S14&gt;0,PUF!$S14,""),"")</f>
        <v/>
      </c>
      <c r="CD16" s="57" t="str">
        <f>IF(AND($B16=CD$3,$C16="Strong"),IF(PUF!$S14&gt;0,PUF!$S14,""),"")</f>
        <v/>
      </c>
      <c r="CF16" s="11">
        <f t="shared" si="6"/>
        <v>2012</v>
      </c>
      <c r="CG16" s="57" t="str">
        <f>IF(AND($B16=CG$3,$C16="Strong"),IF(PUF!$U14&gt;0,PUF!$U14,""),"")</f>
        <v/>
      </c>
      <c r="CH16" s="57" t="str">
        <f>IF(AND($B16=CH$3,$C16="Strong"),IF(PUF!$U14&gt;0,PUF!$U14,""),"")</f>
        <v/>
      </c>
      <c r="CI16" s="57" t="str">
        <f>IF(AND($B16=CI$3,$C16="Strong"),IF(PUF!$U14&gt;0,PUF!$U14,""),"")</f>
        <v/>
      </c>
      <c r="CJ16" s="57" t="str">
        <f>IF(AND($B16=CJ$3,$C16="Strong"),IF(PUF!$U14&gt;0,PUF!$U14,""),"")</f>
        <v/>
      </c>
      <c r="CK16" s="57" t="str">
        <f>IF(AND($B16=CK$3,$C16="Strong"),IF(PUF!$U14&gt;0,PUF!$U14,""),"")</f>
        <v/>
      </c>
      <c r="CL16" s="57" t="str">
        <f>IF(AND($B16=CL$3,$C16="Strong"),IF(PUF!$U14&gt;0,PUF!$U14,""),"")</f>
        <v/>
      </c>
      <c r="CM16" s="57" t="str">
        <f>IF(AND($B16=CM$3,$C16="Strong"),IF(PUF!$U14&gt;0,PUF!$U14,""),"")</f>
        <v/>
      </c>
      <c r="CN16" s="57" t="str">
        <f>IF(AND($B16=CN$3,$C16="Strong"),IF(PUF!$U14&gt;0,PUF!$U14,""),"")</f>
        <v/>
      </c>
    </row>
    <row r="17" spans="1:92" x14ac:dyDescent="0.3">
      <c r="A17" s="6">
        <f>PUF!A15</f>
        <v>14</v>
      </c>
      <c r="B17" s="6" t="str">
        <f>PUF!G15</f>
        <v>delay</v>
      </c>
      <c r="C17" t="str">
        <f>PUF!AL15</f>
        <v>Strong</v>
      </c>
      <c r="D17" s="166">
        <f>PUF!C15</f>
        <v>2012</v>
      </c>
      <c r="E17" s="167" t="str">
        <f>IF(AND($B17=E$3,$C17="Weak"),IF(PUF!$X15&gt;0,PUF!$X15,""),"")</f>
        <v/>
      </c>
      <c r="F17" s="167" t="str">
        <f>IF(AND($B17=F$3,$C17="Weak"),IF(PUF!$X15&gt;0,PUF!$X15,""),"")</f>
        <v/>
      </c>
      <c r="G17" s="167" t="str">
        <f>IF(AND($B17=G$3,$C17="Weak"),IF(PUF!$X15&gt;0,PUF!$X15,""),"")</f>
        <v/>
      </c>
      <c r="H17" s="167" t="str">
        <f>IF(AND($B17=H$3,$C17="Weak"),IF(PUF!$X15&gt;0,PUF!$X15,""),"")</f>
        <v/>
      </c>
      <c r="I17" s="167" t="str">
        <f>IF(AND($B17=I$3,$C17="Weak"),IF(PUF!$X15&gt;0,PUF!$X15,""),"")</f>
        <v/>
      </c>
      <c r="J17" s="167" t="str">
        <f>IF(AND($B17=J$3,$C17="Weak"),IF(PUF!$X15&gt;0,PUF!$X15,""),"")</f>
        <v/>
      </c>
      <c r="K17" s="167" t="str">
        <f>IF(AND($B17=K$3,$C17="Weak"),IF(PUF!$X15&gt;0,PUF!$X15,""),"")</f>
        <v/>
      </c>
      <c r="L17" s="167" t="str">
        <f>IF(AND($B17=L$3,$C17="Weak"),IF(PUF!$X15&gt;0,PUF!$X15,""),"")</f>
        <v/>
      </c>
      <c r="N17" s="11">
        <f t="shared" si="0"/>
        <v>2012</v>
      </c>
      <c r="O17" s="57" t="str">
        <f>IF(AND($B17=O$3,$C17="Weak"),IF(PUF!$M15&gt;0,PUF!$M15,""),"")</f>
        <v/>
      </c>
      <c r="P17" s="57" t="str">
        <f>IF(AND($B17=P$3,$C17="Weak"),IF(PUF!$M15&gt;0,PUF!$M15,""),"")</f>
        <v/>
      </c>
      <c r="Q17" s="57" t="str">
        <f>IF(AND($B17=Q$3,$C17="Weak"),IF(PUF!$M15&gt;0,PUF!$M15,""),"")</f>
        <v/>
      </c>
      <c r="R17" s="57" t="str">
        <f>IF(AND($B17=R$3,$C17="Weak"),IF(PUF!$M15&gt;0,PUF!$M15,""),"")</f>
        <v/>
      </c>
      <c r="S17" s="57" t="str">
        <f>IF(AND($B17=S$3,$C17="Weak"),IF(PUF!$M15&gt;0,PUF!$M15,""),"")</f>
        <v/>
      </c>
      <c r="T17" s="57" t="str">
        <f>IF(AND($B17=T$3,$C17="Weak"),IF(PUF!$M15&gt;0,PUF!$M15,""),"")</f>
        <v/>
      </c>
      <c r="U17" s="57" t="str">
        <f>IF(AND($B17=U$3,$C17="Weak"),IF(PUF!$M15&gt;0,PUF!$M15,""),"")</f>
        <v/>
      </c>
      <c r="V17" s="57" t="str">
        <f>IF(AND($B17=V$3,$C17="Weak"),IF(PUF!$M15&gt;0,PUF!$M15,""),"")</f>
        <v/>
      </c>
      <c r="W17" s="168"/>
      <c r="X17" s="166">
        <f t="shared" si="4"/>
        <v>2012</v>
      </c>
      <c r="Y17" s="57" t="str">
        <f>IF(AND($B17=Y$3,$C17="Weak"),IF(PUF!$S15&gt;0,PUF!$S15,""),"")</f>
        <v/>
      </c>
      <c r="Z17" s="57" t="str">
        <f>IF(AND($B17=Z$3,$C17="Weak"),IF(PUF!$S15&gt;0,PUF!$S15,""),"")</f>
        <v/>
      </c>
      <c r="AA17" s="57" t="str">
        <f>IF(AND($B17=AA$3,$C17="Weak"),IF(PUF!$S15&gt;0,PUF!$S15,""),"")</f>
        <v/>
      </c>
      <c r="AB17" s="57" t="str">
        <f>IF(AND($B17=AB$3,$C17="Weak"),IF(PUF!$S15&gt;0,PUF!$S15,""),"")</f>
        <v/>
      </c>
      <c r="AC17" s="57" t="str">
        <f>IF(AND($B17=AC$3,$C17="Weak"),IF(PUF!$S15&gt;0,PUF!$S15,""),"")</f>
        <v/>
      </c>
      <c r="AD17" s="57" t="str">
        <f>IF(AND($B17=AD$3,$C17="Weak"),IF(PUF!$S15&gt;0,PUF!$S15,""),"")</f>
        <v/>
      </c>
      <c r="AE17" s="57" t="str">
        <f>IF(AND($B17=AE$3,$C17="Weak"),IF(PUF!$S15&gt;0,PUF!$S15,""),"")</f>
        <v/>
      </c>
      <c r="AF17" s="57" t="str">
        <f>IF(AND($B17=AF$3,$C17="Weak"),IF(PUF!$S15&gt;0,PUF!$S15,""),"")</f>
        <v/>
      </c>
      <c r="AH17" s="210">
        <f t="shared" si="1"/>
        <v>2012</v>
      </c>
      <c r="AI17" s="211" t="str">
        <f>IF(AND($B17=AI$3,$C17="Weak"),IF(PUF!$U15&gt;0,PUF!$U15,""),"")</f>
        <v/>
      </c>
      <c r="AJ17" s="211" t="str">
        <f>IF(AND($B17=AJ$3,$C17="Weak"),IF(PUF!$U15&gt;0,PUF!$U15,""),"")</f>
        <v/>
      </c>
      <c r="AK17" s="211" t="str">
        <f>IF(AND($B17=AK$3,$C17="Weak"),IF(PUF!$U15&gt;0,PUF!$U15,""),"")</f>
        <v/>
      </c>
      <c r="AL17" s="211" t="str">
        <f>IF(AND($B17=AL$3,$C17="Weak"),IF(PUF!$U15&gt;0,PUF!$U15,""),"")</f>
        <v/>
      </c>
      <c r="AM17" s="211" t="str">
        <f>IF(AND($B17=AM$3,$C17="Weak"),IF(PUF!$U15&gt;0,PUF!$U15,""),"")</f>
        <v/>
      </c>
      <c r="AN17" s="211" t="str">
        <f>IF(AND($B17=AN$3,$C17="Weak"),IF(PUF!$U15&gt;0,PUF!$U15,""),"")</f>
        <v/>
      </c>
      <c r="AO17" s="211" t="str">
        <f>IF(AND($B17=AO$3,$C17="Weak"),IF(PUF!$U15&gt;0,PUF!$U15,""),"")</f>
        <v/>
      </c>
      <c r="AP17" s="211" t="str">
        <f>IF(AND($B17=AP$3,$C17="Weak"),IF(PUF!$U15&gt;0,PUF!$U15,""),"")</f>
        <v/>
      </c>
      <c r="BB17" s="166">
        <f t="shared" si="2"/>
        <v>2012</v>
      </c>
      <c r="BC17" s="57" t="str">
        <f>IF(AND($B17=BC$3,$C17="Strong"),IF(PUF!$X15&gt;0,PUF!$X15,""),"")</f>
        <v/>
      </c>
      <c r="BD17" s="57">
        <f>IF(AND($B17=BD$3,$C17="Strong"),IF(PUF!$X15&gt;0,PUF!$X15,""),"")</f>
        <v>66035502.958579876</v>
      </c>
      <c r="BE17" s="57" t="str">
        <f>IF(AND($B17=BE$3,$C17="Strong"),IF(PUF!$X15&gt;0,PUF!$X15,""),"")</f>
        <v/>
      </c>
      <c r="BF17" s="57" t="str">
        <f>IF(AND($B17=BF$3,$C17="Strong"),IF(PUF!$X15&gt;0,PUF!$X15,""),"")</f>
        <v/>
      </c>
      <c r="BG17" s="57" t="str">
        <f>IF(AND($B17=BG$3,$C17="Strong"),IF(PUF!$X15&gt;0,PUF!$X15,""),"")</f>
        <v/>
      </c>
      <c r="BH17" s="57" t="str">
        <f>IF(AND($B17=BH$3,$C17="Strong"),IF(PUF!$X15&gt;0,PUF!$X15,""),"")</f>
        <v/>
      </c>
      <c r="BI17" s="57" t="str">
        <f>IF(AND($B17=BI$3,$C17="Strong"),IF(PUF!$X15&gt;0,PUF!$X15,""),"")</f>
        <v/>
      </c>
      <c r="BJ17" s="57" t="str">
        <f>IF(AND($B17=BJ$3,$C17="Strong"),IF(PUF!$X15&gt;0,PUF!$X15,""),"")</f>
        <v/>
      </c>
      <c r="BL17" s="166">
        <f t="shared" si="3"/>
        <v>2012</v>
      </c>
      <c r="BM17" s="57" t="str">
        <f>IF(AND($B17=BM$3,$C17="Strong"),IF(PUF!$M15&gt;0,PUF!$M15,""),"")</f>
        <v/>
      </c>
      <c r="BN17" s="57" t="str">
        <f>IF(AND($B17=BN$3,$C17="Strong"),IF(PUF!$M15&gt;0,PUF!$M15,""),"")</f>
        <v>N/A</v>
      </c>
      <c r="BO17" s="57" t="str">
        <f>IF(AND($B17=BO$3,$C17="Strong"),IF(PUF!$M15&gt;0,PUF!$M15,""),"")</f>
        <v/>
      </c>
      <c r="BP17" s="57" t="str">
        <f>IF(AND($B17=BP$3,$C17="Strong"),IF(PUF!$M15&gt;0,PUF!$M15,""),"")</f>
        <v/>
      </c>
      <c r="BQ17" s="57" t="str">
        <f>IF(AND($B17=BQ$3,$C17="Strong"),IF(PUF!$M15&gt;0,PUF!$M15,""),"")</f>
        <v/>
      </c>
      <c r="BR17" s="57" t="str">
        <f>IF(AND($B17=BR$3,$C17="Strong"),IF(PUF!$M15&gt;0,PUF!$M15,""),"")</f>
        <v/>
      </c>
      <c r="BS17" s="57" t="str">
        <f>IF(AND($B17=BS$3,$C17="Strong"),IF(PUF!$M15&gt;0,PUF!$M15,""),"")</f>
        <v/>
      </c>
      <c r="BT17" s="57" t="str">
        <f>IF(AND($B17=BT$3,$C17="Strong"),IF(PUF!$M15&gt;0,PUF!$M15,""),"")</f>
        <v/>
      </c>
      <c r="BV17" s="166">
        <f t="shared" si="5"/>
        <v>2012</v>
      </c>
      <c r="BW17" s="57" t="str">
        <f>IF(AND($B17=BW$3,$C17="Strong"),IF(PUF!$S15&gt;0,PUF!$S15,""),"")</f>
        <v/>
      </c>
      <c r="BX17" s="57" t="str">
        <f>IF(AND($B17=BX$3,$C17="Strong"),IF(PUF!$S15&gt;0,PUF!$S15,""),"")</f>
        <v>N/A</v>
      </c>
      <c r="BY17" s="57" t="str">
        <f>IF(AND($B17=BY$3,$C17="Strong"),IF(PUF!$S15&gt;0,PUF!$S15,""),"")</f>
        <v/>
      </c>
      <c r="BZ17" s="57" t="str">
        <f>IF(AND($B17=BZ$3,$C17="Strong"),IF(PUF!$S15&gt;0,PUF!$S15,""),"")</f>
        <v/>
      </c>
      <c r="CA17" s="57" t="str">
        <f>IF(AND($B17=CA$3,$C17="Strong"),IF(PUF!$S15&gt;0,PUF!$S15,""),"")</f>
        <v/>
      </c>
      <c r="CB17" s="57" t="str">
        <f>IF(AND($B17=CB$3,$C17="Strong"),IF(PUF!$S15&gt;0,PUF!$S15,""),"")</f>
        <v/>
      </c>
      <c r="CC17" s="57" t="str">
        <f>IF(AND($B17=CC$3,$C17="Strong"),IF(PUF!$S15&gt;0,PUF!$S15,""),"")</f>
        <v/>
      </c>
      <c r="CD17" s="57" t="str">
        <f>IF(AND($B17=CD$3,$C17="Strong"),IF(PUF!$S15&gt;0,PUF!$S15,""),"")</f>
        <v/>
      </c>
      <c r="CF17" s="11">
        <f t="shared" si="6"/>
        <v>2012</v>
      </c>
      <c r="CG17" s="57" t="str">
        <f>IF(AND($B17=CG$3,$C17="Strong"),IF(PUF!$U15&gt;0,PUF!$U15,""),"")</f>
        <v/>
      </c>
      <c r="CH17" s="57" t="str">
        <f>IF(AND($B17=CH$3,$C17="Strong"),IF(PUF!$U15&gt;0,PUF!$U15,""),"")</f>
        <v>N/A</v>
      </c>
      <c r="CI17" s="57" t="str">
        <f>IF(AND($B17=CI$3,$C17="Strong"),IF(PUF!$U15&gt;0,PUF!$U15,""),"")</f>
        <v/>
      </c>
      <c r="CJ17" s="57" t="str">
        <f>IF(AND($B17=CJ$3,$C17="Strong"),IF(PUF!$U15&gt;0,PUF!$U15,""),"")</f>
        <v/>
      </c>
      <c r="CK17" s="57" t="str">
        <f>IF(AND($B17=CK$3,$C17="Strong"),IF(PUF!$U15&gt;0,PUF!$U15,""),"")</f>
        <v/>
      </c>
      <c r="CL17" s="57" t="str">
        <f>IF(AND($B17=CL$3,$C17="Strong"),IF(PUF!$U15&gt;0,PUF!$U15,""),"")</f>
        <v/>
      </c>
      <c r="CM17" s="57" t="str">
        <f>IF(AND($B17=CM$3,$C17="Strong"),IF(PUF!$U15&gt;0,PUF!$U15,""),"")</f>
        <v/>
      </c>
      <c r="CN17" s="57" t="str">
        <f>IF(AND($B17=CN$3,$C17="Strong"),IF(PUF!$U15&gt;0,PUF!$U15,""),"")</f>
        <v/>
      </c>
    </row>
    <row r="18" spans="1:92" x14ac:dyDescent="0.3">
      <c r="A18" s="6">
        <f>PUF!A16</f>
        <v>15</v>
      </c>
      <c r="B18" s="6" t="str">
        <f>PUF!G16</f>
        <v>memory (volatile)</v>
      </c>
      <c r="C18" t="str">
        <f>PUF!AL16</f>
        <v>Weak</v>
      </c>
      <c r="D18" s="166">
        <f>PUF!C16</f>
        <v>2012</v>
      </c>
      <c r="E18" s="167" t="str">
        <f>IF(AND($B18=E$3,$C18="Weak"),IF(PUF!$X16&gt;0,PUF!$X16,""),"")</f>
        <v/>
      </c>
      <c r="F18" s="167" t="str">
        <f>IF(AND($B18=F$3,$C18="Weak"),IF(PUF!$X16&gt;0,PUF!$X16,""),"")</f>
        <v/>
      </c>
      <c r="G18" s="167">
        <f>IF(AND($B18=G$3,$C18="Weak"),IF(PUF!$X16&gt;0,PUF!$X16,""),"")</f>
        <v>1964.6819526627216</v>
      </c>
      <c r="H18" s="167" t="str">
        <f>IF(AND($B18=H$3,$C18="Weak"),IF(PUF!$X16&gt;0,PUF!$X16,""),"")</f>
        <v/>
      </c>
      <c r="I18" s="167" t="str">
        <f>IF(AND($B18=I$3,$C18="Weak"),IF(PUF!$X16&gt;0,PUF!$X16,""),"")</f>
        <v/>
      </c>
      <c r="J18" s="167" t="str">
        <f>IF(AND($B18=J$3,$C18="Weak"),IF(PUF!$X16&gt;0,PUF!$X16,""),"")</f>
        <v/>
      </c>
      <c r="K18" s="167" t="str">
        <f>IF(AND($B18=K$3,$C18="Weak"),IF(PUF!$X16&gt;0,PUF!$X16,""),"")</f>
        <v/>
      </c>
      <c r="L18" s="167" t="str">
        <f>IF(AND($B18=L$3,$C18="Weak"),IF(PUF!$X16&gt;0,PUF!$X16,""),"")</f>
        <v/>
      </c>
      <c r="N18" s="11">
        <f t="shared" si="0"/>
        <v>2012</v>
      </c>
      <c r="O18" s="57" t="str">
        <f>IF(AND($B18=O$3,$C18="Weak"),IF(PUF!$M16&gt;0,PUF!$M16,""),"")</f>
        <v/>
      </c>
      <c r="P18" s="57" t="str">
        <f>IF(AND($B18=P$3,$C18="Weak"),IF(PUF!$M16&gt;0,PUF!$M16,""),"")</f>
        <v/>
      </c>
      <c r="Q18" s="57" t="str">
        <f>IF(AND($B18=Q$3,$C18="Weak"),IF(PUF!$M16&gt;0,PUF!$M16,""),"")</f>
        <v>N/A</v>
      </c>
      <c r="R18" s="57" t="str">
        <f>IF(AND($B18=R$3,$C18="Weak"),IF(PUF!$M16&gt;0,PUF!$M16,""),"")</f>
        <v/>
      </c>
      <c r="S18" s="57" t="str">
        <f>IF(AND($B18=S$3,$C18="Weak"),IF(PUF!$M16&gt;0,PUF!$M16,""),"")</f>
        <v/>
      </c>
      <c r="T18" s="57" t="str">
        <f>IF(AND($B18=T$3,$C18="Weak"),IF(PUF!$M16&gt;0,PUF!$M16,""),"")</f>
        <v/>
      </c>
      <c r="U18" s="57" t="str">
        <f>IF(AND($B18=U$3,$C18="Weak"),IF(PUF!$M16&gt;0,PUF!$M16,""),"")</f>
        <v/>
      </c>
      <c r="V18" s="57" t="str">
        <f>IF(AND($B18=V$3,$C18="Weak"),IF(PUF!$M16&gt;0,PUF!$M16,""),"")</f>
        <v/>
      </c>
      <c r="W18" s="168"/>
      <c r="X18" s="166">
        <f t="shared" si="4"/>
        <v>2012</v>
      </c>
      <c r="Y18" s="57" t="str">
        <f>IF(AND($B18=Y$3,$C18="Weak"),IF(PUF!$S16&gt;0,PUF!$S16,""),"")</f>
        <v/>
      </c>
      <c r="Z18" s="57" t="str">
        <f>IF(AND($B18=Z$3,$C18="Weak"),IF(PUF!$S16&gt;0,PUF!$S16,""),"")</f>
        <v/>
      </c>
      <c r="AA18" s="57" t="str">
        <f>IF(AND($B18=AA$3,$C18="Weak"),IF(PUF!$S16&gt;0,PUF!$S16,""),"")</f>
        <v>N/A</v>
      </c>
      <c r="AB18" s="57" t="str">
        <f>IF(AND($B18=AB$3,$C18="Weak"),IF(PUF!$S16&gt;0,PUF!$S16,""),"")</f>
        <v/>
      </c>
      <c r="AC18" s="57" t="str">
        <f>IF(AND($B18=AC$3,$C18="Weak"),IF(PUF!$S16&gt;0,PUF!$S16,""),"")</f>
        <v/>
      </c>
      <c r="AD18" s="57" t="str">
        <f>IF(AND($B18=AD$3,$C18="Weak"),IF(PUF!$S16&gt;0,PUF!$S16,""),"")</f>
        <v/>
      </c>
      <c r="AE18" s="57" t="str">
        <f>IF(AND($B18=AE$3,$C18="Weak"),IF(PUF!$S16&gt;0,PUF!$S16,""),"")</f>
        <v/>
      </c>
      <c r="AF18" s="57" t="str">
        <f>IF(AND($B18=AF$3,$C18="Weak"),IF(PUF!$S16&gt;0,PUF!$S16,""),"")</f>
        <v/>
      </c>
      <c r="AH18" s="210">
        <f t="shared" si="1"/>
        <v>2012</v>
      </c>
      <c r="AI18" s="211" t="str">
        <f>IF(AND($B18=AI$3,$C18="Weak"),IF(PUF!$U16&gt;0,PUF!$U16,""),"")</f>
        <v/>
      </c>
      <c r="AJ18" s="211" t="str">
        <f>IF(AND($B18=AJ$3,$C18="Weak"),IF(PUF!$U16&gt;0,PUF!$U16,""),"")</f>
        <v/>
      </c>
      <c r="AK18" s="211" t="str">
        <f>IF(AND($B18=AK$3,$C18="Weak"),IF(PUF!$U16&gt;0,PUF!$U16,""),"")</f>
        <v>N/A</v>
      </c>
      <c r="AL18" s="211" t="str">
        <f>IF(AND($B18=AL$3,$C18="Weak"),IF(PUF!$U16&gt;0,PUF!$U16,""),"")</f>
        <v/>
      </c>
      <c r="AM18" s="211" t="str">
        <f>IF(AND($B18=AM$3,$C18="Weak"),IF(PUF!$U16&gt;0,PUF!$U16,""),"")</f>
        <v/>
      </c>
      <c r="AN18" s="211" t="str">
        <f>IF(AND($B18=AN$3,$C18="Weak"),IF(PUF!$U16&gt;0,PUF!$U16,""),"")</f>
        <v/>
      </c>
      <c r="AO18" s="211" t="str">
        <f>IF(AND($B18=AO$3,$C18="Weak"),IF(PUF!$U16&gt;0,PUF!$U16,""),"")</f>
        <v/>
      </c>
      <c r="AP18" s="211" t="str">
        <f>IF(AND($B18=AP$3,$C18="Weak"),IF(PUF!$U16&gt;0,PUF!$U16,""),"")</f>
        <v/>
      </c>
      <c r="BB18" s="166">
        <f t="shared" si="2"/>
        <v>2012</v>
      </c>
      <c r="BC18" s="57" t="str">
        <f>IF(AND($B18=BC$3,$C18="Strong"),IF(PUF!$X16&gt;0,PUF!$X16,""),"")</f>
        <v/>
      </c>
      <c r="BD18" s="57" t="str">
        <f>IF(AND($B18=BD$3,$C18="Strong"),IF(PUF!$X16&gt;0,PUF!$X16,""),"")</f>
        <v/>
      </c>
      <c r="BE18" s="57" t="str">
        <f>IF(AND($B18=BE$3,$C18="Strong"),IF(PUF!$X16&gt;0,PUF!$X16,""),"")</f>
        <v/>
      </c>
      <c r="BF18" s="57" t="str">
        <f>IF(AND($B18=BF$3,$C18="Strong"),IF(PUF!$X16&gt;0,PUF!$X16,""),"")</f>
        <v/>
      </c>
      <c r="BG18" s="57" t="str">
        <f>IF(AND($B18=BG$3,$C18="Strong"),IF(PUF!$X16&gt;0,PUF!$X16,""),"")</f>
        <v/>
      </c>
      <c r="BH18" s="57" t="str">
        <f>IF(AND($B18=BH$3,$C18="Strong"),IF(PUF!$X16&gt;0,PUF!$X16,""),"")</f>
        <v/>
      </c>
      <c r="BI18" s="57" t="str">
        <f>IF(AND($B18=BI$3,$C18="Strong"),IF(PUF!$X16&gt;0,PUF!$X16,""),"")</f>
        <v/>
      </c>
      <c r="BJ18" s="57" t="str">
        <f>IF(AND($B18=BJ$3,$C18="Strong"),IF(PUF!$X16&gt;0,PUF!$X16,""),"")</f>
        <v/>
      </c>
      <c r="BL18" s="166">
        <f t="shared" si="3"/>
        <v>2012</v>
      </c>
      <c r="BM18" s="57" t="str">
        <f>IF(AND($B18=BM$3,$C18="Strong"),IF(PUF!$M16&gt;0,PUF!$M16,""),"")</f>
        <v/>
      </c>
      <c r="BN18" s="57" t="str">
        <f>IF(AND($B18=BN$3,$C18="Strong"),IF(PUF!$M16&gt;0,PUF!$M16,""),"")</f>
        <v/>
      </c>
      <c r="BO18" s="57" t="str">
        <f>IF(AND($B18=BO$3,$C18="Strong"),IF(PUF!$M16&gt;0,PUF!$M16,""),"")</f>
        <v/>
      </c>
      <c r="BP18" s="57" t="str">
        <f>IF(AND($B18=BP$3,$C18="Strong"),IF(PUF!$M16&gt;0,PUF!$M16,""),"")</f>
        <v/>
      </c>
      <c r="BQ18" s="57" t="str">
        <f>IF(AND($B18=BQ$3,$C18="Strong"),IF(PUF!$M16&gt;0,PUF!$M16,""),"")</f>
        <v/>
      </c>
      <c r="BR18" s="57" t="str">
        <f>IF(AND($B18=BR$3,$C18="Strong"),IF(PUF!$M16&gt;0,PUF!$M16,""),"")</f>
        <v/>
      </c>
      <c r="BS18" s="57" t="str">
        <f>IF(AND($B18=BS$3,$C18="Strong"),IF(PUF!$M16&gt;0,PUF!$M16,""),"")</f>
        <v/>
      </c>
      <c r="BT18" s="57" t="str">
        <f>IF(AND($B18=BT$3,$C18="Strong"),IF(PUF!$M16&gt;0,PUF!$M16,""),"")</f>
        <v/>
      </c>
      <c r="BV18" s="166">
        <f t="shared" si="5"/>
        <v>2012</v>
      </c>
      <c r="BW18" s="57" t="str">
        <f>IF(AND($B18=BW$3,$C18="Strong"),IF(PUF!$S16&gt;0,PUF!$S16,""),"")</f>
        <v/>
      </c>
      <c r="BX18" s="57" t="str">
        <f>IF(AND($B18=BX$3,$C18="Strong"),IF(PUF!$S16&gt;0,PUF!$S16,""),"")</f>
        <v/>
      </c>
      <c r="BY18" s="57" t="str">
        <f>IF(AND($B18=BY$3,$C18="Strong"),IF(PUF!$S16&gt;0,PUF!$S16,""),"")</f>
        <v/>
      </c>
      <c r="BZ18" s="57" t="str">
        <f>IF(AND($B18=BZ$3,$C18="Strong"),IF(PUF!$S16&gt;0,PUF!$S16,""),"")</f>
        <v/>
      </c>
      <c r="CA18" s="57" t="str">
        <f>IF(AND($B18=CA$3,$C18="Strong"),IF(PUF!$S16&gt;0,PUF!$S16,""),"")</f>
        <v/>
      </c>
      <c r="CB18" s="57" t="str">
        <f>IF(AND($B18=CB$3,$C18="Strong"),IF(PUF!$S16&gt;0,PUF!$S16,""),"")</f>
        <v/>
      </c>
      <c r="CC18" s="57" t="str">
        <f>IF(AND($B18=CC$3,$C18="Strong"),IF(PUF!$S16&gt;0,PUF!$S16,""),"")</f>
        <v/>
      </c>
      <c r="CD18" s="57" t="str">
        <f>IF(AND($B18=CD$3,$C18="Strong"),IF(PUF!$S16&gt;0,PUF!$S16,""),"")</f>
        <v/>
      </c>
      <c r="CF18" s="11">
        <f t="shared" si="6"/>
        <v>2012</v>
      </c>
      <c r="CG18" s="57" t="str">
        <f>IF(AND($B18=CG$3,$C18="Strong"),IF(PUF!$U16&gt;0,PUF!$U16,""),"")</f>
        <v/>
      </c>
      <c r="CH18" s="57" t="str">
        <f>IF(AND($B18=CH$3,$C18="Strong"),IF(PUF!$U16&gt;0,PUF!$U16,""),"")</f>
        <v/>
      </c>
      <c r="CI18" s="57" t="str">
        <f>IF(AND($B18=CI$3,$C18="Strong"),IF(PUF!$U16&gt;0,PUF!$U16,""),"")</f>
        <v/>
      </c>
      <c r="CJ18" s="57" t="str">
        <f>IF(AND($B18=CJ$3,$C18="Strong"),IF(PUF!$U16&gt;0,PUF!$U16,""),"")</f>
        <v/>
      </c>
      <c r="CK18" s="57" t="str">
        <f>IF(AND($B18=CK$3,$C18="Strong"),IF(PUF!$U16&gt;0,PUF!$U16,""),"")</f>
        <v/>
      </c>
      <c r="CL18" s="57" t="str">
        <f>IF(AND($B18=CL$3,$C18="Strong"),IF(PUF!$U16&gt;0,PUF!$U16,""),"")</f>
        <v/>
      </c>
      <c r="CM18" s="57" t="str">
        <f>IF(AND($B18=CM$3,$C18="Strong"),IF(PUF!$U16&gt;0,PUF!$U16,""),"")</f>
        <v/>
      </c>
      <c r="CN18" s="57" t="str">
        <f>IF(AND($B18=CN$3,$C18="Strong"),IF(PUF!$U16&gt;0,PUF!$U16,""),"")</f>
        <v/>
      </c>
    </row>
    <row r="19" spans="1:92" x14ac:dyDescent="0.3">
      <c r="A19" s="6">
        <f>PUF!A17</f>
        <v>16</v>
      </c>
      <c r="B19" s="6" t="str">
        <f>PUF!G17</f>
        <v>memory (volatile)</v>
      </c>
      <c r="C19" t="str">
        <f>PUF!AL17</f>
        <v>Weak</v>
      </c>
      <c r="D19" s="166">
        <f>PUF!C17</f>
        <v>2012</v>
      </c>
      <c r="E19" s="167" t="str">
        <f>IF(AND($B19=E$3,$C19="Weak"),IF(PUF!$X17&gt;0,PUF!$X17,""),"")</f>
        <v/>
      </c>
      <c r="F19" s="167" t="str">
        <f>IF(AND($B19=F$3,$C19="Weak"),IF(PUF!$X17&gt;0,PUF!$X17,""),"")</f>
        <v/>
      </c>
      <c r="G19" s="167">
        <f>IF(AND($B19=G$3,$C19="Weak"),IF(PUF!$X17&gt;0,PUF!$X17,""),"")</f>
        <v>2831.4534023668634</v>
      </c>
      <c r="H19" s="167" t="str">
        <f>IF(AND($B19=H$3,$C19="Weak"),IF(PUF!$X17&gt;0,PUF!$X17,""),"")</f>
        <v/>
      </c>
      <c r="I19" s="167" t="str">
        <f>IF(AND($B19=I$3,$C19="Weak"),IF(PUF!$X17&gt;0,PUF!$X17,""),"")</f>
        <v/>
      </c>
      <c r="J19" s="167" t="str">
        <f>IF(AND($B19=J$3,$C19="Weak"),IF(PUF!$X17&gt;0,PUF!$X17,""),"")</f>
        <v/>
      </c>
      <c r="K19" s="167" t="str">
        <f>IF(AND($B19=K$3,$C19="Weak"),IF(PUF!$X17&gt;0,PUF!$X17,""),"")</f>
        <v/>
      </c>
      <c r="L19" s="167" t="str">
        <f>IF(AND($B19=L$3,$C19="Weak"),IF(PUF!$X17&gt;0,PUF!$X17,""),"")</f>
        <v/>
      </c>
      <c r="N19" s="11">
        <f t="shared" si="0"/>
        <v>2012</v>
      </c>
      <c r="O19" s="57" t="str">
        <f>IF(AND($B19=O$3,$C19="Weak"),IF(PUF!$M17&gt;0,PUF!$M17,""),"")</f>
        <v/>
      </c>
      <c r="P19" s="57" t="str">
        <f>IF(AND($B19=P$3,$C19="Weak"),IF(PUF!$M17&gt;0,PUF!$M17,""),"")</f>
        <v/>
      </c>
      <c r="Q19" s="57" t="str">
        <f>IF(AND($B19=Q$3,$C19="Weak"),IF(PUF!$M17&gt;0,PUF!$M17,""),"")</f>
        <v>N/A</v>
      </c>
      <c r="R19" s="57" t="str">
        <f>IF(AND($B19=R$3,$C19="Weak"),IF(PUF!$M17&gt;0,PUF!$M17,""),"")</f>
        <v/>
      </c>
      <c r="S19" s="57" t="str">
        <f>IF(AND($B19=S$3,$C19="Weak"),IF(PUF!$M17&gt;0,PUF!$M17,""),"")</f>
        <v/>
      </c>
      <c r="T19" s="57" t="str">
        <f>IF(AND($B19=T$3,$C19="Weak"),IF(PUF!$M17&gt;0,PUF!$M17,""),"")</f>
        <v/>
      </c>
      <c r="U19" s="57" t="str">
        <f>IF(AND($B19=U$3,$C19="Weak"),IF(PUF!$M17&gt;0,PUF!$M17,""),"")</f>
        <v/>
      </c>
      <c r="V19" s="57" t="str">
        <f>IF(AND($B19=V$3,$C19="Weak"),IF(PUF!$M17&gt;0,PUF!$M17,""),"")</f>
        <v/>
      </c>
      <c r="W19" s="168"/>
      <c r="X19" s="166">
        <f t="shared" si="4"/>
        <v>2012</v>
      </c>
      <c r="Y19" s="57" t="str">
        <f>IF(AND($B19=Y$3,$C19="Weak"),IF(PUF!$S17&gt;0,PUF!$S17,""),"")</f>
        <v/>
      </c>
      <c r="Z19" s="57" t="str">
        <f>IF(AND($B19=Z$3,$C19="Weak"),IF(PUF!$S17&gt;0,PUF!$S17,""),"")</f>
        <v/>
      </c>
      <c r="AA19" s="57" t="str">
        <f>IF(AND($B19=AA$3,$C19="Weak"),IF(PUF!$S17&gt;0,PUF!$S17,""),"")</f>
        <v>N/A</v>
      </c>
      <c r="AB19" s="57" t="str">
        <f>IF(AND($B19=AB$3,$C19="Weak"),IF(PUF!$S17&gt;0,PUF!$S17,""),"")</f>
        <v/>
      </c>
      <c r="AC19" s="57" t="str">
        <f>IF(AND($B19=AC$3,$C19="Weak"),IF(PUF!$S17&gt;0,PUF!$S17,""),"")</f>
        <v/>
      </c>
      <c r="AD19" s="57" t="str">
        <f>IF(AND($B19=AD$3,$C19="Weak"),IF(PUF!$S17&gt;0,PUF!$S17,""),"")</f>
        <v/>
      </c>
      <c r="AE19" s="57" t="str">
        <f>IF(AND($B19=AE$3,$C19="Weak"),IF(PUF!$S17&gt;0,PUF!$S17,""),"")</f>
        <v/>
      </c>
      <c r="AF19" s="57" t="str">
        <f>IF(AND($B19=AF$3,$C19="Weak"),IF(PUF!$S17&gt;0,PUF!$S17,""),"")</f>
        <v/>
      </c>
      <c r="AH19" s="210">
        <f t="shared" si="1"/>
        <v>2012</v>
      </c>
      <c r="AI19" s="211" t="str">
        <f>IF(AND($B19=AI$3,$C19="Weak"),IF(PUF!$U17&gt;0,PUF!$U17,""),"")</f>
        <v/>
      </c>
      <c r="AJ19" s="211" t="str">
        <f>IF(AND($B19=AJ$3,$C19="Weak"),IF(PUF!$U17&gt;0,PUF!$U17,""),"")</f>
        <v/>
      </c>
      <c r="AK19" s="211" t="str">
        <f>IF(AND($B19=AK$3,$C19="Weak"),IF(PUF!$U17&gt;0,PUF!$U17,""),"")</f>
        <v>N/A</v>
      </c>
      <c r="AL19" s="211" t="str">
        <f>IF(AND($B19=AL$3,$C19="Weak"),IF(PUF!$U17&gt;0,PUF!$U17,""),"")</f>
        <v/>
      </c>
      <c r="AM19" s="211" t="str">
        <f>IF(AND($B19=AM$3,$C19="Weak"),IF(PUF!$U17&gt;0,PUF!$U17,""),"")</f>
        <v/>
      </c>
      <c r="AN19" s="211" t="str">
        <f>IF(AND($B19=AN$3,$C19="Weak"),IF(PUF!$U17&gt;0,PUF!$U17,""),"")</f>
        <v/>
      </c>
      <c r="AO19" s="211" t="str">
        <f>IF(AND($B19=AO$3,$C19="Weak"),IF(PUF!$U17&gt;0,PUF!$U17,""),"")</f>
        <v/>
      </c>
      <c r="AP19" s="211" t="str">
        <f>IF(AND($B19=AP$3,$C19="Weak"),IF(PUF!$U17&gt;0,PUF!$U17,""),"")</f>
        <v/>
      </c>
      <c r="BB19" s="166">
        <f t="shared" si="2"/>
        <v>2012</v>
      </c>
      <c r="BC19" s="57" t="str">
        <f>IF(AND($B19=BC$3,$C19="Strong"),IF(PUF!$X17&gt;0,PUF!$X17,""),"")</f>
        <v/>
      </c>
      <c r="BD19" s="57" t="str">
        <f>IF(AND($B19=BD$3,$C19="Strong"),IF(PUF!$X17&gt;0,PUF!$X17,""),"")</f>
        <v/>
      </c>
      <c r="BE19" s="57" t="str">
        <f>IF(AND($B19=BE$3,$C19="Strong"),IF(PUF!$X17&gt;0,PUF!$X17,""),"")</f>
        <v/>
      </c>
      <c r="BF19" s="57" t="str">
        <f>IF(AND($B19=BF$3,$C19="Strong"),IF(PUF!$X17&gt;0,PUF!$X17,""),"")</f>
        <v/>
      </c>
      <c r="BG19" s="57" t="str">
        <f>IF(AND($B19=BG$3,$C19="Strong"),IF(PUF!$X17&gt;0,PUF!$X17,""),"")</f>
        <v/>
      </c>
      <c r="BH19" s="57" t="str">
        <f>IF(AND($B19=BH$3,$C19="Strong"),IF(PUF!$X17&gt;0,PUF!$X17,""),"")</f>
        <v/>
      </c>
      <c r="BI19" s="57" t="str">
        <f>IF(AND($B19=BI$3,$C19="Strong"),IF(PUF!$X17&gt;0,PUF!$X17,""),"")</f>
        <v/>
      </c>
      <c r="BJ19" s="57" t="str">
        <f>IF(AND($B19=BJ$3,$C19="Strong"),IF(PUF!$X17&gt;0,PUF!$X17,""),"")</f>
        <v/>
      </c>
      <c r="BL19" s="166">
        <f t="shared" si="3"/>
        <v>2012</v>
      </c>
      <c r="BM19" s="57" t="str">
        <f>IF(AND($B19=BM$3,$C19="Strong"),IF(PUF!$M17&gt;0,PUF!$M17,""),"")</f>
        <v/>
      </c>
      <c r="BN19" s="57" t="str">
        <f>IF(AND($B19=BN$3,$C19="Strong"),IF(PUF!$M17&gt;0,PUF!$M17,""),"")</f>
        <v/>
      </c>
      <c r="BO19" s="57" t="str">
        <f>IF(AND($B19=BO$3,$C19="Strong"),IF(PUF!$M17&gt;0,PUF!$M17,""),"")</f>
        <v/>
      </c>
      <c r="BP19" s="57" t="str">
        <f>IF(AND($B19=BP$3,$C19="Strong"),IF(PUF!$M17&gt;0,PUF!$M17,""),"")</f>
        <v/>
      </c>
      <c r="BQ19" s="57" t="str">
        <f>IF(AND($B19=BQ$3,$C19="Strong"),IF(PUF!$M17&gt;0,PUF!$M17,""),"")</f>
        <v/>
      </c>
      <c r="BR19" s="57" t="str">
        <f>IF(AND($B19=BR$3,$C19="Strong"),IF(PUF!$M17&gt;0,PUF!$M17,""),"")</f>
        <v/>
      </c>
      <c r="BS19" s="57" t="str">
        <f>IF(AND($B19=BS$3,$C19="Strong"),IF(PUF!$M17&gt;0,PUF!$M17,""),"")</f>
        <v/>
      </c>
      <c r="BT19" s="57" t="str">
        <f>IF(AND($B19=BT$3,$C19="Strong"),IF(PUF!$M17&gt;0,PUF!$M17,""),"")</f>
        <v/>
      </c>
      <c r="BV19" s="166">
        <f t="shared" si="5"/>
        <v>2012</v>
      </c>
      <c r="BW19" s="57" t="str">
        <f>IF(AND($B19=BW$3,$C19="Strong"),IF(PUF!$S17&gt;0,PUF!$S17,""),"")</f>
        <v/>
      </c>
      <c r="BX19" s="57" t="str">
        <f>IF(AND($B19=BX$3,$C19="Strong"),IF(PUF!$S17&gt;0,PUF!$S17,""),"")</f>
        <v/>
      </c>
      <c r="BY19" s="57" t="str">
        <f>IF(AND($B19=BY$3,$C19="Strong"),IF(PUF!$S17&gt;0,PUF!$S17,""),"")</f>
        <v/>
      </c>
      <c r="BZ19" s="57" t="str">
        <f>IF(AND($B19=BZ$3,$C19="Strong"),IF(PUF!$S17&gt;0,PUF!$S17,""),"")</f>
        <v/>
      </c>
      <c r="CA19" s="57" t="str">
        <f>IF(AND($B19=CA$3,$C19="Strong"),IF(PUF!$S17&gt;0,PUF!$S17,""),"")</f>
        <v/>
      </c>
      <c r="CB19" s="57" t="str">
        <f>IF(AND($B19=CB$3,$C19="Strong"),IF(PUF!$S17&gt;0,PUF!$S17,""),"")</f>
        <v/>
      </c>
      <c r="CC19" s="57" t="str">
        <f>IF(AND($B19=CC$3,$C19="Strong"),IF(PUF!$S17&gt;0,PUF!$S17,""),"")</f>
        <v/>
      </c>
      <c r="CD19" s="57" t="str">
        <f>IF(AND($B19=CD$3,$C19="Strong"),IF(PUF!$S17&gt;0,PUF!$S17,""),"")</f>
        <v/>
      </c>
      <c r="CF19" s="11">
        <f t="shared" si="6"/>
        <v>2012</v>
      </c>
      <c r="CG19" s="57" t="str">
        <f>IF(AND($B19=CG$3,$C19="Strong"),IF(PUF!$U17&gt;0,PUF!$U17,""),"")</f>
        <v/>
      </c>
      <c r="CH19" s="57" t="str">
        <f>IF(AND($B19=CH$3,$C19="Strong"),IF(PUF!$U17&gt;0,PUF!$U17,""),"")</f>
        <v/>
      </c>
      <c r="CI19" s="57" t="str">
        <f>IF(AND($B19=CI$3,$C19="Strong"),IF(PUF!$U17&gt;0,PUF!$U17,""),"")</f>
        <v/>
      </c>
      <c r="CJ19" s="57" t="str">
        <f>IF(AND($B19=CJ$3,$C19="Strong"),IF(PUF!$U17&gt;0,PUF!$U17,""),"")</f>
        <v/>
      </c>
      <c r="CK19" s="57" t="str">
        <f>IF(AND($B19=CK$3,$C19="Strong"),IF(PUF!$U17&gt;0,PUF!$U17,""),"")</f>
        <v/>
      </c>
      <c r="CL19" s="57" t="str">
        <f>IF(AND($B19=CL$3,$C19="Strong"),IF(PUF!$U17&gt;0,PUF!$U17,""),"")</f>
        <v/>
      </c>
      <c r="CM19" s="57" t="str">
        <f>IF(AND($B19=CM$3,$C19="Strong"),IF(PUF!$U17&gt;0,PUF!$U17,""),"")</f>
        <v/>
      </c>
      <c r="CN19" s="57" t="str">
        <f>IF(AND($B19=CN$3,$C19="Strong"),IF(PUF!$U17&gt;0,PUF!$U17,""),"")</f>
        <v/>
      </c>
    </row>
    <row r="20" spans="1:92" x14ac:dyDescent="0.3">
      <c r="A20" s="6">
        <f>PUF!A18</f>
        <v>17</v>
      </c>
      <c r="B20" s="6" t="str">
        <f>PUF!G18</f>
        <v>memory (volatile)</v>
      </c>
      <c r="C20" t="str">
        <f>PUF!AL18</f>
        <v>Weak</v>
      </c>
      <c r="D20" s="166">
        <f>PUF!C18</f>
        <v>2012</v>
      </c>
      <c r="E20" s="167" t="str">
        <f>IF(AND($B20=E$3,$C20="Weak"),IF(PUF!$X18&gt;0,PUF!$X18,""),"")</f>
        <v/>
      </c>
      <c r="F20" s="167" t="str">
        <f>IF(AND($B20=F$3,$C20="Weak"),IF(PUF!$X18&gt;0,PUF!$X18,""),"")</f>
        <v/>
      </c>
      <c r="G20" s="167">
        <f>IF(AND($B20=G$3,$C20="Weak"),IF(PUF!$X18&gt;0,PUF!$X18,""),"")</f>
        <v>1097.9105029585799</v>
      </c>
      <c r="H20" s="167" t="str">
        <f>IF(AND($B20=H$3,$C20="Weak"),IF(PUF!$X18&gt;0,PUF!$X18,""),"")</f>
        <v/>
      </c>
      <c r="I20" s="167" t="str">
        <f>IF(AND($B20=I$3,$C20="Weak"),IF(PUF!$X18&gt;0,PUF!$X18,""),"")</f>
        <v/>
      </c>
      <c r="J20" s="167" t="str">
        <f>IF(AND($B20=J$3,$C20="Weak"),IF(PUF!$X18&gt;0,PUF!$X18,""),"")</f>
        <v/>
      </c>
      <c r="K20" s="167" t="str">
        <f>IF(AND($B20=K$3,$C20="Weak"),IF(PUF!$X18&gt;0,PUF!$X18,""),"")</f>
        <v/>
      </c>
      <c r="L20" s="167" t="str">
        <f>IF(AND($B20=L$3,$C20="Weak"),IF(PUF!$X18&gt;0,PUF!$X18,""),"")</f>
        <v/>
      </c>
      <c r="N20" s="11">
        <f t="shared" si="0"/>
        <v>2012</v>
      </c>
      <c r="O20" s="57" t="str">
        <f>IF(AND($B20=O$3,$C20="Weak"),IF(PUF!$M18&gt;0,PUF!$M18,""),"")</f>
        <v/>
      </c>
      <c r="P20" s="57" t="str">
        <f>IF(AND($B20=P$3,$C20="Weak"),IF(PUF!$M18&gt;0,PUF!$M18,""),"")</f>
        <v/>
      </c>
      <c r="Q20" s="57" t="str">
        <f>IF(AND($B20=Q$3,$C20="Weak"),IF(PUF!$M18&gt;0,PUF!$M18,""),"")</f>
        <v>N/A</v>
      </c>
      <c r="R20" s="57" t="str">
        <f>IF(AND($B20=R$3,$C20="Weak"),IF(PUF!$M18&gt;0,PUF!$M18,""),"")</f>
        <v/>
      </c>
      <c r="S20" s="57" t="str">
        <f>IF(AND($B20=S$3,$C20="Weak"),IF(PUF!$M18&gt;0,PUF!$M18,""),"")</f>
        <v/>
      </c>
      <c r="T20" s="57" t="str">
        <f>IF(AND($B20=T$3,$C20="Weak"),IF(PUF!$M18&gt;0,PUF!$M18,""),"")</f>
        <v/>
      </c>
      <c r="U20" s="57" t="str">
        <f>IF(AND($B20=U$3,$C20="Weak"),IF(PUF!$M18&gt;0,PUF!$M18,""),"")</f>
        <v/>
      </c>
      <c r="V20" s="57" t="str">
        <f>IF(AND($B20=V$3,$C20="Weak"),IF(PUF!$M18&gt;0,PUF!$M18,""),"")</f>
        <v/>
      </c>
      <c r="W20" s="168"/>
      <c r="X20" s="166">
        <f t="shared" si="4"/>
        <v>2012</v>
      </c>
      <c r="Y20" s="57" t="str">
        <f>IF(AND($B20=Y$3,$C20="Weak"),IF(PUF!$S18&gt;0,PUF!$S18,""),"")</f>
        <v/>
      </c>
      <c r="Z20" s="57" t="str">
        <f>IF(AND($B20=Z$3,$C20="Weak"),IF(PUF!$S18&gt;0,PUF!$S18,""),"")</f>
        <v/>
      </c>
      <c r="AA20" s="57" t="str">
        <f>IF(AND($B20=AA$3,$C20="Weak"),IF(PUF!$S18&gt;0,PUF!$S18,""),"")</f>
        <v>N/A</v>
      </c>
      <c r="AB20" s="57" t="str">
        <f>IF(AND($B20=AB$3,$C20="Weak"),IF(PUF!$S18&gt;0,PUF!$S18,""),"")</f>
        <v/>
      </c>
      <c r="AC20" s="57" t="str">
        <f>IF(AND($B20=AC$3,$C20="Weak"),IF(PUF!$S18&gt;0,PUF!$S18,""),"")</f>
        <v/>
      </c>
      <c r="AD20" s="57" t="str">
        <f>IF(AND($B20=AD$3,$C20="Weak"),IF(PUF!$S18&gt;0,PUF!$S18,""),"")</f>
        <v/>
      </c>
      <c r="AE20" s="57" t="str">
        <f>IF(AND($B20=AE$3,$C20="Weak"),IF(PUF!$S18&gt;0,PUF!$S18,""),"")</f>
        <v/>
      </c>
      <c r="AF20" s="57" t="str">
        <f>IF(AND($B20=AF$3,$C20="Weak"),IF(PUF!$S18&gt;0,PUF!$S18,""),"")</f>
        <v/>
      </c>
      <c r="AH20" s="210">
        <f t="shared" si="1"/>
        <v>2012</v>
      </c>
      <c r="AI20" s="211" t="str">
        <f>IF(AND($B20=AI$3,$C20="Weak"),IF(PUF!$U18&gt;0,PUF!$U18,""),"")</f>
        <v/>
      </c>
      <c r="AJ20" s="211" t="str">
        <f>IF(AND($B20=AJ$3,$C20="Weak"),IF(PUF!$U18&gt;0,PUF!$U18,""),"")</f>
        <v/>
      </c>
      <c r="AK20" s="211" t="str">
        <f>IF(AND($B20=AK$3,$C20="Weak"),IF(PUF!$U18&gt;0,PUF!$U18,""),"")</f>
        <v>N/A</v>
      </c>
      <c r="AL20" s="211" t="str">
        <f>IF(AND($B20=AL$3,$C20="Weak"),IF(PUF!$U18&gt;0,PUF!$U18,""),"")</f>
        <v/>
      </c>
      <c r="AM20" s="211" t="str">
        <f>IF(AND($B20=AM$3,$C20="Weak"),IF(PUF!$U18&gt;0,PUF!$U18,""),"")</f>
        <v/>
      </c>
      <c r="AN20" s="211" t="str">
        <f>IF(AND($B20=AN$3,$C20="Weak"),IF(PUF!$U18&gt;0,PUF!$U18,""),"")</f>
        <v/>
      </c>
      <c r="AO20" s="211" t="str">
        <f>IF(AND($B20=AO$3,$C20="Weak"),IF(PUF!$U18&gt;0,PUF!$U18,""),"")</f>
        <v/>
      </c>
      <c r="AP20" s="211" t="str">
        <f>IF(AND($B20=AP$3,$C20="Weak"),IF(PUF!$U18&gt;0,PUF!$U18,""),"")</f>
        <v/>
      </c>
      <c r="BB20" s="166">
        <f t="shared" si="2"/>
        <v>2012</v>
      </c>
      <c r="BC20" s="57" t="str">
        <f>IF(AND($B20=BC$3,$C20="Strong"),IF(PUF!$X18&gt;0,PUF!$X18,""),"")</f>
        <v/>
      </c>
      <c r="BD20" s="57" t="str">
        <f>IF(AND($B20=BD$3,$C20="Strong"),IF(PUF!$X18&gt;0,PUF!$X18,""),"")</f>
        <v/>
      </c>
      <c r="BE20" s="57" t="str">
        <f>IF(AND($B20=BE$3,$C20="Strong"),IF(PUF!$X18&gt;0,PUF!$X18,""),"")</f>
        <v/>
      </c>
      <c r="BF20" s="57" t="str">
        <f>IF(AND($B20=BF$3,$C20="Strong"),IF(PUF!$X18&gt;0,PUF!$X18,""),"")</f>
        <v/>
      </c>
      <c r="BG20" s="57" t="str">
        <f>IF(AND($B20=BG$3,$C20="Strong"),IF(PUF!$X18&gt;0,PUF!$X18,""),"")</f>
        <v/>
      </c>
      <c r="BH20" s="57" t="str">
        <f>IF(AND($B20=BH$3,$C20="Strong"),IF(PUF!$X18&gt;0,PUF!$X18,""),"")</f>
        <v/>
      </c>
      <c r="BI20" s="57" t="str">
        <f>IF(AND($B20=BI$3,$C20="Strong"),IF(PUF!$X18&gt;0,PUF!$X18,""),"")</f>
        <v/>
      </c>
      <c r="BJ20" s="57" t="str">
        <f>IF(AND($B20=BJ$3,$C20="Strong"),IF(PUF!$X18&gt;0,PUF!$X18,""),"")</f>
        <v/>
      </c>
      <c r="BL20" s="166">
        <f t="shared" si="3"/>
        <v>2012</v>
      </c>
      <c r="BM20" s="57" t="str">
        <f>IF(AND($B20=BM$3,$C20="Strong"),IF(PUF!$M18&gt;0,PUF!$M18,""),"")</f>
        <v/>
      </c>
      <c r="BN20" s="57" t="str">
        <f>IF(AND($B20=BN$3,$C20="Strong"),IF(PUF!$M18&gt;0,PUF!$M18,""),"")</f>
        <v/>
      </c>
      <c r="BO20" s="57" t="str">
        <f>IF(AND($B20=BO$3,$C20="Strong"),IF(PUF!$M18&gt;0,PUF!$M18,""),"")</f>
        <v/>
      </c>
      <c r="BP20" s="57" t="str">
        <f>IF(AND($B20=BP$3,$C20="Strong"),IF(PUF!$M18&gt;0,PUF!$M18,""),"")</f>
        <v/>
      </c>
      <c r="BQ20" s="57" t="str">
        <f>IF(AND($B20=BQ$3,$C20="Strong"),IF(PUF!$M18&gt;0,PUF!$M18,""),"")</f>
        <v/>
      </c>
      <c r="BR20" s="57" t="str">
        <f>IF(AND($B20=BR$3,$C20="Strong"),IF(PUF!$M18&gt;0,PUF!$M18,""),"")</f>
        <v/>
      </c>
      <c r="BS20" s="57" t="str">
        <f>IF(AND($B20=BS$3,$C20="Strong"),IF(PUF!$M18&gt;0,PUF!$M18,""),"")</f>
        <v/>
      </c>
      <c r="BT20" s="57" t="str">
        <f>IF(AND($B20=BT$3,$C20="Strong"),IF(PUF!$M18&gt;0,PUF!$M18,""),"")</f>
        <v/>
      </c>
      <c r="BV20" s="166">
        <f t="shared" si="5"/>
        <v>2012</v>
      </c>
      <c r="BW20" s="57" t="str">
        <f>IF(AND($B20=BW$3,$C20="Strong"),IF(PUF!$S18&gt;0,PUF!$S18,""),"")</f>
        <v/>
      </c>
      <c r="BX20" s="57" t="str">
        <f>IF(AND($B20=BX$3,$C20="Strong"),IF(PUF!$S18&gt;0,PUF!$S18,""),"")</f>
        <v/>
      </c>
      <c r="BY20" s="57" t="str">
        <f>IF(AND($B20=BY$3,$C20="Strong"),IF(PUF!$S18&gt;0,PUF!$S18,""),"")</f>
        <v/>
      </c>
      <c r="BZ20" s="57" t="str">
        <f>IF(AND($B20=BZ$3,$C20="Strong"),IF(PUF!$S18&gt;0,PUF!$S18,""),"")</f>
        <v/>
      </c>
      <c r="CA20" s="57" t="str">
        <f>IF(AND($B20=CA$3,$C20="Strong"),IF(PUF!$S18&gt;0,PUF!$S18,""),"")</f>
        <v/>
      </c>
      <c r="CB20" s="57" t="str">
        <f>IF(AND($B20=CB$3,$C20="Strong"),IF(PUF!$S18&gt;0,PUF!$S18,""),"")</f>
        <v/>
      </c>
      <c r="CC20" s="57" t="str">
        <f>IF(AND($B20=CC$3,$C20="Strong"),IF(PUF!$S18&gt;0,PUF!$S18,""),"")</f>
        <v/>
      </c>
      <c r="CD20" s="57" t="str">
        <f>IF(AND($B20=CD$3,$C20="Strong"),IF(PUF!$S18&gt;0,PUF!$S18,""),"")</f>
        <v/>
      </c>
      <c r="CF20" s="11">
        <f t="shared" si="6"/>
        <v>2012</v>
      </c>
      <c r="CG20" s="57" t="str">
        <f>IF(AND($B20=CG$3,$C20="Strong"),IF(PUF!$U18&gt;0,PUF!$U18,""),"")</f>
        <v/>
      </c>
      <c r="CH20" s="57" t="str">
        <f>IF(AND($B20=CH$3,$C20="Strong"),IF(PUF!$U18&gt;0,PUF!$U18,""),"")</f>
        <v/>
      </c>
      <c r="CI20" s="57" t="str">
        <f>IF(AND($B20=CI$3,$C20="Strong"),IF(PUF!$U18&gt;0,PUF!$U18,""),"")</f>
        <v/>
      </c>
      <c r="CJ20" s="57" t="str">
        <f>IF(AND($B20=CJ$3,$C20="Strong"),IF(PUF!$U18&gt;0,PUF!$U18,""),"")</f>
        <v/>
      </c>
      <c r="CK20" s="57" t="str">
        <f>IF(AND($B20=CK$3,$C20="Strong"),IF(PUF!$U18&gt;0,PUF!$U18,""),"")</f>
        <v/>
      </c>
      <c r="CL20" s="57" t="str">
        <f>IF(AND($B20=CL$3,$C20="Strong"),IF(PUF!$U18&gt;0,PUF!$U18,""),"")</f>
        <v/>
      </c>
      <c r="CM20" s="57" t="str">
        <f>IF(AND($B20=CM$3,$C20="Strong"),IF(PUF!$U18&gt;0,PUF!$U18,""),"")</f>
        <v/>
      </c>
      <c r="CN20" s="57" t="str">
        <f>IF(AND($B20=CN$3,$C20="Strong"),IF(PUF!$U18&gt;0,PUF!$U18,""),"")</f>
        <v/>
      </c>
    </row>
    <row r="21" spans="1:92" x14ac:dyDescent="0.3">
      <c r="A21" s="6">
        <f>PUF!A19</f>
        <v>18</v>
      </c>
      <c r="B21" s="6" t="str">
        <f>PUF!G19</f>
        <v>delay</v>
      </c>
      <c r="C21" t="str">
        <f>PUF!AL19</f>
        <v>Weak</v>
      </c>
      <c r="D21" s="166">
        <f>PUF!C19</f>
        <v>2012</v>
      </c>
      <c r="E21" s="167" t="str">
        <f>IF(AND($B21=E$3,$C21="Weak"),IF(PUF!$X19&gt;0,PUF!$X19,""),"")</f>
        <v/>
      </c>
      <c r="F21" s="167">
        <f>IF(AND($B21=F$3,$C21="Weak"),IF(PUF!$X19&gt;0,PUF!$X19,""),"")</f>
        <v>14854.536489151873</v>
      </c>
      <c r="G21" s="167" t="str">
        <f>IF(AND($B21=G$3,$C21="Weak"),IF(PUF!$X19&gt;0,PUF!$X19,""),"")</f>
        <v/>
      </c>
      <c r="H21" s="167" t="str">
        <f>IF(AND($B21=H$3,$C21="Weak"),IF(PUF!$X19&gt;0,PUF!$X19,""),"")</f>
        <v/>
      </c>
      <c r="I21" s="167" t="str">
        <f>IF(AND($B21=I$3,$C21="Weak"),IF(PUF!$X19&gt;0,PUF!$X19,""),"")</f>
        <v/>
      </c>
      <c r="J21" s="167" t="str">
        <f>IF(AND($B21=J$3,$C21="Weak"),IF(PUF!$X19&gt;0,PUF!$X19,""),"")</f>
        <v/>
      </c>
      <c r="K21" s="167" t="str">
        <f>IF(AND($B21=K$3,$C21="Weak"),IF(PUF!$X19&gt;0,PUF!$X19,""),"")</f>
        <v/>
      </c>
      <c r="L21" s="167" t="str">
        <f>IF(AND($B21=L$3,$C21="Weak"),IF(PUF!$X19&gt;0,PUF!$X19,""),"")</f>
        <v/>
      </c>
      <c r="N21" s="11">
        <f t="shared" si="0"/>
        <v>2012</v>
      </c>
      <c r="O21" s="57" t="str">
        <f>IF(AND($B21=O$3,$C21="Weak"),IF(PUF!$M19&gt;0,PUF!$M19,""),"")</f>
        <v/>
      </c>
      <c r="P21" s="57" t="str">
        <f>IF(AND($B21=P$3,$C21="Weak"),IF(PUF!$M19&gt;0,PUF!$M19,""),"")</f>
        <v>N/A</v>
      </c>
      <c r="Q21" s="57" t="str">
        <f>IF(AND($B21=Q$3,$C21="Weak"),IF(PUF!$M19&gt;0,PUF!$M19,""),"")</f>
        <v/>
      </c>
      <c r="R21" s="57" t="str">
        <f>IF(AND($B21=R$3,$C21="Weak"),IF(PUF!$M19&gt;0,PUF!$M19,""),"")</f>
        <v/>
      </c>
      <c r="S21" s="57" t="str">
        <f>IF(AND($B21=S$3,$C21="Weak"),IF(PUF!$M19&gt;0,PUF!$M19,""),"")</f>
        <v/>
      </c>
      <c r="T21" s="57" t="str">
        <f>IF(AND($B21=T$3,$C21="Weak"),IF(PUF!$M19&gt;0,PUF!$M19,""),"")</f>
        <v/>
      </c>
      <c r="U21" s="57" t="str">
        <f>IF(AND($B21=U$3,$C21="Weak"),IF(PUF!$M19&gt;0,PUF!$M19,""),"")</f>
        <v/>
      </c>
      <c r="V21" s="57" t="str">
        <f>IF(AND($B21=V$3,$C21="Weak"),IF(PUF!$M19&gt;0,PUF!$M19,""),"")</f>
        <v/>
      </c>
      <c r="W21" s="168"/>
      <c r="X21" s="166">
        <f t="shared" si="4"/>
        <v>2012</v>
      </c>
      <c r="Y21" s="57" t="str">
        <f>IF(AND($B21=Y$3,$C21="Weak"),IF(PUF!$S19&gt;0,PUF!$S19,""),"")</f>
        <v/>
      </c>
      <c r="Z21" s="57" t="str">
        <f>IF(AND($B21=Z$3,$C21="Weak"),IF(PUF!$S19&gt;0,PUF!$S19,""),"")</f>
        <v>N/A</v>
      </c>
      <c r="AA21" s="57" t="str">
        <f>IF(AND($B21=AA$3,$C21="Weak"),IF(PUF!$S19&gt;0,PUF!$S19,""),"")</f>
        <v/>
      </c>
      <c r="AB21" s="57" t="str">
        <f>IF(AND($B21=AB$3,$C21="Weak"),IF(PUF!$S19&gt;0,PUF!$S19,""),"")</f>
        <v/>
      </c>
      <c r="AC21" s="57" t="str">
        <f>IF(AND($B21=AC$3,$C21="Weak"),IF(PUF!$S19&gt;0,PUF!$S19,""),"")</f>
        <v/>
      </c>
      <c r="AD21" s="57" t="str">
        <f>IF(AND($B21=AD$3,$C21="Weak"),IF(PUF!$S19&gt;0,PUF!$S19,""),"")</f>
        <v/>
      </c>
      <c r="AE21" s="57" t="str">
        <f>IF(AND($B21=AE$3,$C21="Weak"),IF(PUF!$S19&gt;0,PUF!$S19,""),"")</f>
        <v/>
      </c>
      <c r="AF21" s="57" t="str">
        <f>IF(AND($B21=AF$3,$C21="Weak"),IF(PUF!$S19&gt;0,PUF!$S19,""),"")</f>
        <v/>
      </c>
      <c r="AH21" s="210">
        <f t="shared" si="1"/>
        <v>2012</v>
      </c>
      <c r="AI21" s="211" t="str">
        <f>IF(AND($B21=AI$3,$C21="Weak"),IF(PUF!$U19&gt;0,PUF!$U19,""),"")</f>
        <v/>
      </c>
      <c r="AJ21" s="211" t="str">
        <f>IF(AND($B21=AJ$3,$C21="Weak"),IF(PUF!$U19&gt;0,PUF!$U19,""),"")</f>
        <v>N/A</v>
      </c>
      <c r="AK21" s="211" t="str">
        <f>IF(AND($B21=AK$3,$C21="Weak"),IF(PUF!$U19&gt;0,PUF!$U19,""),"")</f>
        <v/>
      </c>
      <c r="AL21" s="211" t="str">
        <f>IF(AND($B21=AL$3,$C21="Weak"),IF(PUF!$U19&gt;0,PUF!$U19,""),"")</f>
        <v/>
      </c>
      <c r="AM21" s="211" t="str">
        <f>IF(AND($B21=AM$3,$C21="Weak"),IF(PUF!$U19&gt;0,PUF!$U19,""),"")</f>
        <v/>
      </c>
      <c r="AN21" s="211" t="str">
        <f>IF(AND($B21=AN$3,$C21="Weak"),IF(PUF!$U19&gt;0,PUF!$U19,""),"")</f>
        <v/>
      </c>
      <c r="AO21" s="211" t="str">
        <f>IF(AND($B21=AO$3,$C21="Weak"),IF(PUF!$U19&gt;0,PUF!$U19,""),"")</f>
        <v/>
      </c>
      <c r="AP21" s="211" t="str">
        <f>IF(AND($B21=AP$3,$C21="Weak"),IF(PUF!$U19&gt;0,PUF!$U19,""),"")</f>
        <v/>
      </c>
      <c r="BB21" s="166">
        <f t="shared" si="2"/>
        <v>2012</v>
      </c>
      <c r="BC21" s="57" t="str">
        <f>IF(AND($B21=BC$3,$C21="Strong"),IF(PUF!$X19&gt;0,PUF!$X19,""),"")</f>
        <v/>
      </c>
      <c r="BD21" s="57" t="str">
        <f>IF(AND($B21=BD$3,$C21="Strong"),IF(PUF!$X19&gt;0,PUF!$X19,""),"")</f>
        <v/>
      </c>
      <c r="BE21" s="57" t="str">
        <f>IF(AND($B21=BE$3,$C21="Strong"),IF(PUF!$X19&gt;0,PUF!$X19,""),"")</f>
        <v/>
      </c>
      <c r="BF21" s="57" t="str">
        <f>IF(AND($B21=BF$3,$C21="Strong"),IF(PUF!$X19&gt;0,PUF!$X19,""),"")</f>
        <v/>
      </c>
      <c r="BG21" s="57" t="str">
        <f>IF(AND($B21=BG$3,$C21="Strong"),IF(PUF!$X19&gt;0,PUF!$X19,""),"")</f>
        <v/>
      </c>
      <c r="BH21" s="57" t="str">
        <f>IF(AND($B21=BH$3,$C21="Strong"),IF(PUF!$X19&gt;0,PUF!$X19,""),"")</f>
        <v/>
      </c>
      <c r="BI21" s="57" t="str">
        <f>IF(AND($B21=BI$3,$C21="Strong"),IF(PUF!$X19&gt;0,PUF!$X19,""),"")</f>
        <v/>
      </c>
      <c r="BJ21" s="57" t="str">
        <f>IF(AND($B21=BJ$3,$C21="Strong"),IF(PUF!$X19&gt;0,PUF!$X19,""),"")</f>
        <v/>
      </c>
      <c r="BL21" s="166">
        <f t="shared" si="3"/>
        <v>2012</v>
      </c>
      <c r="BM21" s="57" t="str">
        <f>IF(AND($B21=BM$3,$C21="Strong"),IF(PUF!$M19&gt;0,PUF!$M19,""),"")</f>
        <v/>
      </c>
      <c r="BN21" s="57" t="str">
        <f>IF(AND($B21=BN$3,$C21="Strong"),IF(PUF!$M19&gt;0,PUF!$M19,""),"")</f>
        <v/>
      </c>
      <c r="BO21" s="57" t="str">
        <f>IF(AND($B21=BO$3,$C21="Strong"),IF(PUF!$M19&gt;0,PUF!$M19,""),"")</f>
        <v/>
      </c>
      <c r="BP21" s="57" t="str">
        <f>IF(AND($B21=BP$3,$C21="Strong"),IF(PUF!$M19&gt;0,PUF!$M19,""),"")</f>
        <v/>
      </c>
      <c r="BQ21" s="57" t="str">
        <f>IF(AND($B21=BQ$3,$C21="Strong"),IF(PUF!$M19&gt;0,PUF!$M19,""),"")</f>
        <v/>
      </c>
      <c r="BR21" s="57" t="str">
        <f>IF(AND($B21=BR$3,$C21="Strong"),IF(PUF!$M19&gt;0,PUF!$M19,""),"")</f>
        <v/>
      </c>
      <c r="BS21" s="57" t="str">
        <f>IF(AND($B21=BS$3,$C21="Strong"),IF(PUF!$M19&gt;0,PUF!$M19,""),"")</f>
        <v/>
      </c>
      <c r="BT21" s="57" t="str">
        <f>IF(AND($B21=BT$3,$C21="Strong"),IF(PUF!$M19&gt;0,PUF!$M19,""),"")</f>
        <v/>
      </c>
      <c r="BV21" s="166">
        <f t="shared" si="5"/>
        <v>2012</v>
      </c>
      <c r="BW21" s="57" t="str">
        <f>IF(AND($B21=BW$3,$C21="Strong"),IF(PUF!$S19&gt;0,PUF!$S19,""),"")</f>
        <v/>
      </c>
      <c r="BX21" s="57" t="str">
        <f>IF(AND($B21=BX$3,$C21="Strong"),IF(PUF!$S19&gt;0,PUF!$S19,""),"")</f>
        <v/>
      </c>
      <c r="BY21" s="57" t="str">
        <f>IF(AND($B21=BY$3,$C21="Strong"),IF(PUF!$S19&gt;0,PUF!$S19,""),"")</f>
        <v/>
      </c>
      <c r="BZ21" s="57" t="str">
        <f>IF(AND($B21=BZ$3,$C21="Strong"),IF(PUF!$S19&gt;0,PUF!$S19,""),"")</f>
        <v/>
      </c>
      <c r="CA21" s="57" t="str">
        <f>IF(AND($B21=CA$3,$C21="Strong"),IF(PUF!$S19&gt;0,PUF!$S19,""),"")</f>
        <v/>
      </c>
      <c r="CB21" s="57" t="str">
        <f>IF(AND($B21=CB$3,$C21="Strong"),IF(PUF!$S19&gt;0,PUF!$S19,""),"")</f>
        <v/>
      </c>
      <c r="CC21" s="57" t="str">
        <f>IF(AND($B21=CC$3,$C21="Strong"),IF(PUF!$S19&gt;0,PUF!$S19,""),"")</f>
        <v/>
      </c>
      <c r="CD21" s="57" t="str">
        <f>IF(AND($B21=CD$3,$C21="Strong"),IF(PUF!$S19&gt;0,PUF!$S19,""),"")</f>
        <v/>
      </c>
      <c r="CF21" s="11">
        <f t="shared" si="6"/>
        <v>2012</v>
      </c>
      <c r="CG21" s="57" t="str">
        <f>IF(AND($B21=CG$3,$C21="Strong"),IF(PUF!$U19&gt;0,PUF!$U19,""),"")</f>
        <v/>
      </c>
      <c r="CH21" s="57" t="str">
        <f>IF(AND($B21=CH$3,$C21="Strong"),IF(PUF!$U19&gt;0,PUF!$U19,""),"")</f>
        <v/>
      </c>
      <c r="CI21" s="57" t="str">
        <f>IF(AND($B21=CI$3,$C21="Strong"),IF(PUF!$U19&gt;0,PUF!$U19,""),"")</f>
        <v/>
      </c>
      <c r="CJ21" s="57" t="str">
        <f>IF(AND($B21=CJ$3,$C21="Strong"),IF(PUF!$U19&gt;0,PUF!$U19,""),"")</f>
        <v/>
      </c>
      <c r="CK21" s="57" t="str">
        <f>IF(AND($B21=CK$3,$C21="Strong"),IF(PUF!$U19&gt;0,PUF!$U19,""),"")</f>
        <v/>
      </c>
      <c r="CL21" s="57" t="str">
        <f>IF(AND($B21=CL$3,$C21="Strong"),IF(PUF!$U19&gt;0,PUF!$U19,""),"")</f>
        <v/>
      </c>
      <c r="CM21" s="57" t="str">
        <f>IF(AND($B21=CM$3,$C21="Strong"),IF(PUF!$U19&gt;0,PUF!$U19,""),"")</f>
        <v/>
      </c>
      <c r="CN21" s="57" t="str">
        <f>IF(AND($B21=CN$3,$C21="Strong"),IF(PUF!$U19&gt;0,PUF!$U19,""),"")</f>
        <v/>
      </c>
    </row>
    <row r="22" spans="1:92" x14ac:dyDescent="0.3">
      <c r="A22" s="6">
        <f>PUF!A20</f>
        <v>19</v>
      </c>
      <c r="B22" s="6" t="str">
        <f>PUF!G20</f>
        <v>memory (volatile)</v>
      </c>
      <c r="C22" t="str">
        <f>PUF!AL20</f>
        <v>Weak</v>
      </c>
      <c r="D22" s="166">
        <f>PUF!C20</f>
        <v>2012</v>
      </c>
      <c r="E22" s="167" t="str">
        <f>IF(AND($B22=E$3,$C22="Weak"),IF(PUF!$X20&gt;0,PUF!$X20,""),"")</f>
        <v/>
      </c>
      <c r="F22" s="167" t="str">
        <f>IF(AND($B22=F$3,$C22="Weak"),IF(PUF!$X20&gt;0,PUF!$X20,""),"")</f>
        <v/>
      </c>
      <c r="G22" s="167">
        <f>IF(AND($B22=G$3,$C22="Weak"),IF(PUF!$X20&gt;0,PUF!$X20,""),"")</f>
        <v>2384.185791015625</v>
      </c>
      <c r="H22" s="167" t="str">
        <f>IF(AND($B22=H$3,$C22="Weak"),IF(PUF!$X20&gt;0,PUF!$X20,""),"")</f>
        <v/>
      </c>
      <c r="I22" s="167" t="str">
        <f>IF(AND($B22=I$3,$C22="Weak"),IF(PUF!$X20&gt;0,PUF!$X20,""),"")</f>
        <v/>
      </c>
      <c r="J22" s="167" t="str">
        <f>IF(AND($B22=J$3,$C22="Weak"),IF(PUF!$X20&gt;0,PUF!$X20,""),"")</f>
        <v/>
      </c>
      <c r="K22" s="167" t="str">
        <f>IF(AND($B22=K$3,$C22="Weak"),IF(PUF!$X20&gt;0,PUF!$X20,""),"")</f>
        <v/>
      </c>
      <c r="L22" s="167" t="str">
        <f>IF(AND($B22=L$3,$C22="Weak"),IF(PUF!$X20&gt;0,PUF!$X20,""),"")</f>
        <v/>
      </c>
      <c r="N22" s="11">
        <f t="shared" si="0"/>
        <v>2012</v>
      </c>
      <c r="O22" s="57" t="str">
        <f>IF(AND($B22=O$3,$C22="Weak"),IF(PUF!$M20&gt;0,PUF!$M20,""),"")</f>
        <v/>
      </c>
      <c r="P22" s="57" t="str">
        <f>IF(AND($B22=P$3,$C22="Weak"),IF(PUF!$M20&gt;0,PUF!$M20,""),"")</f>
        <v/>
      </c>
      <c r="Q22" s="57">
        <f>IF(AND($B22=Q$3,$C22="Weak"),IF(PUF!$M20&gt;0,PUF!$M20,""),"")</f>
        <v>1.0000000000000001E-5</v>
      </c>
      <c r="R22" s="57" t="str">
        <f>IF(AND($B22=R$3,$C22="Weak"),IF(PUF!$M20&gt;0,PUF!$M20,""),"")</f>
        <v/>
      </c>
      <c r="S22" s="57" t="str">
        <f>IF(AND($B22=S$3,$C22="Weak"),IF(PUF!$M20&gt;0,PUF!$M20,""),"")</f>
        <v/>
      </c>
      <c r="T22" s="57" t="str">
        <f>IF(AND($B22=T$3,$C22="Weak"),IF(PUF!$M20&gt;0,PUF!$M20,""),"")</f>
        <v/>
      </c>
      <c r="U22" s="57" t="str">
        <f>IF(AND($B22=U$3,$C22="Weak"),IF(PUF!$M20&gt;0,PUF!$M20,""),"")</f>
        <v/>
      </c>
      <c r="V22" s="57" t="str">
        <f>IF(AND($B22=V$3,$C22="Weak"),IF(PUF!$M20&gt;0,PUF!$M20,""),"")</f>
        <v/>
      </c>
      <c r="W22" s="168"/>
      <c r="X22" s="166">
        <f t="shared" si="4"/>
        <v>2012</v>
      </c>
      <c r="Y22" s="57" t="str">
        <f>IF(AND($B22=Y$3,$C22="Weak"),IF(PUF!$S20&gt;0,PUF!$S20,""),"")</f>
        <v/>
      </c>
      <c r="Z22" s="57" t="str">
        <f>IF(AND($B22=Z$3,$C22="Weak"),IF(PUF!$S20&gt;0,PUF!$S20,""),"")</f>
        <v/>
      </c>
      <c r="AA22" s="57">
        <f>IF(AND($B22=AA$3,$C22="Weak"),IF(PUF!$S20&gt;0,PUF!$S20,""),"")</f>
        <v>1.0000000000000001E-5</v>
      </c>
      <c r="AB22" s="57" t="str">
        <f>IF(AND($B22=AB$3,$C22="Weak"),IF(PUF!$S20&gt;0,PUF!$S20,""),"")</f>
        <v/>
      </c>
      <c r="AC22" s="57" t="str">
        <f>IF(AND($B22=AC$3,$C22="Weak"),IF(PUF!$S20&gt;0,PUF!$S20,""),"")</f>
        <v/>
      </c>
      <c r="AD22" s="57" t="str">
        <f>IF(AND($B22=AD$3,$C22="Weak"),IF(PUF!$S20&gt;0,PUF!$S20,""),"")</f>
        <v/>
      </c>
      <c r="AE22" s="57" t="str">
        <f>IF(AND($B22=AE$3,$C22="Weak"),IF(PUF!$S20&gt;0,PUF!$S20,""),"")</f>
        <v/>
      </c>
      <c r="AF22" s="57" t="str">
        <f>IF(AND($B22=AF$3,$C22="Weak"),IF(PUF!$S20&gt;0,PUF!$S20,""),"")</f>
        <v/>
      </c>
      <c r="AH22" s="210">
        <f t="shared" si="1"/>
        <v>2012</v>
      </c>
      <c r="AI22" s="211" t="str">
        <f>IF(AND($B22=AI$3,$C22="Weak"),IF(PUF!$U20&gt;0,PUF!$U20,""),"")</f>
        <v/>
      </c>
      <c r="AJ22" s="211" t="str">
        <f>IF(AND($B22=AJ$3,$C22="Weak"),IF(PUF!$U20&gt;0,PUF!$U20,""),"")</f>
        <v/>
      </c>
      <c r="AK22" s="211" t="str">
        <f>IF(AND($B22=AK$3,$C22="Weak"),IF(PUF!$U20&gt;0,PUF!$U20,""),"")</f>
        <v>N/A</v>
      </c>
      <c r="AL22" s="211" t="str">
        <f>IF(AND($B22=AL$3,$C22="Weak"),IF(PUF!$U20&gt;0,PUF!$U20,""),"")</f>
        <v/>
      </c>
      <c r="AM22" s="211" t="str">
        <f>IF(AND($B22=AM$3,$C22="Weak"),IF(PUF!$U20&gt;0,PUF!$U20,""),"")</f>
        <v/>
      </c>
      <c r="AN22" s="211" t="str">
        <f>IF(AND($B22=AN$3,$C22="Weak"),IF(PUF!$U20&gt;0,PUF!$U20,""),"")</f>
        <v/>
      </c>
      <c r="AO22" s="211" t="str">
        <f>IF(AND($B22=AO$3,$C22="Weak"),IF(PUF!$U20&gt;0,PUF!$U20,""),"")</f>
        <v/>
      </c>
      <c r="AP22" s="211" t="str">
        <f>IF(AND($B22=AP$3,$C22="Weak"),IF(PUF!$U20&gt;0,PUF!$U20,""),"")</f>
        <v/>
      </c>
      <c r="BB22" s="166">
        <f t="shared" si="2"/>
        <v>2012</v>
      </c>
      <c r="BC22" s="57" t="str">
        <f>IF(AND($B22=BC$3,$C22="Strong"),IF(PUF!$X20&gt;0,PUF!$X20,""),"")</f>
        <v/>
      </c>
      <c r="BD22" s="57" t="str">
        <f>IF(AND($B22=BD$3,$C22="Strong"),IF(PUF!$X20&gt;0,PUF!$X20,""),"")</f>
        <v/>
      </c>
      <c r="BE22" s="57" t="str">
        <f>IF(AND($B22=BE$3,$C22="Strong"),IF(PUF!$X20&gt;0,PUF!$X20,""),"")</f>
        <v/>
      </c>
      <c r="BF22" s="57" t="str">
        <f>IF(AND($B22=BF$3,$C22="Strong"),IF(PUF!$X20&gt;0,PUF!$X20,""),"")</f>
        <v/>
      </c>
      <c r="BG22" s="57" t="str">
        <f>IF(AND($B22=BG$3,$C22="Strong"),IF(PUF!$X20&gt;0,PUF!$X20,""),"")</f>
        <v/>
      </c>
      <c r="BH22" s="57" t="str">
        <f>IF(AND($B22=BH$3,$C22="Strong"),IF(PUF!$X20&gt;0,PUF!$X20,""),"")</f>
        <v/>
      </c>
      <c r="BI22" s="57" t="str">
        <f>IF(AND($B22=BI$3,$C22="Strong"),IF(PUF!$X20&gt;0,PUF!$X20,""),"")</f>
        <v/>
      </c>
      <c r="BJ22" s="57" t="str">
        <f>IF(AND($B22=BJ$3,$C22="Strong"),IF(PUF!$X20&gt;0,PUF!$X20,""),"")</f>
        <v/>
      </c>
      <c r="BL22" s="166">
        <f t="shared" si="3"/>
        <v>2012</v>
      </c>
      <c r="BM22" s="57" t="str">
        <f>IF(AND($B22=BM$3,$C22="Strong"),IF(PUF!$M20&gt;0,PUF!$M20,""),"")</f>
        <v/>
      </c>
      <c r="BN22" s="57" t="str">
        <f>IF(AND($B22=BN$3,$C22="Strong"),IF(PUF!$M20&gt;0,PUF!$M20,""),"")</f>
        <v/>
      </c>
      <c r="BO22" s="57" t="str">
        <f>IF(AND($B22=BO$3,$C22="Strong"),IF(PUF!$M20&gt;0,PUF!$M20,""),"")</f>
        <v/>
      </c>
      <c r="BP22" s="57" t="str">
        <f>IF(AND($B22=BP$3,$C22="Strong"),IF(PUF!$M20&gt;0,PUF!$M20,""),"")</f>
        <v/>
      </c>
      <c r="BQ22" s="57" t="str">
        <f>IF(AND($B22=BQ$3,$C22="Strong"),IF(PUF!$M20&gt;0,PUF!$M20,""),"")</f>
        <v/>
      </c>
      <c r="BR22" s="57" t="str">
        <f>IF(AND($B22=BR$3,$C22="Strong"),IF(PUF!$M20&gt;0,PUF!$M20,""),"")</f>
        <v/>
      </c>
      <c r="BS22" s="57" t="str">
        <f>IF(AND($B22=BS$3,$C22="Strong"),IF(PUF!$M20&gt;0,PUF!$M20,""),"")</f>
        <v/>
      </c>
      <c r="BT22" s="57" t="str">
        <f>IF(AND($B22=BT$3,$C22="Strong"),IF(PUF!$M20&gt;0,PUF!$M20,""),"")</f>
        <v/>
      </c>
      <c r="BV22" s="166">
        <f t="shared" si="5"/>
        <v>2012</v>
      </c>
      <c r="BW22" s="57" t="str">
        <f>IF(AND($B22=BW$3,$C22="Strong"),IF(PUF!$S20&gt;0,PUF!$S20,""),"")</f>
        <v/>
      </c>
      <c r="BX22" s="57" t="str">
        <f>IF(AND($B22=BX$3,$C22="Strong"),IF(PUF!$S20&gt;0,PUF!$S20,""),"")</f>
        <v/>
      </c>
      <c r="BY22" s="57" t="str">
        <f>IF(AND($B22=BY$3,$C22="Strong"),IF(PUF!$S20&gt;0,PUF!$S20,""),"")</f>
        <v/>
      </c>
      <c r="BZ22" s="57" t="str">
        <f>IF(AND($B22=BZ$3,$C22="Strong"),IF(PUF!$S20&gt;0,PUF!$S20,""),"")</f>
        <v/>
      </c>
      <c r="CA22" s="57" t="str">
        <f>IF(AND($B22=CA$3,$C22="Strong"),IF(PUF!$S20&gt;0,PUF!$S20,""),"")</f>
        <v/>
      </c>
      <c r="CB22" s="57" t="str">
        <f>IF(AND($B22=CB$3,$C22="Strong"),IF(PUF!$S20&gt;0,PUF!$S20,""),"")</f>
        <v/>
      </c>
      <c r="CC22" s="57" t="str">
        <f>IF(AND($B22=CC$3,$C22="Strong"),IF(PUF!$S20&gt;0,PUF!$S20,""),"")</f>
        <v/>
      </c>
      <c r="CD22" s="57" t="str">
        <f>IF(AND($B22=CD$3,$C22="Strong"),IF(PUF!$S20&gt;0,PUF!$S20,""),"")</f>
        <v/>
      </c>
      <c r="CF22" s="11">
        <f t="shared" si="6"/>
        <v>2012</v>
      </c>
      <c r="CG22" s="57" t="str">
        <f>IF(AND($B22=CG$3,$C22="Strong"),IF(PUF!$U20&gt;0,PUF!$U20,""),"")</f>
        <v/>
      </c>
      <c r="CH22" s="57" t="str">
        <f>IF(AND($B22=CH$3,$C22="Strong"),IF(PUF!$U20&gt;0,PUF!$U20,""),"")</f>
        <v/>
      </c>
      <c r="CI22" s="57" t="str">
        <f>IF(AND($B22=CI$3,$C22="Strong"),IF(PUF!$U20&gt;0,PUF!$U20,""),"")</f>
        <v/>
      </c>
      <c r="CJ22" s="57" t="str">
        <f>IF(AND($B22=CJ$3,$C22="Strong"),IF(PUF!$U20&gt;0,PUF!$U20,""),"")</f>
        <v/>
      </c>
      <c r="CK22" s="57" t="str">
        <f>IF(AND($B22=CK$3,$C22="Strong"),IF(PUF!$U20&gt;0,PUF!$U20,""),"")</f>
        <v/>
      </c>
      <c r="CL22" s="57" t="str">
        <f>IF(AND($B22=CL$3,$C22="Strong"),IF(PUF!$U20&gt;0,PUF!$U20,""),"")</f>
        <v/>
      </c>
      <c r="CM22" s="57" t="str">
        <f>IF(AND($B22=CM$3,$C22="Strong"),IF(PUF!$U20&gt;0,PUF!$U20,""),"")</f>
        <v/>
      </c>
      <c r="CN22" s="57" t="str">
        <f>IF(AND($B22=CN$3,$C22="Strong"),IF(PUF!$U20&gt;0,PUF!$U20,""),"")</f>
        <v/>
      </c>
    </row>
    <row r="23" spans="1:92" x14ac:dyDescent="0.3">
      <c r="A23" s="6">
        <f>PUF!A21</f>
        <v>20</v>
      </c>
      <c r="B23" s="6" t="str">
        <f>PUF!G21</f>
        <v>memory (volatile)</v>
      </c>
      <c r="C23" t="str">
        <f>PUF!AL21</f>
        <v>Weak</v>
      </c>
      <c r="D23" s="166">
        <f>PUF!C21</f>
        <v>2013</v>
      </c>
      <c r="E23" s="167" t="str">
        <f>IF(AND($B23=E$3,$C23="Weak"),IF(PUF!$X21&gt;0,PUF!$X21,""),"")</f>
        <v/>
      </c>
      <c r="F23" s="167" t="str">
        <f>IF(AND($B23=F$3,$C23="Weak"),IF(PUF!$X21&gt;0,PUF!$X21,""),"")</f>
        <v/>
      </c>
      <c r="G23" s="167">
        <f>IF(AND($B23=G$3,$C23="Weak"),IF(PUF!$X21&gt;0,PUF!$X21,""),"")</f>
        <v>38.0859375</v>
      </c>
      <c r="H23" s="167" t="str">
        <f>IF(AND($B23=H$3,$C23="Weak"),IF(PUF!$X21&gt;0,PUF!$X21,""),"")</f>
        <v/>
      </c>
      <c r="I23" s="167" t="str">
        <f>IF(AND($B23=I$3,$C23="Weak"),IF(PUF!$X21&gt;0,PUF!$X21,""),"")</f>
        <v/>
      </c>
      <c r="J23" s="167" t="str">
        <f>IF(AND($B23=J$3,$C23="Weak"),IF(PUF!$X21&gt;0,PUF!$X21,""),"")</f>
        <v/>
      </c>
      <c r="K23" s="167" t="str">
        <f>IF(AND($B23=K$3,$C23="Weak"),IF(PUF!$X21&gt;0,PUF!$X21,""),"")</f>
        <v/>
      </c>
      <c r="L23" s="167" t="str">
        <f>IF(AND($B23=L$3,$C23="Weak"),IF(PUF!$X21&gt;0,PUF!$X21,""),"")</f>
        <v/>
      </c>
      <c r="N23" s="11">
        <f t="shared" si="0"/>
        <v>2013</v>
      </c>
      <c r="O23" s="57" t="str">
        <f>IF(AND($B23=O$3,$C23="Weak"),IF(PUF!$M21&gt;0,PUF!$M21,""),"")</f>
        <v/>
      </c>
      <c r="P23" s="57" t="str">
        <f>IF(AND($B23=P$3,$C23="Weak"),IF(PUF!$M21&gt;0,PUF!$M21,""),"")</f>
        <v/>
      </c>
      <c r="Q23" s="57">
        <f>IF(AND($B23=Q$3,$C23="Weak"),IF(PUF!$M21&gt;0,PUF!$M21,""),"")</f>
        <v>1E-4</v>
      </c>
      <c r="R23" s="57" t="str">
        <f>IF(AND($B23=R$3,$C23="Weak"),IF(PUF!$M21&gt;0,PUF!$M21,""),"")</f>
        <v/>
      </c>
      <c r="S23" s="57" t="str">
        <f>IF(AND($B23=S$3,$C23="Weak"),IF(PUF!$M21&gt;0,PUF!$M21,""),"")</f>
        <v/>
      </c>
      <c r="T23" s="57" t="str">
        <f>IF(AND($B23=T$3,$C23="Weak"),IF(PUF!$M21&gt;0,PUF!$M21,""),"")</f>
        <v/>
      </c>
      <c r="U23" s="57" t="str">
        <f>IF(AND($B23=U$3,$C23="Weak"),IF(PUF!$M21&gt;0,PUF!$M21,""),"")</f>
        <v/>
      </c>
      <c r="V23" s="57" t="str">
        <f>IF(AND($B23=V$3,$C23="Weak"),IF(PUF!$M21&gt;0,PUF!$M21,""),"")</f>
        <v/>
      </c>
      <c r="W23" s="168"/>
      <c r="X23" s="166">
        <f t="shared" si="4"/>
        <v>2013</v>
      </c>
      <c r="Y23" s="57" t="str">
        <f>IF(AND($B23=Y$3,$C23="Weak"),IF(PUF!$S21&gt;0,PUF!$S21,""),"")</f>
        <v/>
      </c>
      <c r="Z23" s="57" t="str">
        <f>IF(AND($B23=Z$3,$C23="Weak"),IF(PUF!$S21&gt;0,PUF!$S21,""),"")</f>
        <v/>
      </c>
      <c r="AA23" s="57">
        <f>IF(AND($B23=AA$3,$C23="Weak"),IF(PUF!$S21&gt;0,PUF!$S21,""),"")</f>
        <v>1E-4</v>
      </c>
      <c r="AB23" s="57" t="str">
        <f>IF(AND($B23=AB$3,$C23="Weak"),IF(PUF!$S21&gt;0,PUF!$S21,""),"")</f>
        <v/>
      </c>
      <c r="AC23" s="57" t="str">
        <f>IF(AND($B23=AC$3,$C23="Weak"),IF(PUF!$S21&gt;0,PUF!$S21,""),"")</f>
        <v/>
      </c>
      <c r="AD23" s="57" t="str">
        <f>IF(AND($B23=AD$3,$C23="Weak"),IF(PUF!$S21&gt;0,PUF!$S21,""),"")</f>
        <v/>
      </c>
      <c r="AE23" s="57" t="str">
        <f>IF(AND($B23=AE$3,$C23="Weak"),IF(PUF!$S21&gt;0,PUF!$S21,""),"")</f>
        <v/>
      </c>
      <c r="AF23" s="57" t="str">
        <f>IF(AND($B23=AF$3,$C23="Weak"),IF(PUF!$S21&gt;0,PUF!$S21,""),"")</f>
        <v/>
      </c>
      <c r="AH23" s="210">
        <f t="shared" si="1"/>
        <v>2013</v>
      </c>
      <c r="AI23" s="211" t="str">
        <f>IF(AND($B23=AI$3,$C23="Weak"),IF(PUF!$U21&gt;0,PUF!$U21,""),"")</f>
        <v/>
      </c>
      <c r="AJ23" s="211" t="str">
        <f>IF(AND($B23=AJ$3,$C23="Weak"),IF(PUF!$U21&gt;0,PUF!$U21,""),"")</f>
        <v/>
      </c>
      <c r="AK23" s="211" t="str">
        <f>IF(AND($B23=AK$3,$C23="Weak"),IF(PUF!$U21&gt;0,PUF!$U21,""),"")</f>
        <v>N/A</v>
      </c>
      <c r="AL23" s="211" t="str">
        <f>IF(AND($B23=AL$3,$C23="Weak"),IF(PUF!$U21&gt;0,PUF!$U21,""),"")</f>
        <v/>
      </c>
      <c r="AM23" s="211" t="str">
        <f>IF(AND($B23=AM$3,$C23="Weak"),IF(PUF!$U21&gt;0,PUF!$U21,""),"")</f>
        <v/>
      </c>
      <c r="AN23" s="211" t="str">
        <f>IF(AND($B23=AN$3,$C23="Weak"),IF(PUF!$U21&gt;0,PUF!$U21,""),"")</f>
        <v/>
      </c>
      <c r="AO23" s="211" t="str">
        <f>IF(AND($B23=AO$3,$C23="Weak"),IF(PUF!$U21&gt;0,PUF!$U21,""),"")</f>
        <v/>
      </c>
      <c r="AP23" s="211" t="str">
        <f>IF(AND($B23=AP$3,$C23="Weak"),IF(PUF!$U21&gt;0,PUF!$U21,""),"")</f>
        <v/>
      </c>
      <c r="BB23" s="166">
        <f t="shared" si="2"/>
        <v>2013</v>
      </c>
      <c r="BC23" s="57" t="str">
        <f>IF(AND($B23=BC$3,$C23="Strong"),IF(PUF!$X21&gt;0,PUF!$X21,""),"")</f>
        <v/>
      </c>
      <c r="BD23" s="57" t="str">
        <f>IF(AND($B23=BD$3,$C23="Strong"),IF(PUF!$X21&gt;0,PUF!$X21,""),"")</f>
        <v/>
      </c>
      <c r="BE23" s="57" t="str">
        <f>IF(AND($B23=BE$3,$C23="Strong"),IF(PUF!$X21&gt;0,PUF!$X21,""),"")</f>
        <v/>
      </c>
      <c r="BF23" s="57" t="str">
        <f>IF(AND($B23=BF$3,$C23="Strong"),IF(PUF!$X21&gt;0,PUF!$X21,""),"")</f>
        <v/>
      </c>
      <c r="BG23" s="57" t="str">
        <f>IF(AND($B23=BG$3,$C23="Strong"),IF(PUF!$X21&gt;0,PUF!$X21,""),"")</f>
        <v/>
      </c>
      <c r="BH23" s="57" t="str">
        <f>IF(AND($B23=BH$3,$C23="Strong"),IF(PUF!$X21&gt;0,PUF!$X21,""),"")</f>
        <v/>
      </c>
      <c r="BI23" s="57" t="str">
        <f>IF(AND($B23=BI$3,$C23="Strong"),IF(PUF!$X21&gt;0,PUF!$X21,""),"")</f>
        <v/>
      </c>
      <c r="BJ23" s="57" t="str">
        <f>IF(AND($B23=BJ$3,$C23="Strong"),IF(PUF!$X21&gt;0,PUF!$X21,""),"")</f>
        <v/>
      </c>
      <c r="BL23" s="166">
        <f t="shared" si="3"/>
        <v>2013</v>
      </c>
      <c r="BM23" s="57" t="str">
        <f>IF(AND($B23=BM$3,$C23="Strong"),IF(PUF!$M21&gt;0,PUF!$M21,""),"")</f>
        <v/>
      </c>
      <c r="BN23" s="57" t="str">
        <f>IF(AND($B23=BN$3,$C23="Strong"),IF(PUF!$M21&gt;0,PUF!$M21,""),"")</f>
        <v/>
      </c>
      <c r="BO23" s="57" t="str">
        <f>IF(AND($B23=BO$3,$C23="Strong"),IF(PUF!$M21&gt;0,PUF!$M21,""),"")</f>
        <v/>
      </c>
      <c r="BP23" s="57" t="str">
        <f>IF(AND($B23=BP$3,$C23="Strong"),IF(PUF!$M21&gt;0,PUF!$M21,""),"")</f>
        <v/>
      </c>
      <c r="BQ23" s="57" t="str">
        <f>IF(AND($B23=BQ$3,$C23="Strong"),IF(PUF!$M21&gt;0,PUF!$M21,""),"")</f>
        <v/>
      </c>
      <c r="BR23" s="57" t="str">
        <f>IF(AND($B23=BR$3,$C23="Strong"),IF(PUF!$M21&gt;0,PUF!$M21,""),"")</f>
        <v/>
      </c>
      <c r="BS23" s="57" t="str">
        <f>IF(AND($B23=BS$3,$C23="Strong"),IF(PUF!$M21&gt;0,PUF!$M21,""),"")</f>
        <v/>
      </c>
      <c r="BT23" s="57" t="str">
        <f>IF(AND($B23=BT$3,$C23="Strong"),IF(PUF!$M21&gt;0,PUF!$M21,""),"")</f>
        <v/>
      </c>
      <c r="BV23" s="166">
        <f t="shared" si="5"/>
        <v>2013</v>
      </c>
      <c r="BW23" s="57" t="str">
        <f>IF(AND($B23=BW$3,$C23="Strong"),IF(PUF!$S21&gt;0,PUF!$S21,""),"")</f>
        <v/>
      </c>
      <c r="BX23" s="57" t="str">
        <f>IF(AND($B23=BX$3,$C23="Strong"),IF(PUF!$S21&gt;0,PUF!$S21,""),"")</f>
        <v/>
      </c>
      <c r="BY23" s="57" t="str">
        <f>IF(AND($B23=BY$3,$C23="Strong"),IF(PUF!$S21&gt;0,PUF!$S21,""),"")</f>
        <v/>
      </c>
      <c r="BZ23" s="57" t="str">
        <f>IF(AND($B23=BZ$3,$C23="Strong"),IF(PUF!$S21&gt;0,PUF!$S21,""),"")</f>
        <v/>
      </c>
      <c r="CA23" s="57" t="str">
        <f>IF(AND($B23=CA$3,$C23="Strong"),IF(PUF!$S21&gt;0,PUF!$S21,""),"")</f>
        <v/>
      </c>
      <c r="CB23" s="57" t="str">
        <f>IF(AND($B23=CB$3,$C23="Strong"),IF(PUF!$S21&gt;0,PUF!$S21,""),"")</f>
        <v/>
      </c>
      <c r="CC23" s="57" t="str">
        <f>IF(AND($B23=CC$3,$C23="Strong"),IF(PUF!$S21&gt;0,PUF!$S21,""),"")</f>
        <v/>
      </c>
      <c r="CD23" s="57" t="str">
        <f>IF(AND($B23=CD$3,$C23="Strong"),IF(PUF!$S21&gt;0,PUF!$S21,""),"")</f>
        <v/>
      </c>
      <c r="CF23" s="11">
        <f t="shared" si="6"/>
        <v>2013</v>
      </c>
      <c r="CG23" s="57" t="str">
        <f>IF(AND($B23=CG$3,$C23="Strong"),IF(PUF!$U21&gt;0,PUF!$U21,""),"")</f>
        <v/>
      </c>
      <c r="CH23" s="57" t="str">
        <f>IF(AND($B23=CH$3,$C23="Strong"),IF(PUF!$U21&gt;0,PUF!$U21,""),"")</f>
        <v/>
      </c>
      <c r="CI23" s="57" t="str">
        <f>IF(AND($B23=CI$3,$C23="Strong"),IF(PUF!$U21&gt;0,PUF!$U21,""),"")</f>
        <v/>
      </c>
      <c r="CJ23" s="57" t="str">
        <f>IF(AND($B23=CJ$3,$C23="Strong"),IF(PUF!$U21&gt;0,PUF!$U21,""),"")</f>
        <v/>
      </c>
      <c r="CK23" s="57" t="str">
        <f>IF(AND($B23=CK$3,$C23="Strong"),IF(PUF!$U21&gt;0,PUF!$U21,""),"")</f>
        <v/>
      </c>
      <c r="CL23" s="57" t="str">
        <f>IF(AND($B23=CL$3,$C23="Strong"),IF(PUF!$U21&gt;0,PUF!$U21,""),"")</f>
        <v/>
      </c>
      <c r="CM23" s="57" t="str">
        <f>IF(AND($B23=CM$3,$C23="Strong"),IF(PUF!$U21&gt;0,PUF!$U21,""),"")</f>
        <v/>
      </c>
      <c r="CN23" s="57" t="str">
        <f>IF(AND($B23=CN$3,$C23="Strong"),IF(PUF!$U21&gt;0,PUF!$U21,""),"")</f>
        <v/>
      </c>
    </row>
    <row r="24" spans="1:92" x14ac:dyDescent="0.3">
      <c r="A24" s="6">
        <f>PUF!A22</f>
        <v>21</v>
      </c>
      <c r="B24" s="6" t="str">
        <f>PUF!G22</f>
        <v>analog</v>
      </c>
      <c r="C24" t="str">
        <f>PUF!AL22</f>
        <v>Weak</v>
      </c>
      <c r="D24" s="166">
        <f>PUF!C22</f>
        <v>2014</v>
      </c>
      <c r="E24" s="167">
        <f>IF(AND($B24=E$3,$C24="Weak"),IF(PUF!$X22&gt;0,PUF!$X22,""),"")</f>
        <v>560.5122041420118</v>
      </c>
      <c r="F24" s="167" t="str">
        <f>IF(AND($B24=F$3,$C24="Weak"),IF(PUF!$X22&gt;0,PUF!$X22,""),"")</f>
        <v/>
      </c>
      <c r="G24" s="167" t="str">
        <f>IF(AND($B24=G$3,$C24="Weak"),IF(PUF!$X22&gt;0,PUF!$X22,""),"")</f>
        <v/>
      </c>
      <c r="H24" s="167" t="str">
        <f>IF(AND($B24=H$3,$C24="Weak"),IF(PUF!$X22&gt;0,PUF!$X22,""),"")</f>
        <v/>
      </c>
      <c r="I24" s="167" t="str">
        <f>IF(AND($B24=I$3,$C24="Weak"),IF(PUF!$X22&gt;0,PUF!$X22,""),"")</f>
        <v/>
      </c>
      <c r="J24" s="167" t="str">
        <f>IF(AND($B24=J$3,$C24="Weak"),IF(PUF!$X22&gt;0,PUF!$X22,""),"")</f>
        <v/>
      </c>
      <c r="K24" s="167" t="str">
        <f>IF(AND($B24=K$3,$C24="Weak"),IF(PUF!$X22&gt;0,PUF!$X22,""),"")</f>
        <v/>
      </c>
      <c r="L24" s="167" t="str">
        <f>IF(AND($B24=L$3,$C24="Weak"),IF(PUF!$X22&gt;0,PUF!$X22,""),"")</f>
        <v/>
      </c>
      <c r="N24" s="11">
        <f t="shared" si="0"/>
        <v>2014</v>
      </c>
      <c r="O24" s="57" t="str">
        <f>IF(AND($B24=O$3,$C24="Weak"),IF(PUF!$M22&gt;0,PUF!$M22,""),"")</f>
        <v>N/A</v>
      </c>
      <c r="P24" s="57" t="str">
        <f>IF(AND($B24=P$3,$C24="Weak"),IF(PUF!$M22&gt;0,PUF!$M22,""),"")</f>
        <v/>
      </c>
      <c r="Q24" s="57" t="str">
        <f>IF(AND($B24=Q$3,$C24="Weak"),IF(PUF!$M22&gt;0,PUF!$M22,""),"")</f>
        <v/>
      </c>
      <c r="R24" s="57" t="str">
        <f>IF(AND($B24=R$3,$C24="Weak"),IF(PUF!$M22&gt;0,PUF!$M22,""),"")</f>
        <v/>
      </c>
      <c r="S24" s="57" t="str">
        <f>IF(AND($B24=S$3,$C24="Weak"),IF(PUF!$M22&gt;0,PUF!$M22,""),"")</f>
        <v/>
      </c>
      <c r="T24" s="57" t="str">
        <f>IF(AND($B24=T$3,$C24="Weak"),IF(PUF!$M22&gt;0,PUF!$M22,""),"")</f>
        <v/>
      </c>
      <c r="U24" s="57" t="str">
        <f>IF(AND($B24=U$3,$C24="Weak"),IF(PUF!$M22&gt;0,PUF!$M22,""),"")</f>
        <v/>
      </c>
      <c r="V24" s="57" t="str">
        <f>IF(AND($B24=V$3,$C24="Weak"),IF(PUF!$M22&gt;0,PUF!$M22,""),"")</f>
        <v/>
      </c>
      <c r="W24" s="168"/>
      <c r="X24" s="166">
        <f t="shared" si="4"/>
        <v>2014</v>
      </c>
      <c r="Y24" s="181">
        <f>IF(AND($B24=Y$3,$C24="Weak"),IF(PUF!$S22&gt;0,PUF!$S22,""),"")</f>
        <v>4.9999999999999998E-7</v>
      </c>
      <c r="Z24" s="57" t="str">
        <f>IF(AND($B24=Z$3,$C24="Weak"),IF(PUF!$S22&gt;0,PUF!$S22,""),"")</f>
        <v/>
      </c>
      <c r="AA24" s="57" t="str">
        <f>IF(AND($B24=AA$3,$C24="Weak"),IF(PUF!$S22&gt;0,PUF!$S22,""),"")</f>
        <v/>
      </c>
      <c r="AB24" s="57" t="str">
        <f>IF(AND($B24=AB$3,$C24="Weak"),IF(PUF!$S22&gt;0,PUF!$S22,""),"")</f>
        <v/>
      </c>
      <c r="AC24" s="57" t="str">
        <f>IF(AND($B24=AC$3,$C24="Weak"),IF(PUF!$S22&gt;0,PUF!$S22,""),"")</f>
        <v/>
      </c>
      <c r="AD24" s="57" t="str">
        <f>IF(AND($B24=AD$3,$C24="Weak"),IF(PUF!$S22&gt;0,PUF!$S22,""),"")</f>
        <v/>
      </c>
      <c r="AE24" s="57" t="str">
        <f>IF(AND($B24=AE$3,$C24="Weak"),IF(PUF!$S22&gt;0,PUF!$S22,""),"")</f>
        <v/>
      </c>
      <c r="AF24" s="57" t="str">
        <f>IF(AND($B24=AF$3,$C24="Weak"),IF(PUF!$S22&gt;0,PUF!$S22,""),"")</f>
        <v/>
      </c>
      <c r="AH24" s="210">
        <f t="shared" si="1"/>
        <v>2014</v>
      </c>
      <c r="AI24" s="211" t="str">
        <f>IF(AND($B24=AI$3,$C24="Weak"),IF(PUF!$U22&gt;0,PUF!$U22,""),"")</f>
        <v>N/A</v>
      </c>
      <c r="AJ24" s="211" t="str">
        <f>IF(AND($B24=AJ$3,$C24="Weak"),IF(PUF!$U22&gt;0,PUF!$U22,""),"")</f>
        <v/>
      </c>
      <c r="AK24" s="211" t="str">
        <f>IF(AND($B24=AK$3,$C24="Weak"),IF(PUF!$U22&gt;0,PUF!$U22,""),"")</f>
        <v/>
      </c>
      <c r="AL24" s="211" t="str">
        <f>IF(AND($B24=AL$3,$C24="Weak"),IF(PUF!$U22&gt;0,PUF!$U22,""),"")</f>
        <v/>
      </c>
      <c r="AM24" s="211" t="str">
        <f>IF(AND($B24=AM$3,$C24="Weak"),IF(PUF!$U22&gt;0,PUF!$U22,""),"")</f>
        <v/>
      </c>
      <c r="AN24" s="211" t="str">
        <f>IF(AND($B24=AN$3,$C24="Weak"),IF(PUF!$U22&gt;0,PUF!$U22,""),"")</f>
        <v/>
      </c>
      <c r="AO24" s="211" t="str">
        <f>IF(AND($B24=AO$3,$C24="Weak"),IF(PUF!$U22&gt;0,PUF!$U22,""),"")</f>
        <v/>
      </c>
      <c r="AP24" s="211" t="str">
        <f>IF(AND($B24=AP$3,$C24="Weak"),IF(PUF!$U22&gt;0,PUF!$U22,""),"")</f>
        <v/>
      </c>
      <c r="BB24" s="166">
        <f t="shared" si="2"/>
        <v>2014</v>
      </c>
      <c r="BC24" s="57" t="str">
        <f>IF(AND($B24=BC$3,$C24="Strong"),IF(PUF!$X22&gt;0,PUF!$X22,""),"")</f>
        <v/>
      </c>
      <c r="BD24" s="57" t="str">
        <f>IF(AND($B24=BD$3,$C24="Strong"),IF(PUF!$X22&gt;0,PUF!$X22,""),"")</f>
        <v/>
      </c>
      <c r="BE24" s="57" t="str">
        <f>IF(AND($B24=BE$3,$C24="Strong"),IF(PUF!$X22&gt;0,PUF!$X22,""),"")</f>
        <v/>
      </c>
      <c r="BF24" s="57" t="str">
        <f>IF(AND($B24=BF$3,$C24="Strong"),IF(PUF!$X22&gt;0,PUF!$X22,""),"")</f>
        <v/>
      </c>
      <c r="BG24" s="57" t="str">
        <f>IF(AND($B24=BG$3,$C24="Strong"),IF(PUF!$X22&gt;0,PUF!$X22,""),"")</f>
        <v/>
      </c>
      <c r="BH24" s="57" t="str">
        <f>IF(AND($B24=BH$3,$C24="Strong"),IF(PUF!$X22&gt;0,PUF!$X22,""),"")</f>
        <v/>
      </c>
      <c r="BI24" s="57" t="str">
        <f>IF(AND($B24=BI$3,$C24="Strong"),IF(PUF!$X22&gt;0,PUF!$X22,""),"")</f>
        <v/>
      </c>
      <c r="BJ24" s="57" t="str">
        <f>IF(AND($B24=BJ$3,$C24="Strong"),IF(PUF!$X22&gt;0,PUF!$X22,""),"")</f>
        <v/>
      </c>
      <c r="BL24" s="166">
        <f t="shared" si="3"/>
        <v>2014</v>
      </c>
      <c r="BM24" s="57" t="str">
        <f>IF(AND($B24=BM$3,$C24="Strong"),IF(PUF!$M22&gt;0,PUF!$M22,""),"")</f>
        <v/>
      </c>
      <c r="BN24" s="57" t="str">
        <f>IF(AND($B24=BN$3,$C24="Strong"),IF(PUF!$M22&gt;0,PUF!$M22,""),"")</f>
        <v/>
      </c>
      <c r="BO24" s="57" t="str">
        <f>IF(AND($B24=BO$3,$C24="Strong"),IF(PUF!$M22&gt;0,PUF!$M22,""),"")</f>
        <v/>
      </c>
      <c r="BP24" s="57" t="str">
        <f>IF(AND($B24=BP$3,$C24="Strong"),IF(PUF!$M22&gt;0,PUF!$M22,""),"")</f>
        <v/>
      </c>
      <c r="BQ24" s="57" t="str">
        <f>IF(AND($B24=BQ$3,$C24="Strong"),IF(PUF!$M22&gt;0,PUF!$M22,""),"")</f>
        <v/>
      </c>
      <c r="BR24" s="57" t="str">
        <f>IF(AND($B24=BR$3,$C24="Strong"),IF(PUF!$M22&gt;0,PUF!$M22,""),"")</f>
        <v/>
      </c>
      <c r="BS24" s="57" t="str">
        <f>IF(AND($B24=BS$3,$C24="Strong"),IF(PUF!$M22&gt;0,PUF!$M22,""),"")</f>
        <v/>
      </c>
      <c r="BT24" s="57" t="str">
        <f>IF(AND($B24=BT$3,$C24="Strong"),IF(PUF!$M22&gt;0,PUF!$M22,""),"")</f>
        <v/>
      </c>
      <c r="BV24" s="166">
        <f t="shared" si="5"/>
        <v>2014</v>
      </c>
      <c r="BW24" s="57" t="str">
        <f>IF(AND($B24=BW$3,$C24="Strong"),IF(PUF!$S22&gt;0,PUF!$S22,""),"")</f>
        <v/>
      </c>
      <c r="BX24" s="57" t="str">
        <f>IF(AND($B24=BX$3,$C24="Strong"),IF(PUF!$S22&gt;0,PUF!$S22,""),"")</f>
        <v/>
      </c>
      <c r="BY24" s="57" t="str">
        <f>IF(AND($B24=BY$3,$C24="Strong"),IF(PUF!$S22&gt;0,PUF!$S22,""),"")</f>
        <v/>
      </c>
      <c r="BZ24" s="57" t="str">
        <f>IF(AND($B24=BZ$3,$C24="Strong"),IF(PUF!$S22&gt;0,PUF!$S22,""),"")</f>
        <v/>
      </c>
      <c r="CA24" s="57" t="str">
        <f>IF(AND($B24=CA$3,$C24="Strong"),IF(PUF!$S22&gt;0,PUF!$S22,""),"")</f>
        <v/>
      </c>
      <c r="CB24" s="57" t="str">
        <f>IF(AND($B24=CB$3,$C24="Strong"),IF(PUF!$S22&gt;0,PUF!$S22,""),"")</f>
        <v/>
      </c>
      <c r="CC24" s="57" t="str">
        <f>IF(AND($B24=CC$3,$C24="Strong"),IF(PUF!$S22&gt;0,PUF!$S22,""),"")</f>
        <v/>
      </c>
      <c r="CD24" s="57" t="str">
        <f>IF(AND($B24=CD$3,$C24="Strong"),IF(PUF!$S22&gt;0,PUF!$S22,""),"")</f>
        <v/>
      </c>
      <c r="CF24" s="11">
        <f t="shared" si="6"/>
        <v>2014</v>
      </c>
      <c r="CG24" s="57" t="str">
        <f>IF(AND($B24=CG$3,$C24="Strong"),IF(PUF!$U22&gt;0,PUF!$U22,""),"")</f>
        <v/>
      </c>
      <c r="CH24" s="57" t="str">
        <f>IF(AND($B24=CH$3,$C24="Strong"),IF(PUF!$U22&gt;0,PUF!$U22,""),"")</f>
        <v/>
      </c>
      <c r="CI24" s="57" t="str">
        <f>IF(AND($B24=CI$3,$C24="Strong"),IF(PUF!$U22&gt;0,PUF!$U22,""),"")</f>
        <v/>
      </c>
      <c r="CJ24" s="57" t="str">
        <f>IF(AND($B24=CJ$3,$C24="Strong"),IF(PUF!$U22&gt;0,PUF!$U22,""),"")</f>
        <v/>
      </c>
      <c r="CK24" s="57" t="str">
        <f>IF(AND($B24=CK$3,$C24="Strong"),IF(PUF!$U22&gt;0,PUF!$U22,""),"")</f>
        <v/>
      </c>
      <c r="CL24" s="57" t="str">
        <f>IF(AND($B24=CL$3,$C24="Strong"),IF(PUF!$U22&gt;0,PUF!$U22,""),"")</f>
        <v/>
      </c>
      <c r="CM24" s="57" t="str">
        <f>IF(AND($B24=CM$3,$C24="Strong"),IF(PUF!$U22&gt;0,PUF!$U22,""),"")</f>
        <v/>
      </c>
      <c r="CN24" s="57" t="str">
        <f>IF(AND($B24=CN$3,$C24="Strong"),IF(PUF!$U22&gt;0,PUF!$U22,""),"")</f>
        <v/>
      </c>
    </row>
    <row r="25" spans="1:92" x14ac:dyDescent="0.3">
      <c r="A25" s="6">
        <f>PUF!A23</f>
        <v>22</v>
      </c>
      <c r="B25" s="6" t="str">
        <f>PUF!G23</f>
        <v>metastability</v>
      </c>
      <c r="C25" t="str">
        <f>PUF!AL23</f>
        <v>Weak</v>
      </c>
      <c r="D25" s="166">
        <f>PUF!C23</f>
        <v>2014</v>
      </c>
      <c r="E25" s="167" t="str">
        <f>IF(AND($B25=E$3,$C25="Weak"),IF(PUF!$X23&gt;0,PUF!$X23,""),"")</f>
        <v/>
      </c>
      <c r="F25" s="167" t="str">
        <f>IF(AND($B25=F$3,$C25="Weak"),IF(PUF!$X23&gt;0,PUF!$X23,""),"")</f>
        <v/>
      </c>
      <c r="G25" s="167" t="str">
        <f>IF(AND($B25=G$3,$C25="Weak"),IF(PUF!$X23&gt;0,PUF!$X23,""),"")</f>
        <v/>
      </c>
      <c r="H25" s="167">
        <f>IF(AND($B25=H$3,$C25="Weak"),IF(PUF!$X23&gt;0,PUF!$X23,""),"")</f>
        <v>9632.2314049586785</v>
      </c>
      <c r="I25" s="167" t="str">
        <f>IF(AND($B25=I$3,$C25="Weak"),IF(PUF!$X23&gt;0,PUF!$X23,""),"")</f>
        <v/>
      </c>
      <c r="J25" s="167" t="str">
        <f>IF(AND($B25=J$3,$C25="Weak"),IF(PUF!$X23&gt;0,PUF!$X23,""),"")</f>
        <v/>
      </c>
      <c r="K25" s="167" t="str">
        <f>IF(AND($B25=K$3,$C25="Weak"),IF(PUF!$X23&gt;0,PUF!$X23,""),"")</f>
        <v/>
      </c>
      <c r="L25" s="167" t="str">
        <f>IF(AND($B25=L$3,$C25="Weak"),IF(PUF!$X23&gt;0,PUF!$X23,""),"")</f>
        <v/>
      </c>
      <c r="N25" s="11">
        <f t="shared" si="0"/>
        <v>2014</v>
      </c>
      <c r="O25" s="57" t="str">
        <f>IF(AND($B25=O$3,$C25="Weak"),IF(PUF!$M23&gt;0,PUF!$M23,""),"")</f>
        <v/>
      </c>
      <c r="P25" s="57" t="str">
        <f>IF(AND($B25=P$3,$C25="Weak"),IF(PUF!$M23&gt;0,PUF!$M23,""),"")</f>
        <v/>
      </c>
      <c r="Q25" s="57" t="str">
        <f>IF(AND($B25=Q$3,$C25="Weak"),IF(PUF!$M23&gt;0,PUF!$M23,""),"")</f>
        <v/>
      </c>
      <c r="R25" s="57">
        <f>IF(AND($B25=R$3,$C25="Weak"),IF(PUF!$M23&gt;0,PUF!$M23,""),"")</f>
        <v>30</v>
      </c>
      <c r="S25" s="57" t="str">
        <f>IF(AND($B25=S$3,$C25="Weak"),IF(PUF!$M23&gt;0,PUF!$M23,""),"")</f>
        <v/>
      </c>
      <c r="T25" s="57" t="str">
        <f>IF(AND($B25=T$3,$C25="Weak"),IF(PUF!$M23&gt;0,PUF!$M23,""),"")</f>
        <v/>
      </c>
      <c r="U25" s="57" t="str">
        <f>IF(AND($B25=U$3,$C25="Weak"),IF(PUF!$M23&gt;0,PUF!$M23,""),"")</f>
        <v/>
      </c>
      <c r="V25" s="57" t="str">
        <f>IF(AND($B25=V$3,$C25="Weak"),IF(PUF!$M23&gt;0,PUF!$M23,""),"")</f>
        <v/>
      </c>
      <c r="W25" s="168"/>
      <c r="X25" s="166">
        <f t="shared" si="4"/>
        <v>2014</v>
      </c>
      <c r="Y25" s="57" t="str">
        <f>IF(AND($B25=Y$3,$C25="Weak"),IF(PUF!$S23&gt;0,PUF!$S23,""),"")</f>
        <v/>
      </c>
      <c r="Z25" s="57" t="str">
        <f>IF(AND($B25=Z$3,$C25="Weak"),IF(PUF!$S23&gt;0,PUF!$S23,""),"")</f>
        <v/>
      </c>
      <c r="AA25" s="57" t="str">
        <f>IF(AND($B25=AA$3,$C25="Weak"),IF(PUF!$S23&gt;0,PUF!$S23,""),"")</f>
        <v/>
      </c>
      <c r="AB25" s="57">
        <f>IF(AND($B25=AB$3,$C25="Weak"),IF(PUF!$S23&gt;0,PUF!$S23,""),"")</f>
        <v>0.97</v>
      </c>
      <c r="AC25" s="57" t="str">
        <f>IF(AND($B25=AC$3,$C25="Weak"),IF(PUF!$S23&gt;0,PUF!$S23,""),"")</f>
        <v/>
      </c>
      <c r="AD25" s="57" t="str">
        <f>IF(AND($B25=AD$3,$C25="Weak"),IF(PUF!$S23&gt;0,PUF!$S23,""),"")</f>
        <v/>
      </c>
      <c r="AE25" s="57" t="str">
        <f>IF(AND($B25=AE$3,$C25="Weak"),IF(PUF!$S23&gt;0,PUF!$S23,""),"")</f>
        <v/>
      </c>
      <c r="AF25" s="57" t="str">
        <f>IF(AND($B25=AF$3,$C25="Weak"),IF(PUF!$S23&gt;0,PUF!$S23,""),"")</f>
        <v/>
      </c>
      <c r="AH25" s="210">
        <f t="shared" si="1"/>
        <v>2014</v>
      </c>
      <c r="AI25" s="211" t="str">
        <f>IF(AND($B25=AI$3,$C25="Weak"),IF(PUF!$U23&gt;0,PUF!$U23,""),"")</f>
        <v/>
      </c>
      <c r="AJ25" s="211" t="str">
        <f>IF(AND($B25=AJ$3,$C25="Weak"),IF(PUF!$U23&gt;0,PUF!$U23,""),"")</f>
        <v/>
      </c>
      <c r="AK25" s="211" t="str">
        <f>IF(AND($B25=AK$3,$C25="Weak"),IF(PUF!$U23&gt;0,PUF!$U23,""),"")</f>
        <v/>
      </c>
      <c r="AL25" s="211">
        <f>IF(AND($B25=AL$3,$C25="Weak"),IF(PUF!$U23&gt;0,PUF!$U23,""),"")</f>
        <v>0.19</v>
      </c>
      <c r="AM25" s="211" t="str">
        <f>IF(AND($B25=AM$3,$C25="Weak"),IF(PUF!$U23&gt;0,PUF!$U23,""),"")</f>
        <v/>
      </c>
      <c r="AN25" s="211" t="str">
        <f>IF(AND($B25=AN$3,$C25="Weak"),IF(PUF!$U23&gt;0,PUF!$U23,""),"")</f>
        <v/>
      </c>
      <c r="AO25" s="211" t="str">
        <f>IF(AND($B25=AO$3,$C25="Weak"),IF(PUF!$U23&gt;0,PUF!$U23,""),"")</f>
        <v/>
      </c>
      <c r="AP25" s="211" t="str">
        <f>IF(AND($B25=AP$3,$C25="Weak"),IF(PUF!$U23&gt;0,PUF!$U23,""),"")</f>
        <v/>
      </c>
      <c r="BB25" s="166">
        <f t="shared" si="2"/>
        <v>2014</v>
      </c>
      <c r="BC25" s="57" t="str">
        <f>IF(AND($B25=BC$3,$C25="Strong"),IF(PUF!$X23&gt;0,PUF!$X23,""),"")</f>
        <v/>
      </c>
      <c r="BD25" s="57" t="str">
        <f>IF(AND($B25=BD$3,$C25="Strong"),IF(PUF!$X23&gt;0,PUF!$X23,""),"")</f>
        <v/>
      </c>
      <c r="BE25" s="57" t="str">
        <f>IF(AND($B25=BE$3,$C25="Strong"),IF(PUF!$X23&gt;0,PUF!$X23,""),"")</f>
        <v/>
      </c>
      <c r="BF25" s="57" t="str">
        <f>IF(AND($B25=BF$3,$C25="Strong"),IF(PUF!$X23&gt;0,PUF!$X23,""),"")</f>
        <v/>
      </c>
      <c r="BG25" s="57" t="str">
        <f>IF(AND($B25=BG$3,$C25="Strong"),IF(PUF!$X23&gt;0,PUF!$X23,""),"")</f>
        <v/>
      </c>
      <c r="BH25" s="57" t="str">
        <f>IF(AND($B25=BH$3,$C25="Strong"),IF(PUF!$X23&gt;0,PUF!$X23,""),"")</f>
        <v/>
      </c>
      <c r="BI25" s="57" t="str">
        <f>IF(AND($B25=BI$3,$C25="Strong"),IF(PUF!$X23&gt;0,PUF!$X23,""),"")</f>
        <v/>
      </c>
      <c r="BJ25" s="57" t="str">
        <f>IF(AND($B25=BJ$3,$C25="Strong"),IF(PUF!$X23&gt;0,PUF!$X23,""),"")</f>
        <v/>
      </c>
      <c r="BL25" s="166">
        <f t="shared" si="3"/>
        <v>2014</v>
      </c>
      <c r="BM25" s="57" t="str">
        <f>IF(AND($B25=BM$3,$C25="Strong"),IF(PUF!$M23&gt;0,PUF!$M23,""),"")</f>
        <v/>
      </c>
      <c r="BN25" s="57" t="str">
        <f>IF(AND($B25=BN$3,$C25="Strong"),IF(PUF!$M23&gt;0,PUF!$M23,""),"")</f>
        <v/>
      </c>
      <c r="BO25" s="57" t="str">
        <f>IF(AND($B25=BO$3,$C25="Strong"),IF(PUF!$M23&gt;0,PUF!$M23,""),"")</f>
        <v/>
      </c>
      <c r="BP25" s="57" t="str">
        <f>IF(AND($B25=BP$3,$C25="Strong"),IF(PUF!$M23&gt;0,PUF!$M23,""),"")</f>
        <v/>
      </c>
      <c r="BQ25" s="57" t="str">
        <f>IF(AND($B25=BQ$3,$C25="Strong"),IF(PUF!$M23&gt;0,PUF!$M23,""),"")</f>
        <v/>
      </c>
      <c r="BR25" s="57" t="str">
        <f>IF(AND($B25=BR$3,$C25="Strong"),IF(PUF!$M23&gt;0,PUF!$M23,""),"")</f>
        <v/>
      </c>
      <c r="BS25" s="57" t="str">
        <f>IF(AND($B25=BS$3,$C25="Strong"),IF(PUF!$M23&gt;0,PUF!$M23,""),"")</f>
        <v/>
      </c>
      <c r="BT25" s="57" t="str">
        <f>IF(AND($B25=BT$3,$C25="Strong"),IF(PUF!$M23&gt;0,PUF!$M23,""),"")</f>
        <v/>
      </c>
      <c r="BV25" s="166">
        <f t="shared" si="5"/>
        <v>2014</v>
      </c>
      <c r="BW25" s="57" t="str">
        <f>IF(AND($B25=BW$3,$C25="Strong"),IF(PUF!$S23&gt;0,PUF!$S23,""),"")</f>
        <v/>
      </c>
      <c r="BX25" s="57" t="str">
        <f>IF(AND($B25=BX$3,$C25="Strong"),IF(PUF!$S23&gt;0,PUF!$S23,""),"")</f>
        <v/>
      </c>
      <c r="BY25" s="57" t="str">
        <f>IF(AND($B25=BY$3,$C25="Strong"),IF(PUF!$S23&gt;0,PUF!$S23,""),"")</f>
        <v/>
      </c>
      <c r="BZ25" s="57" t="str">
        <f>IF(AND($B25=BZ$3,$C25="Strong"),IF(PUF!$S23&gt;0,PUF!$S23,""),"")</f>
        <v/>
      </c>
      <c r="CA25" s="57" t="str">
        <f>IF(AND($B25=CA$3,$C25="Strong"),IF(PUF!$S23&gt;0,PUF!$S23,""),"")</f>
        <v/>
      </c>
      <c r="CB25" s="57" t="str">
        <f>IF(AND($B25=CB$3,$C25="Strong"),IF(PUF!$S23&gt;0,PUF!$S23,""),"")</f>
        <v/>
      </c>
      <c r="CC25" s="57" t="str">
        <f>IF(AND($B25=CC$3,$C25="Strong"),IF(PUF!$S23&gt;0,PUF!$S23,""),"")</f>
        <v/>
      </c>
      <c r="CD25" s="57" t="str">
        <f>IF(AND($B25=CD$3,$C25="Strong"),IF(PUF!$S23&gt;0,PUF!$S23,""),"")</f>
        <v/>
      </c>
      <c r="CF25" s="11">
        <f t="shared" si="6"/>
        <v>2014</v>
      </c>
      <c r="CG25" s="57" t="str">
        <f>IF(AND($B25=CG$3,$C25="Strong"),IF(PUF!$U23&gt;0,PUF!$U23,""),"")</f>
        <v/>
      </c>
      <c r="CH25" s="57" t="str">
        <f>IF(AND($B25=CH$3,$C25="Strong"),IF(PUF!$U23&gt;0,PUF!$U23,""),"")</f>
        <v/>
      </c>
      <c r="CI25" s="57" t="str">
        <f>IF(AND($B25=CI$3,$C25="Strong"),IF(PUF!$U23&gt;0,PUF!$U23,""),"")</f>
        <v/>
      </c>
      <c r="CJ25" s="57" t="str">
        <f>IF(AND($B25=CJ$3,$C25="Strong"),IF(PUF!$U23&gt;0,PUF!$U23,""),"")</f>
        <v/>
      </c>
      <c r="CK25" s="57" t="str">
        <f>IF(AND($B25=CK$3,$C25="Strong"),IF(PUF!$U23&gt;0,PUF!$U23,""),"")</f>
        <v/>
      </c>
      <c r="CL25" s="57" t="str">
        <f>IF(AND($B25=CL$3,$C25="Strong"),IF(PUF!$U23&gt;0,PUF!$U23,""),"")</f>
        <v/>
      </c>
      <c r="CM25" s="57" t="str">
        <f>IF(AND($B25=CM$3,$C25="Strong"),IF(PUF!$U23&gt;0,PUF!$U23,""),"")</f>
        <v/>
      </c>
      <c r="CN25" s="57" t="str">
        <f>IF(AND($B25=CN$3,$C25="Strong"),IF(PUF!$U23&gt;0,PUF!$U23,""),"")</f>
        <v/>
      </c>
    </row>
    <row r="26" spans="1:92" x14ac:dyDescent="0.3">
      <c r="A26" s="6">
        <f>PUF!A24</f>
        <v>23</v>
      </c>
      <c r="B26" s="6" t="str">
        <f>PUF!G24</f>
        <v>metastability</v>
      </c>
      <c r="C26" t="str">
        <f>PUF!AL24</f>
        <v>Weak</v>
      </c>
      <c r="D26" s="166">
        <f>PUF!C24</f>
        <v>2014</v>
      </c>
      <c r="E26" s="167" t="str">
        <f>IF(AND($B26=E$3,$C26="Weak"),IF(PUF!$X24&gt;0,PUF!$X24,""),"")</f>
        <v/>
      </c>
      <c r="F26" s="167" t="str">
        <f>IF(AND($B26=F$3,$C26="Weak"),IF(PUF!$X24&gt;0,PUF!$X24,""),"")</f>
        <v/>
      </c>
      <c r="G26" s="167" t="str">
        <f>IF(AND($B26=G$3,$C26="Weak"),IF(PUF!$X24&gt;0,PUF!$X24,""),"")</f>
        <v/>
      </c>
      <c r="H26" s="167">
        <f>IF(AND($B26=H$3,$C26="Weak"),IF(PUF!$X24&gt;0,PUF!$X24,""),"")</f>
        <v>56675.502232142855</v>
      </c>
      <c r="I26" s="167" t="str">
        <f>IF(AND($B26=I$3,$C26="Weak"),IF(PUF!$X24&gt;0,PUF!$X24,""),"")</f>
        <v/>
      </c>
      <c r="J26" s="167" t="str">
        <f>IF(AND($B26=J$3,$C26="Weak"),IF(PUF!$X24&gt;0,PUF!$X24,""),"")</f>
        <v/>
      </c>
      <c r="K26" s="167" t="str">
        <f>IF(AND($B26=K$3,$C26="Weak"),IF(PUF!$X24&gt;0,PUF!$X24,""),"")</f>
        <v/>
      </c>
      <c r="L26" s="167" t="str">
        <f>IF(AND($B26=L$3,$C26="Weak"),IF(PUF!$X24&gt;0,PUF!$X24,""),"")</f>
        <v/>
      </c>
      <c r="N26" s="11">
        <f t="shared" si="0"/>
        <v>2014</v>
      </c>
      <c r="O26" s="57" t="str">
        <f>IF(AND($B26=O$3,$C26="Weak"),IF(PUF!$M24&gt;0,PUF!$M24,""),"")</f>
        <v/>
      </c>
      <c r="P26" s="57" t="str">
        <f>IF(AND($B26=P$3,$C26="Weak"),IF(PUF!$M24&gt;0,PUF!$M24,""),"")</f>
        <v/>
      </c>
      <c r="Q26" s="57" t="str">
        <f>IF(AND($B26=Q$3,$C26="Weak"),IF(PUF!$M24&gt;0,PUF!$M24,""),"")</f>
        <v/>
      </c>
      <c r="R26" s="57">
        <f>IF(AND($B26=R$3,$C26="Weak"),IF(PUF!$M24&gt;0,PUF!$M24,""),"")</f>
        <v>12.5</v>
      </c>
      <c r="S26" s="57" t="str">
        <f>IF(AND($B26=S$3,$C26="Weak"),IF(PUF!$M24&gt;0,PUF!$M24,""),"")</f>
        <v/>
      </c>
      <c r="T26" s="57" t="str">
        <f>IF(AND($B26=T$3,$C26="Weak"),IF(PUF!$M24&gt;0,PUF!$M24,""),"")</f>
        <v/>
      </c>
      <c r="U26" s="57" t="str">
        <f>IF(AND($B26=U$3,$C26="Weak"),IF(PUF!$M24&gt;0,PUF!$M24,""),"")</f>
        <v/>
      </c>
      <c r="V26" s="57" t="str">
        <f>IF(AND($B26=V$3,$C26="Weak"),IF(PUF!$M24&gt;0,PUF!$M24,""),"")</f>
        <v/>
      </c>
      <c r="W26" s="168"/>
      <c r="X26" s="166">
        <f t="shared" si="4"/>
        <v>2014</v>
      </c>
      <c r="Y26" s="57" t="str">
        <f>IF(AND($B26=Y$3,$C26="Weak"),IF(PUF!$S24&gt;0,PUF!$S24,""),"")</f>
        <v/>
      </c>
      <c r="Z26" s="57" t="str">
        <f>IF(AND($B26=Z$3,$C26="Weak"),IF(PUF!$S24&gt;0,PUF!$S24,""),"")</f>
        <v/>
      </c>
      <c r="AA26" s="57" t="str">
        <f>IF(AND($B26=AA$3,$C26="Weak"),IF(PUF!$S24&gt;0,PUF!$S24,""),"")</f>
        <v/>
      </c>
      <c r="AB26" s="57">
        <f>IF(AND($B26=AB$3,$C26="Weak"),IF(PUF!$S24&gt;0,PUF!$S24,""),"")</f>
        <v>1.94</v>
      </c>
      <c r="AC26" s="57" t="str">
        <f>IF(AND($B26=AC$3,$C26="Weak"),IF(PUF!$S24&gt;0,PUF!$S24,""),"")</f>
        <v/>
      </c>
      <c r="AD26" s="57" t="str">
        <f>IF(AND($B26=AD$3,$C26="Weak"),IF(PUF!$S24&gt;0,PUF!$S24,""),"")</f>
        <v/>
      </c>
      <c r="AE26" s="57" t="str">
        <f>IF(AND($B26=AE$3,$C26="Weak"),IF(PUF!$S24&gt;0,PUF!$S24,""),"")</f>
        <v/>
      </c>
      <c r="AF26" s="57" t="str">
        <f>IF(AND($B26=AF$3,$C26="Weak"),IF(PUF!$S24&gt;0,PUF!$S24,""),"")</f>
        <v/>
      </c>
      <c r="AH26" s="210">
        <f t="shared" si="1"/>
        <v>2014</v>
      </c>
      <c r="AI26" s="211" t="str">
        <f>IF(AND($B26=AI$3,$C26="Weak"),IF(PUF!$U24&gt;0,PUF!$U24,""),"")</f>
        <v/>
      </c>
      <c r="AJ26" s="211" t="str">
        <f>IF(AND($B26=AJ$3,$C26="Weak"),IF(PUF!$U24&gt;0,PUF!$U24,""),"")</f>
        <v/>
      </c>
      <c r="AK26" s="211" t="str">
        <f>IF(AND($B26=AK$3,$C26="Weak"),IF(PUF!$U24&gt;0,PUF!$U24,""),"")</f>
        <v/>
      </c>
      <c r="AL26" s="211">
        <f>IF(AND($B26=AL$3,$C26="Weak"),IF(PUF!$U24&gt;0,PUF!$U24,""),"")</f>
        <v>1.2999999999999999E-2</v>
      </c>
      <c r="AM26" s="211" t="str">
        <f>IF(AND($B26=AM$3,$C26="Weak"),IF(PUF!$U24&gt;0,PUF!$U24,""),"")</f>
        <v/>
      </c>
      <c r="AN26" s="211" t="str">
        <f>IF(AND($B26=AN$3,$C26="Weak"),IF(PUF!$U24&gt;0,PUF!$U24,""),"")</f>
        <v/>
      </c>
      <c r="AO26" s="211" t="str">
        <f>IF(AND($B26=AO$3,$C26="Weak"),IF(PUF!$U24&gt;0,PUF!$U24,""),"")</f>
        <v/>
      </c>
      <c r="AP26" s="211" t="str">
        <f>IF(AND($B26=AP$3,$C26="Weak"),IF(PUF!$U24&gt;0,PUF!$U24,""),"")</f>
        <v/>
      </c>
      <c r="BB26" s="166">
        <f t="shared" si="2"/>
        <v>2014</v>
      </c>
      <c r="BC26" s="57" t="str">
        <f>IF(AND($B26=BC$3,$C26="Strong"),IF(PUF!$X24&gt;0,PUF!$X24,""),"")</f>
        <v/>
      </c>
      <c r="BD26" s="57" t="str">
        <f>IF(AND($B26=BD$3,$C26="Strong"),IF(PUF!$X24&gt;0,PUF!$X24,""),"")</f>
        <v/>
      </c>
      <c r="BE26" s="57" t="str">
        <f>IF(AND($B26=BE$3,$C26="Strong"),IF(PUF!$X24&gt;0,PUF!$X24,""),"")</f>
        <v/>
      </c>
      <c r="BF26" s="57" t="str">
        <f>IF(AND($B26=BF$3,$C26="Strong"),IF(PUF!$X24&gt;0,PUF!$X24,""),"")</f>
        <v/>
      </c>
      <c r="BG26" s="57" t="str">
        <f>IF(AND($B26=BG$3,$C26="Strong"),IF(PUF!$X24&gt;0,PUF!$X24,""),"")</f>
        <v/>
      </c>
      <c r="BH26" s="57" t="str">
        <f>IF(AND($B26=BH$3,$C26="Strong"),IF(PUF!$X24&gt;0,PUF!$X24,""),"")</f>
        <v/>
      </c>
      <c r="BI26" s="57" t="str">
        <f>IF(AND($B26=BI$3,$C26="Strong"),IF(PUF!$X24&gt;0,PUF!$X24,""),"")</f>
        <v/>
      </c>
      <c r="BJ26" s="57" t="str">
        <f>IF(AND($B26=BJ$3,$C26="Strong"),IF(PUF!$X24&gt;0,PUF!$X24,""),"")</f>
        <v/>
      </c>
      <c r="BL26" s="166">
        <f t="shared" si="3"/>
        <v>2014</v>
      </c>
      <c r="BM26" s="57" t="str">
        <f>IF(AND($B26=BM$3,$C26="Strong"),IF(PUF!$M24&gt;0,PUF!$M24,""),"")</f>
        <v/>
      </c>
      <c r="BN26" s="57" t="str">
        <f>IF(AND($B26=BN$3,$C26="Strong"),IF(PUF!$M24&gt;0,PUF!$M24,""),"")</f>
        <v/>
      </c>
      <c r="BO26" s="57" t="str">
        <f>IF(AND($B26=BO$3,$C26="Strong"),IF(PUF!$M24&gt;0,PUF!$M24,""),"")</f>
        <v/>
      </c>
      <c r="BP26" s="57" t="str">
        <f>IF(AND($B26=BP$3,$C26="Strong"),IF(PUF!$M24&gt;0,PUF!$M24,""),"")</f>
        <v/>
      </c>
      <c r="BQ26" s="57" t="str">
        <f>IF(AND($B26=BQ$3,$C26="Strong"),IF(PUF!$M24&gt;0,PUF!$M24,""),"")</f>
        <v/>
      </c>
      <c r="BR26" s="57" t="str">
        <f>IF(AND($B26=BR$3,$C26="Strong"),IF(PUF!$M24&gt;0,PUF!$M24,""),"")</f>
        <v/>
      </c>
      <c r="BS26" s="57" t="str">
        <f>IF(AND($B26=BS$3,$C26="Strong"),IF(PUF!$M24&gt;0,PUF!$M24,""),"")</f>
        <v/>
      </c>
      <c r="BT26" s="57" t="str">
        <f>IF(AND($B26=BT$3,$C26="Strong"),IF(PUF!$M24&gt;0,PUF!$M24,""),"")</f>
        <v/>
      </c>
      <c r="BV26" s="166">
        <f t="shared" si="5"/>
        <v>2014</v>
      </c>
      <c r="BW26" s="57" t="str">
        <f>IF(AND($B26=BW$3,$C26="Strong"),IF(PUF!$S24&gt;0,PUF!$S24,""),"")</f>
        <v/>
      </c>
      <c r="BX26" s="57" t="str">
        <f>IF(AND($B26=BX$3,$C26="Strong"),IF(PUF!$S24&gt;0,PUF!$S24,""),"")</f>
        <v/>
      </c>
      <c r="BY26" s="57" t="str">
        <f>IF(AND($B26=BY$3,$C26="Strong"),IF(PUF!$S24&gt;0,PUF!$S24,""),"")</f>
        <v/>
      </c>
      <c r="BZ26" s="57" t="str">
        <f>IF(AND($B26=BZ$3,$C26="Strong"),IF(PUF!$S24&gt;0,PUF!$S24,""),"")</f>
        <v/>
      </c>
      <c r="CA26" s="57" t="str">
        <f>IF(AND($B26=CA$3,$C26="Strong"),IF(PUF!$S24&gt;0,PUF!$S24,""),"")</f>
        <v/>
      </c>
      <c r="CB26" s="57" t="str">
        <f>IF(AND($B26=CB$3,$C26="Strong"),IF(PUF!$S24&gt;0,PUF!$S24,""),"")</f>
        <v/>
      </c>
      <c r="CC26" s="57" t="str">
        <f>IF(AND($B26=CC$3,$C26="Strong"),IF(PUF!$S24&gt;0,PUF!$S24,""),"")</f>
        <v/>
      </c>
      <c r="CD26" s="57" t="str">
        <f>IF(AND($B26=CD$3,$C26="Strong"),IF(PUF!$S24&gt;0,PUF!$S24,""),"")</f>
        <v/>
      </c>
      <c r="CF26" s="11">
        <f t="shared" si="6"/>
        <v>2014</v>
      </c>
      <c r="CG26" s="57" t="str">
        <f>IF(AND($B26=CG$3,$C26="Strong"),IF(PUF!$U24&gt;0,PUF!$U24,""),"")</f>
        <v/>
      </c>
      <c r="CH26" s="57" t="str">
        <f>IF(AND($B26=CH$3,$C26="Strong"),IF(PUF!$U24&gt;0,PUF!$U24,""),"")</f>
        <v/>
      </c>
      <c r="CI26" s="57" t="str">
        <f>IF(AND($B26=CI$3,$C26="Strong"),IF(PUF!$U24&gt;0,PUF!$U24,""),"")</f>
        <v/>
      </c>
      <c r="CJ26" s="57" t="str">
        <f>IF(AND($B26=CJ$3,$C26="Strong"),IF(PUF!$U24&gt;0,PUF!$U24,""),"")</f>
        <v/>
      </c>
      <c r="CK26" s="57" t="str">
        <f>IF(AND($B26=CK$3,$C26="Strong"),IF(PUF!$U24&gt;0,PUF!$U24,""),"")</f>
        <v/>
      </c>
      <c r="CL26" s="57" t="str">
        <f>IF(AND($B26=CL$3,$C26="Strong"),IF(PUF!$U24&gt;0,PUF!$U24,""),"")</f>
        <v/>
      </c>
      <c r="CM26" s="57" t="str">
        <f>IF(AND($B26=CM$3,$C26="Strong"),IF(PUF!$U24&gt;0,PUF!$U24,""),"")</f>
        <v/>
      </c>
      <c r="CN26" s="57" t="str">
        <f>IF(AND($B26=CN$3,$C26="Strong"),IF(PUF!$U24&gt;0,PUF!$U24,""),"")</f>
        <v/>
      </c>
    </row>
    <row r="27" spans="1:92" x14ac:dyDescent="0.3">
      <c r="A27" s="6">
        <f>PUF!A25</f>
        <v>24</v>
      </c>
      <c r="B27" s="6" t="str">
        <f>PUF!G25</f>
        <v>others</v>
      </c>
      <c r="C27" t="str">
        <f>PUF!AL25</f>
        <v>Weak</v>
      </c>
      <c r="D27" s="166">
        <f>PUF!C25</f>
        <v>2014</v>
      </c>
      <c r="E27" s="167" t="str">
        <f>IF(AND($B27=E$3,$C27="Weak"),IF(PUF!$X25&gt;0,PUF!$X25,""),"")</f>
        <v/>
      </c>
      <c r="F27" s="167" t="str">
        <f>IF(AND($B27=F$3,$C27="Weak"),IF(PUF!$X25&gt;0,PUF!$X25,""),"")</f>
        <v/>
      </c>
      <c r="G27" s="167" t="str">
        <f>IF(AND($B27=G$3,$C27="Weak"),IF(PUF!$X25&gt;0,PUF!$X25,""),"")</f>
        <v/>
      </c>
      <c r="H27" s="167" t="str">
        <f>IF(AND($B27=H$3,$C27="Weak"),IF(PUF!$X25&gt;0,PUF!$X25,""),"")</f>
        <v/>
      </c>
      <c r="I27" s="167" t="str">
        <f>IF(AND($B27=I$3,$C27="Weak"),IF(PUF!$X25&gt;0,PUF!$X25,""),"")</f>
        <v/>
      </c>
      <c r="J27" s="167" t="str">
        <f>IF(AND($B27=J$3,$C27="Weak"),IF(PUF!$X25&gt;0,PUF!$X25,""),"")</f>
        <v/>
      </c>
      <c r="K27" s="167" t="str">
        <f>IF(AND($B27=K$3,$C27="Weak"),IF(PUF!$X25&gt;0,PUF!$X25,""),"")</f>
        <v/>
      </c>
      <c r="L27" s="167">
        <f>IF(AND($B27=L$3,$C27="Weak"),IF(PUF!$X25&gt;0,PUF!$X25,""),"")</f>
        <v>1052794.1645408163</v>
      </c>
      <c r="N27" s="11">
        <f t="shared" si="0"/>
        <v>2014</v>
      </c>
      <c r="O27" s="57" t="str">
        <f>IF(AND($B27=O$3,$C27="Weak"),IF(PUF!$M25&gt;0,PUF!$M25,""),"")</f>
        <v/>
      </c>
      <c r="P27" s="57" t="str">
        <f>IF(AND($B27=P$3,$C27="Weak"),IF(PUF!$M25&gt;0,PUF!$M25,""),"")</f>
        <v/>
      </c>
      <c r="Q27" s="57" t="str">
        <f>IF(AND($B27=Q$3,$C27="Weak"),IF(PUF!$M25&gt;0,PUF!$M25,""),"")</f>
        <v/>
      </c>
      <c r="R27" s="57" t="str">
        <f>IF(AND($B27=R$3,$C27="Weak"),IF(PUF!$M25&gt;0,PUF!$M25,""),"")</f>
        <v/>
      </c>
      <c r="S27" s="57" t="str">
        <f>IF(AND($B27=S$3,$C27="Weak"),IF(PUF!$M25&gt;0,PUF!$M25,""),"")</f>
        <v/>
      </c>
      <c r="T27" s="57" t="str">
        <f>IF(AND($B27=T$3,$C27="Weak"),IF(PUF!$M25&gt;0,PUF!$M25,""),"")</f>
        <v/>
      </c>
      <c r="U27" s="57" t="str">
        <f>IF(AND($B27=U$3,$C27="Weak"),IF(PUF!$M25&gt;0,PUF!$M25,""),"")</f>
        <v/>
      </c>
      <c r="V27" s="57">
        <f>IF(AND($B27=V$3,$C27="Weak"),IF(PUF!$M25&gt;0,PUF!$M25,""),"")</f>
        <v>1.9039999999999998E-2</v>
      </c>
      <c r="W27" s="168"/>
      <c r="X27" s="166">
        <f t="shared" si="4"/>
        <v>2014</v>
      </c>
      <c r="Y27" s="57" t="str">
        <f>IF(AND($B27=Y$3,$C27="Weak"),IF(PUF!$S25&gt;0,PUF!$S25,""),"")</f>
        <v/>
      </c>
      <c r="Z27" s="57" t="str">
        <f>IF(AND($B27=Z$3,$C27="Weak"),IF(PUF!$S25&gt;0,PUF!$S25,""),"")</f>
        <v/>
      </c>
      <c r="AA27" s="57" t="str">
        <f>IF(AND($B27=AA$3,$C27="Weak"),IF(PUF!$S25&gt;0,PUF!$S25,""),"")</f>
        <v/>
      </c>
      <c r="AB27" s="57" t="str">
        <f>IF(AND($B27=AB$3,$C27="Weak"),IF(PUF!$S25&gt;0,PUF!$S25,""),"")</f>
        <v/>
      </c>
      <c r="AC27" s="57" t="str">
        <f>IF(AND($B27=AC$3,$C27="Weak"),IF(PUF!$S25&gt;0,PUF!$S25,""),"")</f>
        <v/>
      </c>
      <c r="AD27" s="57" t="str">
        <f>IF(AND($B27=AD$3,$C27="Weak"),IF(PUF!$S25&gt;0,PUF!$S25,""),"")</f>
        <v/>
      </c>
      <c r="AE27" s="57" t="str">
        <f>IF(AND($B27=AE$3,$C27="Weak"),IF(PUF!$S25&gt;0,PUF!$S25,""),"")</f>
        <v/>
      </c>
      <c r="AF27" s="57">
        <f>IF(AND($B27=AF$3,$C27="Weak"),IF(PUF!$S25&gt;0,PUF!$S25,""),"")</f>
        <v>1.9039999999999998E-2</v>
      </c>
      <c r="AH27" s="210">
        <f t="shared" si="1"/>
        <v>2014</v>
      </c>
      <c r="AI27" s="211" t="str">
        <f>IF(AND($B27=AI$3,$C27="Weak"),IF(PUF!$U25&gt;0,PUF!$U25,""),"")</f>
        <v/>
      </c>
      <c r="AJ27" s="211" t="str">
        <f>IF(AND($B27=AJ$3,$C27="Weak"),IF(PUF!$U25&gt;0,PUF!$U25,""),"")</f>
        <v/>
      </c>
      <c r="AK27" s="211" t="str">
        <f>IF(AND($B27=AK$3,$C27="Weak"),IF(PUF!$U25&gt;0,PUF!$U25,""),"")</f>
        <v/>
      </c>
      <c r="AL27" s="211" t="str">
        <f>IF(AND($B27=AL$3,$C27="Weak"),IF(PUF!$U25&gt;0,PUF!$U25,""),"")</f>
        <v/>
      </c>
      <c r="AM27" s="211" t="str">
        <f>IF(AND($B27=AM$3,$C27="Weak"),IF(PUF!$U25&gt;0,PUF!$U25,""),"")</f>
        <v/>
      </c>
      <c r="AN27" s="211" t="str">
        <f>IF(AND($B27=AN$3,$C27="Weak"),IF(PUF!$U25&gt;0,PUF!$U25,""),"")</f>
        <v/>
      </c>
      <c r="AO27" s="211" t="str">
        <f>IF(AND($B27=AO$3,$C27="Weak"),IF(PUF!$U25&gt;0,PUF!$U25,""),"")</f>
        <v/>
      </c>
      <c r="AP27" s="211" t="str">
        <f>IF(AND($B27=AP$3,$C27="Weak"),IF(PUF!$U25&gt;0,PUF!$U25,""),"")</f>
        <v>N/A</v>
      </c>
      <c r="BB27" s="166">
        <f t="shared" si="2"/>
        <v>2014</v>
      </c>
      <c r="BC27" s="57" t="str">
        <f>IF(AND($B27=BC$3,$C27="Strong"),IF(PUF!$X25&gt;0,PUF!$X25,""),"")</f>
        <v/>
      </c>
      <c r="BD27" s="57" t="str">
        <f>IF(AND($B27=BD$3,$C27="Strong"),IF(PUF!$X25&gt;0,PUF!$X25,""),"")</f>
        <v/>
      </c>
      <c r="BE27" s="57" t="str">
        <f>IF(AND($B27=BE$3,$C27="Strong"),IF(PUF!$X25&gt;0,PUF!$X25,""),"")</f>
        <v/>
      </c>
      <c r="BF27" s="57" t="str">
        <f>IF(AND($B27=BF$3,$C27="Strong"),IF(PUF!$X25&gt;0,PUF!$X25,""),"")</f>
        <v/>
      </c>
      <c r="BG27" s="57" t="str">
        <f>IF(AND($B27=BG$3,$C27="Strong"),IF(PUF!$X25&gt;0,PUF!$X25,""),"")</f>
        <v/>
      </c>
      <c r="BH27" s="57" t="str">
        <f>IF(AND($B27=BH$3,$C27="Strong"),IF(PUF!$X25&gt;0,PUF!$X25,""),"")</f>
        <v/>
      </c>
      <c r="BI27" s="57" t="str">
        <f>IF(AND($B27=BI$3,$C27="Strong"),IF(PUF!$X25&gt;0,PUF!$X25,""),"")</f>
        <v/>
      </c>
      <c r="BJ27" s="57" t="str">
        <f>IF(AND($B27=BJ$3,$C27="Strong"),IF(PUF!$X25&gt;0,PUF!$X25,""),"")</f>
        <v/>
      </c>
      <c r="BL27" s="166">
        <f t="shared" si="3"/>
        <v>2014</v>
      </c>
      <c r="BM27" s="57" t="str">
        <f>IF(AND($B27=BM$3,$C27="Strong"),IF(PUF!$M25&gt;0,PUF!$M25,""),"")</f>
        <v/>
      </c>
      <c r="BN27" s="57" t="str">
        <f>IF(AND($B27=BN$3,$C27="Strong"),IF(PUF!$M25&gt;0,PUF!$M25,""),"")</f>
        <v/>
      </c>
      <c r="BO27" s="57" t="str">
        <f>IF(AND($B27=BO$3,$C27="Strong"),IF(PUF!$M25&gt;0,PUF!$M25,""),"")</f>
        <v/>
      </c>
      <c r="BP27" s="57" t="str">
        <f>IF(AND($B27=BP$3,$C27="Strong"),IF(PUF!$M25&gt;0,PUF!$M25,""),"")</f>
        <v/>
      </c>
      <c r="BQ27" s="57" t="str">
        <f>IF(AND($B27=BQ$3,$C27="Strong"),IF(PUF!$M25&gt;0,PUF!$M25,""),"")</f>
        <v/>
      </c>
      <c r="BR27" s="57" t="str">
        <f>IF(AND($B27=BR$3,$C27="Strong"),IF(PUF!$M25&gt;0,PUF!$M25,""),"")</f>
        <v/>
      </c>
      <c r="BS27" s="57" t="str">
        <f>IF(AND($B27=BS$3,$C27="Strong"),IF(PUF!$M25&gt;0,PUF!$M25,""),"")</f>
        <v/>
      </c>
      <c r="BT27" s="57" t="str">
        <f>IF(AND($B27=BT$3,$C27="Strong"),IF(PUF!$M25&gt;0,PUF!$M25,""),"")</f>
        <v/>
      </c>
      <c r="BV27" s="166">
        <f t="shared" si="5"/>
        <v>2014</v>
      </c>
      <c r="BW27" s="57" t="str">
        <f>IF(AND($B27=BW$3,$C27="Strong"),IF(PUF!$S25&gt;0,PUF!$S25,""),"")</f>
        <v/>
      </c>
      <c r="BX27" s="57" t="str">
        <f>IF(AND($B27=BX$3,$C27="Strong"),IF(PUF!$S25&gt;0,PUF!$S25,""),"")</f>
        <v/>
      </c>
      <c r="BY27" s="57" t="str">
        <f>IF(AND($B27=BY$3,$C27="Strong"),IF(PUF!$S25&gt;0,PUF!$S25,""),"")</f>
        <v/>
      </c>
      <c r="BZ27" s="57" t="str">
        <f>IF(AND($B27=BZ$3,$C27="Strong"),IF(PUF!$S25&gt;0,PUF!$S25,""),"")</f>
        <v/>
      </c>
      <c r="CA27" s="57" t="str">
        <f>IF(AND($B27=CA$3,$C27="Strong"),IF(PUF!$S25&gt;0,PUF!$S25,""),"")</f>
        <v/>
      </c>
      <c r="CB27" s="57" t="str">
        <f>IF(AND($B27=CB$3,$C27="Strong"),IF(PUF!$S25&gt;0,PUF!$S25,""),"")</f>
        <v/>
      </c>
      <c r="CC27" s="57" t="str">
        <f>IF(AND($B27=CC$3,$C27="Strong"),IF(PUF!$S25&gt;0,PUF!$S25,""),"")</f>
        <v/>
      </c>
      <c r="CD27" s="57" t="str">
        <f>IF(AND($B27=CD$3,$C27="Strong"),IF(PUF!$S25&gt;0,PUF!$S25,""),"")</f>
        <v/>
      </c>
      <c r="CF27" s="11">
        <f t="shared" si="6"/>
        <v>2014</v>
      </c>
      <c r="CG27" s="57" t="str">
        <f>IF(AND($B27=CG$3,$C27="Strong"),IF(PUF!$U25&gt;0,PUF!$U25,""),"")</f>
        <v/>
      </c>
      <c r="CH27" s="57" t="str">
        <f>IF(AND($B27=CH$3,$C27="Strong"),IF(PUF!$U25&gt;0,PUF!$U25,""),"")</f>
        <v/>
      </c>
      <c r="CI27" s="57" t="str">
        <f>IF(AND($B27=CI$3,$C27="Strong"),IF(PUF!$U25&gt;0,PUF!$U25,""),"")</f>
        <v/>
      </c>
      <c r="CJ27" s="57" t="str">
        <f>IF(AND($B27=CJ$3,$C27="Strong"),IF(PUF!$U25&gt;0,PUF!$U25,""),"")</f>
        <v/>
      </c>
      <c r="CK27" s="57" t="str">
        <f>IF(AND($B27=CK$3,$C27="Strong"),IF(PUF!$U25&gt;0,PUF!$U25,""),"")</f>
        <v/>
      </c>
      <c r="CL27" s="57" t="str">
        <f>IF(AND($B27=CL$3,$C27="Strong"),IF(PUF!$U25&gt;0,PUF!$U25,""),"")</f>
        <v/>
      </c>
      <c r="CM27" s="57" t="str">
        <f>IF(AND($B27=CM$3,$C27="Strong"),IF(PUF!$U25&gt;0,PUF!$U25,""),"")</f>
        <v/>
      </c>
      <c r="CN27" s="57" t="str">
        <f>IF(AND($B27=CN$3,$C27="Strong"),IF(PUF!$U25&gt;0,PUF!$U25,""),"")</f>
        <v/>
      </c>
    </row>
    <row r="28" spans="1:92" x14ac:dyDescent="0.3">
      <c r="A28" s="6">
        <f>PUF!A26</f>
        <v>25</v>
      </c>
      <c r="B28" s="6" t="str">
        <f>PUF!G26</f>
        <v>monostable</v>
      </c>
      <c r="C28" t="str">
        <f>PUF!AL26</f>
        <v>Weak</v>
      </c>
      <c r="D28" s="166">
        <f>PUF!C26</f>
        <v>2015</v>
      </c>
      <c r="E28" s="167" t="str">
        <f>IF(AND($B28=E$3,$C28="Weak"),IF(PUF!$X26&gt;0,PUF!$X26,""),"")</f>
        <v/>
      </c>
      <c r="F28" s="167" t="str">
        <f>IF(AND($B28=F$3,$C28="Weak"),IF(PUF!$X26&gt;0,PUF!$X26,""),"")</f>
        <v/>
      </c>
      <c r="G28" s="167" t="str">
        <f>IF(AND($B28=G$3,$C28="Weak"),IF(PUF!$X26&gt;0,PUF!$X26,""),"")</f>
        <v/>
      </c>
      <c r="H28" s="167" t="str">
        <f>IF(AND($B28=H$3,$C28="Weak"),IF(PUF!$X26&gt;0,PUF!$X26,""),"")</f>
        <v/>
      </c>
      <c r="I28" s="167">
        <f>IF(AND($B28=I$3,$C28="Weak"),IF(PUF!$X26&gt;0,PUF!$X26,""),"")</f>
        <v>6000</v>
      </c>
      <c r="J28" s="167" t="str">
        <f>IF(AND($B28=J$3,$C28="Weak"),IF(PUF!$X26&gt;0,PUF!$X26,""),"")</f>
        <v/>
      </c>
      <c r="K28" s="167" t="str">
        <f>IF(AND($B28=K$3,$C28="Weak"),IF(PUF!$X26&gt;0,PUF!$X26,""),"")</f>
        <v/>
      </c>
      <c r="L28" s="167" t="str">
        <f>IF(AND($B28=L$3,$C28="Weak"),IF(PUF!$X26&gt;0,PUF!$X26,""),"")</f>
        <v/>
      </c>
      <c r="N28" s="11">
        <f t="shared" si="0"/>
        <v>2015</v>
      </c>
      <c r="O28" s="57" t="str">
        <f>IF(AND($B28=O$3,$C28="Weak"),IF(PUF!$M26&gt;0,PUF!$M26,""),"")</f>
        <v/>
      </c>
      <c r="P28" s="57" t="str">
        <f>IF(AND($B28=P$3,$C28="Weak"),IF(PUF!$M26&gt;0,PUF!$M26,""),"")</f>
        <v/>
      </c>
      <c r="Q28" s="57" t="str">
        <f>IF(AND($B28=Q$3,$C28="Weak"),IF(PUF!$M26&gt;0,PUF!$M26,""),"")</f>
        <v/>
      </c>
      <c r="R28" s="57" t="str">
        <f>IF(AND($B28=R$3,$C28="Weak"),IF(PUF!$M26&gt;0,PUF!$M26,""),"")</f>
        <v/>
      </c>
      <c r="S28" s="57" t="str">
        <f>IF(AND($B28=S$3,$C28="Weak"),IF(PUF!$M26&gt;0,PUF!$M26,""),"")</f>
        <v>N/A</v>
      </c>
      <c r="T28" s="57" t="str">
        <f>IF(AND($B28=T$3,$C28="Weak"),IF(PUF!$M26&gt;0,PUF!$M26,""),"")</f>
        <v/>
      </c>
      <c r="U28" s="57" t="str">
        <f>IF(AND($B28=U$3,$C28="Weak"),IF(PUF!$M26&gt;0,PUF!$M26,""),"")</f>
        <v/>
      </c>
      <c r="V28" s="57" t="str">
        <f>IF(AND($B28=V$3,$C28="Weak"),IF(PUF!$M26&gt;0,PUF!$M26,""),"")</f>
        <v/>
      </c>
      <c r="W28" s="168"/>
      <c r="X28" s="166">
        <f t="shared" si="4"/>
        <v>2015</v>
      </c>
      <c r="Y28" s="57" t="str">
        <f>IF(AND($B28=Y$3,$C28="Weak"),IF(PUF!$S26&gt;0,PUF!$S26,""),"")</f>
        <v/>
      </c>
      <c r="Z28" s="57" t="str">
        <f>IF(AND($B28=Z$3,$C28="Weak"),IF(PUF!$S26&gt;0,PUF!$S26,""),"")</f>
        <v/>
      </c>
      <c r="AA28" s="57" t="str">
        <f>IF(AND($B28=AA$3,$C28="Weak"),IF(PUF!$S26&gt;0,PUF!$S26,""),"")</f>
        <v/>
      </c>
      <c r="AB28" s="57" t="str">
        <f>IF(AND($B28=AB$3,$C28="Weak"),IF(PUF!$S26&gt;0,PUF!$S26,""),"")</f>
        <v/>
      </c>
      <c r="AC28" s="57" t="str">
        <f>IF(AND($B28=AC$3,$C28="Weak"),IF(PUF!$S26&gt;0,PUF!$S26,""),"")</f>
        <v>N/A</v>
      </c>
      <c r="AD28" s="57" t="str">
        <f>IF(AND($B28=AD$3,$C28="Weak"),IF(PUF!$S26&gt;0,PUF!$S26,""),"")</f>
        <v/>
      </c>
      <c r="AE28" s="57" t="str">
        <f>IF(AND($B28=AE$3,$C28="Weak"),IF(PUF!$S26&gt;0,PUF!$S26,""),"")</f>
        <v/>
      </c>
      <c r="AF28" s="57" t="str">
        <f>IF(AND($B28=AF$3,$C28="Weak"),IF(PUF!$S26&gt;0,PUF!$S26,""),"")</f>
        <v/>
      </c>
      <c r="AH28" s="210">
        <f t="shared" si="1"/>
        <v>2015</v>
      </c>
      <c r="AI28" s="211" t="str">
        <f>IF(AND($B28=AI$3,$C28="Weak"),IF(PUF!$U26&gt;0,PUF!$U26,""),"")</f>
        <v/>
      </c>
      <c r="AJ28" s="211" t="str">
        <f>IF(AND($B28=AJ$3,$C28="Weak"),IF(PUF!$U26&gt;0,PUF!$U26,""),"")</f>
        <v/>
      </c>
      <c r="AK28" s="211" t="str">
        <f>IF(AND($B28=AK$3,$C28="Weak"),IF(PUF!$U26&gt;0,PUF!$U26,""),"")</f>
        <v/>
      </c>
      <c r="AL28" s="211" t="str">
        <f>IF(AND($B28=AL$3,$C28="Weak"),IF(PUF!$U26&gt;0,PUF!$U26,""),"")</f>
        <v/>
      </c>
      <c r="AM28" s="211">
        <f>IF(AND($B28=AM$3,$C28="Weak"),IF(PUF!$U26&gt;0,PUF!$U26,""),"")</f>
        <v>1.4999999999999999E-2</v>
      </c>
      <c r="AN28" s="211" t="str">
        <f>IF(AND($B28=AN$3,$C28="Weak"),IF(PUF!$U26&gt;0,PUF!$U26,""),"")</f>
        <v/>
      </c>
      <c r="AO28" s="211" t="str">
        <f>IF(AND($B28=AO$3,$C28="Weak"),IF(PUF!$U26&gt;0,PUF!$U26,""),"")</f>
        <v/>
      </c>
      <c r="AP28" s="211" t="str">
        <f>IF(AND($B28=AP$3,$C28="Weak"),IF(PUF!$U26&gt;0,PUF!$U26,""),"")</f>
        <v/>
      </c>
      <c r="BB28" s="166">
        <f t="shared" si="2"/>
        <v>2015</v>
      </c>
      <c r="BC28" s="57" t="str">
        <f>IF(AND($B28=BC$3,$C28="Strong"),IF(PUF!$X26&gt;0,PUF!$X26,""),"")</f>
        <v/>
      </c>
      <c r="BD28" s="57" t="str">
        <f>IF(AND($B28=BD$3,$C28="Strong"),IF(PUF!$X26&gt;0,PUF!$X26,""),"")</f>
        <v/>
      </c>
      <c r="BE28" s="57" t="str">
        <f>IF(AND($B28=BE$3,$C28="Strong"),IF(PUF!$X26&gt;0,PUF!$X26,""),"")</f>
        <v/>
      </c>
      <c r="BF28" s="57" t="str">
        <f>IF(AND($B28=BF$3,$C28="Strong"),IF(PUF!$X26&gt;0,PUF!$X26,""),"")</f>
        <v/>
      </c>
      <c r="BG28" s="57" t="str">
        <f>IF(AND($B28=BG$3,$C28="Strong"),IF(PUF!$X26&gt;0,PUF!$X26,""),"")</f>
        <v/>
      </c>
      <c r="BH28" s="57" t="str">
        <f>IF(AND($B28=BH$3,$C28="Strong"),IF(PUF!$X26&gt;0,PUF!$X26,""),"")</f>
        <v/>
      </c>
      <c r="BI28" s="57" t="str">
        <f>IF(AND($B28=BI$3,$C28="Strong"),IF(PUF!$X26&gt;0,PUF!$X26,""),"")</f>
        <v/>
      </c>
      <c r="BJ28" s="57" t="str">
        <f>IF(AND($B28=BJ$3,$C28="Strong"),IF(PUF!$X26&gt;0,PUF!$X26,""),"")</f>
        <v/>
      </c>
      <c r="BL28" s="166">
        <f t="shared" si="3"/>
        <v>2015</v>
      </c>
      <c r="BM28" s="57" t="str">
        <f>IF(AND($B28=BM$3,$C28="Strong"),IF(PUF!$M26&gt;0,PUF!$M26,""),"")</f>
        <v/>
      </c>
      <c r="BN28" s="57" t="str">
        <f>IF(AND($B28=BN$3,$C28="Strong"),IF(PUF!$M26&gt;0,PUF!$M26,""),"")</f>
        <v/>
      </c>
      <c r="BO28" s="57" t="str">
        <f>IF(AND($B28=BO$3,$C28="Strong"),IF(PUF!$M26&gt;0,PUF!$M26,""),"")</f>
        <v/>
      </c>
      <c r="BP28" s="57" t="str">
        <f>IF(AND($B28=BP$3,$C28="Strong"),IF(PUF!$M26&gt;0,PUF!$M26,""),"")</f>
        <v/>
      </c>
      <c r="BQ28" s="57" t="str">
        <f>IF(AND($B28=BQ$3,$C28="Strong"),IF(PUF!$M26&gt;0,PUF!$M26,""),"")</f>
        <v/>
      </c>
      <c r="BR28" s="57" t="str">
        <f>IF(AND($B28=BR$3,$C28="Strong"),IF(PUF!$M26&gt;0,PUF!$M26,""),"")</f>
        <v/>
      </c>
      <c r="BS28" s="57" t="str">
        <f>IF(AND($B28=BS$3,$C28="Strong"),IF(PUF!$M26&gt;0,PUF!$M26,""),"")</f>
        <v/>
      </c>
      <c r="BT28" s="57" t="str">
        <f>IF(AND($B28=BT$3,$C28="Strong"),IF(PUF!$M26&gt;0,PUF!$M26,""),"")</f>
        <v/>
      </c>
      <c r="BV28" s="166">
        <f t="shared" si="5"/>
        <v>2015</v>
      </c>
      <c r="BW28" s="57" t="str">
        <f>IF(AND($B28=BW$3,$C28="Strong"),IF(PUF!$S26&gt;0,PUF!$S26,""),"")</f>
        <v/>
      </c>
      <c r="BX28" s="57" t="str">
        <f>IF(AND($B28=BX$3,$C28="Strong"),IF(PUF!$S26&gt;0,PUF!$S26,""),"")</f>
        <v/>
      </c>
      <c r="BY28" s="57" t="str">
        <f>IF(AND($B28=BY$3,$C28="Strong"),IF(PUF!$S26&gt;0,PUF!$S26,""),"")</f>
        <v/>
      </c>
      <c r="BZ28" s="57" t="str">
        <f>IF(AND($B28=BZ$3,$C28="Strong"),IF(PUF!$S26&gt;0,PUF!$S26,""),"")</f>
        <v/>
      </c>
      <c r="CA28" s="57" t="str">
        <f>IF(AND($B28=CA$3,$C28="Strong"),IF(PUF!$S26&gt;0,PUF!$S26,""),"")</f>
        <v/>
      </c>
      <c r="CB28" s="57" t="str">
        <f>IF(AND($B28=CB$3,$C28="Strong"),IF(PUF!$S26&gt;0,PUF!$S26,""),"")</f>
        <v/>
      </c>
      <c r="CC28" s="57" t="str">
        <f>IF(AND($B28=CC$3,$C28="Strong"),IF(PUF!$S26&gt;0,PUF!$S26,""),"")</f>
        <v/>
      </c>
      <c r="CD28" s="57" t="str">
        <f>IF(AND($B28=CD$3,$C28="Strong"),IF(PUF!$S26&gt;0,PUF!$S26,""),"")</f>
        <v/>
      </c>
      <c r="CF28" s="11">
        <f t="shared" si="6"/>
        <v>2015</v>
      </c>
      <c r="CG28" s="57" t="str">
        <f>IF(AND($B28=CG$3,$C28="Strong"),IF(PUF!$U26&gt;0,PUF!$U26,""),"")</f>
        <v/>
      </c>
      <c r="CH28" s="57" t="str">
        <f>IF(AND($B28=CH$3,$C28="Strong"),IF(PUF!$U26&gt;0,PUF!$U26,""),"")</f>
        <v/>
      </c>
      <c r="CI28" s="57" t="str">
        <f>IF(AND($B28=CI$3,$C28="Strong"),IF(PUF!$U26&gt;0,PUF!$U26,""),"")</f>
        <v/>
      </c>
      <c r="CJ28" s="57" t="str">
        <f>IF(AND($B28=CJ$3,$C28="Strong"),IF(PUF!$U26&gt;0,PUF!$U26,""),"")</f>
        <v/>
      </c>
      <c r="CK28" s="57" t="str">
        <f>IF(AND($B28=CK$3,$C28="Strong"),IF(PUF!$U26&gt;0,PUF!$U26,""),"")</f>
        <v/>
      </c>
      <c r="CL28" s="57" t="str">
        <f>IF(AND($B28=CL$3,$C28="Strong"),IF(PUF!$U26&gt;0,PUF!$U26,""),"")</f>
        <v/>
      </c>
      <c r="CM28" s="57" t="str">
        <f>IF(AND($B28=CM$3,$C28="Strong"),IF(PUF!$U26&gt;0,PUF!$U26,""),"")</f>
        <v/>
      </c>
      <c r="CN28" s="57" t="str">
        <f>IF(AND($B28=CN$3,$C28="Strong"),IF(PUF!$U26&gt;0,PUF!$U26,""),"")</f>
        <v/>
      </c>
    </row>
    <row r="29" spans="1:92" x14ac:dyDescent="0.3">
      <c r="A29" s="6">
        <f>PUF!A27</f>
        <v>26</v>
      </c>
      <c r="B29" s="6" t="str">
        <f>PUF!G27</f>
        <v>analog</v>
      </c>
      <c r="C29" t="str">
        <f>PUF!AL27</f>
        <v>Weak</v>
      </c>
      <c r="D29" s="166">
        <f>PUF!C27</f>
        <v>2015</v>
      </c>
      <c r="E29" s="167">
        <f>IF(AND($B29=E$3,$C29="Weak"),IF(PUF!$X27&gt;0,PUF!$X27,""),"")</f>
        <v>726.62721893491107</v>
      </c>
      <c r="F29" s="167" t="str">
        <f>IF(AND($B29=F$3,$C29="Weak"),IF(PUF!$X27&gt;0,PUF!$X27,""),"")</f>
        <v/>
      </c>
      <c r="G29" s="167" t="str">
        <f>IF(AND($B29=G$3,$C29="Weak"),IF(PUF!$X27&gt;0,PUF!$X27,""),"")</f>
        <v/>
      </c>
      <c r="H29" s="167" t="str">
        <f>IF(AND($B29=H$3,$C29="Weak"),IF(PUF!$X27&gt;0,PUF!$X27,""),"")</f>
        <v/>
      </c>
      <c r="I29" s="167" t="str">
        <f>IF(AND($B29=I$3,$C29="Weak"),IF(PUF!$X27&gt;0,PUF!$X27,""),"")</f>
        <v/>
      </c>
      <c r="J29" s="167" t="str">
        <f>IF(AND($B29=J$3,$C29="Weak"),IF(PUF!$X27&gt;0,PUF!$X27,""),"")</f>
        <v/>
      </c>
      <c r="K29" s="167" t="str">
        <f>IF(AND($B29=K$3,$C29="Weak"),IF(PUF!$X27&gt;0,PUF!$X27,""),"")</f>
        <v/>
      </c>
      <c r="L29" s="167" t="str">
        <f>IF(AND($B29=L$3,$C29="Weak"),IF(PUF!$X27&gt;0,PUF!$X27,""),"")</f>
        <v/>
      </c>
      <c r="N29" s="11">
        <f t="shared" si="0"/>
        <v>2015</v>
      </c>
      <c r="O29" s="57" t="str">
        <f>IF(AND($B29=O$3,$C29="Weak"),IF(PUF!$M27&gt;0,PUF!$M27,""),"")</f>
        <v>N/A</v>
      </c>
      <c r="P29" s="57" t="str">
        <f>IF(AND($B29=P$3,$C29="Weak"),IF(PUF!$M27&gt;0,PUF!$M27,""),"")</f>
        <v/>
      </c>
      <c r="Q29" s="57" t="str">
        <f>IF(AND($B29=Q$3,$C29="Weak"),IF(PUF!$M27&gt;0,PUF!$M27,""),"")</f>
        <v/>
      </c>
      <c r="R29" s="57" t="str">
        <f>IF(AND($B29=R$3,$C29="Weak"),IF(PUF!$M27&gt;0,PUF!$M27,""),"")</f>
        <v/>
      </c>
      <c r="S29" s="57" t="str">
        <f>IF(AND($B29=S$3,$C29="Weak"),IF(PUF!$M27&gt;0,PUF!$M27,""),"")</f>
        <v/>
      </c>
      <c r="T29" s="57" t="str">
        <f>IF(AND($B29=T$3,$C29="Weak"),IF(PUF!$M27&gt;0,PUF!$M27,""),"")</f>
        <v/>
      </c>
      <c r="U29" s="57" t="str">
        <f>IF(AND($B29=U$3,$C29="Weak"),IF(PUF!$M27&gt;0,PUF!$M27,""),"")</f>
        <v/>
      </c>
      <c r="V29" s="57" t="str">
        <f>IF(AND($B29=V$3,$C29="Weak"),IF(PUF!$M27&gt;0,PUF!$M27,""),"")</f>
        <v/>
      </c>
      <c r="W29" s="168"/>
      <c r="X29" s="166">
        <f t="shared" si="4"/>
        <v>2015</v>
      </c>
      <c r="Y29" s="57">
        <f>IF(AND($B29=Y$3,$C29="Weak"),IF(PUF!$S27&gt;0,PUF!$S27,""),"")</f>
        <v>2</v>
      </c>
      <c r="Z29" s="57" t="str">
        <f>IF(AND($B29=Z$3,$C29="Weak"),IF(PUF!$S27&gt;0,PUF!$S27,""),"")</f>
        <v/>
      </c>
      <c r="AA29" s="57" t="str">
        <f>IF(AND($B29=AA$3,$C29="Weak"),IF(PUF!$S27&gt;0,PUF!$S27,""),"")</f>
        <v/>
      </c>
      <c r="AB29" s="57" t="str">
        <f>IF(AND($B29=AB$3,$C29="Weak"),IF(PUF!$S27&gt;0,PUF!$S27,""),"")</f>
        <v/>
      </c>
      <c r="AC29" s="57" t="str">
        <f>IF(AND($B29=AC$3,$C29="Weak"),IF(PUF!$S27&gt;0,PUF!$S27,""),"")</f>
        <v/>
      </c>
      <c r="AD29" s="57" t="str">
        <f>IF(AND($B29=AD$3,$C29="Weak"),IF(PUF!$S27&gt;0,PUF!$S27,""),"")</f>
        <v/>
      </c>
      <c r="AE29" s="57" t="str">
        <f>IF(AND($B29=AE$3,$C29="Weak"),IF(PUF!$S27&gt;0,PUF!$S27,""),"")</f>
        <v/>
      </c>
      <c r="AF29" s="57" t="str">
        <f>IF(AND($B29=AF$3,$C29="Weak"),IF(PUF!$S27&gt;0,PUF!$S27,""),"")</f>
        <v/>
      </c>
      <c r="AH29" s="210">
        <f t="shared" si="1"/>
        <v>2015</v>
      </c>
      <c r="AI29" s="211">
        <f>IF(AND($B29=AI$3,$C29="Weak"),IF(PUF!$U27&gt;0,PUF!$U27,""),"")</f>
        <v>1.1000000000000001</v>
      </c>
      <c r="AJ29" s="211" t="str">
        <f>IF(AND($B29=AJ$3,$C29="Weak"),IF(PUF!$U27&gt;0,PUF!$U27,""),"")</f>
        <v/>
      </c>
      <c r="AK29" s="211" t="str">
        <f>IF(AND($B29=AK$3,$C29="Weak"),IF(PUF!$U27&gt;0,PUF!$U27,""),"")</f>
        <v/>
      </c>
      <c r="AL29" s="211" t="str">
        <f>IF(AND($B29=AL$3,$C29="Weak"),IF(PUF!$U27&gt;0,PUF!$U27,""),"")</f>
        <v/>
      </c>
      <c r="AM29" s="211" t="str">
        <f>IF(AND($B29=AM$3,$C29="Weak"),IF(PUF!$U27&gt;0,PUF!$U27,""),"")</f>
        <v/>
      </c>
      <c r="AN29" s="211" t="str">
        <f>IF(AND($B29=AN$3,$C29="Weak"),IF(PUF!$U27&gt;0,PUF!$U27,""),"")</f>
        <v/>
      </c>
      <c r="AO29" s="211" t="str">
        <f>IF(AND($B29=AO$3,$C29="Weak"),IF(PUF!$U27&gt;0,PUF!$U27,""),"")</f>
        <v/>
      </c>
      <c r="AP29" s="211" t="str">
        <f>IF(AND($B29=AP$3,$C29="Weak"),IF(PUF!$U27&gt;0,PUF!$U27,""),"")</f>
        <v/>
      </c>
      <c r="BB29" s="166">
        <f t="shared" si="2"/>
        <v>2015</v>
      </c>
      <c r="BC29" s="57" t="str">
        <f>IF(AND($B29=BC$3,$C29="Strong"),IF(PUF!$X27&gt;0,PUF!$X27,""),"")</f>
        <v/>
      </c>
      <c r="BD29" s="57" t="str">
        <f>IF(AND($B29=BD$3,$C29="Strong"),IF(PUF!$X27&gt;0,PUF!$X27,""),"")</f>
        <v/>
      </c>
      <c r="BE29" s="57" t="str">
        <f>IF(AND($B29=BE$3,$C29="Strong"),IF(PUF!$X27&gt;0,PUF!$X27,""),"")</f>
        <v/>
      </c>
      <c r="BF29" s="57" t="str">
        <f>IF(AND($B29=BF$3,$C29="Strong"),IF(PUF!$X27&gt;0,PUF!$X27,""),"")</f>
        <v/>
      </c>
      <c r="BG29" s="57" t="str">
        <f>IF(AND($B29=BG$3,$C29="Strong"),IF(PUF!$X27&gt;0,PUF!$X27,""),"")</f>
        <v/>
      </c>
      <c r="BH29" s="57" t="str">
        <f>IF(AND($B29=BH$3,$C29="Strong"),IF(PUF!$X27&gt;0,PUF!$X27,""),"")</f>
        <v/>
      </c>
      <c r="BI29" s="57" t="str">
        <f>IF(AND($B29=BI$3,$C29="Strong"),IF(PUF!$X27&gt;0,PUF!$X27,""),"")</f>
        <v/>
      </c>
      <c r="BJ29" s="57" t="str">
        <f>IF(AND($B29=BJ$3,$C29="Strong"),IF(PUF!$X27&gt;0,PUF!$X27,""),"")</f>
        <v/>
      </c>
      <c r="BL29" s="166">
        <f t="shared" si="3"/>
        <v>2015</v>
      </c>
      <c r="BM29" s="57" t="str">
        <f>IF(AND($B29=BM$3,$C29="Strong"),IF(PUF!$M27&gt;0,PUF!$M27,""),"")</f>
        <v/>
      </c>
      <c r="BN29" s="57" t="str">
        <f>IF(AND($B29=BN$3,$C29="Strong"),IF(PUF!$M27&gt;0,PUF!$M27,""),"")</f>
        <v/>
      </c>
      <c r="BO29" s="57" t="str">
        <f>IF(AND($B29=BO$3,$C29="Strong"),IF(PUF!$M27&gt;0,PUF!$M27,""),"")</f>
        <v/>
      </c>
      <c r="BP29" s="57" t="str">
        <f>IF(AND($B29=BP$3,$C29="Strong"),IF(PUF!$M27&gt;0,PUF!$M27,""),"")</f>
        <v/>
      </c>
      <c r="BQ29" s="57" t="str">
        <f>IF(AND($B29=BQ$3,$C29="Strong"),IF(PUF!$M27&gt;0,PUF!$M27,""),"")</f>
        <v/>
      </c>
      <c r="BR29" s="57" t="str">
        <f>IF(AND($B29=BR$3,$C29="Strong"),IF(PUF!$M27&gt;0,PUF!$M27,""),"")</f>
        <v/>
      </c>
      <c r="BS29" s="57" t="str">
        <f>IF(AND($B29=BS$3,$C29="Strong"),IF(PUF!$M27&gt;0,PUF!$M27,""),"")</f>
        <v/>
      </c>
      <c r="BT29" s="57" t="str">
        <f>IF(AND($B29=BT$3,$C29="Strong"),IF(PUF!$M27&gt;0,PUF!$M27,""),"")</f>
        <v/>
      </c>
      <c r="BV29" s="166">
        <f t="shared" si="5"/>
        <v>2015</v>
      </c>
      <c r="BW29" s="57" t="str">
        <f>IF(AND($B29=BW$3,$C29="Strong"),IF(PUF!$S27&gt;0,PUF!$S27,""),"")</f>
        <v/>
      </c>
      <c r="BX29" s="57" t="str">
        <f>IF(AND($B29=BX$3,$C29="Strong"),IF(PUF!$S27&gt;0,PUF!$S27,""),"")</f>
        <v/>
      </c>
      <c r="BY29" s="57" t="str">
        <f>IF(AND($B29=BY$3,$C29="Strong"),IF(PUF!$S27&gt;0,PUF!$S27,""),"")</f>
        <v/>
      </c>
      <c r="BZ29" s="57" t="str">
        <f>IF(AND($B29=BZ$3,$C29="Strong"),IF(PUF!$S27&gt;0,PUF!$S27,""),"")</f>
        <v/>
      </c>
      <c r="CA29" s="57" t="str">
        <f>IF(AND($B29=CA$3,$C29="Strong"),IF(PUF!$S27&gt;0,PUF!$S27,""),"")</f>
        <v/>
      </c>
      <c r="CB29" s="57" t="str">
        <f>IF(AND($B29=CB$3,$C29="Strong"),IF(PUF!$S27&gt;0,PUF!$S27,""),"")</f>
        <v/>
      </c>
      <c r="CC29" s="57" t="str">
        <f>IF(AND($B29=CC$3,$C29="Strong"),IF(PUF!$S27&gt;0,PUF!$S27,""),"")</f>
        <v/>
      </c>
      <c r="CD29" s="57" t="str">
        <f>IF(AND($B29=CD$3,$C29="Strong"),IF(PUF!$S27&gt;0,PUF!$S27,""),"")</f>
        <v/>
      </c>
      <c r="CF29" s="11">
        <f t="shared" si="6"/>
        <v>2015</v>
      </c>
      <c r="CG29" s="57" t="str">
        <f>IF(AND($B29=CG$3,$C29="Strong"),IF(PUF!$U27&gt;0,PUF!$U27,""),"")</f>
        <v/>
      </c>
      <c r="CH29" s="57" t="str">
        <f>IF(AND($B29=CH$3,$C29="Strong"),IF(PUF!$U27&gt;0,PUF!$U27,""),"")</f>
        <v/>
      </c>
      <c r="CI29" s="57" t="str">
        <f>IF(AND($B29=CI$3,$C29="Strong"),IF(PUF!$U27&gt;0,PUF!$U27,""),"")</f>
        <v/>
      </c>
      <c r="CJ29" s="57" t="str">
        <f>IF(AND($B29=CJ$3,$C29="Strong"),IF(PUF!$U27&gt;0,PUF!$U27,""),"")</f>
        <v/>
      </c>
      <c r="CK29" s="57" t="str">
        <f>IF(AND($B29=CK$3,$C29="Strong"),IF(PUF!$U27&gt;0,PUF!$U27,""),"")</f>
        <v/>
      </c>
      <c r="CL29" s="57" t="str">
        <f>IF(AND($B29=CL$3,$C29="Strong"),IF(PUF!$U27&gt;0,PUF!$U27,""),"")</f>
        <v/>
      </c>
      <c r="CM29" s="57" t="str">
        <f>IF(AND($B29=CM$3,$C29="Strong"),IF(PUF!$U27&gt;0,PUF!$U27,""),"")</f>
        <v/>
      </c>
      <c r="CN29" s="57" t="str">
        <f>IF(AND($B29=CN$3,$C29="Strong"),IF(PUF!$U27&gt;0,PUF!$U27,""),"")</f>
        <v/>
      </c>
    </row>
    <row r="30" spans="1:92" x14ac:dyDescent="0.3">
      <c r="A30" s="6">
        <f>PUF!A28</f>
        <v>27</v>
      </c>
      <c r="B30" s="6" t="str">
        <f>PUF!G28</f>
        <v>analog</v>
      </c>
      <c r="C30" t="str">
        <f>PUF!AL28</f>
        <v>Weak</v>
      </c>
      <c r="D30" s="166">
        <f>PUF!C28</f>
        <v>2015</v>
      </c>
      <c r="E30" s="167">
        <f>IF(AND($B30=E$3,$C30="Weak"),IF(PUF!$X28&gt;0,PUF!$X28,""),"")</f>
        <v>11574.074074074075</v>
      </c>
      <c r="F30" s="167" t="str">
        <f>IF(AND($B30=F$3,$C30="Weak"),IF(PUF!$X28&gt;0,PUF!$X28,""),"")</f>
        <v/>
      </c>
      <c r="G30" s="167" t="str">
        <f>IF(AND($B30=G$3,$C30="Weak"),IF(PUF!$X28&gt;0,PUF!$X28,""),"")</f>
        <v/>
      </c>
      <c r="H30" s="167" t="str">
        <f>IF(AND($B30=H$3,$C30="Weak"),IF(PUF!$X28&gt;0,PUF!$X28,""),"")</f>
        <v/>
      </c>
      <c r="I30" s="167" t="str">
        <f>IF(AND($B30=I$3,$C30="Weak"),IF(PUF!$X28&gt;0,PUF!$X28,""),"")</f>
        <v/>
      </c>
      <c r="J30" s="167" t="str">
        <f>IF(AND($B30=J$3,$C30="Weak"),IF(PUF!$X28&gt;0,PUF!$X28,""),"")</f>
        <v/>
      </c>
      <c r="K30" s="167" t="str">
        <f>IF(AND($B30=K$3,$C30="Weak"),IF(PUF!$X28&gt;0,PUF!$X28,""),"")</f>
        <v/>
      </c>
      <c r="L30" s="167" t="str">
        <f>IF(AND($B30=L$3,$C30="Weak"),IF(PUF!$X28&gt;0,PUF!$X28,""),"")</f>
        <v/>
      </c>
      <c r="N30" s="11">
        <f t="shared" si="0"/>
        <v>2015</v>
      </c>
      <c r="O30" s="57">
        <f>IF(AND($B30=O$3,$C30="Weak"),IF(PUF!$M28&gt;0,PUF!$M28,""),"")</f>
        <v>3.43</v>
      </c>
      <c r="P30" s="57" t="str">
        <f>IF(AND($B30=P$3,$C30="Weak"),IF(PUF!$M28&gt;0,PUF!$M28,""),"")</f>
        <v/>
      </c>
      <c r="Q30" s="57" t="str">
        <f>IF(AND($B30=Q$3,$C30="Weak"),IF(PUF!$M28&gt;0,PUF!$M28,""),"")</f>
        <v/>
      </c>
      <c r="R30" s="57" t="str">
        <f>IF(AND($B30=R$3,$C30="Weak"),IF(PUF!$M28&gt;0,PUF!$M28,""),"")</f>
        <v/>
      </c>
      <c r="S30" s="57" t="str">
        <f>IF(AND($B30=S$3,$C30="Weak"),IF(PUF!$M28&gt;0,PUF!$M28,""),"")</f>
        <v/>
      </c>
      <c r="T30" s="57" t="str">
        <f>IF(AND($B30=T$3,$C30="Weak"),IF(PUF!$M28&gt;0,PUF!$M28,""),"")</f>
        <v/>
      </c>
      <c r="U30" s="57" t="str">
        <f>IF(AND($B30=U$3,$C30="Weak"),IF(PUF!$M28&gt;0,PUF!$M28,""),"")</f>
        <v/>
      </c>
      <c r="V30" s="57" t="str">
        <f>IF(AND($B30=V$3,$C30="Weak"),IF(PUF!$M28&gt;0,PUF!$M28,""),"")</f>
        <v/>
      </c>
      <c r="W30" s="168"/>
      <c r="X30" s="166">
        <f t="shared" si="4"/>
        <v>2015</v>
      </c>
      <c r="Y30" s="57" t="str">
        <f>IF(AND($B30=Y$3,$C30="Weak"),IF(PUF!$S28&gt;0,PUF!$S28,""),"")</f>
        <v>N/A</v>
      </c>
      <c r="Z30" s="57" t="str">
        <f>IF(AND($B30=Z$3,$C30="Weak"),IF(PUF!$S28&gt;0,PUF!$S28,""),"")</f>
        <v/>
      </c>
      <c r="AA30" s="57" t="str">
        <f>IF(AND($B30=AA$3,$C30="Weak"),IF(PUF!$S28&gt;0,PUF!$S28,""),"")</f>
        <v/>
      </c>
      <c r="AB30" s="57" t="str">
        <f>IF(AND($B30=AB$3,$C30="Weak"),IF(PUF!$S28&gt;0,PUF!$S28,""),"")</f>
        <v/>
      </c>
      <c r="AC30" s="57" t="str">
        <f>IF(AND($B30=AC$3,$C30="Weak"),IF(PUF!$S28&gt;0,PUF!$S28,""),"")</f>
        <v/>
      </c>
      <c r="AD30" s="57" t="str">
        <f>IF(AND($B30=AD$3,$C30="Weak"),IF(PUF!$S28&gt;0,PUF!$S28,""),"")</f>
        <v/>
      </c>
      <c r="AE30" s="57" t="str">
        <f>IF(AND($B30=AE$3,$C30="Weak"),IF(PUF!$S28&gt;0,PUF!$S28,""),"")</f>
        <v/>
      </c>
      <c r="AF30" s="57" t="str">
        <f>IF(AND($B30=AF$3,$C30="Weak"),IF(PUF!$S28&gt;0,PUF!$S28,""),"")</f>
        <v/>
      </c>
      <c r="AH30" s="210">
        <f t="shared" si="1"/>
        <v>2015</v>
      </c>
      <c r="AI30" s="211" t="str">
        <f>IF(AND($B30=AI$3,$C30="Weak"),IF(PUF!$U28&gt;0,PUF!$U28,""),"")</f>
        <v>N/A</v>
      </c>
      <c r="AJ30" s="211" t="str">
        <f>IF(AND($B30=AJ$3,$C30="Weak"),IF(PUF!$U28&gt;0,PUF!$U28,""),"")</f>
        <v/>
      </c>
      <c r="AK30" s="211" t="str">
        <f>IF(AND($B30=AK$3,$C30="Weak"),IF(PUF!$U28&gt;0,PUF!$U28,""),"")</f>
        <v/>
      </c>
      <c r="AL30" s="211" t="str">
        <f>IF(AND($B30=AL$3,$C30="Weak"),IF(PUF!$U28&gt;0,PUF!$U28,""),"")</f>
        <v/>
      </c>
      <c r="AM30" s="211" t="str">
        <f>IF(AND($B30=AM$3,$C30="Weak"),IF(PUF!$U28&gt;0,PUF!$U28,""),"")</f>
        <v/>
      </c>
      <c r="AN30" s="211" t="str">
        <f>IF(AND($B30=AN$3,$C30="Weak"),IF(PUF!$U28&gt;0,PUF!$U28,""),"")</f>
        <v/>
      </c>
      <c r="AO30" s="211" t="str">
        <f>IF(AND($B30=AO$3,$C30="Weak"),IF(PUF!$U28&gt;0,PUF!$U28,""),"")</f>
        <v/>
      </c>
      <c r="AP30" s="211" t="str">
        <f>IF(AND($B30=AP$3,$C30="Weak"),IF(PUF!$U28&gt;0,PUF!$U28,""),"")</f>
        <v/>
      </c>
      <c r="BB30" s="166">
        <f t="shared" si="2"/>
        <v>2015</v>
      </c>
      <c r="BC30" s="57" t="str">
        <f>IF(AND($B30=BC$3,$C30="Strong"),IF(PUF!$X28&gt;0,PUF!$X28,""),"")</f>
        <v/>
      </c>
      <c r="BD30" s="57" t="str">
        <f>IF(AND($B30=BD$3,$C30="Strong"),IF(PUF!$X28&gt;0,PUF!$X28,""),"")</f>
        <v/>
      </c>
      <c r="BE30" s="57" t="str">
        <f>IF(AND($B30=BE$3,$C30="Strong"),IF(PUF!$X28&gt;0,PUF!$X28,""),"")</f>
        <v/>
      </c>
      <c r="BF30" s="57" t="str">
        <f>IF(AND($B30=BF$3,$C30="Strong"),IF(PUF!$X28&gt;0,PUF!$X28,""),"")</f>
        <v/>
      </c>
      <c r="BG30" s="57" t="str">
        <f>IF(AND($B30=BG$3,$C30="Strong"),IF(PUF!$X28&gt;0,PUF!$X28,""),"")</f>
        <v/>
      </c>
      <c r="BH30" s="57" t="str">
        <f>IF(AND($B30=BH$3,$C30="Strong"),IF(PUF!$X28&gt;0,PUF!$X28,""),"")</f>
        <v/>
      </c>
      <c r="BI30" s="57" t="str">
        <f>IF(AND($B30=BI$3,$C30="Strong"),IF(PUF!$X28&gt;0,PUF!$X28,""),"")</f>
        <v/>
      </c>
      <c r="BJ30" s="57" t="str">
        <f>IF(AND($B30=BJ$3,$C30="Strong"),IF(PUF!$X28&gt;0,PUF!$X28,""),"")</f>
        <v/>
      </c>
      <c r="BL30" s="166">
        <f t="shared" si="3"/>
        <v>2015</v>
      </c>
      <c r="BM30" s="57" t="str">
        <f>IF(AND($B30=BM$3,$C30="Strong"),IF(PUF!$M28&gt;0,PUF!$M28,""),"")</f>
        <v/>
      </c>
      <c r="BN30" s="57" t="str">
        <f>IF(AND($B30=BN$3,$C30="Strong"),IF(PUF!$M28&gt;0,PUF!$M28,""),"")</f>
        <v/>
      </c>
      <c r="BO30" s="57" t="str">
        <f>IF(AND($B30=BO$3,$C30="Strong"),IF(PUF!$M28&gt;0,PUF!$M28,""),"")</f>
        <v/>
      </c>
      <c r="BP30" s="57" t="str">
        <f>IF(AND($B30=BP$3,$C30="Strong"),IF(PUF!$M28&gt;0,PUF!$M28,""),"")</f>
        <v/>
      </c>
      <c r="BQ30" s="57" t="str">
        <f>IF(AND($B30=BQ$3,$C30="Strong"),IF(PUF!$M28&gt;0,PUF!$M28,""),"")</f>
        <v/>
      </c>
      <c r="BR30" s="57" t="str">
        <f>IF(AND($B30=BR$3,$C30="Strong"),IF(PUF!$M28&gt;0,PUF!$M28,""),"")</f>
        <v/>
      </c>
      <c r="BS30" s="57" t="str">
        <f>IF(AND($B30=BS$3,$C30="Strong"),IF(PUF!$M28&gt;0,PUF!$M28,""),"")</f>
        <v/>
      </c>
      <c r="BT30" s="57" t="str">
        <f>IF(AND($B30=BT$3,$C30="Strong"),IF(PUF!$M28&gt;0,PUF!$M28,""),"")</f>
        <v/>
      </c>
      <c r="BV30" s="166">
        <f t="shared" si="5"/>
        <v>2015</v>
      </c>
      <c r="BW30" s="57" t="str">
        <f>IF(AND($B30=BW$3,$C30="Strong"),IF(PUF!$S28&gt;0,PUF!$S28,""),"")</f>
        <v/>
      </c>
      <c r="BX30" s="57" t="str">
        <f>IF(AND($B30=BX$3,$C30="Strong"),IF(PUF!$S28&gt;0,PUF!$S28,""),"")</f>
        <v/>
      </c>
      <c r="BY30" s="57" t="str">
        <f>IF(AND($B30=BY$3,$C30="Strong"),IF(PUF!$S28&gt;0,PUF!$S28,""),"")</f>
        <v/>
      </c>
      <c r="BZ30" s="57" t="str">
        <f>IF(AND($B30=BZ$3,$C30="Strong"),IF(PUF!$S28&gt;0,PUF!$S28,""),"")</f>
        <v/>
      </c>
      <c r="CA30" s="57" t="str">
        <f>IF(AND($B30=CA$3,$C30="Strong"),IF(PUF!$S28&gt;0,PUF!$S28,""),"")</f>
        <v/>
      </c>
      <c r="CB30" s="57" t="str">
        <f>IF(AND($B30=CB$3,$C30="Strong"),IF(PUF!$S28&gt;0,PUF!$S28,""),"")</f>
        <v/>
      </c>
      <c r="CC30" s="57" t="str">
        <f>IF(AND($B30=CC$3,$C30="Strong"),IF(PUF!$S28&gt;0,PUF!$S28,""),"")</f>
        <v/>
      </c>
      <c r="CD30" s="57" t="str">
        <f>IF(AND($B30=CD$3,$C30="Strong"),IF(PUF!$S28&gt;0,PUF!$S28,""),"")</f>
        <v/>
      </c>
      <c r="CF30" s="11">
        <f t="shared" si="6"/>
        <v>2015</v>
      </c>
      <c r="CG30" s="57" t="str">
        <f>IF(AND($B30=CG$3,$C30="Strong"),IF(PUF!$U28&gt;0,PUF!$U28,""),"")</f>
        <v/>
      </c>
      <c r="CH30" s="57" t="str">
        <f>IF(AND($B30=CH$3,$C30="Strong"),IF(PUF!$U28&gt;0,PUF!$U28,""),"")</f>
        <v/>
      </c>
      <c r="CI30" s="57" t="str">
        <f>IF(AND($B30=CI$3,$C30="Strong"),IF(PUF!$U28&gt;0,PUF!$U28,""),"")</f>
        <v/>
      </c>
      <c r="CJ30" s="57" t="str">
        <f>IF(AND($B30=CJ$3,$C30="Strong"),IF(PUF!$U28&gt;0,PUF!$U28,""),"")</f>
        <v/>
      </c>
      <c r="CK30" s="57" t="str">
        <f>IF(AND($B30=CK$3,$C30="Strong"),IF(PUF!$U28&gt;0,PUF!$U28,""),"")</f>
        <v/>
      </c>
      <c r="CL30" s="57" t="str">
        <f>IF(AND($B30=CL$3,$C30="Strong"),IF(PUF!$U28&gt;0,PUF!$U28,""),"")</f>
        <v/>
      </c>
      <c r="CM30" s="57" t="str">
        <f>IF(AND($B30=CM$3,$C30="Strong"),IF(PUF!$U28&gt;0,PUF!$U28,""),"")</f>
        <v/>
      </c>
      <c r="CN30" s="57" t="str">
        <f>IF(AND($B30=CN$3,$C30="Strong"),IF(PUF!$U28&gt;0,PUF!$U28,""),"")</f>
        <v/>
      </c>
    </row>
    <row r="31" spans="1:92" x14ac:dyDescent="0.3">
      <c r="A31" s="6">
        <f>PUF!A29</f>
        <v>28</v>
      </c>
      <c r="B31" s="6" t="str">
        <f>PUF!G29</f>
        <v>delay</v>
      </c>
      <c r="C31" t="str">
        <f>PUF!AL29</f>
        <v>Strong</v>
      </c>
      <c r="D31" s="166">
        <f>PUF!C29</f>
        <v>2015</v>
      </c>
      <c r="E31" s="167" t="str">
        <f>IF(AND($B31=E$3,$C31="Weak"),IF(PUF!$X29&gt;0,PUF!$X29,""),"")</f>
        <v/>
      </c>
      <c r="F31" s="167" t="str">
        <f>IF(AND($B31=F$3,$C31="Weak"),IF(PUF!$X29&gt;0,PUF!$X29,""),"")</f>
        <v/>
      </c>
      <c r="G31" s="167" t="str">
        <f>IF(AND($B31=G$3,$C31="Weak"),IF(PUF!$X29&gt;0,PUF!$X29,""),"")</f>
        <v/>
      </c>
      <c r="H31" s="167" t="str">
        <f>IF(AND($B31=H$3,$C31="Weak"),IF(PUF!$X29&gt;0,PUF!$X29,""),"")</f>
        <v/>
      </c>
      <c r="I31" s="167" t="str">
        <f>IF(AND($B31=I$3,$C31="Weak"),IF(PUF!$X29&gt;0,PUF!$X29,""),"")</f>
        <v/>
      </c>
      <c r="J31" s="167" t="str">
        <f>IF(AND($B31=J$3,$C31="Weak"),IF(PUF!$X29&gt;0,PUF!$X29,""),"")</f>
        <v/>
      </c>
      <c r="K31" s="167" t="str">
        <f>IF(AND($B31=K$3,$C31="Weak"),IF(PUF!$X29&gt;0,PUF!$X29,""),"")</f>
        <v/>
      </c>
      <c r="L31" s="167" t="str">
        <f>IF(AND($B31=L$3,$C31="Weak"),IF(PUF!$X29&gt;0,PUF!$X29,""),"")</f>
        <v/>
      </c>
      <c r="N31" s="11">
        <f t="shared" si="0"/>
        <v>2015</v>
      </c>
      <c r="O31" s="57" t="str">
        <f>IF(AND($B31=O$3,$C31="Weak"),IF(PUF!$M29&gt;0,PUF!$M29,""),"")</f>
        <v/>
      </c>
      <c r="P31" s="57" t="str">
        <f>IF(AND($B31=P$3,$C31="Weak"),IF(PUF!$M29&gt;0,PUF!$M29,""),"")</f>
        <v/>
      </c>
      <c r="Q31" s="57" t="str">
        <f>IF(AND($B31=Q$3,$C31="Weak"),IF(PUF!$M29&gt;0,PUF!$M29,""),"")</f>
        <v/>
      </c>
      <c r="R31" s="57" t="str">
        <f>IF(AND($B31=R$3,$C31="Weak"),IF(PUF!$M29&gt;0,PUF!$M29,""),"")</f>
        <v/>
      </c>
      <c r="S31" s="57" t="str">
        <f>IF(AND($B31=S$3,$C31="Weak"),IF(PUF!$M29&gt;0,PUF!$M29,""),"")</f>
        <v/>
      </c>
      <c r="T31" s="57" t="str">
        <f>IF(AND($B31=T$3,$C31="Weak"),IF(PUF!$M29&gt;0,PUF!$M29,""),"")</f>
        <v/>
      </c>
      <c r="U31" s="57" t="str">
        <f>IF(AND($B31=U$3,$C31="Weak"),IF(PUF!$M29&gt;0,PUF!$M29,""),"")</f>
        <v/>
      </c>
      <c r="V31" s="57" t="str">
        <f>IF(AND($B31=V$3,$C31="Weak"),IF(PUF!$M29&gt;0,PUF!$M29,""),"")</f>
        <v/>
      </c>
      <c r="W31" s="168"/>
      <c r="X31" s="166">
        <f t="shared" si="4"/>
        <v>2015</v>
      </c>
      <c r="Y31" s="57" t="str">
        <f>IF(AND($B31=Y$3,$C31="Weak"),IF(PUF!$S29&gt;0,PUF!$S29,""),"")</f>
        <v/>
      </c>
      <c r="Z31" s="57" t="str">
        <f>IF(AND($B31=Z$3,$C31="Weak"),IF(PUF!$S29&gt;0,PUF!$S29,""),"")</f>
        <v/>
      </c>
      <c r="AA31" s="57" t="str">
        <f>IF(AND($B31=AA$3,$C31="Weak"),IF(PUF!$S29&gt;0,PUF!$S29,""),"")</f>
        <v/>
      </c>
      <c r="AB31" s="57" t="str">
        <f>IF(AND($B31=AB$3,$C31="Weak"),IF(PUF!$S29&gt;0,PUF!$S29,""),"")</f>
        <v/>
      </c>
      <c r="AC31" s="57" t="str">
        <f>IF(AND($B31=AC$3,$C31="Weak"),IF(PUF!$S29&gt;0,PUF!$S29,""),"")</f>
        <v/>
      </c>
      <c r="AD31" s="57" t="str">
        <f>IF(AND($B31=AD$3,$C31="Weak"),IF(PUF!$S29&gt;0,PUF!$S29,""),"")</f>
        <v/>
      </c>
      <c r="AE31" s="57" t="str">
        <f>IF(AND($B31=AE$3,$C31="Weak"),IF(PUF!$S29&gt;0,PUF!$S29,""),"")</f>
        <v/>
      </c>
      <c r="AF31" s="57" t="str">
        <f>IF(AND($B31=AF$3,$C31="Weak"),IF(PUF!$S29&gt;0,PUF!$S29,""),"")</f>
        <v/>
      </c>
      <c r="AH31" s="210">
        <f t="shared" si="1"/>
        <v>2015</v>
      </c>
      <c r="AI31" s="211" t="str">
        <f>IF(AND($B31=AI$3,$C31="Weak"),IF(PUF!$U29&gt;0,PUF!$U29,""),"")</f>
        <v/>
      </c>
      <c r="AJ31" s="211" t="str">
        <f>IF(AND($B31=AJ$3,$C31="Weak"),IF(PUF!$U29&gt;0,PUF!$U29,""),"")</f>
        <v/>
      </c>
      <c r="AK31" s="211" t="str">
        <f>IF(AND($B31=AK$3,$C31="Weak"),IF(PUF!$U29&gt;0,PUF!$U29,""),"")</f>
        <v/>
      </c>
      <c r="AL31" s="211" t="str">
        <f>IF(AND($B31=AL$3,$C31="Weak"),IF(PUF!$U29&gt;0,PUF!$U29,""),"")</f>
        <v/>
      </c>
      <c r="AM31" s="211" t="str">
        <f>IF(AND($B31=AM$3,$C31="Weak"),IF(PUF!$U29&gt;0,PUF!$U29,""),"")</f>
        <v/>
      </c>
      <c r="AN31" s="211" t="str">
        <f>IF(AND($B31=AN$3,$C31="Weak"),IF(PUF!$U29&gt;0,PUF!$U29,""),"")</f>
        <v/>
      </c>
      <c r="AO31" s="211" t="str">
        <f>IF(AND($B31=AO$3,$C31="Weak"),IF(PUF!$U29&gt;0,PUF!$U29,""),"")</f>
        <v/>
      </c>
      <c r="AP31" s="211" t="str">
        <f>IF(AND($B31=AP$3,$C31="Weak"),IF(PUF!$U29&gt;0,PUF!$U29,""),"")</f>
        <v/>
      </c>
      <c r="BB31" s="166">
        <f t="shared" si="2"/>
        <v>2015</v>
      </c>
      <c r="BC31" s="57" t="str">
        <f>IF(AND($B31=BC$3,$C31="Strong"),IF(PUF!$X29&gt;0,PUF!$X29,""),"")</f>
        <v/>
      </c>
      <c r="BD31" s="57">
        <f>IF(AND($B31=BD$3,$C31="Strong"),IF(PUF!$X29&gt;0,PUF!$X29,""),"")</f>
        <v>528125</v>
      </c>
      <c r="BE31" s="57" t="str">
        <f>IF(AND($B31=BE$3,$C31="Strong"),IF(PUF!$X29&gt;0,PUF!$X29,""),"")</f>
        <v/>
      </c>
      <c r="BF31" s="57" t="str">
        <f>IF(AND($B31=BF$3,$C31="Strong"),IF(PUF!$X29&gt;0,PUF!$X29,""),"")</f>
        <v/>
      </c>
      <c r="BG31" s="57" t="str">
        <f>IF(AND($B31=BG$3,$C31="Strong"),IF(PUF!$X29&gt;0,PUF!$X29,""),"")</f>
        <v/>
      </c>
      <c r="BH31" s="57" t="str">
        <f>IF(AND($B31=BH$3,$C31="Strong"),IF(PUF!$X29&gt;0,PUF!$X29,""),"")</f>
        <v/>
      </c>
      <c r="BI31" s="57" t="str">
        <f>IF(AND($B31=BI$3,$C31="Strong"),IF(PUF!$X29&gt;0,PUF!$X29,""),"")</f>
        <v/>
      </c>
      <c r="BJ31" s="57" t="str">
        <f>IF(AND($B31=BJ$3,$C31="Strong"),IF(PUF!$X29&gt;0,PUF!$X29,""),"")</f>
        <v/>
      </c>
      <c r="BL31" s="166">
        <f t="shared" si="3"/>
        <v>2015</v>
      </c>
      <c r="BM31" s="57" t="str">
        <f>IF(AND($B31=BM$3,$C31="Strong"),IF(PUF!$M29&gt;0,PUF!$M29,""),"")</f>
        <v/>
      </c>
      <c r="BN31" s="57">
        <f>IF(AND($B31=BN$3,$C31="Strong"),IF(PUF!$M29&gt;0,PUF!$M29,""),"")</f>
        <v>12.5</v>
      </c>
      <c r="BO31" s="57" t="str">
        <f>IF(AND($B31=BO$3,$C31="Strong"),IF(PUF!$M29&gt;0,PUF!$M29,""),"")</f>
        <v/>
      </c>
      <c r="BP31" s="57" t="str">
        <f>IF(AND($B31=BP$3,$C31="Strong"),IF(PUF!$M29&gt;0,PUF!$M29,""),"")</f>
        <v/>
      </c>
      <c r="BQ31" s="57" t="str">
        <f>IF(AND($B31=BQ$3,$C31="Strong"),IF(PUF!$M29&gt;0,PUF!$M29,""),"")</f>
        <v/>
      </c>
      <c r="BR31" s="57" t="str">
        <f>IF(AND($B31=BR$3,$C31="Strong"),IF(PUF!$M29&gt;0,PUF!$M29,""),"")</f>
        <v/>
      </c>
      <c r="BS31" s="57" t="str">
        <f>IF(AND($B31=BS$3,$C31="Strong"),IF(PUF!$M29&gt;0,PUF!$M29,""),"")</f>
        <v/>
      </c>
      <c r="BT31" s="57" t="str">
        <f>IF(AND($B31=BT$3,$C31="Strong"),IF(PUF!$M29&gt;0,PUF!$M29,""),"")</f>
        <v/>
      </c>
      <c r="BV31" s="166">
        <f t="shared" si="5"/>
        <v>2015</v>
      </c>
      <c r="BW31" s="57" t="str">
        <f>IF(AND($B31=BW$3,$C31="Strong"),IF(PUF!$S29&gt;0,PUF!$S29,""),"")</f>
        <v/>
      </c>
      <c r="BX31" s="57">
        <f>IF(AND($B31=BX$3,$C31="Strong"),IF(PUF!$S29&gt;0,PUF!$S29,""),"")</f>
        <v>9.9999999999999995E-7</v>
      </c>
      <c r="BY31" s="57" t="str">
        <f>IF(AND($B31=BY$3,$C31="Strong"),IF(PUF!$S29&gt;0,PUF!$S29,""),"")</f>
        <v/>
      </c>
      <c r="BZ31" s="57" t="str">
        <f>IF(AND($B31=BZ$3,$C31="Strong"),IF(PUF!$S29&gt;0,PUF!$S29,""),"")</f>
        <v/>
      </c>
      <c r="CA31" s="57" t="str">
        <f>IF(AND($B31=CA$3,$C31="Strong"),IF(PUF!$S29&gt;0,PUF!$S29,""),"")</f>
        <v/>
      </c>
      <c r="CB31" s="57" t="str">
        <f>IF(AND($B31=CB$3,$C31="Strong"),IF(PUF!$S29&gt;0,PUF!$S29,""),"")</f>
        <v/>
      </c>
      <c r="CC31" s="57" t="str">
        <f>IF(AND($B31=CC$3,$C31="Strong"),IF(PUF!$S29&gt;0,PUF!$S29,""),"")</f>
        <v/>
      </c>
      <c r="CD31" s="57" t="str">
        <f>IF(AND($B31=CD$3,$C31="Strong"),IF(PUF!$S29&gt;0,PUF!$S29,""),"")</f>
        <v/>
      </c>
      <c r="CF31" s="11">
        <f t="shared" si="6"/>
        <v>2015</v>
      </c>
      <c r="CG31" s="57" t="str">
        <f>IF(AND($B31=CG$3,$C31="Strong"),IF(PUF!$U29&gt;0,PUF!$U29,""),"")</f>
        <v/>
      </c>
      <c r="CH31" s="57">
        <f>IF(AND($B31=CH$3,$C31="Strong"),IF(PUF!$U29&gt;0,PUF!$U29,""),"")</f>
        <v>17.75</v>
      </c>
      <c r="CI31" s="57" t="str">
        <f>IF(AND($B31=CI$3,$C31="Strong"),IF(PUF!$U29&gt;0,PUF!$U29,""),"")</f>
        <v/>
      </c>
      <c r="CJ31" s="57" t="str">
        <f>IF(AND($B31=CJ$3,$C31="Strong"),IF(PUF!$U29&gt;0,PUF!$U29,""),"")</f>
        <v/>
      </c>
      <c r="CK31" s="57" t="str">
        <f>IF(AND($B31=CK$3,$C31="Strong"),IF(PUF!$U29&gt;0,PUF!$U29,""),"")</f>
        <v/>
      </c>
      <c r="CL31" s="57" t="str">
        <f>IF(AND($B31=CL$3,$C31="Strong"),IF(PUF!$U29&gt;0,PUF!$U29,""),"")</f>
        <v/>
      </c>
      <c r="CM31" s="57" t="str">
        <f>IF(AND($B31=CM$3,$C31="Strong"),IF(PUF!$U29&gt;0,PUF!$U29,""),"")</f>
        <v/>
      </c>
      <c r="CN31" s="57" t="str">
        <f>IF(AND($B31=CN$3,$C31="Strong"),IF(PUF!$U29&gt;0,PUF!$U29,""),"")</f>
        <v/>
      </c>
    </row>
    <row r="32" spans="1:92" x14ac:dyDescent="0.3">
      <c r="A32" s="6">
        <f>PUF!A30</f>
        <v>29</v>
      </c>
      <c r="B32" s="6" t="str">
        <f>PUF!G30</f>
        <v>monostable</v>
      </c>
      <c r="C32" t="str">
        <f>PUF!AL30</f>
        <v>Weak</v>
      </c>
      <c r="D32" s="166">
        <f>PUF!C30</f>
        <v>2016</v>
      </c>
      <c r="E32" s="167" t="str">
        <f>IF(AND($B32=E$3,$C32="Weak"),IF(PUF!$X30&gt;0,PUF!$X30,""),"")</f>
        <v/>
      </c>
      <c r="F32" s="167" t="str">
        <f>IF(AND($B32=F$3,$C32="Weak"),IF(PUF!$X30&gt;0,PUF!$X30,""),"")</f>
        <v/>
      </c>
      <c r="G32" s="167" t="str">
        <f>IF(AND($B32=G$3,$C32="Weak"),IF(PUF!$X30&gt;0,PUF!$X30,""),"")</f>
        <v/>
      </c>
      <c r="H32" s="167" t="str">
        <f>IF(AND($B32=H$3,$C32="Weak"),IF(PUF!$X30&gt;0,PUF!$X30,""),"")</f>
        <v/>
      </c>
      <c r="I32" s="167">
        <f>IF(AND($B32=I$3,$C32="Weak"),IF(PUF!$X30&gt;0,PUF!$X30,""),"")</f>
        <v>2613.3333333333335</v>
      </c>
      <c r="J32" s="167" t="str">
        <f>IF(AND($B32=J$3,$C32="Weak"),IF(PUF!$X30&gt;0,PUF!$X30,""),"")</f>
        <v/>
      </c>
      <c r="K32" s="167" t="str">
        <f>IF(AND($B32=K$3,$C32="Weak"),IF(PUF!$X30&gt;0,PUF!$X30,""),"")</f>
        <v/>
      </c>
      <c r="L32" s="167" t="str">
        <f>IF(AND($B32=L$3,$C32="Weak"),IF(PUF!$X30&gt;0,PUF!$X30,""),"")</f>
        <v/>
      </c>
      <c r="N32" s="11">
        <f t="shared" si="0"/>
        <v>2016</v>
      </c>
      <c r="O32" s="57" t="str">
        <f>IF(AND($B32=O$3,$C32="Weak"),IF(PUF!$M30&gt;0,PUF!$M30,""),"")</f>
        <v/>
      </c>
      <c r="P32" s="57" t="str">
        <f>IF(AND($B32=P$3,$C32="Weak"),IF(PUF!$M30&gt;0,PUF!$M30,""),"")</f>
        <v/>
      </c>
      <c r="Q32" s="57" t="str">
        <f>IF(AND($B32=Q$3,$C32="Weak"),IF(PUF!$M30&gt;0,PUF!$M30,""),"")</f>
        <v/>
      </c>
      <c r="R32" s="57" t="str">
        <f>IF(AND($B32=R$3,$C32="Weak"),IF(PUF!$M30&gt;0,PUF!$M30,""),"")</f>
        <v/>
      </c>
      <c r="S32" s="57">
        <f>IF(AND($B32=S$3,$C32="Weak"),IF(PUF!$M30&gt;0,PUF!$M30,""),"")</f>
        <v>0.1</v>
      </c>
      <c r="T32" s="57" t="str">
        <f>IF(AND($B32=T$3,$C32="Weak"),IF(PUF!$M30&gt;0,PUF!$M30,""),"")</f>
        <v/>
      </c>
      <c r="U32" s="57" t="str">
        <f>IF(AND($B32=U$3,$C32="Weak"),IF(PUF!$M30&gt;0,PUF!$M30,""),"")</f>
        <v/>
      </c>
      <c r="V32" s="57" t="str">
        <f>IF(AND($B32=V$3,$C32="Weak"),IF(PUF!$M30&gt;0,PUF!$M30,""),"")</f>
        <v/>
      </c>
      <c r="W32" s="168"/>
      <c r="X32" s="166">
        <f t="shared" si="4"/>
        <v>2016</v>
      </c>
      <c r="Y32" s="181" t="str">
        <f>IF(AND($B32=Y$3,$C32="Weak"),IF(PUF!$S30&gt;0,PUF!$S30,""),"")</f>
        <v/>
      </c>
      <c r="Z32" s="57" t="str">
        <f>IF(AND($B32=Z$3,$C32="Weak"),IF(PUF!$S30&gt;0,PUF!$S30,""),"")</f>
        <v/>
      </c>
      <c r="AA32" s="57" t="str">
        <f>IF(AND($B32=AA$3,$C32="Weak"),IF(PUF!$S30&gt;0,PUF!$S30,""),"")</f>
        <v/>
      </c>
      <c r="AB32" s="57" t="str">
        <f>IF(AND($B32=AB$3,$C32="Weak"),IF(PUF!$S30&gt;0,PUF!$S30,""),"")</f>
        <v/>
      </c>
      <c r="AC32" s="57">
        <f>IF(AND($B32=AC$3,$C32="Weak"),IF(PUF!$S30&gt;0,PUF!$S30,""),"")</f>
        <v>1.9999999999999999E-36</v>
      </c>
      <c r="AD32" s="57" t="str">
        <f>IF(AND($B32=AD$3,$C32="Weak"),IF(PUF!$S30&gt;0,PUF!$S30,""),"")</f>
        <v/>
      </c>
      <c r="AE32" s="57" t="str">
        <f>IF(AND($B32=AE$3,$C32="Weak"),IF(PUF!$S30&gt;0,PUF!$S30,""),"")</f>
        <v/>
      </c>
      <c r="AF32" s="57" t="str">
        <f>IF(AND($B32=AF$3,$C32="Weak"),IF(PUF!$S30&gt;0,PUF!$S30,""),"")</f>
        <v/>
      </c>
      <c r="AH32" s="210">
        <f t="shared" si="1"/>
        <v>2016</v>
      </c>
      <c r="AI32" s="211" t="str">
        <f>IF(AND($B32=AI$3,$C32="Weak"),IF(PUF!$U30&gt;0,PUF!$U30,""),"")</f>
        <v/>
      </c>
      <c r="AJ32" s="211" t="str">
        <f>IF(AND($B32=AJ$3,$C32="Weak"),IF(PUF!$U30&gt;0,PUF!$U30,""),"")</f>
        <v/>
      </c>
      <c r="AK32" s="211" t="str">
        <f>IF(AND($B32=AK$3,$C32="Weak"),IF(PUF!$U30&gt;0,PUF!$U30,""),"")</f>
        <v/>
      </c>
      <c r="AL32" s="211" t="str">
        <f>IF(AND($B32=AL$3,$C32="Weak"),IF(PUF!$U30&gt;0,PUF!$U30,""),"")</f>
        <v/>
      </c>
      <c r="AM32" s="211" t="str">
        <f>IF(AND($B32=AM$3,$C32="Weak"),IF(PUF!$U30&gt;0,PUF!$U30,""),"")</f>
        <v>N/A</v>
      </c>
      <c r="AN32" s="211" t="str">
        <f>IF(AND($B32=AN$3,$C32="Weak"),IF(PUF!$U30&gt;0,PUF!$U30,""),"")</f>
        <v/>
      </c>
      <c r="AO32" s="211" t="str">
        <f>IF(AND($B32=AO$3,$C32="Weak"),IF(PUF!$U30&gt;0,PUF!$U30,""),"")</f>
        <v/>
      </c>
      <c r="AP32" s="211" t="str">
        <f>IF(AND($B32=AP$3,$C32="Weak"),IF(PUF!$U30&gt;0,PUF!$U30,""),"")</f>
        <v/>
      </c>
      <c r="BB32" s="166">
        <f t="shared" si="2"/>
        <v>2016</v>
      </c>
      <c r="BC32" s="57" t="str">
        <f>IF(AND($B32=BC$3,$C32="Strong"),IF(PUF!$X30&gt;0,PUF!$X30,""),"")</f>
        <v/>
      </c>
      <c r="BD32" s="57" t="str">
        <f>IF(AND($B32=BD$3,$C32="Strong"),IF(PUF!$X30&gt;0,PUF!$X30,""),"")</f>
        <v/>
      </c>
      <c r="BE32" s="57" t="str">
        <f>IF(AND($B32=BE$3,$C32="Strong"),IF(PUF!$X30&gt;0,PUF!$X30,""),"")</f>
        <v/>
      </c>
      <c r="BF32" s="57" t="str">
        <f>IF(AND($B32=BF$3,$C32="Strong"),IF(PUF!$X30&gt;0,PUF!$X30,""),"")</f>
        <v/>
      </c>
      <c r="BG32" s="57" t="str">
        <f>IF(AND($B32=BG$3,$C32="Strong"),IF(PUF!$X30&gt;0,PUF!$X30,""),"")</f>
        <v/>
      </c>
      <c r="BH32" s="57" t="str">
        <f>IF(AND($B32=BH$3,$C32="Strong"),IF(PUF!$X30&gt;0,PUF!$X30,""),"")</f>
        <v/>
      </c>
      <c r="BI32" s="57" t="str">
        <f>IF(AND($B32=BI$3,$C32="Strong"),IF(PUF!$X30&gt;0,PUF!$X30,""),"")</f>
        <v/>
      </c>
      <c r="BJ32" s="57" t="str">
        <f>IF(AND($B32=BJ$3,$C32="Strong"),IF(PUF!$X30&gt;0,PUF!$X30,""),"")</f>
        <v/>
      </c>
      <c r="BL32" s="166">
        <f t="shared" si="3"/>
        <v>2016</v>
      </c>
      <c r="BM32" s="57" t="str">
        <f>IF(AND($B32=BM$3,$C32="Strong"),IF(PUF!$M30&gt;0,PUF!$M30,""),"")</f>
        <v/>
      </c>
      <c r="BN32" s="57" t="str">
        <f>IF(AND($B32=BN$3,$C32="Strong"),IF(PUF!$M30&gt;0,PUF!$M30,""),"")</f>
        <v/>
      </c>
      <c r="BO32" s="57" t="str">
        <f>IF(AND($B32=BO$3,$C32="Strong"),IF(PUF!$M30&gt;0,PUF!$M30,""),"")</f>
        <v/>
      </c>
      <c r="BP32" s="57" t="str">
        <f>IF(AND($B32=BP$3,$C32="Strong"),IF(PUF!$M30&gt;0,PUF!$M30,""),"")</f>
        <v/>
      </c>
      <c r="BQ32" s="57" t="str">
        <f>IF(AND($B32=BQ$3,$C32="Strong"),IF(PUF!$M30&gt;0,PUF!$M30,""),"")</f>
        <v/>
      </c>
      <c r="BR32" s="57" t="str">
        <f>IF(AND($B32=BR$3,$C32="Strong"),IF(PUF!$M30&gt;0,PUF!$M30,""),"")</f>
        <v/>
      </c>
      <c r="BS32" s="57" t="str">
        <f>IF(AND($B32=BS$3,$C32="Strong"),IF(PUF!$M30&gt;0,PUF!$M30,""),"")</f>
        <v/>
      </c>
      <c r="BT32" s="57" t="str">
        <f>IF(AND($B32=BT$3,$C32="Strong"),IF(PUF!$M30&gt;0,PUF!$M30,""),"")</f>
        <v/>
      </c>
      <c r="BV32" s="166">
        <f t="shared" si="5"/>
        <v>2016</v>
      </c>
      <c r="BW32" s="57" t="str">
        <f>IF(AND($B32=BW$3,$C32="Strong"),IF(PUF!$S30&gt;0,PUF!$S30,""),"")</f>
        <v/>
      </c>
      <c r="BX32" s="57" t="str">
        <f>IF(AND($B32=BX$3,$C32="Strong"),IF(PUF!$S30&gt;0,PUF!$S30,""),"")</f>
        <v/>
      </c>
      <c r="BY32" s="57" t="str">
        <f>IF(AND($B32=BY$3,$C32="Strong"),IF(PUF!$S30&gt;0,PUF!$S30,""),"")</f>
        <v/>
      </c>
      <c r="BZ32" s="57" t="str">
        <f>IF(AND($B32=BZ$3,$C32="Strong"),IF(PUF!$S30&gt;0,PUF!$S30,""),"")</f>
        <v/>
      </c>
      <c r="CA32" s="57" t="str">
        <f>IF(AND($B32=CA$3,$C32="Strong"),IF(PUF!$S30&gt;0,PUF!$S30,""),"")</f>
        <v/>
      </c>
      <c r="CB32" s="57" t="str">
        <f>IF(AND($B32=CB$3,$C32="Strong"),IF(PUF!$S30&gt;0,PUF!$S30,""),"")</f>
        <v/>
      </c>
      <c r="CC32" s="57" t="str">
        <f>IF(AND($B32=CC$3,$C32="Strong"),IF(PUF!$S30&gt;0,PUF!$S30,""),"")</f>
        <v/>
      </c>
      <c r="CD32" s="57" t="str">
        <f>IF(AND($B32=CD$3,$C32="Strong"),IF(PUF!$S30&gt;0,PUF!$S30,""),"")</f>
        <v/>
      </c>
      <c r="CF32" s="11">
        <f t="shared" si="6"/>
        <v>2016</v>
      </c>
      <c r="CG32" s="57" t="str">
        <f>IF(AND($B32=CG$3,$C32="Strong"),IF(PUF!$U30&gt;0,PUF!$U30,""),"")</f>
        <v/>
      </c>
      <c r="CH32" s="57" t="str">
        <f>IF(AND($B32=CH$3,$C32="Strong"),IF(PUF!$U30&gt;0,PUF!$U30,""),"")</f>
        <v/>
      </c>
      <c r="CI32" s="57" t="str">
        <f>IF(AND($B32=CI$3,$C32="Strong"),IF(PUF!$U30&gt;0,PUF!$U30,""),"")</f>
        <v/>
      </c>
      <c r="CJ32" s="57" t="str">
        <f>IF(AND($B32=CJ$3,$C32="Strong"),IF(PUF!$U30&gt;0,PUF!$U30,""),"")</f>
        <v/>
      </c>
      <c r="CK32" s="57" t="str">
        <f>IF(AND($B32=CK$3,$C32="Strong"),IF(PUF!$U30&gt;0,PUF!$U30,""),"")</f>
        <v/>
      </c>
      <c r="CL32" s="57" t="str">
        <f>IF(AND($B32=CL$3,$C32="Strong"),IF(PUF!$U30&gt;0,PUF!$U30,""),"")</f>
        <v/>
      </c>
      <c r="CM32" s="57" t="str">
        <f>IF(AND($B32=CM$3,$C32="Strong"),IF(PUF!$U30&gt;0,PUF!$U30,""),"")</f>
        <v/>
      </c>
      <c r="CN32" s="57" t="str">
        <f>IF(AND($B32=CN$3,$C32="Strong"),IF(PUF!$U30&gt;0,PUF!$U30,""),"")</f>
        <v/>
      </c>
    </row>
    <row r="33" spans="1:92" x14ac:dyDescent="0.3">
      <c r="A33" s="6">
        <f>PUF!A31</f>
        <v>30</v>
      </c>
      <c r="B33" s="6" t="str">
        <f>PUF!G31</f>
        <v>memory (volatile)</v>
      </c>
      <c r="C33" t="str">
        <f>PUF!AL31</f>
        <v>Weak</v>
      </c>
      <c r="D33" s="166">
        <f>PUF!C31</f>
        <v>2016</v>
      </c>
      <c r="E33" s="167" t="str">
        <f>IF(AND($B33=E$3,$C33="Weak"),IF(PUF!$X31&gt;0,PUF!$X31,""),"")</f>
        <v/>
      </c>
      <c r="F33" s="167" t="str">
        <f>IF(AND($B33=F$3,$C33="Weak"),IF(PUF!$X31&gt;0,PUF!$X31,""),"")</f>
        <v/>
      </c>
      <c r="G33" s="167">
        <f>IF(AND($B33=G$3,$C33="Weak"),IF(PUF!$X31&gt;0,PUF!$X31,""),"")</f>
        <v>806</v>
      </c>
      <c r="H33" s="167" t="str">
        <f>IF(AND($B33=H$3,$C33="Weak"),IF(PUF!$X31&gt;0,PUF!$X31,""),"")</f>
        <v/>
      </c>
      <c r="I33" s="167" t="str">
        <f>IF(AND($B33=I$3,$C33="Weak"),IF(PUF!$X31&gt;0,PUF!$X31,""),"")</f>
        <v/>
      </c>
      <c r="J33" s="167" t="str">
        <f>IF(AND($B33=J$3,$C33="Weak"),IF(PUF!$X31&gt;0,PUF!$X31,""),"")</f>
        <v/>
      </c>
      <c r="K33" s="167" t="str">
        <f>IF(AND($B33=K$3,$C33="Weak"),IF(PUF!$X31&gt;0,PUF!$X31,""),"")</f>
        <v/>
      </c>
      <c r="L33" s="167" t="str">
        <f>IF(AND($B33=L$3,$C33="Weak"),IF(PUF!$X31&gt;0,PUF!$X31,""),"")</f>
        <v/>
      </c>
      <c r="N33" s="11">
        <f t="shared" si="0"/>
        <v>2016</v>
      </c>
      <c r="O33" s="57" t="str">
        <f>IF(AND($B33=O$3,$C33="Weak"),IF(PUF!$M31&gt;0,PUF!$M31,""),"")</f>
        <v/>
      </c>
      <c r="P33" s="57" t="str">
        <f>IF(AND($B33=P$3,$C33="Weak"),IF(PUF!$M31&gt;0,PUF!$M31,""),"")</f>
        <v/>
      </c>
      <c r="Q33" s="57" t="str">
        <f>IF(AND($B33=Q$3,$C33="Weak"),IF(PUF!$M31&gt;0,PUF!$M31,""),"")</f>
        <v>N/A</v>
      </c>
      <c r="R33" s="57" t="str">
        <f>IF(AND($B33=R$3,$C33="Weak"),IF(PUF!$M31&gt;0,PUF!$M31,""),"")</f>
        <v/>
      </c>
      <c r="S33" s="57" t="str">
        <f>IF(AND($B33=S$3,$C33="Weak"),IF(PUF!$M31&gt;0,PUF!$M31,""),"")</f>
        <v/>
      </c>
      <c r="T33" s="57" t="str">
        <f>IF(AND($B33=T$3,$C33="Weak"),IF(PUF!$M31&gt;0,PUF!$M31,""),"")</f>
        <v/>
      </c>
      <c r="U33" s="57" t="str">
        <f>IF(AND($B33=U$3,$C33="Weak"),IF(PUF!$M31&gt;0,PUF!$M31,""),"")</f>
        <v/>
      </c>
      <c r="V33" s="57" t="str">
        <f>IF(AND($B33=V$3,$C33="Weak"),IF(PUF!$M31&gt;0,PUF!$M31,""),"")</f>
        <v/>
      </c>
      <c r="W33" s="168"/>
      <c r="X33" s="166">
        <f t="shared" si="4"/>
        <v>2016</v>
      </c>
      <c r="Y33" s="57" t="str">
        <f>IF(AND($B33=Y$3,$C33="Weak"),IF(PUF!$S31&gt;0,PUF!$S31,""),"")</f>
        <v/>
      </c>
      <c r="Z33" s="57" t="str">
        <f>IF(AND($B33=Z$3,$C33="Weak"),IF(PUF!$S31&gt;0,PUF!$S31,""),"")</f>
        <v/>
      </c>
      <c r="AA33" s="57" t="str">
        <f>IF(AND($B33=AA$3,$C33="Weak"),IF(PUF!$S31&gt;0,PUF!$S31,""),"")</f>
        <v>N/A</v>
      </c>
      <c r="AB33" s="57" t="str">
        <f>IF(AND($B33=AB$3,$C33="Weak"),IF(PUF!$S31&gt;0,PUF!$S31,""),"")</f>
        <v/>
      </c>
      <c r="AC33" s="57" t="str">
        <f>IF(AND($B33=AC$3,$C33="Weak"),IF(PUF!$S31&gt;0,PUF!$S31,""),"")</f>
        <v/>
      </c>
      <c r="AD33" s="57" t="str">
        <f>IF(AND($B33=AD$3,$C33="Weak"),IF(PUF!$S31&gt;0,PUF!$S31,""),"")</f>
        <v/>
      </c>
      <c r="AE33" s="57" t="str">
        <f>IF(AND($B33=AE$3,$C33="Weak"),IF(PUF!$S31&gt;0,PUF!$S31,""),"")</f>
        <v/>
      </c>
      <c r="AF33" s="57" t="str">
        <f>IF(AND($B33=AF$3,$C33="Weak"),IF(PUF!$S31&gt;0,PUF!$S31,""),"")</f>
        <v/>
      </c>
      <c r="AH33" s="210">
        <f t="shared" si="1"/>
        <v>2016</v>
      </c>
      <c r="AI33" s="211" t="str">
        <f>IF(AND($B33=AI$3,$C33="Weak"),IF(PUF!$U31&gt;0,PUF!$U31,""),"")</f>
        <v/>
      </c>
      <c r="AJ33" s="211" t="str">
        <f>IF(AND($B33=AJ$3,$C33="Weak"),IF(PUF!$U31&gt;0,PUF!$U31,""),"")</f>
        <v/>
      </c>
      <c r="AK33" s="211">
        <f>IF(AND($B33=AK$3,$C33="Weak"),IF(PUF!$U31&gt;0,PUF!$U31,""),"")</f>
        <v>1.1000000000000001</v>
      </c>
      <c r="AL33" s="211" t="str">
        <f>IF(AND($B33=AL$3,$C33="Weak"),IF(PUF!$U31&gt;0,PUF!$U31,""),"")</f>
        <v/>
      </c>
      <c r="AM33" s="211" t="str">
        <f>IF(AND($B33=AM$3,$C33="Weak"),IF(PUF!$U31&gt;0,PUF!$U31,""),"")</f>
        <v/>
      </c>
      <c r="AN33" s="211" t="str">
        <f>IF(AND($B33=AN$3,$C33="Weak"),IF(PUF!$U31&gt;0,PUF!$U31,""),"")</f>
        <v/>
      </c>
      <c r="AO33" s="211" t="str">
        <f>IF(AND($B33=AO$3,$C33="Weak"),IF(PUF!$U31&gt;0,PUF!$U31,""),"")</f>
        <v/>
      </c>
      <c r="AP33" s="211" t="str">
        <f>IF(AND($B33=AP$3,$C33="Weak"),IF(PUF!$U31&gt;0,PUF!$U31,""),"")</f>
        <v/>
      </c>
      <c r="BB33" s="166">
        <f t="shared" si="2"/>
        <v>2016</v>
      </c>
      <c r="BC33" s="57" t="str">
        <f>IF(AND($B33=BC$3,$C33="Strong"),IF(PUF!$X31&gt;0,PUF!$X31,""),"")</f>
        <v/>
      </c>
      <c r="BD33" s="57" t="str">
        <f>IF(AND($B33=BD$3,$C33="Strong"),IF(PUF!$X31&gt;0,PUF!$X31,""),"")</f>
        <v/>
      </c>
      <c r="BE33" s="57" t="str">
        <f>IF(AND($B33=BE$3,$C33="Strong"),IF(PUF!$X31&gt;0,PUF!$X31,""),"")</f>
        <v/>
      </c>
      <c r="BF33" s="57" t="str">
        <f>IF(AND($B33=BF$3,$C33="Strong"),IF(PUF!$X31&gt;0,PUF!$X31,""),"")</f>
        <v/>
      </c>
      <c r="BG33" s="57" t="str">
        <f>IF(AND($B33=BG$3,$C33="Strong"),IF(PUF!$X31&gt;0,PUF!$X31,""),"")</f>
        <v/>
      </c>
      <c r="BH33" s="57" t="str">
        <f>IF(AND($B33=BH$3,$C33="Strong"),IF(PUF!$X31&gt;0,PUF!$X31,""),"")</f>
        <v/>
      </c>
      <c r="BI33" s="57" t="str">
        <f>IF(AND($B33=BI$3,$C33="Strong"),IF(PUF!$X31&gt;0,PUF!$X31,""),"")</f>
        <v/>
      </c>
      <c r="BJ33" s="57" t="str">
        <f>IF(AND($B33=BJ$3,$C33="Strong"),IF(PUF!$X31&gt;0,PUF!$X31,""),"")</f>
        <v/>
      </c>
      <c r="BL33" s="166">
        <f t="shared" si="3"/>
        <v>2016</v>
      </c>
      <c r="BM33" s="57" t="str">
        <f>IF(AND($B33=BM$3,$C33="Strong"),IF(PUF!$M31&gt;0,PUF!$M31,""),"")</f>
        <v/>
      </c>
      <c r="BN33" s="57" t="str">
        <f>IF(AND($B33=BN$3,$C33="Strong"),IF(PUF!$M31&gt;0,PUF!$M31,""),"")</f>
        <v/>
      </c>
      <c r="BO33" s="57" t="str">
        <f>IF(AND($B33=BO$3,$C33="Strong"),IF(PUF!$M31&gt;0,PUF!$M31,""),"")</f>
        <v/>
      </c>
      <c r="BP33" s="57" t="str">
        <f>IF(AND($B33=BP$3,$C33="Strong"),IF(PUF!$M31&gt;0,PUF!$M31,""),"")</f>
        <v/>
      </c>
      <c r="BQ33" s="57" t="str">
        <f>IF(AND($B33=BQ$3,$C33="Strong"),IF(PUF!$M31&gt;0,PUF!$M31,""),"")</f>
        <v/>
      </c>
      <c r="BR33" s="57" t="str">
        <f>IF(AND($B33=BR$3,$C33="Strong"),IF(PUF!$M31&gt;0,PUF!$M31,""),"")</f>
        <v/>
      </c>
      <c r="BS33" s="57" t="str">
        <f>IF(AND($B33=BS$3,$C33="Strong"),IF(PUF!$M31&gt;0,PUF!$M31,""),"")</f>
        <v/>
      </c>
      <c r="BT33" s="57" t="str">
        <f>IF(AND($B33=BT$3,$C33="Strong"),IF(PUF!$M31&gt;0,PUF!$M31,""),"")</f>
        <v/>
      </c>
      <c r="BV33" s="166">
        <f t="shared" si="5"/>
        <v>2016</v>
      </c>
      <c r="BW33" s="57" t="str">
        <f>IF(AND($B33=BW$3,$C33="Strong"),IF(PUF!$S31&gt;0,PUF!$S31,""),"")</f>
        <v/>
      </c>
      <c r="BX33" s="57" t="str">
        <f>IF(AND($B33=BX$3,$C33="Strong"),IF(PUF!$S31&gt;0,PUF!$S31,""),"")</f>
        <v/>
      </c>
      <c r="BY33" s="57" t="str">
        <f>IF(AND($B33=BY$3,$C33="Strong"),IF(PUF!$S31&gt;0,PUF!$S31,""),"")</f>
        <v/>
      </c>
      <c r="BZ33" s="57" t="str">
        <f>IF(AND($B33=BZ$3,$C33="Strong"),IF(PUF!$S31&gt;0,PUF!$S31,""),"")</f>
        <v/>
      </c>
      <c r="CA33" s="57" t="str">
        <f>IF(AND($B33=CA$3,$C33="Strong"),IF(PUF!$S31&gt;0,PUF!$S31,""),"")</f>
        <v/>
      </c>
      <c r="CB33" s="57" t="str">
        <f>IF(AND($B33=CB$3,$C33="Strong"),IF(PUF!$S31&gt;0,PUF!$S31,""),"")</f>
        <v/>
      </c>
      <c r="CC33" s="57" t="str">
        <f>IF(AND($B33=CC$3,$C33="Strong"),IF(PUF!$S31&gt;0,PUF!$S31,""),"")</f>
        <v/>
      </c>
      <c r="CD33" s="57" t="str">
        <f>IF(AND($B33=CD$3,$C33="Strong"),IF(PUF!$S31&gt;0,PUF!$S31,""),"")</f>
        <v/>
      </c>
      <c r="CF33" s="11">
        <f t="shared" si="6"/>
        <v>2016</v>
      </c>
      <c r="CG33" s="57" t="str">
        <f>IF(AND($B33=CG$3,$C33="Strong"),IF(PUF!$U31&gt;0,PUF!$U31,""),"")</f>
        <v/>
      </c>
      <c r="CH33" s="57" t="str">
        <f>IF(AND($B33=CH$3,$C33="Strong"),IF(PUF!$U31&gt;0,PUF!$U31,""),"")</f>
        <v/>
      </c>
      <c r="CI33" s="57" t="str">
        <f>IF(AND($B33=CI$3,$C33="Strong"),IF(PUF!$U31&gt;0,PUF!$U31,""),"")</f>
        <v/>
      </c>
      <c r="CJ33" s="57" t="str">
        <f>IF(AND($B33=CJ$3,$C33="Strong"),IF(PUF!$U31&gt;0,PUF!$U31,""),"")</f>
        <v/>
      </c>
      <c r="CK33" s="57" t="str">
        <f>IF(AND($B33=CK$3,$C33="Strong"),IF(PUF!$U31&gt;0,PUF!$U31,""),"")</f>
        <v/>
      </c>
      <c r="CL33" s="57" t="str">
        <f>IF(AND($B33=CL$3,$C33="Strong"),IF(PUF!$U31&gt;0,PUF!$U31,""),"")</f>
        <v/>
      </c>
      <c r="CM33" s="57" t="str">
        <f>IF(AND($B33=CM$3,$C33="Strong"),IF(PUF!$U31&gt;0,PUF!$U31,""),"")</f>
        <v/>
      </c>
      <c r="CN33" s="57" t="str">
        <f>IF(AND($B33=CN$3,$C33="Strong"),IF(PUF!$U31&gt;0,PUF!$U31,""),"")</f>
        <v/>
      </c>
    </row>
    <row r="34" spans="1:92" x14ac:dyDescent="0.3">
      <c r="A34" s="6">
        <f>PUF!A32</f>
        <v>31</v>
      </c>
      <c r="B34" s="6" t="str">
        <f>PUF!G32</f>
        <v>delay</v>
      </c>
      <c r="C34" t="str">
        <f>PUF!AL32</f>
        <v>Weak</v>
      </c>
      <c r="D34" s="166">
        <f>PUF!C32</f>
        <v>2016</v>
      </c>
      <c r="E34" s="167" t="str">
        <f>IF(AND($B34=E$3,$C34="Weak"),IF(PUF!$X32&gt;0,PUF!$X32,""),"")</f>
        <v/>
      </c>
      <c r="F34" s="167">
        <f>IF(AND($B34=F$3,$C34="Weak"),IF(PUF!$X32&gt;0,PUF!$X32,""),"")</f>
        <v>16642</v>
      </c>
      <c r="G34" s="167" t="str">
        <f>IF(AND($B34=G$3,$C34="Weak"),IF(PUF!$X32&gt;0,PUF!$X32,""),"")</f>
        <v/>
      </c>
      <c r="H34" s="167" t="str">
        <f>IF(AND($B34=H$3,$C34="Weak"),IF(PUF!$X32&gt;0,PUF!$X32,""),"")</f>
        <v/>
      </c>
      <c r="I34" s="167" t="str">
        <f>IF(AND($B34=I$3,$C34="Weak"),IF(PUF!$X32&gt;0,PUF!$X32,""),"")</f>
        <v/>
      </c>
      <c r="J34" s="167" t="str">
        <f>IF(AND($B34=J$3,$C34="Weak"),IF(PUF!$X32&gt;0,PUF!$X32,""),"")</f>
        <v/>
      </c>
      <c r="K34" s="167" t="str">
        <f>IF(AND($B34=K$3,$C34="Weak"),IF(PUF!$X32&gt;0,PUF!$X32,""),"")</f>
        <v/>
      </c>
      <c r="L34" s="167" t="str">
        <f>IF(AND($B34=L$3,$C34="Weak"),IF(PUF!$X32&gt;0,PUF!$X32,""),"")</f>
        <v/>
      </c>
      <c r="N34" s="11">
        <f t="shared" si="0"/>
        <v>2016</v>
      </c>
      <c r="O34" s="57" t="str">
        <f>IF(AND($B34=O$3,$C34="Weak"),IF(PUF!$M32&gt;0,PUF!$M32,""),"")</f>
        <v/>
      </c>
      <c r="P34" s="57" t="str">
        <f>IF(AND($B34=P$3,$C34="Weak"),IF(PUF!$M32&gt;0,PUF!$M32,""),"")</f>
        <v>N/A</v>
      </c>
      <c r="Q34" s="57" t="str">
        <f>IF(AND($B34=Q$3,$C34="Weak"),IF(PUF!$M32&gt;0,PUF!$M32,""),"")</f>
        <v/>
      </c>
      <c r="R34" s="57" t="str">
        <f>IF(AND($B34=R$3,$C34="Weak"),IF(PUF!$M32&gt;0,PUF!$M32,""),"")</f>
        <v/>
      </c>
      <c r="S34" s="57" t="str">
        <f>IF(AND($B34=S$3,$C34="Weak"),IF(PUF!$M32&gt;0,PUF!$M32,""),"")</f>
        <v/>
      </c>
      <c r="T34" s="57" t="str">
        <f>IF(AND($B34=T$3,$C34="Weak"),IF(PUF!$M32&gt;0,PUF!$M32,""),"")</f>
        <v/>
      </c>
      <c r="U34" s="57" t="str">
        <f>IF(AND($B34=U$3,$C34="Weak"),IF(PUF!$M32&gt;0,PUF!$M32,""),"")</f>
        <v/>
      </c>
      <c r="V34" s="57" t="str">
        <f>IF(AND($B34=V$3,$C34="Weak"),IF(PUF!$M32&gt;0,PUF!$M32,""),"")</f>
        <v/>
      </c>
      <c r="W34" s="168"/>
      <c r="X34" s="166">
        <f t="shared" si="4"/>
        <v>2016</v>
      </c>
      <c r="Y34" s="57" t="str">
        <f>IF(AND($B34=Y$3,$C34="Weak"),IF(PUF!$S32&gt;0,PUF!$S32,""),"")</f>
        <v/>
      </c>
      <c r="Z34" s="57" t="str">
        <f>IF(AND($B34=Z$3,$C34="Weak"),IF(PUF!$S32&gt;0,PUF!$S32,""),"")</f>
        <v>N/A</v>
      </c>
      <c r="AA34" s="57" t="str">
        <f>IF(AND($B34=AA$3,$C34="Weak"),IF(PUF!$S32&gt;0,PUF!$S32,""),"")</f>
        <v/>
      </c>
      <c r="AB34" s="57" t="str">
        <f>IF(AND($B34=AB$3,$C34="Weak"),IF(PUF!$S32&gt;0,PUF!$S32,""),"")</f>
        <v/>
      </c>
      <c r="AC34" s="57" t="str">
        <f>IF(AND($B34=AC$3,$C34="Weak"),IF(PUF!$S32&gt;0,PUF!$S32,""),"")</f>
        <v/>
      </c>
      <c r="AD34" s="57" t="str">
        <f>IF(AND($B34=AD$3,$C34="Weak"),IF(PUF!$S32&gt;0,PUF!$S32,""),"")</f>
        <v/>
      </c>
      <c r="AE34" s="57" t="str">
        <f>IF(AND($B34=AE$3,$C34="Weak"),IF(PUF!$S32&gt;0,PUF!$S32,""),"")</f>
        <v/>
      </c>
      <c r="AF34" s="57" t="str">
        <f>IF(AND($B34=AF$3,$C34="Weak"),IF(PUF!$S32&gt;0,PUF!$S32,""),"")</f>
        <v/>
      </c>
      <c r="AH34" s="210">
        <f t="shared" si="1"/>
        <v>2016</v>
      </c>
      <c r="AI34" s="211" t="str">
        <f>IF(AND($B34=AI$3,$C34="Weak"),IF(PUF!$U32&gt;0,PUF!$U32,""),"")</f>
        <v/>
      </c>
      <c r="AJ34" s="211">
        <f>IF(AND($B34=AJ$3,$C34="Weak"),IF(PUF!$U32&gt;0,PUF!$U32,""),"")</f>
        <v>0.47499999999999998</v>
      </c>
      <c r="AK34" s="211" t="str">
        <f>IF(AND($B34=AK$3,$C34="Weak"),IF(PUF!$U32&gt;0,PUF!$U32,""),"")</f>
        <v/>
      </c>
      <c r="AL34" s="211" t="str">
        <f>IF(AND($B34=AL$3,$C34="Weak"),IF(PUF!$U32&gt;0,PUF!$U32,""),"")</f>
        <v/>
      </c>
      <c r="AM34" s="211" t="str">
        <f>IF(AND($B34=AM$3,$C34="Weak"),IF(PUF!$U32&gt;0,PUF!$U32,""),"")</f>
        <v/>
      </c>
      <c r="AN34" s="211" t="str">
        <f>IF(AND($B34=AN$3,$C34="Weak"),IF(PUF!$U32&gt;0,PUF!$U32,""),"")</f>
        <v/>
      </c>
      <c r="AO34" s="211" t="str">
        <f>IF(AND($B34=AO$3,$C34="Weak"),IF(PUF!$U32&gt;0,PUF!$U32,""),"")</f>
        <v/>
      </c>
      <c r="AP34" s="211" t="str">
        <f>IF(AND($B34=AP$3,$C34="Weak"),IF(PUF!$U32&gt;0,PUF!$U32,""),"")</f>
        <v/>
      </c>
      <c r="BB34" s="166">
        <f t="shared" si="2"/>
        <v>2016</v>
      </c>
      <c r="BC34" s="57" t="str">
        <f>IF(AND($B34=BC$3,$C34="Strong"),IF(PUF!$X32&gt;0,PUF!$X32,""),"")</f>
        <v/>
      </c>
      <c r="BD34" s="57" t="str">
        <f>IF(AND($B34=BD$3,$C34="Strong"),IF(PUF!$X32&gt;0,PUF!$X32,""),"")</f>
        <v/>
      </c>
      <c r="BE34" s="57" t="str">
        <f>IF(AND($B34=BE$3,$C34="Strong"),IF(PUF!$X32&gt;0,PUF!$X32,""),"")</f>
        <v/>
      </c>
      <c r="BF34" s="57" t="str">
        <f>IF(AND($B34=BF$3,$C34="Strong"),IF(PUF!$X32&gt;0,PUF!$X32,""),"")</f>
        <v/>
      </c>
      <c r="BG34" s="57" t="str">
        <f>IF(AND($B34=BG$3,$C34="Strong"),IF(PUF!$X32&gt;0,PUF!$X32,""),"")</f>
        <v/>
      </c>
      <c r="BH34" s="57" t="str">
        <f>IF(AND($B34=BH$3,$C34="Strong"),IF(PUF!$X32&gt;0,PUF!$X32,""),"")</f>
        <v/>
      </c>
      <c r="BI34" s="57" t="str">
        <f>IF(AND($B34=BI$3,$C34="Strong"),IF(PUF!$X32&gt;0,PUF!$X32,""),"")</f>
        <v/>
      </c>
      <c r="BJ34" s="57" t="str">
        <f>IF(AND($B34=BJ$3,$C34="Strong"),IF(PUF!$X32&gt;0,PUF!$X32,""),"")</f>
        <v/>
      </c>
      <c r="BL34" s="166">
        <f t="shared" si="3"/>
        <v>2016</v>
      </c>
      <c r="BM34" s="57" t="str">
        <f>IF(AND($B34=BM$3,$C34="Strong"),IF(PUF!$M32&gt;0,PUF!$M32,""),"")</f>
        <v/>
      </c>
      <c r="BN34" s="57" t="str">
        <f>IF(AND($B34=BN$3,$C34="Strong"),IF(PUF!$M32&gt;0,PUF!$M32,""),"")</f>
        <v/>
      </c>
      <c r="BO34" s="57" t="str">
        <f>IF(AND($B34=BO$3,$C34="Strong"),IF(PUF!$M32&gt;0,PUF!$M32,""),"")</f>
        <v/>
      </c>
      <c r="BP34" s="57" t="str">
        <f>IF(AND($B34=BP$3,$C34="Strong"),IF(PUF!$M32&gt;0,PUF!$M32,""),"")</f>
        <v/>
      </c>
      <c r="BQ34" s="57" t="str">
        <f>IF(AND($B34=BQ$3,$C34="Strong"),IF(PUF!$M32&gt;0,PUF!$M32,""),"")</f>
        <v/>
      </c>
      <c r="BR34" s="57" t="str">
        <f>IF(AND($B34=BR$3,$C34="Strong"),IF(PUF!$M32&gt;0,PUF!$M32,""),"")</f>
        <v/>
      </c>
      <c r="BS34" s="57" t="str">
        <f>IF(AND($B34=BS$3,$C34="Strong"),IF(PUF!$M32&gt;0,PUF!$M32,""),"")</f>
        <v/>
      </c>
      <c r="BT34" s="57" t="str">
        <f>IF(AND($B34=BT$3,$C34="Strong"),IF(PUF!$M32&gt;0,PUF!$M32,""),"")</f>
        <v/>
      </c>
      <c r="BV34" s="166">
        <f t="shared" si="5"/>
        <v>2016</v>
      </c>
      <c r="BW34" s="57" t="str">
        <f>IF(AND($B34=BW$3,$C34="Strong"),IF(PUF!$S32&gt;0,PUF!$S32,""),"")</f>
        <v/>
      </c>
      <c r="BX34" s="57" t="str">
        <f>IF(AND($B34=BX$3,$C34="Strong"),IF(PUF!$S32&gt;0,PUF!$S32,""),"")</f>
        <v/>
      </c>
      <c r="BY34" s="57" t="str">
        <f>IF(AND($B34=BY$3,$C34="Strong"),IF(PUF!$S32&gt;0,PUF!$S32,""),"")</f>
        <v/>
      </c>
      <c r="BZ34" s="57" t="str">
        <f>IF(AND($B34=BZ$3,$C34="Strong"),IF(PUF!$S32&gt;0,PUF!$S32,""),"")</f>
        <v/>
      </c>
      <c r="CA34" s="57" t="str">
        <f>IF(AND($B34=CA$3,$C34="Strong"),IF(PUF!$S32&gt;0,PUF!$S32,""),"")</f>
        <v/>
      </c>
      <c r="CB34" s="57" t="str">
        <f>IF(AND($B34=CB$3,$C34="Strong"),IF(PUF!$S32&gt;0,PUF!$S32,""),"")</f>
        <v/>
      </c>
      <c r="CC34" s="57" t="str">
        <f>IF(AND($B34=CC$3,$C34="Strong"),IF(PUF!$S32&gt;0,PUF!$S32,""),"")</f>
        <v/>
      </c>
      <c r="CD34" s="57" t="str">
        <f>IF(AND($B34=CD$3,$C34="Strong"),IF(PUF!$S32&gt;0,PUF!$S32,""),"")</f>
        <v/>
      </c>
      <c r="CF34" s="11">
        <f t="shared" si="6"/>
        <v>2016</v>
      </c>
      <c r="CG34" s="57" t="str">
        <f>IF(AND($B34=CG$3,$C34="Strong"),IF(PUF!$U32&gt;0,PUF!$U32,""),"")</f>
        <v/>
      </c>
      <c r="CH34" s="57" t="str">
        <f>IF(AND($B34=CH$3,$C34="Strong"),IF(PUF!$U32&gt;0,PUF!$U32,""),"")</f>
        <v/>
      </c>
      <c r="CI34" s="57" t="str">
        <f>IF(AND($B34=CI$3,$C34="Strong"),IF(PUF!$U32&gt;0,PUF!$U32,""),"")</f>
        <v/>
      </c>
      <c r="CJ34" s="57" t="str">
        <f>IF(AND($B34=CJ$3,$C34="Strong"),IF(PUF!$U32&gt;0,PUF!$U32,""),"")</f>
        <v/>
      </c>
      <c r="CK34" s="57" t="str">
        <f>IF(AND($B34=CK$3,$C34="Strong"),IF(PUF!$U32&gt;0,PUF!$U32,""),"")</f>
        <v/>
      </c>
      <c r="CL34" s="57" t="str">
        <f>IF(AND($B34=CL$3,$C34="Strong"),IF(PUF!$U32&gt;0,PUF!$U32,""),"")</f>
        <v/>
      </c>
      <c r="CM34" s="57" t="str">
        <f>IF(AND($B34=CM$3,$C34="Strong"),IF(PUF!$U32&gt;0,PUF!$U32,""),"")</f>
        <v/>
      </c>
      <c r="CN34" s="57" t="str">
        <f>IF(AND($B34=CN$3,$C34="Strong"),IF(PUF!$U32&gt;0,PUF!$U32,""),"")</f>
        <v/>
      </c>
    </row>
    <row r="35" spans="1:92" x14ac:dyDescent="0.3">
      <c r="A35" s="6">
        <f>PUF!A33</f>
        <v>32</v>
      </c>
      <c r="B35" s="6" t="str">
        <f>PUF!G33</f>
        <v>analog</v>
      </c>
      <c r="C35" t="str">
        <f>PUF!AL33</f>
        <v>Weak</v>
      </c>
      <c r="D35" s="166">
        <f>PUF!C33</f>
        <v>2016</v>
      </c>
      <c r="E35" s="167">
        <f>IF(AND($B35=E$3,$C35="Weak"),IF(PUF!$X33&gt;0,PUF!$X33,""),"")</f>
        <v>726.62721893491107</v>
      </c>
      <c r="F35" s="167" t="str">
        <f>IF(AND($B35=F$3,$C35="Weak"),IF(PUF!$X33&gt;0,PUF!$X33,""),"")</f>
        <v/>
      </c>
      <c r="G35" s="167" t="str">
        <f>IF(AND($B35=G$3,$C35="Weak"),IF(PUF!$X33&gt;0,PUF!$X33,""),"")</f>
        <v/>
      </c>
      <c r="H35" s="167" t="str">
        <f>IF(AND($B35=H$3,$C35="Weak"),IF(PUF!$X33&gt;0,PUF!$X33,""),"")</f>
        <v/>
      </c>
      <c r="I35" s="167" t="str">
        <f>IF(AND($B35=I$3,$C35="Weak"),IF(PUF!$X33&gt;0,PUF!$X33,""),"")</f>
        <v/>
      </c>
      <c r="J35" s="167" t="str">
        <f>IF(AND($B35=J$3,$C35="Weak"),IF(PUF!$X33&gt;0,PUF!$X33,""),"")</f>
        <v/>
      </c>
      <c r="K35" s="167" t="str">
        <f>IF(AND($B35=K$3,$C35="Weak"),IF(PUF!$X33&gt;0,PUF!$X33,""),"")</f>
        <v/>
      </c>
      <c r="L35" s="167" t="str">
        <f>IF(AND($B35=L$3,$C35="Weak"),IF(PUF!$X33&gt;0,PUF!$X33,""),"")</f>
        <v/>
      </c>
      <c r="N35" s="11">
        <f t="shared" si="0"/>
        <v>2016</v>
      </c>
      <c r="O35" s="57">
        <f>IF(AND($B35=O$3,$C35="Weak"),IF(PUF!$M33&gt;0,PUF!$M33,""),"")</f>
        <v>6.54</v>
      </c>
      <c r="P35" s="57" t="str">
        <f>IF(AND($B35=P$3,$C35="Weak"),IF(PUF!$M33&gt;0,PUF!$M33,""),"")</f>
        <v/>
      </c>
      <c r="Q35" s="57" t="str">
        <f>IF(AND($B35=Q$3,$C35="Weak"),IF(PUF!$M33&gt;0,PUF!$M33,""),"")</f>
        <v/>
      </c>
      <c r="R35" s="57" t="str">
        <f>IF(AND($B35=R$3,$C35="Weak"),IF(PUF!$M33&gt;0,PUF!$M33,""),"")</f>
        <v/>
      </c>
      <c r="S35" s="57" t="str">
        <f>IF(AND($B35=S$3,$C35="Weak"),IF(PUF!$M33&gt;0,PUF!$M33,""),"")</f>
        <v/>
      </c>
      <c r="T35" s="57" t="str">
        <f>IF(AND($B35=T$3,$C35="Weak"),IF(PUF!$M33&gt;0,PUF!$M33,""),"")</f>
        <v/>
      </c>
      <c r="U35" s="57" t="str">
        <f>IF(AND($B35=U$3,$C35="Weak"),IF(PUF!$M33&gt;0,PUF!$M33,""),"")</f>
        <v/>
      </c>
      <c r="V35" s="57" t="str">
        <f>IF(AND($B35=V$3,$C35="Weak"),IF(PUF!$M33&gt;0,PUF!$M33,""),"")</f>
        <v/>
      </c>
      <c r="W35" s="168"/>
      <c r="X35" s="166">
        <f t="shared" si="4"/>
        <v>2016</v>
      </c>
      <c r="Y35" s="57">
        <f>IF(AND($B35=Y$3,$C35="Weak"),IF(PUF!$S33&gt;0,PUF!$S33,""),"")</f>
        <v>2</v>
      </c>
      <c r="Z35" s="57" t="str">
        <f>IF(AND($B35=Z$3,$C35="Weak"),IF(PUF!$S33&gt;0,PUF!$S33,""),"")</f>
        <v/>
      </c>
      <c r="AA35" s="57" t="str">
        <f>IF(AND($B35=AA$3,$C35="Weak"),IF(PUF!$S33&gt;0,PUF!$S33,""),"")</f>
        <v/>
      </c>
      <c r="AB35" s="57" t="str">
        <f>IF(AND($B35=AB$3,$C35="Weak"),IF(PUF!$S33&gt;0,PUF!$S33,""),"")</f>
        <v/>
      </c>
      <c r="AC35" s="57" t="str">
        <f>IF(AND($B35=AC$3,$C35="Weak"),IF(PUF!$S33&gt;0,PUF!$S33,""),"")</f>
        <v/>
      </c>
      <c r="AD35" s="57" t="str">
        <f>IF(AND($B35=AD$3,$C35="Weak"),IF(PUF!$S33&gt;0,PUF!$S33,""),"")</f>
        <v/>
      </c>
      <c r="AE35" s="57" t="str">
        <f>IF(AND($B35=AE$3,$C35="Weak"),IF(PUF!$S33&gt;0,PUF!$S33,""),"")</f>
        <v/>
      </c>
      <c r="AF35" s="57" t="str">
        <f>IF(AND($B35=AF$3,$C35="Weak"),IF(PUF!$S33&gt;0,PUF!$S33,""),"")</f>
        <v/>
      </c>
      <c r="AH35" s="210">
        <f t="shared" si="1"/>
        <v>2016</v>
      </c>
      <c r="AI35" s="211">
        <f>IF(AND($B35=AI$3,$C35="Weak"),IF(PUF!$U33&gt;0,PUF!$U33,""),"")</f>
        <v>6.02</v>
      </c>
      <c r="AJ35" s="211" t="str">
        <f>IF(AND($B35=AJ$3,$C35="Weak"),IF(PUF!$U33&gt;0,PUF!$U33,""),"")</f>
        <v/>
      </c>
      <c r="AK35" s="211" t="str">
        <f>IF(AND($B35=AK$3,$C35="Weak"),IF(PUF!$U33&gt;0,PUF!$U33,""),"")</f>
        <v/>
      </c>
      <c r="AL35" s="211" t="str">
        <f>IF(AND($B35=AL$3,$C35="Weak"),IF(PUF!$U33&gt;0,PUF!$U33,""),"")</f>
        <v/>
      </c>
      <c r="AM35" s="211" t="str">
        <f>IF(AND($B35=AM$3,$C35="Weak"),IF(PUF!$U33&gt;0,PUF!$U33,""),"")</f>
        <v/>
      </c>
      <c r="AN35" s="211" t="str">
        <f>IF(AND($B35=AN$3,$C35="Weak"),IF(PUF!$U33&gt;0,PUF!$U33,""),"")</f>
        <v/>
      </c>
      <c r="AO35" s="211" t="str">
        <f>IF(AND($B35=AO$3,$C35="Weak"),IF(PUF!$U33&gt;0,PUF!$U33,""),"")</f>
        <v/>
      </c>
      <c r="AP35" s="211" t="str">
        <f>IF(AND($B35=AP$3,$C35="Weak"),IF(PUF!$U33&gt;0,PUF!$U33,""),"")</f>
        <v/>
      </c>
      <c r="BB35" s="166">
        <f t="shared" si="2"/>
        <v>2016</v>
      </c>
      <c r="BC35" s="57" t="str">
        <f>IF(AND($B35=BC$3,$C35="Strong"),IF(PUF!$X33&gt;0,PUF!$X33,""),"")</f>
        <v/>
      </c>
      <c r="BD35" s="57" t="str">
        <f>IF(AND($B35=BD$3,$C35="Strong"),IF(PUF!$X33&gt;0,PUF!$X33,""),"")</f>
        <v/>
      </c>
      <c r="BE35" s="57" t="str">
        <f>IF(AND($B35=BE$3,$C35="Strong"),IF(PUF!$X33&gt;0,PUF!$X33,""),"")</f>
        <v/>
      </c>
      <c r="BF35" s="57" t="str">
        <f>IF(AND($B35=BF$3,$C35="Strong"),IF(PUF!$X33&gt;0,PUF!$X33,""),"")</f>
        <v/>
      </c>
      <c r="BG35" s="57" t="str">
        <f>IF(AND($B35=BG$3,$C35="Strong"),IF(PUF!$X33&gt;0,PUF!$X33,""),"")</f>
        <v/>
      </c>
      <c r="BH35" s="57" t="str">
        <f>IF(AND($B35=BH$3,$C35="Strong"),IF(PUF!$X33&gt;0,PUF!$X33,""),"")</f>
        <v/>
      </c>
      <c r="BI35" s="57" t="str">
        <f>IF(AND($B35=BI$3,$C35="Strong"),IF(PUF!$X33&gt;0,PUF!$X33,""),"")</f>
        <v/>
      </c>
      <c r="BJ35" s="57" t="str">
        <f>IF(AND($B35=BJ$3,$C35="Strong"),IF(PUF!$X33&gt;0,PUF!$X33,""),"")</f>
        <v/>
      </c>
      <c r="BL35" s="166">
        <f t="shared" si="3"/>
        <v>2016</v>
      </c>
      <c r="BM35" s="57" t="str">
        <f>IF(AND($B35=BM$3,$C35="Strong"),IF(PUF!$M33&gt;0,PUF!$M33,""),"")</f>
        <v/>
      </c>
      <c r="BN35" s="57" t="str">
        <f>IF(AND($B35=BN$3,$C35="Strong"),IF(PUF!$M33&gt;0,PUF!$M33,""),"")</f>
        <v/>
      </c>
      <c r="BO35" s="57" t="str">
        <f>IF(AND($B35=BO$3,$C35="Strong"),IF(PUF!$M33&gt;0,PUF!$M33,""),"")</f>
        <v/>
      </c>
      <c r="BP35" s="57" t="str">
        <f>IF(AND($B35=BP$3,$C35="Strong"),IF(PUF!$M33&gt;0,PUF!$M33,""),"")</f>
        <v/>
      </c>
      <c r="BQ35" s="57" t="str">
        <f>IF(AND($B35=BQ$3,$C35="Strong"),IF(PUF!$M33&gt;0,PUF!$M33,""),"")</f>
        <v/>
      </c>
      <c r="BR35" s="57" t="str">
        <f>IF(AND($B35=BR$3,$C35="Strong"),IF(PUF!$M33&gt;0,PUF!$M33,""),"")</f>
        <v/>
      </c>
      <c r="BS35" s="57" t="str">
        <f>IF(AND($B35=BS$3,$C35="Strong"),IF(PUF!$M33&gt;0,PUF!$M33,""),"")</f>
        <v/>
      </c>
      <c r="BT35" s="57" t="str">
        <f>IF(AND($B35=BT$3,$C35="Strong"),IF(PUF!$M33&gt;0,PUF!$M33,""),"")</f>
        <v/>
      </c>
      <c r="BV35" s="166">
        <f t="shared" si="5"/>
        <v>2016</v>
      </c>
      <c r="BW35" s="57" t="str">
        <f>IF(AND($B35=BW$3,$C35="Strong"),IF(PUF!$S33&gt;0,PUF!$S33,""),"")</f>
        <v/>
      </c>
      <c r="BX35" s="57" t="str">
        <f>IF(AND($B35=BX$3,$C35="Strong"),IF(PUF!$S33&gt;0,PUF!$S33,""),"")</f>
        <v/>
      </c>
      <c r="BY35" s="57" t="str">
        <f>IF(AND($B35=BY$3,$C35="Strong"),IF(PUF!$S33&gt;0,PUF!$S33,""),"")</f>
        <v/>
      </c>
      <c r="BZ35" s="57" t="str">
        <f>IF(AND($B35=BZ$3,$C35="Strong"),IF(PUF!$S33&gt;0,PUF!$S33,""),"")</f>
        <v/>
      </c>
      <c r="CA35" s="57" t="str">
        <f>IF(AND($B35=CA$3,$C35="Strong"),IF(PUF!$S33&gt;0,PUF!$S33,""),"")</f>
        <v/>
      </c>
      <c r="CB35" s="57" t="str">
        <f>IF(AND($B35=CB$3,$C35="Strong"),IF(PUF!$S33&gt;0,PUF!$S33,""),"")</f>
        <v/>
      </c>
      <c r="CC35" s="57" t="str">
        <f>IF(AND($B35=CC$3,$C35="Strong"),IF(PUF!$S33&gt;0,PUF!$S33,""),"")</f>
        <v/>
      </c>
      <c r="CD35" s="57" t="str">
        <f>IF(AND($B35=CD$3,$C35="Strong"),IF(PUF!$S33&gt;0,PUF!$S33,""),"")</f>
        <v/>
      </c>
      <c r="CF35" s="11">
        <f t="shared" si="6"/>
        <v>2016</v>
      </c>
      <c r="CG35" s="57" t="str">
        <f>IF(AND($B35=CG$3,$C35="Strong"),IF(PUF!$U33&gt;0,PUF!$U33,""),"")</f>
        <v/>
      </c>
      <c r="CH35" s="57" t="str">
        <f>IF(AND($B35=CH$3,$C35="Strong"),IF(PUF!$U33&gt;0,PUF!$U33,""),"")</f>
        <v/>
      </c>
      <c r="CI35" s="57" t="str">
        <f>IF(AND($B35=CI$3,$C35="Strong"),IF(PUF!$U33&gt;0,PUF!$U33,""),"")</f>
        <v/>
      </c>
      <c r="CJ35" s="57" t="str">
        <f>IF(AND($B35=CJ$3,$C35="Strong"),IF(PUF!$U33&gt;0,PUF!$U33,""),"")</f>
        <v/>
      </c>
      <c r="CK35" s="57" t="str">
        <f>IF(AND($B35=CK$3,$C35="Strong"),IF(PUF!$U33&gt;0,PUF!$U33,""),"")</f>
        <v/>
      </c>
      <c r="CL35" s="57" t="str">
        <f>IF(AND($B35=CL$3,$C35="Strong"),IF(PUF!$U33&gt;0,PUF!$U33,""),"")</f>
        <v/>
      </c>
      <c r="CM35" s="57" t="str">
        <f>IF(AND($B35=CM$3,$C35="Strong"),IF(PUF!$U33&gt;0,PUF!$U33,""),"")</f>
        <v/>
      </c>
      <c r="CN35" s="57" t="str">
        <f>IF(AND($B35=CN$3,$C35="Strong"),IF(PUF!$U33&gt;0,PUF!$U33,""),"")</f>
        <v/>
      </c>
    </row>
    <row r="36" spans="1:92" x14ac:dyDescent="0.3">
      <c r="A36" s="6">
        <f>PUF!A34</f>
        <v>33</v>
      </c>
      <c r="B36" s="6" t="str">
        <f>PUF!G34</f>
        <v>metastability</v>
      </c>
      <c r="C36" t="str">
        <f>PUF!AL34</f>
        <v>Weak</v>
      </c>
      <c r="D36" s="166">
        <f>PUF!C34</f>
        <v>2016</v>
      </c>
      <c r="E36" s="167" t="str">
        <f>IF(AND($B36=E$3,$C36="Weak"),IF(PUF!$X34&gt;0,PUF!$X34,""),"")</f>
        <v/>
      </c>
      <c r="F36" s="167" t="str">
        <f>IF(AND($B36=F$3,$C36="Weak"),IF(PUF!$X34&gt;0,PUF!$X34,""),"")</f>
        <v/>
      </c>
      <c r="G36" s="167" t="str">
        <f>IF(AND($B36=G$3,$C36="Weak"),IF(PUF!$X34&gt;0,PUF!$X34,""),"")</f>
        <v/>
      </c>
      <c r="H36" s="167">
        <f>IF(AND($B36=H$3,$C36="Weak"),IF(PUF!$X34&gt;0,PUF!$X34,""),"")</f>
        <v>9387.7551020408155</v>
      </c>
      <c r="I36" s="167" t="str">
        <f>IF(AND($B36=I$3,$C36="Weak"),IF(PUF!$X34&gt;0,PUF!$X34,""),"")</f>
        <v/>
      </c>
      <c r="J36" s="167" t="str">
        <f>IF(AND($B36=J$3,$C36="Weak"),IF(PUF!$X34&gt;0,PUF!$X34,""),"")</f>
        <v/>
      </c>
      <c r="K36" s="167" t="str">
        <f>IF(AND($B36=K$3,$C36="Weak"),IF(PUF!$X34&gt;0,PUF!$X34,""),"")</f>
        <v/>
      </c>
      <c r="L36" s="167" t="str">
        <f>IF(AND($B36=L$3,$C36="Weak"),IF(PUF!$X34&gt;0,PUF!$X34,""),"")</f>
        <v/>
      </c>
      <c r="N36" s="11">
        <f t="shared" ref="N36:N61" si="7">D36</f>
        <v>2016</v>
      </c>
      <c r="O36" s="57" t="str">
        <f>IF(AND($B36=O$3,$C36="Weak"),IF(PUF!$M34&gt;0,PUF!$M34,""),"")</f>
        <v/>
      </c>
      <c r="P36" s="57" t="str">
        <f>IF(AND($B36=P$3,$C36="Weak"),IF(PUF!$M34&gt;0,PUF!$M34,""),"")</f>
        <v/>
      </c>
      <c r="Q36" s="57" t="str">
        <f>IF(AND($B36=Q$3,$C36="Weak"),IF(PUF!$M34&gt;0,PUF!$M34,""),"")</f>
        <v/>
      </c>
      <c r="R36" s="57">
        <f>IF(AND($B36=R$3,$C36="Weak"),IF(PUF!$M34&gt;0,PUF!$M34,""),"")</f>
        <v>5.76</v>
      </c>
      <c r="S36" s="57" t="str">
        <f>IF(AND($B36=S$3,$C36="Weak"),IF(PUF!$M34&gt;0,PUF!$M34,""),"")</f>
        <v/>
      </c>
      <c r="T36" s="57" t="str">
        <f>IF(AND($B36=T$3,$C36="Weak"),IF(PUF!$M34&gt;0,PUF!$M34,""),"")</f>
        <v/>
      </c>
      <c r="U36" s="57" t="str">
        <f>IF(AND($B36=U$3,$C36="Weak"),IF(PUF!$M34&gt;0,PUF!$M34,""),"")</f>
        <v/>
      </c>
      <c r="V36" s="57" t="str">
        <f>IF(AND($B36=V$3,$C36="Weak"),IF(PUF!$M34&gt;0,PUF!$M34,""),"")</f>
        <v/>
      </c>
      <c r="W36" s="168"/>
      <c r="X36" s="166">
        <f t="shared" si="4"/>
        <v>2016</v>
      </c>
      <c r="Y36" s="57" t="str">
        <f>IF(AND($B36=Y$3,$C36="Weak"),IF(PUF!$S34&gt;0,PUF!$S34,""),"")</f>
        <v/>
      </c>
      <c r="Z36" s="57" t="str">
        <f>IF(AND($B36=Z$3,$C36="Weak"),IF(PUF!$S34&gt;0,PUF!$S34,""),"")</f>
        <v/>
      </c>
      <c r="AA36" s="57" t="str">
        <f>IF(AND($B36=AA$3,$C36="Weak"),IF(PUF!$S34&gt;0,PUF!$S34,""),"")</f>
        <v/>
      </c>
      <c r="AB36" s="57">
        <f>IF(AND($B36=AB$3,$C36="Weak"),IF(PUF!$S34&gt;0,PUF!$S34,""),"")</f>
        <v>1.46</v>
      </c>
      <c r="AC36" s="57" t="str">
        <f>IF(AND($B36=AC$3,$C36="Weak"),IF(PUF!$S34&gt;0,PUF!$S34,""),"")</f>
        <v/>
      </c>
      <c r="AD36" s="57" t="str">
        <f>IF(AND($B36=AD$3,$C36="Weak"),IF(PUF!$S34&gt;0,PUF!$S34,""),"")</f>
        <v/>
      </c>
      <c r="AE36" s="57" t="str">
        <f>IF(AND($B36=AE$3,$C36="Weak"),IF(PUF!$S34&gt;0,PUF!$S34,""),"")</f>
        <v/>
      </c>
      <c r="AF36" s="57" t="str">
        <f>IF(AND($B36=AF$3,$C36="Weak"),IF(PUF!$S34&gt;0,PUF!$S34,""),"")</f>
        <v/>
      </c>
      <c r="AH36" s="210">
        <f t="shared" ref="AH36:AH61" si="8">D36</f>
        <v>2016</v>
      </c>
      <c r="AI36" s="211" t="str">
        <f>IF(AND($B36=AI$3,$C36="Weak"),IF(PUF!$U34&gt;0,PUF!$U34,""),"")</f>
        <v/>
      </c>
      <c r="AJ36" s="211" t="str">
        <f>IF(AND($B36=AJ$3,$C36="Weak"),IF(PUF!$U34&gt;0,PUF!$U34,""),"")</f>
        <v/>
      </c>
      <c r="AK36" s="211" t="str">
        <f>IF(AND($B36=AK$3,$C36="Weak"),IF(PUF!$U34&gt;0,PUF!$U34,""),"")</f>
        <v/>
      </c>
      <c r="AL36" s="211">
        <f>IF(AND($B36=AL$3,$C36="Weak"),IF(PUF!$U34&gt;0,PUF!$U34,""),"")</f>
        <v>4.0000000000000001E-3</v>
      </c>
      <c r="AM36" s="211" t="str">
        <f>IF(AND($B36=AM$3,$C36="Weak"),IF(PUF!$U34&gt;0,PUF!$U34,""),"")</f>
        <v/>
      </c>
      <c r="AN36" s="211" t="str">
        <f>IF(AND($B36=AN$3,$C36="Weak"),IF(PUF!$U34&gt;0,PUF!$U34,""),"")</f>
        <v/>
      </c>
      <c r="AO36" s="211" t="str">
        <f>IF(AND($B36=AO$3,$C36="Weak"),IF(PUF!$U34&gt;0,PUF!$U34,""),"")</f>
        <v/>
      </c>
      <c r="AP36" s="211" t="str">
        <f>IF(AND($B36=AP$3,$C36="Weak"),IF(PUF!$U34&gt;0,PUF!$U34,""),"")</f>
        <v/>
      </c>
      <c r="BB36" s="166">
        <f t="shared" ref="BB36:BB67" si="9">D36</f>
        <v>2016</v>
      </c>
      <c r="BC36" s="57" t="str">
        <f>IF(AND($B36=BC$3,$C36="Strong"),IF(PUF!$X34&gt;0,PUF!$X34,""),"")</f>
        <v/>
      </c>
      <c r="BD36" s="57" t="str">
        <f>IF(AND($B36=BD$3,$C36="Strong"),IF(PUF!$X34&gt;0,PUF!$X34,""),"")</f>
        <v/>
      </c>
      <c r="BE36" s="57" t="str">
        <f>IF(AND($B36=BE$3,$C36="Strong"),IF(PUF!$X34&gt;0,PUF!$X34,""),"")</f>
        <v/>
      </c>
      <c r="BF36" s="57" t="str">
        <f>IF(AND($B36=BF$3,$C36="Strong"),IF(PUF!$X34&gt;0,PUF!$X34,""),"")</f>
        <v/>
      </c>
      <c r="BG36" s="57" t="str">
        <f>IF(AND($B36=BG$3,$C36="Strong"),IF(PUF!$X34&gt;0,PUF!$X34,""),"")</f>
        <v/>
      </c>
      <c r="BH36" s="57" t="str">
        <f>IF(AND($B36=BH$3,$C36="Strong"),IF(PUF!$X34&gt;0,PUF!$X34,""),"")</f>
        <v/>
      </c>
      <c r="BI36" s="57" t="str">
        <f>IF(AND($B36=BI$3,$C36="Strong"),IF(PUF!$X34&gt;0,PUF!$X34,""),"")</f>
        <v/>
      </c>
      <c r="BJ36" s="57" t="str">
        <f>IF(AND($B36=BJ$3,$C36="Strong"),IF(PUF!$X34&gt;0,PUF!$X34,""),"")</f>
        <v/>
      </c>
      <c r="BL36" s="166">
        <f t="shared" ref="BL36:BL67" si="10">D36</f>
        <v>2016</v>
      </c>
      <c r="BM36" s="57" t="str">
        <f>IF(AND($B36=BM$3,$C36="Strong"),IF(PUF!$M34&gt;0,PUF!$M34,""),"")</f>
        <v/>
      </c>
      <c r="BN36" s="57" t="str">
        <f>IF(AND($B36=BN$3,$C36="Strong"),IF(PUF!$M34&gt;0,PUF!$M34,""),"")</f>
        <v/>
      </c>
      <c r="BO36" s="57" t="str">
        <f>IF(AND($B36=BO$3,$C36="Strong"),IF(PUF!$M34&gt;0,PUF!$M34,""),"")</f>
        <v/>
      </c>
      <c r="BP36" s="57" t="str">
        <f>IF(AND($B36=BP$3,$C36="Strong"),IF(PUF!$M34&gt;0,PUF!$M34,""),"")</f>
        <v/>
      </c>
      <c r="BQ36" s="57" t="str">
        <f>IF(AND($B36=BQ$3,$C36="Strong"),IF(PUF!$M34&gt;0,PUF!$M34,""),"")</f>
        <v/>
      </c>
      <c r="BR36" s="57" t="str">
        <f>IF(AND($B36=BR$3,$C36="Strong"),IF(PUF!$M34&gt;0,PUF!$M34,""),"")</f>
        <v/>
      </c>
      <c r="BS36" s="57" t="str">
        <f>IF(AND($B36=BS$3,$C36="Strong"),IF(PUF!$M34&gt;0,PUF!$M34,""),"")</f>
        <v/>
      </c>
      <c r="BT36" s="57" t="str">
        <f>IF(AND($B36=BT$3,$C36="Strong"),IF(PUF!$M34&gt;0,PUF!$M34,""),"")</f>
        <v/>
      </c>
      <c r="BV36" s="166">
        <f t="shared" si="5"/>
        <v>2016</v>
      </c>
      <c r="BW36" s="57" t="str">
        <f>IF(AND($B36=BW$3,$C36="Strong"),IF(PUF!$S34&gt;0,PUF!$S34,""),"")</f>
        <v/>
      </c>
      <c r="BX36" s="57" t="str">
        <f>IF(AND($B36=BX$3,$C36="Strong"),IF(PUF!$S34&gt;0,PUF!$S34,""),"")</f>
        <v/>
      </c>
      <c r="BY36" s="57" t="str">
        <f>IF(AND($B36=BY$3,$C36="Strong"),IF(PUF!$S34&gt;0,PUF!$S34,""),"")</f>
        <v/>
      </c>
      <c r="BZ36" s="57" t="str">
        <f>IF(AND($B36=BZ$3,$C36="Strong"),IF(PUF!$S34&gt;0,PUF!$S34,""),"")</f>
        <v/>
      </c>
      <c r="CA36" s="57" t="str">
        <f>IF(AND($B36=CA$3,$C36="Strong"),IF(PUF!$S34&gt;0,PUF!$S34,""),"")</f>
        <v/>
      </c>
      <c r="CB36" s="57" t="str">
        <f>IF(AND($B36=CB$3,$C36="Strong"),IF(PUF!$S34&gt;0,PUF!$S34,""),"")</f>
        <v/>
      </c>
      <c r="CC36" s="57" t="str">
        <f>IF(AND($B36=CC$3,$C36="Strong"),IF(PUF!$S34&gt;0,PUF!$S34,""),"")</f>
        <v/>
      </c>
      <c r="CD36" s="57" t="str">
        <f>IF(AND($B36=CD$3,$C36="Strong"),IF(PUF!$S34&gt;0,PUF!$S34,""),"")</f>
        <v/>
      </c>
      <c r="CF36" s="11">
        <f t="shared" si="6"/>
        <v>2016</v>
      </c>
      <c r="CG36" s="57" t="str">
        <f>IF(AND($B36=CG$3,$C36="Strong"),IF(PUF!$U34&gt;0,PUF!$U34,""),"")</f>
        <v/>
      </c>
      <c r="CH36" s="57" t="str">
        <f>IF(AND($B36=CH$3,$C36="Strong"),IF(PUF!$U34&gt;0,PUF!$U34,""),"")</f>
        <v/>
      </c>
      <c r="CI36" s="57" t="str">
        <f>IF(AND($B36=CI$3,$C36="Strong"),IF(PUF!$U34&gt;0,PUF!$U34,""),"")</f>
        <v/>
      </c>
      <c r="CJ36" s="57" t="str">
        <f>IF(AND($B36=CJ$3,$C36="Strong"),IF(PUF!$U34&gt;0,PUF!$U34,""),"")</f>
        <v/>
      </c>
      <c r="CK36" s="57" t="str">
        <f>IF(AND($B36=CK$3,$C36="Strong"),IF(PUF!$U34&gt;0,PUF!$U34,""),"")</f>
        <v/>
      </c>
      <c r="CL36" s="57" t="str">
        <f>IF(AND($B36=CL$3,$C36="Strong"),IF(PUF!$U34&gt;0,PUF!$U34,""),"")</f>
        <v/>
      </c>
      <c r="CM36" s="57" t="str">
        <f>IF(AND($B36=CM$3,$C36="Strong"),IF(PUF!$U34&gt;0,PUF!$U34,""),"")</f>
        <v/>
      </c>
      <c r="CN36" s="57" t="str">
        <f>IF(AND($B36=CN$3,$C36="Strong"),IF(PUF!$U34&gt;0,PUF!$U34,""),"")</f>
        <v/>
      </c>
    </row>
    <row r="37" spans="1:92" x14ac:dyDescent="0.3">
      <c r="A37" s="6">
        <f>PUF!A35</f>
        <v>34</v>
      </c>
      <c r="B37" s="6" t="str">
        <f>PUF!G35</f>
        <v>memory (non-volatile)</v>
      </c>
      <c r="C37" t="str">
        <f>PUF!AL35</f>
        <v>Weak</v>
      </c>
      <c r="D37" s="166">
        <f>PUF!C35</f>
        <v>2016</v>
      </c>
      <c r="E37" s="167" t="str">
        <f>IF(AND($B37=E$3,$C37="Weak"),IF(PUF!$X35&gt;0,PUF!$X35,""),"")</f>
        <v/>
      </c>
      <c r="F37" s="167" t="str">
        <f>IF(AND($B37=F$3,$C37="Weak"),IF(PUF!$X35&gt;0,PUF!$X35,""),"")</f>
        <v/>
      </c>
      <c r="G37" s="167" t="str">
        <f>IF(AND($B37=G$3,$C37="Weak"),IF(PUF!$X35&gt;0,PUF!$X35,""),"")</f>
        <v/>
      </c>
      <c r="H37" s="167" t="str">
        <f>IF(AND($B37=H$3,$C37="Weak"),IF(PUF!$X35&gt;0,PUF!$X35,""),"")</f>
        <v/>
      </c>
      <c r="I37" s="167" t="str">
        <f>IF(AND($B37=I$3,$C37="Weak"),IF(PUF!$X35&gt;0,PUF!$X35,""),"")</f>
        <v/>
      </c>
      <c r="J37" s="167">
        <f>IF(AND($B37=J$3,$C37="Weak"),IF(PUF!$X35&gt;0,PUF!$X35,""),"")</f>
        <v>60.625</v>
      </c>
      <c r="K37" s="167" t="str">
        <f>IF(AND($B37=K$3,$C37="Weak"),IF(PUF!$X35&gt;0,PUF!$X35,""),"")</f>
        <v/>
      </c>
      <c r="L37" s="167" t="str">
        <f>IF(AND($B37=L$3,$C37="Weak"),IF(PUF!$X35&gt;0,PUF!$X35,""),"")</f>
        <v/>
      </c>
      <c r="N37" s="11">
        <f t="shared" si="7"/>
        <v>2016</v>
      </c>
      <c r="O37" s="57" t="str">
        <f>IF(AND($B37=O$3,$C37="Weak"),IF(PUF!$M35&gt;0,PUF!$M35,""),"")</f>
        <v/>
      </c>
      <c r="P37" s="57" t="str">
        <f>IF(AND($B37=P$3,$C37="Weak"),IF(PUF!$M35&gt;0,PUF!$M35,""),"")</f>
        <v/>
      </c>
      <c r="Q37" s="57" t="str">
        <f>IF(AND($B37=Q$3,$C37="Weak"),IF(PUF!$M35&gt;0,PUF!$M35,""),"")</f>
        <v/>
      </c>
      <c r="R37" s="57" t="str">
        <f>IF(AND($B37=R$3,$C37="Weak"),IF(PUF!$M35&gt;0,PUF!$M35,""),"")</f>
        <v/>
      </c>
      <c r="S37" s="57" t="str">
        <f>IF(AND($B37=S$3,$C37="Weak"),IF(PUF!$M35&gt;0,PUF!$M35,""),"")</f>
        <v/>
      </c>
      <c r="T37" s="57">
        <f>IF(AND($B37=T$3,$C37="Weak"),IF(PUF!$M35&gt;0,PUF!$M35,""),"")</f>
        <v>0.5</v>
      </c>
      <c r="U37" s="57" t="str">
        <f>IF(AND($B37=U$3,$C37="Weak"),IF(PUF!$M35&gt;0,PUF!$M35,""),"")</f>
        <v/>
      </c>
      <c r="V37" s="57" t="str">
        <f>IF(AND($B37=V$3,$C37="Weak"),IF(PUF!$M35&gt;0,PUF!$M35,""),"")</f>
        <v/>
      </c>
      <c r="W37" s="168"/>
      <c r="X37" s="166">
        <f t="shared" si="4"/>
        <v>2016</v>
      </c>
      <c r="Y37" s="57" t="str">
        <f>IF(AND($B37=Y$3,$C37="Weak"),IF(PUF!$S35&gt;0,PUF!$S35,""),"")</f>
        <v/>
      </c>
      <c r="Z37" s="57" t="str">
        <f>IF(AND($B37=Z$3,$C37="Weak"),IF(PUF!$S35&gt;0,PUF!$S35,""),"")</f>
        <v/>
      </c>
      <c r="AA37" s="57" t="str">
        <f>IF(AND($B37=AA$3,$C37="Weak"),IF(PUF!$S35&gt;0,PUF!$S35,""),"")</f>
        <v/>
      </c>
      <c r="AB37" s="57" t="str">
        <f>IF(AND($B37=AB$3,$C37="Weak"),IF(PUF!$S35&gt;0,PUF!$S35,""),"")</f>
        <v/>
      </c>
      <c r="AC37" s="57" t="str">
        <f>IF(AND($B37=AC$3,$C37="Weak"),IF(PUF!$S35&gt;0,PUF!$S35,""),"")</f>
        <v/>
      </c>
      <c r="AD37" s="57">
        <f>IF(AND($B37=AD$3,$C37="Weak"),IF(PUF!$S35&gt;0,PUF!$S35,""),"")</f>
        <v>0.5</v>
      </c>
      <c r="AE37" s="57" t="str">
        <f>IF(AND($B37=AE$3,$C37="Weak"),IF(PUF!$S35&gt;0,PUF!$S35,""),"")</f>
        <v/>
      </c>
      <c r="AF37" s="57" t="str">
        <f>IF(AND($B37=AF$3,$C37="Weak"),IF(PUF!$S35&gt;0,PUF!$S35,""),"")</f>
        <v/>
      </c>
      <c r="AH37" s="210">
        <f t="shared" si="8"/>
        <v>2016</v>
      </c>
      <c r="AI37" s="211" t="str">
        <f>IF(AND($B37=AI$3,$C37="Weak"),IF(PUF!$U35&gt;0,PUF!$U35,""),"")</f>
        <v/>
      </c>
      <c r="AJ37" s="211" t="str">
        <f>IF(AND($B37=AJ$3,$C37="Weak"),IF(PUF!$U35&gt;0,PUF!$U35,""),"")</f>
        <v/>
      </c>
      <c r="AK37" s="211" t="str">
        <f>IF(AND($B37=AK$3,$C37="Weak"),IF(PUF!$U35&gt;0,PUF!$U35,""),"")</f>
        <v/>
      </c>
      <c r="AL37" s="211" t="str">
        <f>IF(AND($B37=AL$3,$C37="Weak"),IF(PUF!$U35&gt;0,PUF!$U35,""),"")</f>
        <v/>
      </c>
      <c r="AM37" s="211" t="str">
        <f>IF(AND($B37=AM$3,$C37="Weak"),IF(PUF!$U35&gt;0,PUF!$U35,""),"")</f>
        <v/>
      </c>
      <c r="AN37" s="211" t="str">
        <f>IF(AND($B37=AN$3,$C37="Weak"),IF(PUF!$U35&gt;0,PUF!$U35,""),"")</f>
        <v>N/A</v>
      </c>
      <c r="AO37" s="211" t="str">
        <f>IF(AND($B37=AO$3,$C37="Weak"),IF(PUF!$U35&gt;0,PUF!$U35,""),"")</f>
        <v/>
      </c>
      <c r="AP37" s="211" t="str">
        <f>IF(AND($B37=AP$3,$C37="Weak"),IF(PUF!$U35&gt;0,PUF!$U35,""),"")</f>
        <v/>
      </c>
      <c r="BB37" s="166">
        <f t="shared" si="9"/>
        <v>2016</v>
      </c>
      <c r="BC37" s="57" t="str">
        <f>IF(AND($B37=BC$3,$C37="Strong"),IF(PUF!$X35&gt;0,PUF!$X35,""),"")</f>
        <v/>
      </c>
      <c r="BD37" s="57" t="str">
        <f>IF(AND($B37=BD$3,$C37="Strong"),IF(PUF!$X35&gt;0,PUF!$X35,""),"")</f>
        <v/>
      </c>
      <c r="BE37" s="57" t="str">
        <f>IF(AND($B37=BE$3,$C37="Strong"),IF(PUF!$X35&gt;0,PUF!$X35,""),"")</f>
        <v/>
      </c>
      <c r="BF37" s="57" t="str">
        <f>IF(AND($B37=BF$3,$C37="Strong"),IF(PUF!$X35&gt;0,PUF!$X35,""),"")</f>
        <v/>
      </c>
      <c r="BG37" s="57" t="str">
        <f>IF(AND($B37=BG$3,$C37="Strong"),IF(PUF!$X35&gt;0,PUF!$X35,""),"")</f>
        <v/>
      </c>
      <c r="BH37" s="57" t="str">
        <f>IF(AND($B37=BH$3,$C37="Strong"),IF(PUF!$X35&gt;0,PUF!$X35,""),"")</f>
        <v/>
      </c>
      <c r="BI37" s="57" t="str">
        <f>IF(AND($B37=BI$3,$C37="Strong"),IF(PUF!$X35&gt;0,PUF!$X35,""),"")</f>
        <v/>
      </c>
      <c r="BJ37" s="57" t="str">
        <f>IF(AND($B37=BJ$3,$C37="Strong"),IF(PUF!$X35&gt;0,PUF!$X35,""),"")</f>
        <v/>
      </c>
      <c r="BL37" s="166">
        <f t="shared" si="10"/>
        <v>2016</v>
      </c>
      <c r="BM37" s="57" t="str">
        <f>IF(AND($B37=BM$3,$C37="Strong"),IF(PUF!$M35&gt;0,PUF!$M35,""),"")</f>
        <v/>
      </c>
      <c r="BN37" s="57" t="str">
        <f>IF(AND($B37=BN$3,$C37="Strong"),IF(PUF!$M35&gt;0,PUF!$M35,""),"")</f>
        <v/>
      </c>
      <c r="BO37" s="57" t="str">
        <f>IF(AND($B37=BO$3,$C37="Strong"),IF(PUF!$M35&gt;0,PUF!$M35,""),"")</f>
        <v/>
      </c>
      <c r="BP37" s="57" t="str">
        <f>IF(AND($B37=BP$3,$C37="Strong"),IF(PUF!$M35&gt;0,PUF!$M35,""),"")</f>
        <v/>
      </c>
      <c r="BQ37" s="57" t="str">
        <f>IF(AND($B37=BQ$3,$C37="Strong"),IF(PUF!$M35&gt;0,PUF!$M35,""),"")</f>
        <v/>
      </c>
      <c r="BR37" s="57" t="str">
        <f>IF(AND($B37=BR$3,$C37="Strong"),IF(PUF!$M35&gt;0,PUF!$M35,""),"")</f>
        <v/>
      </c>
      <c r="BS37" s="57" t="str">
        <f>IF(AND($B37=BS$3,$C37="Strong"),IF(PUF!$M35&gt;0,PUF!$M35,""),"")</f>
        <v/>
      </c>
      <c r="BT37" s="57" t="str">
        <f>IF(AND($B37=BT$3,$C37="Strong"),IF(PUF!$M35&gt;0,PUF!$M35,""),"")</f>
        <v/>
      </c>
      <c r="BV37" s="166">
        <f t="shared" si="5"/>
        <v>2016</v>
      </c>
      <c r="BW37" s="57" t="str">
        <f>IF(AND($B37=BW$3,$C37="Strong"),IF(PUF!$S35&gt;0,PUF!$S35,""),"")</f>
        <v/>
      </c>
      <c r="BX37" s="57" t="str">
        <f>IF(AND($B37=BX$3,$C37="Strong"),IF(PUF!$S35&gt;0,PUF!$S35,""),"")</f>
        <v/>
      </c>
      <c r="BY37" s="57" t="str">
        <f>IF(AND($B37=BY$3,$C37="Strong"),IF(PUF!$S35&gt;0,PUF!$S35,""),"")</f>
        <v/>
      </c>
      <c r="BZ37" s="57" t="str">
        <f>IF(AND($B37=BZ$3,$C37="Strong"),IF(PUF!$S35&gt;0,PUF!$S35,""),"")</f>
        <v/>
      </c>
      <c r="CA37" s="57" t="str">
        <f>IF(AND($B37=CA$3,$C37="Strong"),IF(PUF!$S35&gt;0,PUF!$S35,""),"")</f>
        <v/>
      </c>
      <c r="CB37" s="57" t="str">
        <f>IF(AND($B37=CB$3,$C37="Strong"),IF(PUF!$S35&gt;0,PUF!$S35,""),"")</f>
        <v/>
      </c>
      <c r="CC37" s="57" t="str">
        <f>IF(AND($B37=CC$3,$C37="Strong"),IF(PUF!$S35&gt;0,PUF!$S35,""),"")</f>
        <v/>
      </c>
      <c r="CD37" s="57" t="str">
        <f>IF(AND($B37=CD$3,$C37="Strong"),IF(PUF!$S35&gt;0,PUF!$S35,""),"")</f>
        <v/>
      </c>
      <c r="CF37" s="11">
        <f t="shared" si="6"/>
        <v>2016</v>
      </c>
      <c r="CG37" s="57" t="str">
        <f>IF(AND($B37=CG$3,$C37="Strong"),IF(PUF!$U35&gt;0,PUF!$U35,""),"")</f>
        <v/>
      </c>
      <c r="CH37" s="57" t="str">
        <f>IF(AND($B37=CH$3,$C37="Strong"),IF(PUF!$U35&gt;0,PUF!$U35,""),"")</f>
        <v/>
      </c>
      <c r="CI37" s="57" t="str">
        <f>IF(AND($B37=CI$3,$C37="Strong"),IF(PUF!$U35&gt;0,PUF!$U35,""),"")</f>
        <v/>
      </c>
      <c r="CJ37" s="57" t="str">
        <f>IF(AND($B37=CJ$3,$C37="Strong"),IF(PUF!$U35&gt;0,PUF!$U35,""),"")</f>
        <v/>
      </c>
      <c r="CK37" s="57" t="str">
        <f>IF(AND($B37=CK$3,$C37="Strong"),IF(PUF!$U35&gt;0,PUF!$U35,""),"")</f>
        <v/>
      </c>
      <c r="CL37" s="57" t="str">
        <f>IF(AND($B37=CL$3,$C37="Strong"),IF(PUF!$U35&gt;0,PUF!$U35,""),"")</f>
        <v/>
      </c>
      <c r="CM37" s="57" t="str">
        <f>IF(AND($B37=CM$3,$C37="Strong"),IF(PUF!$U35&gt;0,PUF!$U35,""),"")</f>
        <v/>
      </c>
      <c r="CN37" s="57" t="str">
        <f>IF(AND($B37=CN$3,$C37="Strong"),IF(PUF!$U35&gt;0,PUF!$U35,""),"")</f>
        <v/>
      </c>
    </row>
    <row r="38" spans="1:92" x14ac:dyDescent="0.3">
      <c r="A38" s="6">
        <f>PUF!A36</f>
        <v>35</v>
      </c>
      <c r="B38" s="6" t="str">
        <f>PUF!G36</f>
        <v>monostable</v>
      </c>
      <c r="C38" t="str">
        <f>PUF!AL36</f>
        <v>Weak</v>
      </c>
      <c r="D38" s="166">
        <f>PUF!C36</f>
        <v>2017</v>
      </c>
      <c r="E38" s="167" t="str">
        <f>IF(AND($B38=E$3,$C38="Weak"),IF(PUF!$X36&gt;0,PUF!$X36,""),"")</f>
        <v/>
      </c>
      <c r="F38" s="167" t="str">
        <f>IF(AND($B38=F$3,$C38="Weak"),IF(PUF!$X36&gt;0,PUF!$X36,""),"")</f>
        <v/>
      </c>
      <c r="G38" s="167" t="str">
        <f>IF(AND($B38=G$3,$C38="Weak"),IF(PUF!$X36&gt;0,PUF!$X36,""),"")</f>
        <v/>
      </c>
      <c r="H38" s="167" t="str">
        <f>IF(AND($B38=H$3,$C38="Weak"),IF(PUF!$X36&gt;0,PUF!$X36,""),"")</f>
        <v/>
      </c>
      <c r="I38" s="167">
        <f>IF(AND($B38=I$3,$C38="Weak"),IF(PUF!$X36&gt;0,PUF!$X36,""),"")</f>
        <v>782</v>
      </c>
      <c r="J38" s="167" t="str">
        <f>IF(AND($B38=J$3,$C38="Weak"),IF(PUF!$X36&gt;0,PUF!$X36,""),"")</f>
        <v/>
      </c>
      <c r="K38" s="167" t="str">
        <f>IF(AND($B38=K$3,$C38="Weak"),IF(PUF!$X36&gt;0,PUF!$X36,""),"")</f>
        <v/>
      </c>
      <c r="L38" s="167" t="str">
        <f>IF(AND($B38=L$3,$C38="Weak"),IF(PUF!$X36&gt;0,PUF!$X36,""),"")</f>
        <v/>
      </c>
      <c r="N38" s="11">
        <f t="shared" si="7"/>
        <v>2017</v>
      </c>
      <c r="O38" s="57" t="str">
        <f>IF(AND($B38=O$3,$C38="Weak"),IF(PUF!$M36&gt;0,PUF!$M36,""),"")</f>
        <v/>
      </c>
      <c r="P38" s="57" t="str">
        <f>IF(AND($B38=P$3,$C38="Weak"),IF(PUF!$M36&gt;0,PUF!$M36,""),"")</f>
        <v/>
      </c>
      <c r="Q38" s="57" t="str">
        <f>IF(AND($B38=Q$3,$C38="Weak"),IF(PUF!$M36&gt;0,PUF!$M36,""),"")</f>
        <v/>
      </c>
      <c r="R38" s="57" t="str">
        <f>IF(AND($B38=R$3,$C38="Weak"),IF(PUF!$M36&gt;0,PUF!$M36,""),"")</f>
        <v/>
      </c>
      <c r="S38" s="57">
        <f>IF(AND($B38=S$3,$C38="Weak"),IF(PUF!$M36&gt;0,PUF!$M36,""),"")</f>
        <v>0.18</v>
      </c>
      <c r="T38" s="57" t="str">
        <f>IF(AND($B38=T$3,$C38="Weak"),IF(PUF!$M36&gt;0,PUF!$M36,""),"")</f>
        <v/>
      </c>
      <c r="U38" s="57" t="str">
        <f>IF(AND($B38=U$3,$C38="Weak"),IF(PUF!$M36&gt;0,PUF!$M36,""),"")</f>
        <v/>
      </c>
      <c r="V38" s="57" t="str">
        <f>IF(AND($B38=V$3,$C38="Weak"),IF(PUF!$M36&gt;0,PUF!$M36,""),"")</f>
        <v/>
      </c>
      <c r="W38" s="168"/>
      <c r="X38" s="166">
        <f t="shared" si="4"/>
        <v>2017</v>
      </c>
      <c r="Y38" s="57" t="str">
        <f>IF(AND($B38=Y$3,$C38="Weak"),IF(PUF!$S36&gt;0,PUF!$S36,""),"")</f>
        <v/>
      </c>
      <c r="Z38" s="57" t="str">
        <f>IF(AND($B38=Z$3,$C38="Weak"),IF(PUF!$S36&gt;0,PUF!$S36,""),"")</f>
        <v/>
      </c>
      <c r="AA38" s="57" t="str">
        <f>IF(AND($B38=AA$3,$C38="Weak"),IF(PUF!$S36&gt;0,PUF!$S36,""),"")</f>
        <v/>
      </c>
      <c r="AB38" s="57" t="str">
        <f>IF(AND($B38=AB$3,$C38="Weak"),IF(PUF!$S36&gt;0,PUF!$S36,""),"")</f>
        <v/>
      </c>
      <c r="AC38" s="57">
        <f>IF(AND($B38=AC$3,$C38="Weak"),IF(PUF!$S36&gt;0,PUF!$S36,""),"")</f>
        <v>0.08</v>
      </c>
      <c r="AD38" s="57" t="str">
        <f>IF(AND($B38=AD$3,$C38="Weak"),IF(PUF!$S36&gt;0,PUF!$S36,""),"")</f>
        <v/>
      </c>
      <c r="AE38" s="57" t="str">
        <f>IF(AND($B38=AE$3,$C38="Weak"),IF(PUF!$S36&gt;0,PUF!$S36,""),"")</f>
        <v/>
      </c>
      <c r="AF38" s="57" t="str">
        <f>IF(AND($B38=AF$3,$C38="Weak"),IF(PUF!$S36&gt;0,PUF!$S36,""),"")</f>
        <v/>
      </c>
      <c r="AH38" s="210">
        <f t="shared" si="8"/>
        <v>2017</v>
      </c>
      <c r="AI38" s="211" t="str">
        <f>IF(AND($B38=AI$3,$C38="Weak"),IF(PUF!$U36&gt;0,PUF!$U36,""),"")</f>
        <v/>
      </c>
      <c r="AJ38" s="211" t="str">
        <f>IF(AND($B38=AJ$3,$C38="Weak"),IF(PUF!$U36&gt;0,PUF!$U36,""),"")</f>
        <v/>
      </c>
      <c r="AK38" s="211" t="str">
        <f>IF(AND($B38=AK$3,$C38="Weak"),IF(PUF!$U36&gt;0,PUF!$U36,""),"")</f>
        <v/>
      </c>
      <c r="AL38" s="211" t="str">
        <f>IF(AND($B38=AL$3,$C38="Weak"),IF(PUF!$U36&gt;0,PUF!$U36,""),"")</f>
        <v/>
      </c>
      <c r="AM38" s="211">
        <f>IF(AND($B38=AM$3,$C38="Weak"),IF(PUF!$U36&gt;0,PUF!$U36,""),"")</f>
        <v>1.4E-2</v>
      </c>
      <c r="AN38" s="211" t="str">
        <f>IF(AND($B38=AN$3,$C38="Weak"),IF(PUF!$U36&gt;0,PUF!$U36,""),"")</f>
        <v/>
      </c>
      <c r="AO38" s="211" t="str">
        <f>IF(AND($B38=AO$3,$C38="Weak"),IF(PUF!$U36&gt;0,PUF!$U36,""),"")</f>
        <v/>
      </c>
      <c r="AP38" s="211" t="str">
        <f>IF(AND($B38=AP$3,$C38="Weak"),IF(PUF!$U36&gt;0,PUF!$U36,""),"")</f>
        <v/>
      </c>
      <c r="BB38" s="166">
        <f t="shared" si="9"/>
        <v>2017</v>
      </c>
      <c r="BC38" s="57" t="str">
        <f>IF(AND($B38=BC$3,$C38="Strong"),IF(PUF!$X36&gt;0,PUF!$X36,""),"")</f>
        <v/>
      </c>
      <c r="BD38" s="57" t="str">
        <f>IF(AND($B38=BD$3,$C38="Strong"),IF(PUF!$X36&gt;0,PUF!$X36,""),"")</f>
        <v/>
      </c>
      <c r="BE38" s="57" t="str">
        <f>IF(AND($B38=BE$3,$C38="Strong"),IF(PUF!$X36&gt;0,PUF!$X36,""),"")</f>
        <v/>
      </c>
      <c r="BF38" s="57" t="str">
        <f>IF(AND($B38=BF$3,$C38="Strong"),IF(PUF!$X36&gt;0,PUF!$X36,""),"")</f>
        <v/>
      </c>
      <c r="BG38" s="57" t="str">
        <f>IF(AND($B38=BG$3,$C38="Strong"),IF(PUF!$X36&gt;0,PUF!$X36,""),"")</f>
        <v/>
      </c>
      <c r="BH38" s="57" t="str">
        <f>IF(AND($B38=BH$3,$C38="Strong"),IF(PUF!$X36&gt;0,PUF!$X36,""),"")</f>
        <v/>
      </c>
      <c r="BI38" s="57" t="str">
        <f>IF(AND($B38=BI$3,$C38="Strong"),IF(PUF!$X36&gt;0,PUF!$X36,""),"")</f>
        <v/>
      </c>
      <c r="BJ38" s="57" t="str">
        <f>IF(AND($B38=BJ$3,$C38="Strong"),IF(PUF!$X36&gt;0,PUF!$X36,""),"")</f>
        <v/>
      </c>
      <c r="BL38" s="166">
        <f t="shared" si="10"/>
        <v>2017</v>
      </c>
      <c r="BM38" s="57" t="str">
        <f>IF(AND($B38=BM$3,$C38="Strong"),IF(PUF!$M36&gt;0,PUF!$M36,""),"")</f>
        <v/>
      </c>
      <c r="BN38" s="57" t="str">
        <f>IF(AND($B38=BN$3,$C38="Strong"),IF(PUF!$M36&gt;0,PUF!$M36,""),"")</f>
        <v/>
      </c>
      <c r="BO38" s="57" t="str">
        <f>IF(AND($B38=BO$3,$C38="Strong"),IF(PUF!$M36&gt;0,PUF!$M36,""),"")</f>
        <v/>
      </c>
      <c r="BP38" s="57" t="str">
        <f>IF(AND($B38=BP$3,$C38="Strong"),IF(PUF!$M36&gt;0,PUF!$M36,""),"")</f>
        <v/>
      </c>
      <c r="BQ38" s="57" t="str">
        <f>IF(AND($B38=BQ$3,$C38="Strong"),IF(PUF!$M36&gt;0,PUF!$M36,""),"")</f>
        <v/>
      </c>
      <c r="BR38" s="57" t="str">
        <f>IF(AND($B38=BR$3,$C38="Strong"),IF(PUF!$M36&gt;0,PUF!$M36,""),"")</f>
        <v/>
      </c>
      <c r="BS38" s="57" t="str">
        <f>IF(AND($B38=BS$3,$C38="Strong"),IF(PUF!$M36&gt;0,PUF!$M36,""),"")</f>
        <v/>
      </c>
      <c r="BT38" s="57" t="str">
        <f>IF(AND($B38=BT$3,$C38="Strong"),IF(PUF!$M36&gt;0,PUF!$M36,""),"")</f>
        <v/>
      </c>
      <c r="BV38" s="166">
        <f t="shared" si="5"/>
        <v>2017</v>
      </c>
      <c r="BW38" s="57" t="str">
        <f>IF(AND($B38=BW$3,$C38="Strong"),IF(PUF!$S36&gt;0,PUF!$S36,""),"")</f>
        <v/>
      </c>
      <c r="BX38" s="57" t="str">
        <f>IF(AND($B38=BX$3,$C38="Strong"),IF(PUF!$S36&gt;0,PUF!$S36,""),"")</f>
        <v/>
      </c>
      <c r="BY38" s="57" t="str">
        <f>IF(AND($B38=BY$3,$C38="Strong"),IF(PUF!$S36&gt;0,PUF!$S36,""),"")</f>
        <v/>
      </c>
      <c r="BZ38" s="57" t="str">
        <f>IF(AND($B38=BZ$3,$C38="Strong"),IF(PUF!$S36&gt;0,PUF!$S36,""),"")</f>
        <v/>
      </c>
      <c r="CA38" s="57" t="str">
        <f>IF(AND($B38=CA$3,$C38="Strong"),IF(PUF!$S36&gt;0,PUF!$S36,""),"")</f>
        <v/>
      </c>
      <c r="CB38" s="57" t="str">
        <f>IF(AND($B38=CB$3,$C38="Strong"),IF(PUF!$S36&gt;0,PUF!$S36,""),"")</f>
        <v/>
      </c>
      <c r="CC38" s="57" t="str">
        <f>IF(AND($B38=CC$3,$C38="Strong"),IF(PUF!$S36&gt;0,PUF!$S36,""),"")</f>
        <v/>
      </c>
      <c r="CD38" s="57" t="str">
        <f>IF(AND($B38=CD$3,$C38="Strong"),IF(PUF!$S36&gt;0,PUF!$S36,""),"")</f>
        <v/>
      </c>
      <c r="CF38" s="11">
        <f t="shared" si="6"/>
        <v>2017</v>
      </c>
      <c r="CG38" s="57" t="str">
        <f>IF(AND($B38=CG$3,$C38="Strong"),IF(PUF!$U36&gt;0,PUF!$U36,""),"")</f>
        <v/>
      </c>
      <c r="CH38" s="57" t="str">
        <f>IF(AND($B38=CH$3,$C38="Strong"),IF(PUF!$U36&gt;0,PUF!$U36,""),"")</f>
        <v/>
      </c>
      <c r="CI38" s="57" t="str">
        <f>IF(AND($B38=CI$3,$C38="Strong"),IF(PUF!$U36&gt;0,PUF!$U36,""),"")</f>
        <v/>
      </c>
      <c r="CJ38" s="57" t="str">
        <f>IF(AND($B38=CJ$3,$C38="Strong"),IF(PUF!$U36&gt;0,PUF!$U36,""),"")</f>
        <v/>
      </c>
      <c r="CK38" s="57" t="str">
        <f>IF(AND($B38=CK$3,$C38="Strong"),IF(PUF!$U36&gt;0,PUF!$U36,""),"")</f>
        <v/>
      </c>
      <c r="CL38" s="57" t="str">
        <f>IF(AND($B38=CL$3,$C38="Strong"),IF(PUF!$U36&gt;0,PUF!$U36,""),"")</f>
        <v/>
      </c>
      <c r="CM38" s="57" t="str">
        <f>IF(AND($B38=CM$3,$C38="Strong"),IF(PUF!$U36&gt;0,PUF!$U36,""),"")</f>
        <v/>
      </c>
      <c r="CN38" s="57" t="str">
        <f>IF(AND($B38=CN$3,$C38="Strong"),IF(PUF!$U36&gt;0,PUF!$U36,""),"")</f>
        <v/>
      </c>
    </row>
    <row r="39" spans="1:92" x14ac:dyDescent="0.3">
      <c r="A39" s="6">
        <f>PUF!A37</f>
        <v>36</v>
      </c>
      <c r="B39" s="6" t="str">
        <f>PUF!G37</f>
        <v>monostable</v>
      </c>
      <c r="C39" t="str">
        <f>PUF!AL37</f>
        <v>Weak</v>
      </c>
      <c r="D39" s="166">
        <f>PUF!C37</f>
        <v>2017</v>
      </c>
      <c r="E39" s="167" t="str">
        <f>IF(AND($B39=E$3,$C39="Weak"),IF(PUF!$X37&gt;0,PUF!$X37,""),"")</f>
        <v/>
      </c>
      <c r="F39" s="167" t="str">
        <f>IF(AND($B39=F$3,$C39="Weak"),IF(PUF!$X37&gt;0,PUF!$X37,""),"")</f>
        <v/>
      </c>
      <c r="G39" s="167" t="str">
        <f>IF(AND($B39=G$3,$C39="Weak"),IF(PUF!$X37&gt;0,PUF!$X37,""),"")</f>
        <v/>
      </c>
      <c r="H39" s="167" t="str">
        <f>IF(AND($B39=H$3,$C39="Weak"),IF(PUF!$X37&gt;0,PUF!$X37,""),"")</f>
        <v/>
      </c>
      <c r="I39" s="167">
        <f>IF(AND($B39=I$3,$C39="Weak"),IF(PUF!$X37&gt;0,PUF!$X37,""),"")</f>
        <v>553</v>
      </c>
      <c r="J39" s="167" t="str">
        <f>IF(AND($B39=J$3,$C39="Weak"),IF(PUF!$X37&gt;0,PUF!$X37,""),"")</f>
        <v/>
      </c>
      <c r="K39" s="167" t="str">
        <f>IF(AND($B39=K$3,$C39="Weak"),IF(PUF!$X37&gt;0,PUF!$X37,""),"")</f>
        <v/>
      </c>
      <c r="L39" s="167" t="str">
        <f>IF(AND($B39=L$3,$C39="Weak"),IF(PUF!$X37&gt;0,PUF!$X37,""),"")</f>
        <v/>
      </c>
      <c r="N39" s="11">
        <f t="shared" si="7"/>
        <v>2017</v>
      </c>
      <c r="O39" s="57" t="str">
        <f>IF(AND($B39=O$3,$C39="Weak"),IF(PUF!$M37&gt;0,PUF!$M37,""),"")</f>
        <v/>
      </c>
      <c r="P39" s="57" t="str">
        <f>IF(AND($B39=P$3,$C39="Weak"),IF(PUF!$M37&gt;0,PUF!$M37,""),"")</f>
        <v/>
      </c>
      <c r="Q39" s="57" t="str">
        <f>IF(AND($B39=Q$3,$C39="Weak"),IF(PUF!$M37&gt;0,PUF!$M37,""),"")</f>
        <v/>
      </c>
      <c r="R39" s="57" t="str">
        <f>IF(AND($B39=R$3,$C39="Weak"),IF(PUF!$M37&gt;0,PUF!$M37,""),"")</f>
        <v/>
      </c>
      <c r="S39" s="57">
        <f>IF(AND($B39=S$3,$C39="Weak"),IF(PUF!$M37&gt;0,PUF!$M37,""),"")</f>
        <v>0.13</v>
      </c>
      <c r="T39" s="57" t="str">
        <f>IF(AND($B39=T$3,$C39="Weak"),IF(PUF!$M37&gt;0,PUF!$M37,""),"")</f>
        <v/>
      </c>
      <c r="U39" s="57" t="str">
        <f>IF(AND($B39=U$3,$C39="Weak"),IF(PUF!$M37&gt;0,PUF!$M37,""),"")</f>
        <v/>
      </c>
      <c r="V39" s="57" t="str">
        <f>IF(AND($B39=V$3,$C39="Weak"),IF(PUF!$M37&gt;0,PUF!$M37,""),"")</f>
        <v/>
      </c>
      <c r="W39" s="168"/>
      <c r="X39" s="166">
        <f t="shared" si="4"/>
        <v>2017</v>
      </c>
      <c r="Y39" s="57" t="str">
        <f>IF(AND($B39=Y$3,$C39="Weak"),IF(PUF!$S37&gt;0,PUF!$S37,""),"")</f>
        <v/>
      </c>
      <c r="Z39" s="57" t="str">
        <f>IF(AND($B39=Z$3,$C39="Weak"),IF(PUF!$S37&gt;0,PUF!$S37,""),"")</f>
        <v/>
      </c>
      <c r="AA39" s="57" t="str">
        <f>IF(AND($B39=AA$3,$C39="Weak"),IF(PUF!$S37&gt;0,PUF!$S37,""),"")</f>
        <v/>
      </c>
      <c r="AB39" s="57" t="str">
        <f>IF(AND($B39=AB$3,$C39="Weak"),IF(PUF!$S37&gt;0,PUF!$S37,""),"")</f>
        <v/>
      </c>
      <c r="AC39" s="57">
        <f>IF(AND($B39=AC$3,$C39="Weak"),IF(PUF!$S37&gt;0,PUF!$S37,""),"")</f>
        <v>0.05</v>
      </c>
      <c r="AD39" s="57" t="str">
        <f>IF(AND($B39=AD$3,$C39="Weak"),IF(PUF!$S37&gt;0,PUF!$S37,""),"")</f>
        <v/>
      </c>
      <c r="AE39" s="57" t="str">
        <f>IF(AND($B39=AE$3,$C39="Weak"),IF(PUF!$S37&gt;0,PUF!$S37,""),"")</f>
        <v/>
      </c>
      <c r="AF39" s="57" t="str">
        <f>IF(AND($B39=AF$3,$C39="Weak"),IF(PUF!$S37&gt;0,PUF!$S37,""),"")</f>
        <v/>
      </c>
      <c r="AH39" s="210">
        <f t="shared" si="8"/>
        <v>2017</v>
      </c>
      <c r="AI39" s="211" t="str">
        <f>IF(AND($B39=AI$3,$C39="Weak"),IF(PUF!$U37&gt;0,PUF!$U37,""),"")</f>
        <v/>
      </c>
      <c r="AJ39" s="211" t="str">
        <f>IF(AND($B39=AJ$3,$C39="Weak"),IF(PUF!$U37&gt;0,PUF!$U37,""),"")</f>
        <v/>
      </c>
      <c r="AK39" s="211" t="str">
        <f>IF(AND($B39=AK$3,$C39="Weak"),IF(PUF!$U37&gt;0,PUF!$U37,""),"")</f>
        <v/>
      </c>
      <c r="AL39" s="211" t="str">
        <f>IF(AND($B39=AL$3,$C39="Weak"),IF(PUF!$U37&gt;0,PUF!$U37,""),"")</f>
        <v/>
      </c>
      <c r="AM39" s="211">
        <f>IF(AND($B39=AM$3,$C39="Weak"),IF(PUF!$U37&gt;0,PUF!$U37,""),"")</f>
        <v>1.0999999999999999E-2</v>
      </c>
      <c r="AN39" s="211" t="str">
        <f>IF(AND($B39=AN$3,$C39="Weak"),IF(PUF!$U37&gt;0,PUF!$U37,""),"")</f>
        <v/>
      </c>
      <c r="AO39" s="211" t="str">
        <f>IF(AND($B39=AO$3,$C39="Weak"),IF(PUF!$U37&gt;0,PUF!$U37,""),"")</f>
        <v/>
      </c>
      <c r="AP39" s="211" t="str">
        <f>IF(AND($B39=AP$3,$C39="Weak"),IF(PUF!$U37&gt;0,PUF!$U37,""),"")</f>
        <v/>
      </c>
      <c r="BB39" s="166">
        <f t="shared" si="9"/>
        <v>2017</v>
      </c>
      <c r="BC39" s="57" t="str">
        <f>IF(AND($B39=BC$3,$C39="Strong"),IF(PUF!$X37&gt;0,PUF!$X37,""),"")</f>
        <v/>
      </c>
      <c r="BD39" s="57" t="str">
        <f>IF(AND($B39=BD$3,$C39="Strong"),IF(PUF!$X37&gt;0,PUF!$X37,""),"")</f>
        <v/>
      </c>
      <c r="BE39" s="57" t="str">
        <f>IF(AND($B39=BE$3,$C39="Strong"),IF(PUF!$X37&gt;0,PUF!$X37,""),"")</f>
        <v/>
      </c>
      <c r="BF39" s="57" t="str">
        <f>IF(AND($B39=BF$3,$C39="Strong"),IF(PUF!$X37&gt;0,PUF!$X37,""),"")</f>
        <v/>
      </c>
      <c r="BG39" s="57" t="str">
        <f>IF(AND($B39=BG$3,$C39="Strong"),IF(PUF!$X37&gt;0,PUF!$X37,""),"")</f>
        <v/>
      </c>
      <c r="BH39" s="57" t="str">
        <f>IF(AND($B39=BH$3,$C39="Strong"),IF(PUF!$X37&gt;0,PUF!$X37,""),"")</f>
        <v/>
      </c>
      <c r="BI39" s="57" t="str">
        <f>IF(AND($B39=BI$3,$C39="Strong"),IF(PUF!$X37&gt;0,PUF!$X37,""),"")</f>
        <v/>
      </c>
      <c r="BJ39" s="57" t="str">
        <f>IF(AND($B39=BJ$3,$C39="Strong"),IF(PUF!$X37&gt;0,PUF!$X37,""),"")</f>
        <v/>
      </c>
      <c r="BL39" s="166">
        <f t="shared" si="10"/>
        <v>2017</v>
      </c>
      <c r="BM39" s="57" t="str">
        <f>IF(AND($B39=BM$3,$C39="Strong"),IF(PUF!$M37&gt;0,PUF!$M37,""),"")</f>
        <v/>
      </c>
      <c r="BN39" s="57" t="str">
        <f>IF(AND($B39=BN$3,$C39="Strong"),IF(PUF!$M37&gt;0,PUF!$M37,""),"")</f>
        <v/>
      </c>
      <c r="BO39" s="57" t="str">
        <f>IF(AND($B39=BO$3,$C39="Strong"),IF(PUF!$M37&gt;0,PUF!$M37,""),"")</f>
        <v/>
      </c>
      <c r="BP39" s="57" t="str">
        <f>IF(AND($B39=BP$3,$C39="Strong"),IF(PUF!$M37&gt;0,PUF!$M37,""),"")</f>
        <v/>
      </c>
      <c r="BQ39" s="57" t="str">
        <f>IF(AND($B39=BQ$3,$C39="Strong"),IF(PUF!$M37&gt;0,PUF!$M37,""),"")</f>
        <v/>
      </c>
      <c r="BR39" s="57" t="str">
        <f>IF(AND($B39=BR$3,$C39="Strong"),IF(PUF!$M37&gt;0,PUF!$M37,""),"")</f>
        <v/>
      </c>
      <c r="BS39" s="57" t="str">
        <f>IF(AND($B39=BS$3,$C39="Strong"),IF(PUF!$M37&gt;0,PUF!$M37,""),"")</f>
        <v/>
      </c>
      <c r="BT39" s="57" t="str">
        <f>IF(AND($B39=BT$3,$C39="Strong"),IF(PUF!$M37&gt;0,PUF!$M37,""),"")</f>
        <v/>
      </c>
      <c r="BV39" s="166">
        <f t="shared" si="5"/>
        <v>2017</v>
      </c>
      <c r="BW39" s="57" t="str">
        <f>IF(AND($B39=BW$3,$C39="Strong"),IF(PUF!$S37&gt;0,PUF!$S37,""),"")</f>
        <v/>
      </c>
      <c r="BX39" s="57" t="str">
        <f>IF(AND($B39=BX$3,$C39="Strong"),IF(PUF!$S37&gt;0,PUF!$S37,""),"")</f>
        <v/>
      </c>
      <c r="BY39" s="57" t="str">
        <f>IF(AND($B39=BY$3,$C39="Strong"),IF(PUF!$S37&gt;0,PUF!$S37,""),"")</f>
        <v/>
      </c>
      <c r="BZ39" s="57" t="str">
        <f>IF(AND($B39=BZ$3,$C39="Strong"),IF(PUF!$S37&gt;0,PUF!$S37,""),"")</f>
        <v/>
      </c>
      <c r="CA39" s="57" t="str">
        <f>IF(AND($B39=CA$3,$C39="Strong"),IF(PUF!$S37&gt;0,PUF!$S37,""),"")</f>
        <v/>
      </c>
      <c r="CB39" s="57" t="str">
        <f>IF(AND($B39=CB$3,$C39="Strong"),IF(PUF!$S37&gt;0,PUF!$S37,""),"")</f>
        <v/>
      </c>
      <c r="CC39" s="57" t="str">
        <f>IF(AND($B39=CC$3,$C39="Strong"),IF(PUF!$S37&gt;0,PUF!$S37,""),"")</f>
        <v/>
      </c>
      <c r="CD39" s="57" t="str">
        <f>IF(AND($B39=CD$3,$C39="Strong"),IF(PUF!$S37&gt;0,PUF!$S37,""),"")</f>
        <v/>
      </c>
      <c r="CF39" s="11">
        <f t="shared" si="6"/>
        <v>2017</v>
      </c>
      <c r="CG39" s="57" t="str">
        <f>IF(AND($B39=CG$3,$C39="Strong"),IF(PUF!$U37&gt;0,PUF!$U37,""),"")</f>
        <v/>
      </c>
      <c r="CH39" s="57" t="str">
        <f>IF(AND($B39=CH$3,$C39="Strong"),IF(PUF!$U37&gt;0,PUF!$U37,""),"")</f>
        <v/>
      </c>
      <c r="CI39" s="57" t="str">
        <f>IF(AND($B39=CI$3,$C39="Strong"),IF(PUF!$U37&gt;0,PUF!$U37,""),"")</f>
        <v/>
      </c>
      <c r="CJ39" s="57" t="str">
        <f>IF(AND($B39=CJ$3,$C39="Strong"),IF(PUF!$U37&gt;0,PUF!$U37,""),"")</f>
        <v/>
      </c>
      <c r="CK39" s="57" t="str">
        <f>IF(AND($B39=CK$3,$C39="Strong"),IF(PUF!$U37&gt;0,PUF!$U37,""),"")</f>
        <v/>
      </c>
      <c r="CL39" s="57" t="str">
        <f>IF(AND($B39=CL$3,$C39="Strong"),IF(PUF!$U37&gt;0,PUF!$U37,""),"")</f>
        <v/>
      </c>
      <c r="CM39" s="57" t="str">
        <f>IF(AND($B39=CM$3,$C39="Strong"),IF(PUF!$U37&gt;0,PUF!$U37,""),"")</f>
        <v/>
      </c>
      <c r="CN39" s="57" t="str">
        <f>IF(AND($B39=CN$3,$C39="Strong"),IF(PUF!$U37&gt;0,PUF!$U37,""),"")</f>
        <v/>
      </c>
    </row>
    <row r="40" spans="1:92" x14ac:dyDescent="0.3">
      <c r="A40" s="6">
        <f>PUF!A38</f>
        <v>37</v>
      </c>
      <c r="B40" s="6" t="str">
        <f>PUF!G38</f>
        <v>analog</v>
      </c>
      <c r="C40" t="str">
        <f>PUF!AL38</f>
        <v>Weak</v>
      </c>
      <c r="D40" s="166">
        <f>PUF!C38</f>
        <v>2017</v>
      </c>
      <c r="E40" s="167" t="str">
        <f>IF(AND($B40=E$3,$C40="Weak"),IF(PUF!$X38&gt;0,PUF!$X38,""),"")</f>
        <v/>
      </c>
      <c r="F40" s="167" t="str">
        <f>IF(AND($B40=F$3,$C40="Weak"),IF(PUF!$X38&gt;0,PUF!$X38,""),"")</f>
        <v/>
      </c>
      <c r="G40" s="167" t="str">
        <f>IF(AND($B40=G$3,$C40="Weak"),IF(PUF!$X38&gt;0,PUF!$X38,""),"")</f>
        <v/>
      </c>
      <c r="H40" s="167" t="str">
        <f>IF(AND($B40=H$3,$C40="Weak"),IF(PUF!$X38&gt;0,PUF!$X38,""),"")</f>
        <v/>
      </c>
      <c r="I40" s="167" t="str">
        <f>IF(AND($B40=I$3,$C40="Weak"),IF(PUF!$X38&gt;0,PUF!$X38,""),"")</f>
        <v/>
      </c>
      <c r="J40" s="167" t="str">
        <f>IF(AND($B40=J$3,$C40="Weak"),IF(PUF!$X38&gt;0,PUF!$X38,""),"")</f>
        <v/>
      </c>
      <c r="K40" s="167" t="str">
        <f>IF(AND($B40=K$3,$C40="Weak"),IF(PUF!$X38&gt;0,PUF!$X38,""),"")</f>
        <v/>
      </c>
      <c r="L40" s="167" t="str">
        <f>IF(AND($B40=L$3,$C40="Weak"),IF(PUF!$X38&gt;0,PUF!$X38,""),"")</f>
        <v/>
      </c>
      <c r="N40" s="11">
        <f t="shared" si="7"/>
        <v>2017</v>
      </c>
      <c r="O40" s="57">
        <f>IF(AND($B40=O$3,$C40="Weak"),IF(PUF!$M38&gt;0,PUF!$M38,""),"")</f>
        <v>0.16</v>
      </c>
      <c r="P40" s="57" t="str">
        <f>IF(AND($B40=P$3,$C40="Weak"),IF(PUF!$M38&gt;0,PUF!$M38,""),"")</f>
        <v/>
      </c>
      <c r="Q40" s="57" t="str">
        <f>IF(AND($B40=Q$3,$C40="Weak"),IF(PUF!$M38&gt;0,PUF!$M38,""),"")</f>
        <v/>
      </c>
      <c r="R40" s="57" t="str">
        <f>IF(AND($B40=R$3,$C40="Weak"),IF(PUF!$M38&gt;0,PUF!$M38,""),"")</f>
        <v/>
      </c>
      <c r="S40" s="57" t="str">
        <f>IF(AND($B40=S$3,$C40="Weak"),IF(PUF!$M38&gt;0,PUF!$M38,""),"")</f>
        <v/>
      </c>
      <c r="T40" s="57" t="str">
        <f>IF(AND($B40=T$3,$C40="Weak"),IF(PUF!$M38&gt;0,PUF!$M38,""),"")</f>
        <v/>
      </c>
      <c r="U40" s="57" t="str">
        <f>IF(AND($B40=U$3,$C40="Weak"),IF(PUF!$M38&gt;0,PUF!$M38,""),"")</f>
        <v/>
      </c>
      <c r="V40" s="57" t="str">
        <f>IF(AND($B40=V$3,$C40="Weak"),IF(PUF!$M38&gt;0,PUF!$M38,""),"")</f>
        <v/>
      </c>
      <c r="W40" s="168"/>
      <c r="X40" s="166">
        <f t="shared" si="4"/>
        <v>2017</v>
      </c>
      <c r="Y40" s="57" t="str">
        <f>IF(AND($B40=Y$3,$C40="Weak"),IF(PUF!$S38&gt;0,PUF!$S38,""),"")</f>
        <v>N/A</v>
      </c>
      <c r="Z40" s="57" t="str">
        <f>IF(AND($B40=Z$3,$C40="Weak"),IF(PUF!$S38&gt;0,PUF!$S38,""),"")</f>
        <v/>
      </c>
      <c r="AA40" s="57" t="str">
        <f>IF(AND($B40=AA$3,$C40="Weak"),IF(PUF!$S38&gt;0,PUF!$S38,""),"")</f>
        <v/>
      </c>
      <c r="AB40" s="57" t="str">
        <f>IF(AND($B40=AB$3,$C40="Weak"),IF(PUF!$S38&gt;0,PUF!$S38,""),"")</f>
        <v/>
      </c>
      <c r="AC40" s="57" t="str">
        <f>IF(AND($B40=AC$3,$C40="Weak"),IF(PUF!$S38&gt;0,PUF!$S38,""),"")</f>
        <v/>
      </c>
      <c r="AD40" s="57" t="str">
        <f>IF(AND($B40=AD$3,$C40="Weak"),IF(PUF!$S38&gt;0,PUF!$S38,""),"")</f>
        <v/>
      </c>
      <c r="AE40" s="57" t="str">
        <f>IF(AND($B40=AE$3,$C40="Weak"),IF(PUF!$S38&gt;0,PUF!$S38,""),"")</f>
        <v/>
      </c>
      <c r="AF40" s="57" t="str">
        <f>IF(AND($B40=AF$3,$C40="Weak"),IF(PUF!$S38&gt;0,PUF!$S38,""),"")</f>
        <v/>
      </c>
      <c r="AH40" s="210">
        <f t="shared" si="8"/>
        <v>2017</v>
      </c>
      <c r="AI40" s="211">
        <f>IF(AND($B40=AI$3,$C40="Weak"),IF(PUF!$U38&gt;0,PUF!$U38,""),"")</f>
        <v>3.36</v>
      </c>
      <c r="AJ40" s="211" t="str">
        <f>IF(AND($B40=AJ$3,$C40="Weak"),IF(PUF!$U38&gt;0,PUF!$U38,""),"")</f>
        <v/>
      </c>
      <c r="AK40" s="211" t="str">
        <f>IF(AND($B40=AK$3,$C40="Weak"),IF(PUF!$U38&gt;0,PUF!$U38,""),"")</f>
        <v/>
      </c>
      <c r="AL40" s="211" t="str">
        <f>IF(AND($B40=AL$3,$C40="Weak"),IF(PUF!$U38&gt;0,PUF!$U38,""),"")</f>
        <v/>
      </c>
      <c r="AM40" s="211" t="str">
        <f>IF(AND($B40=AM$3,$C40="Weak"),IF(PUF!$U38&gt;0,PUF!$U38,""),"")</f>
        <v/>
      </c>
      <c r="AN40" s="211" t="str">
        <f>IF(AND($B40=AN$3,$C40="Weak"),IF(PUF!$U38&gt;0,PUF!$U38,""),"")</f>
        <v/>
      </c>
      <c r="AO40" s="211" t="str">
        <f>IF(AND($B40=AO$3,$C40="Weak"),IF(PUF!$U38&gt;0,PUF!$U38,""),"")</f>
        <v/>
      </c>
      <c r="AP40" s="211" t="str">
        <f>IF(AND($B40=AP$3,$C40="Weak"),IF(PUF!$U38&gt;0,PUF!$U38,""),"")</f>
        <v/>
      </c>
      <c r="BB40" s="166">
        <f t="shared" si="9"/>
        <v>2017</v>
      </c>
      <c r="BC40" s="57" t="str">
        <f>IF(AND($B40=BC$3,$C40="Strong"),IF(PUF!$X38&gt;0,PUF!$X38,""),"")</f>
        <v/>
      </c>
      <c r="BD40" s="57" t="str">
        <f>IF(AND($B40=BD$3,$C40="Strong"),IF(PUF!$X38&gt;0,PUF!$X38,""),"")</f>
        <v/>
      </c>
      <c r="BE40" s="57" t="str">
        <f>IF(AND($B40=BE$3,$C40="Strong"),IF(PUF!$X38&gt;0,PUF!$X38,""),"")</f>
        <v/>
      </c>
      <c r="BF40" s="57" t="str">
        <f>IF(AND($B40=BF$3,$C40="Strong"),IF(PUF!$X38&gt;0,PUF!$X38,""),"")</f>
        <v/>
      </c>
      <c r="BG40" s="57" t="str">
        <f>IF(AND($B40=BG$3,$C40="Strong"),IF(PUF!$X38&gt;0,PUF!$X38,""),"")</f>
        <v/>
      </c>
      <c r="BH40" s="57" t="str">
        <f>IF(AND($B40=BH$3,$C40="Strong"),IF(PUF!$X38&gt;0,PUF!$X38,""),"")</f>
        <v/>
      </c>
      <c r="BI40" s="57" t="str">
        <f>IF(AND($B40=BI$3,$C40="Strong"),IF(PUF!$X38&gt;0,PUF!$X38,""),"")</f>
        <v/>
      </c>
      <c r="BJ40" s="57" t="str">
        <f>IF(AND($B40=BJ$3,$C40="Strong"),IF(PUF!$X38&gt;0,PUF!$X38,""),"")</f>
        <v/>
      </c>
      <c r="BL40" s="166">
        <f t="shared" si="10"/>
        <v>2017</v>
      </c>
      <c r="BM40" s="57" t="str">
        <f>IF(AND($B40=BM$3,$C40="Strong"),IF(PUF!$M38&gt;0,PUF!$M38,""),"")</f>
        <v/>
      </c>
      <c r="BN40" s="57" t="str">
        <f>IF(AND($B40=BN$3,$C40="Strong"),IF(PUF!$M38&gt;0,PUF!$M38,""),"")</f>
        <v/>
      </c>
      <c r="BO40" s="57" t="str">
        <f>IF(AND($B40=BO$3,$C40="Strong"),IF(PUF!$M38&gt;0,PUF!$M38,""),"")</f>
        <v/>
      </c>
      <c r="BP40" s="57" t="str">
        <f>IF(AND($B40=BP$3,$C40="Strong"),IF(PUF!$M38&gt;0,PUF!$M38,""),"")</f>
        <v/>
      </c>
      <c r="BQ40" s="57" t="str">
        <f>IF(AND($B40=BQ$3,$C40="Strong"),IF(PUF!$M38&gt;0,PUF!$M38,""),"")</f>
        <v/>
      </c>
      <c r="BR40" s="57" t="str">
        <f>IF(AND($B40=BR$3,$C40="Strong"),IF(PUF!$M38&gt;0,PUF!$M38,""),"")</f>
        <v/>
      </c>
      <c r="BS40" s="57" t="str">
        <f>IF(AND($B40=BS$3,$C40="Strong"),IF(PUF!$M38&gt;0,PUF!$M38,""),"")</f>
        <v/>
      </c>
      <c r="BT40" s="57" t="str">
        <f>IF(AND($B40=BT$3,$C40="Strong"),IF(PUF!$M38&gt;0,PUF!$M38,""),"")</f>
        <v/>
      </c>
      <c r="BV40" s="166">
        <f t="shared" si="5"/>
        <v>2017</v>
      </c>
      <c r="BW40" s="57" t="str">
        <f>IF(AND($B40=BW$3,$C40="Strong"),IF(PUF!$S38&gt;0,PUF!$S38,""),"")</f>
        <v/>
      </c>
      <c r="BX40" s="57" t="str">
        <f>IF(AND($B40=BX$3,$C40="Strong"),IF(PUF!$S38&gt;0,PUF!$S38,""),"")</f>
        <v/>
      </c>
      <c r="BY40" s="57" t="str">
        <f>IF(AND($B40=BY$3,$C40="Strong"),IF(PUF!$S38&gt;0,PUF!$S38,""),"")</f>
        <v/>
      </c>
      <c r="BZ40" s="57" t="str">
        <f>IF(AND($B40=BZ$3,$C40="Strong"),IF(PUF!$S38&gt;0,PUF!$S38,""),"")</f>
        <v/>
      </c>
      <c r="CA40" s="57" t="str">
        <f>IF(AND($B40=CA$3,$C40="Strong"),IF(PUF!$S38&gt;0,PUF!$S38,""),"")</f>
        <v/>
      </c>
      <c r="CB40" s="57" t="str">
        <f>IF(AND($B40=CB$3,$C40="Strong"),IF(PUF!$S38&gt;0,PUF!$S38,""),"")</f>
        <v/>
      </c>
      <c r="CC40" s="57" t="str">
        <f>IF(AND($B40=CC$3,$C40="Strong"),IF(PUF!$S38&gt;0,PUF!$S38,""),"")</f>
        <v/>
      </c>
      <c r="CD40" s="57" t="str">
        <f>IF(AND($B40=CD$3,$C40="Strong"),IF(PUF!$S38&gt;0,PUF!$S38,""),"")</f>
        <v/>
      </c>
      <c r="CF40" s="11">
        <f t="shared" si="6"/>
        <v>2017</v>
      </c>
      <c r="CG40" s="57" t="str">
        <f>IF(AND($B40=CG$3,$C40="Strong"),IF(PUF!$U38&gt;0,PUF!$U38,""),"")</f>
        <v/>
      </c>
      <c r="CH40" s="57" t="str">
        <f>IF(AND($B40=CH$3,$C40="Strong"),IF(PUF!$U38&gt;0,PUF!$U38,""),"")</f>
        <v/>
      </c>
      <c r="CI40" s="57" t="str">
        <f>IF(AND($B40=CI$3,$C40="Strong"),IF(PUF!$U38&gt;0,PUF!$U38,""),"")</f>
        <v/>
      </c>
      <c r="CJ40" s="57" t="str">
        <f>IF(AND($B40=CJ$3,$C40="Strong"),IF(PUF!$U38&gt;0,PUF!$U38,""),"")</f>
        <v/>
      </c>
      <c r="CK40" s="57" t="str">
        <f>IF(AND($B40=CK$3,$C40="Strong"),IF(PUF!$U38&gt;0,PUF!$U38,""),"")</f>
        <v/>
      </c>
      <c r="CL40" s="57" t="str">
        <f>IF(AND($B40=CL$3,$C40="Strong"),IF(PUF!$U38&gt;0,PUF!$U38,""),"")</f>
        <v/>
      </c>
      <c r="CM40" s="57" t="str">
        <f>IF(AND($B40=CM$3,$C40="Strong"),IF(PUF!$U38&gt;0,PUF!$U38,""),"")</f>
        <v/>
      </c>
      <c r="CN40" s="57" t="str">
        <f>IF(AND($B40=CN$3,$C40="Strong"),IF(PUF!$U38&gt;0,PUF!$U38,""),"")</f>
        <v/>
      </c>
    </row>
    <row r="41" spans="1:92" x14ac:dyDescent="0.3">
      <c r="A41" s="6">
        <f>PUF!A39</f>
        <v>38</v>
      </c>
      <c r="B41" s="6" t="str">
        <f>PUF!G39</f>
        <v>analog</v>
      </c>
      <c r="C41" t="str">
        <f>PUF!AL39</f>
        <v>Weak</v>
      </c>
      <c r="D41" s="166">
        <f>PUF!C39</f>
        <v>2017</v>
      </c>
      <c r="E41" s="167">
        <f>IF(AND($B41=E$3,$C41="Weak"),IF(PUF!$X39&gt;0,PUF!$X39,""),"")</f>
        <v>150</v>
      </c>
      <c r="F41" s="167" t="str">
        <f>IF(AND($B41=F$3,$C41="Weak"),IF(PUF!$X39&gt;0,PUF!$X39,""),"")</f>
        <v/>
      </c>
      <c r="G41" s="167" t="str">
        <f>IF(AND($B41=G$3,$C41="Weak"),IF(PUF!$X39&gt;0,PUF!$X39,""),"")</f>
        <v/>
      </c>
      <c r="H41" s="167" t="str">
        <f>IF(AND($B41=H$3,$C41="Weak"),IF(PUF!$X39&gt;0,PUF!$X39,""),"")</f>
        <v/>
      </c>
      <c r="I41" s="167" t="str">
        <f>IF(AND($B41=I$3,$C41="Weak"),IF(PUF!$X39&gt;0,PUF!$X39,""),"")</f>
        <v/>
      </c>
      <c r="J41" s="167" t="str">
        <f>IF(AND($B41=J$3,$C41="Weak"),IF(PUF!$X39&gt;0,PUF!$X39,""),"")</f>
        <v/>
      </c>
      <c r="K41" s="167" t="str">
        <f>IF(AND($B41=K$3,$C41="Weak"),IF(PUF!$X39&gt;0,PUF!$X39,""),"")</f>
        <v/>
      </c>
      <c r="L41" s="167" t="str">
        <f>IF(AND($B41=L$3,$C41="Weak"),IF(PUF!$X39&gt;0,PUF!$X39,""),"")</f>
        <v/>
      </c>
      <c r="N41" s="11">
        <f t="shared" si="7"/>
        <v>2017</v>
      </c>
      <c r="O41" s="57">
        <f>IF(AND($B41=O$3,$C41="Weak"),IF(PUF!$M39&gt;0,PUF!$M39,""),"")</f>
        <v>0.63</v>
      </c>
      <c r="P41" s="57" t="str">
        <f>IF(AND($B41=P$3,$C41="Weak"),IF(PUF!$M39&gt;0,PUF!$M39,""),"")</f>
        <v/>
      </c>
      <c r="Q41" s="57" t="str">
        <f>IF(AND($B41=Q$3,$C41="Weak"),IF(PUF!$M39&gt;0,PUF!$M39,""),"")</f>
        <v/>
      </c>
      <c r="R41" s="57" t="str">
        <f>IF(AND($B41=R$3,$C41="Weak"),IF(PUF!$M39&gt;0,PUF!$M39,""),"")</f>
        <v/>
      </c>
      <c r="S41" s="57" t="str">
        <f>IF(AND($B41=S$3,$C41="Weak"),IF(PUF!$M39&gt;0,PUF!$M39,""),"")</f>
        <v/>
      </c>
      <c r="T41" s="57" t="str">
        <f>IF(AND($B41=T$3,$C41="Weak"),IF(PUF!$M39&gt;0,PUF!$M39,""),"")</f>
        <v/>
      </c>
      <c r="U41" s="57" t="str">
        <f>IF(AND($B41=U$3,$C41="Weak"),IF(PUF!$M39&gt;0,PUF!$M39,""),"")</f>
        <v/>
      </c>
      <c r="V41" s="57" t="str">
        <f>IF(AND($B41=V$3,$C41="Weak"),IF(PUF!$M39&gt;0,PUF!$M39,""),"")</f>
        <v/>
      </c>
      <c r="W41" s="168"/>
      <c r="X41" s="166">
        <f t="shared" si="4"/>
        <v>2017</v>
      </c>
      <c r="Y41" s="57" t="str">
        <f>IF(AND($B41=Y$3,$C41="Weak"),IF(PUF!$S39&gt;0,PUF!$S39,""),"")</f>
        <v>N/A</v>
      </c>
      <c r="Z41" s="57" t="str">
        <f>IF(AND($B41=Z$3,$C41="Weak"),IF(PUF!$S39&gt;0,PUF!$S39,""),"")</f>
        <v/>
      </c>
      <c r="AA41" s="57" t="str">
        <f>IF(AND($B41=AA$3,$C41="Weak"),IF(PUF!$S39&gt;0,PUF!$S39,""),"")</f>
        <v/>
      </c>
      <c r="AB41" s="57" t="str">
        <f>IF(AND($B41=AB$3,$C41="Weak"),IF(PUF!$S39&gt;0,PUF!$S39,""),"")</f>
        <v/>
      </c>
      <c r="AC41" s="57" t="str">
        <f>IF(AND($B41=AC$3,$C41="Weak"),IF(PUF!$S39&gt;0,PUF!$S39,""),"")</f>
        <v/>
      </c>
      <c r="AD41" s="57" t="str">
        <f>IF(AND($B41=AD$3,$C41="Weak"),IF(PUF!$S39&gt;0,PUF!$S39,""),"")</f>
        <v/>
      </c>
      <c r="AE41" s="57" t="str">
        <f>IF(AND($B41=AE$3,$C41="Weak"),IF(PUF!$S39&gt;0,PUF!$S39,""),"")</f>
        <v/>
      </c>
      <c r="AF41" s="57" t="str">
        <f>IF(AND($B41=AF$3,$C41="Weak"),IF(PUF!$S39&gt;0,PUF!$S39,""),"")</f>
        <v/>
      </c>
      <c r="AH41" s="210">
        <f t="shared" si="8"/>
        <v>2017</v>
      </c>
      <c r="AI41" s="211" t="str">
        <f>IF(AND($B41=AI$3,$C41="Weak"),IF(PUF!$U39&gt;0,PUF!$U39,""),"")</f>
        <v>N/A</v>
      </c>
      <c r="AJ41" s="211" t="str">
        <f>IF(AND($B41=AJ$3,$C41="Weak"),IF(PUF!$U39&gt;0,PUF!$U39,""),"")</f>
        <v/>
      </c>
      <c r="AK41" s="211" t="str">
        <f>IF(AND($B41=AK$3,$C41="Weak"),IF(PUF!$U39&gt;0,PUF!$U39,""),"")</f>
        <v/>
      </c>
      <c r="AL41" s="211" t="str">
        <f>IF(AND($B41=AL$3,$C41="Weak"),IF(PUF!$U39&gt;0,PUF!$U39,""),"")</f>
        <v/>
      </c>
      <c r="AM41" s="211" t="str">
        <f>IF(AND($B41=AM$3,$C41="Weak"),IF(PUF!$U39&gt;0,PUF!$U39,""),"")</f>
        <v/>
      </c>
      <c r="AN41" s="211" t="str">
        <f>IF(AND($B41=AN$3,$C41="Weak"),IF(PUF!$U39&gt;0,PUF!$U39,""),"")</f>
        <v/>
      </c>
      <c r="AO41" s="211" t="str">
        <f>IF(AND($B41=AO$3,$C41="Weak"),IF(PUF!$U39&gt;0,PUF!$U39,""),"")</f>
        <v/>
      </c>
      <c r="AP41" s="211" t="str">
        <f>IF(AND($B41=AP$3,$C41="Weak"),IF(PUF!$U39&gt;0,PUF!$U39,""),"")</f>
        <v/>
      </c>
      <c r="BB41" s="166">
        <f t="shared" si="9"/>
        <v>2017</v>
      </c>
      <c r="BC41" s="57" t="str">
        <f>IF(AND($B41=BC$3,$C41="Strong"),IF(PUF!$X39&gt;0,PUF!$X39,""),"")</f>
        <v/>
      </c>
      <c r="BD41" s="57" t="str">
        <f>IF(AND($B41=BD$3,$C41="Strong"),IF(PUF!$X39&gt;0,PUF!$X39,""),"")</f>
        <v/>
      </c>
      <c r="BE41" s="57" t="str">
        <f>IF(AND($B41=BE$3,$C41="Strong"),IF(PUF!$X39&gt;0,PUF!$X39,""),"")</f>
        <v/>
      </c>
      <c r="BF41" s="57" t="str">
        <f>IF(AND($B41=BF$3,$C41="Strong"),IF(PUF!$X39&gt;0,PUF!$X39,""),"")</f>
        <v/>
      </c>
      <c r="BG41" s="57" t="str">
        <f>IF(AND($B41=BG$3,$C41="Strong"),IF(PUF!$X39&gt;0,PUF!$X39,""),"")</f>
        <v/>
      </c>
      <c r="BH41" s="57" t="str">
        <f>IF(AND($B41=BH$3,$C41="Strong"),IF(PUF!$X39&gt;0,PUF!$X39,""),"")</f>
        <v/>
      </c>
      <c r="BI41" s="57" t="str">
        <f>IF(AND($B41=BI$3,$C41="Strong"),IF(PUF!$X39&gt;0,PUF!$X39,""),"")</f>
        <v/>
      </c>
      <c r="BJ41" s="57" t="str">
        <f>IF(AND($B41=BJ$3,$C41="Strong"),IF(PUF!$X39&gt;0,PUF!$X39,""),"")</f>
        <v/>
      </c>
      <c r="BL41" s="166">
        <f t="shared" si="10"/>
        <v>2017</v>
      </c>
      <c r="BM41" s="57" t="str">
        <f>IF(AND($B41=BM$3,$C41="Strong"),IF(PUF!$M39&gt;0,PUF!$M39,""),"")</f>
        <v/>
      </c>
      <c r="BN41" s="57" t="str">
        <f>IF(AND($B41=BN$3,$C41="Strong"),IF(PUF!$M39&gt;0,PUF!$M39,""),"")</f>
        <v/>
      </c>
      <c r="BO41" s="57" t="str">
        <f>IF(AND($B41=BO$3,$C41="Strong"),IF(PUF!$M39&gt;0,PUF!$M39,""),"")</f>
        <v/>
      </c>
      <c r="BP41" s="57" t="str">
        <f>IF(AND($B41=BP$3,$C41="Strong"),IF(PUF!$M39&gt;0,PUF!$M39,""),"")</f>
        <v/>
      </c>
      <c r="BQ41" s="57" t="str">
        <f>IF(AND($B41=BQ$3,$C41="Strong"),IF(PUF!$M39&gt;0,PUF!$M39,""),"")</f>
        <v/>
      </c>
      <c r="BR41" s="57" t="str">
        <f>IF(AND($B41=BR$3,$C41="Strong"),IF(PUF!$M39&gt;0,PUF!$M39,""),"")</f>
        <v/>
      </c>
      <c r="BS41" s="57" t="str">
        <f>IF(AND($B41=BS$3,$C41="Strong"),IF(PUF!$M39&gt;0,PUF!$M39,""),"")</f>
        <v/>
      </c>
      <c r="BT41" s="57" t="str">
        <f>IF(AND($B41=BT$3,$C41="Strong"),IF(PUF!$M39&gt;0,PUF!$M39,""),"")</f>
        <v/>
      </c>
      <c r="BV41" s="166">
        <f t="shared" si="5"/>
        <v>2017</v>
      </c>
      <c r="BW41" s="57" t="str">
        <f>IF(AND($B41=BW$3,$C41="Strong"),IF(PUF!$S39&gt;0,PUF!$S39,""),"")</f>
        <v/>
      </c>
      <c r="BX41" s="57" t="str">
        <f>IF(AND($B41=BX$3,$C41="Strong"),IF(PUF!$S39&gt;0,PUF!$S39,""),"")</f>
        <v/>
      </c>
      <c r="BY41" s="57" t="str">
        <f>IF(AND($B41=BY$3,$C41="Strong"),IF(PUF!$S39&gt;0,PUF!$S39,""),"")</f>
        <v/>
      </c>
      <c r="BZ41" s="57" t="str">
        <f>IF(AND($B41=BZ$3,$C41="Strong"),IF(PUF!$S39&gt;0,PUF!$S39,""),"")</f>
        <v/>
      </c>
      <c r="CA41" s="57" t="str">
        <f>IF(AND($B41=CA$3,$C41="Strong"),IF(PUF!$S39&gt;0,PUF!$S39,""),"")</f>
        <v/>
      </c>
      <c r="CB41" s="57" t="str">
        <f>IF(AND($B41=CB$3,$C41="Strong"),IF(PUF!$S39&gt;0,PUF!$S39,""),"")</f>
        <v/>
      </c>
      <c r="CC41" s="57" t="str">
        <f>IF(AND($B41=CC$3,$C41="Strong"),IF(PUF!$S39&gt;0,PUF!$S39,""),"")</f>
        <v/>
      </c>
      <c r="CD41" s="57" t="str">
        <f>IF(AND($B41=CD$3,$C41="Strong"),IF(PUF!$S39&gt;0,PUF!$S39,""),"")</f>
        <v/>
      </c>
      <c r="CF41" s="11">
        <f t="shared" si="6"/>
        <v>2017</v>
      </c>
      <c r="CG41" s="57" t="str">
        <f>IF(AND($B41=CG$3,$C41="Strong"),IF(PUF!$U39&gt;0,PUF!$U39,""),"")</f>
        <v/>
      </c>
      <c r="CH41" s="57" t="str">
        <f>IF(AND($B41=CH$3,$C41="Strong"),IF(PUF!$U39&gt;0,PUF!$U39,""),"")</f>
        <v/>
      </c>
      <c r="CI41" s="57" t="str">
        <f>IF(AND($B41=CI$3,$C41="Strong"),IF(PUF!$U39&gt;0,PUF!$U39,""),"")</f>
        <v/>
      </c>
      <c r="CJ41" s="57" t="str">
        <f>IF(AND($B41=CJ$3,$C41="Strong"),IF(PUF!$U39&gt;0,PUF!$U39,""),"")</f>
        <v/>
      </c>
      <c r="CK41" s="57" t="str">
        <f>IF(AND($B41=CK$3,$C41="Strong"),IF(PUF!$U39&gt;0,PUF!$U39,""),"")</f>
        <v/>
      </c>
      <c r="CL41" s="57" t="str">
        <f>IF(AND($B41=CL$3,$C41="Strong"),IF(PUF!$U39&gt;0,PUF!$U39,""),"")</f>
        <v/>
      </c>
      <c r="CM41" s="57" t="str">
        <f>IF(AND($B41=CM$3,$C41="Strong"),IF(PUF!$U39&gt;0,PUF!$U39,""),"")</f>
        <v/>
      </c>
      <c r="CN41" s="57" t="str">
        <f>IF(AND($B41=CN$3,$C41="Strong"),IF(PUF!$U39&gt;0,PUF!$U39,""),"")</f>
        <v/>
      </c>
    </row>
    <row r="42" spans="1:92" x14ac:dyDescent="0.3">
      <c r="A42" s="6">
        <f>PUF!A40</f>
        <v>39</v>
      </c>
      <c r="B42" s="6" t="str">
        <f>PUF!G40</f>
        <v>analog</v>
      </c>
      <c r="C42" t="str">
        <f>PUF!AL40</f>
        <v>Weak</v>
      </c>
      <c r="D42" s="166">
        <f>PUF!C40</f>
        <v>2017</v>
      </c>
      <c r="E42" s="167">
        <f>IF(AND($B42=E$3,$C42="Weak"),IF(PUF!$X40&gt;0,PUF!$X40,""),"")</f>
        <v>6500</v>
      </c>
      <c r="F42" s="167" t="str">
        <f>IF(AND($B42=F$3,$C42="Weak"),IF(PUF!$X40&gt;0,PUF!$X40,""),"")</f>
        <v/>
      </c>
      <c r="G42" s="167" t="str">
        <f>IF(AND($B42=G$3,$C42="Weak"),IF(PUF!$X40&gt;0,PUF!$X40,""),"")</f>
        <v/>
      </c>
      <c r="H42" s="167" t="str">
        <f>IF(AND($B42=H$3,$C42="Weak"),IF(PUF!$X40&gt;0,PUF!$X40,""),"")</f>
        <v/>
      </c>
      <c r="I42" s="167" t="str">
        <f>IF(AND($B42=I$3,$C42="Weak"),IF(PUF!$X40&gt;0,PUF!$X40,""),"")</f>
        <v/>
      </c>
      <c r="J42" s="167" t="str">
        <f>IF(AND($B42=J$3,$C42="Weak"),IF(PUF!$X40&gt;0,PUF!$X40,""),"")</f>
        <v/>
      </c>
      <c r="K42" s="167" t="str">
        <f>IF(AND($B42=K$3,$C42="Weak"),IF(PUF!$X40&gt;0,PUF!$X40,""),"")</f>
        <v/>
      </c>
      <c r="L42" s="167" t="str">
        <f>IF(AND($B42=L$3,$C42="Weak"),IF(PUF!$X40&gt;0,PUF!$X40,""),"")</f>
        <v/>
      </c>
      <c r="N42" s="11">
        <f t="shared" si="7"/>
        <v>2017</v>
      </c>
      <c r="O42" s="57" t="str">
        <f>IF(AND($B42=O$3,$C42="Weak"),IF(PUF!$M40&gt;0,PUF!$M40,""),"")</f>
        <v>N/A</v>
      </c>
      <c r="P42" s="57" t="str">
        <f>IF(AND($B42=P$3,$C42="Weak"),IF(PUF!$M40&gt;0,PUF!$M40,""),"")</f>
        <v/>
      </c>
      <c r="Q42" s="57" t="str">
        <f>IF(AND($B42=Q$3,$C42="Weak"),IF(PUF!$M40&gt;0,PUF!$M40,""),"")</f>
        <v/>
      </c>
      <c r="R42" s="57" t="str">
        <f>IF(AND($B42=R$3,$C42="Weak"),IF(PUF!$M40&gt;0,PUF!$M40,""),"")</f>
        <v/>
      </c>
      <c r="S42" s="57" t="str">
        <f>IF(AND($B42=S$3,$C42="Weak"),IF(PUF!$M40&gt;0,PUF!$M40,""),"")</f>
        <v/>
      </c>
      <c r="T42" s="57" t="str">
        <f>IF(AND($B42=T$3,$C42="Weak"),IF(PUF!$M40&gt;0,PUF!$M40,""),"")</f>
        <v/>
      </c>
      <c r="U42" s="57" t="str">
        <f>IF(AND($B42=U$3,$C42="Weak"),IF(PUF!$M40&gt;0,PUF!$M40,""),"")</f>
        <v/>
      </c>
      <c r="V42" s="57" t="str">
        <f>IF(AND($B42=V$3,$C42="Weak"),IF(PUF!$M40&gt;0,PUF!$M40,""),"")</f>
        <v/>
      </c>
      <c r="W42" s="168"/>
      <c r="X42" s="166">
        <f t="shared" si="4"/>
        <v>2017</v>
      </c>
      <c r="Y42" s="57" t="str">
        <f>IF(AND($B42=Y$3,$C42="Weak"),IF(PUF!$S40&gt;0,PUF!$S40,""),"")</f>
        <v>N/A</v>
      </c>
      <c r="Z42" s="57" t="str">
        <f>IF(AND($B42=Z$3,$C42="Weak"),IF(PUF!$S40&gt;0,PUF!$S40,""),"")</f>
        <v/>
      </c>
      <c r="AA42" s="57" t="str">
        <f>IF(AND($B42=AA$3,$C42="Weak"),IF(PUF!$S40&gt;0,PUF!$S40,""),"")</f>
        <v/>
      </c>
      <c r="AB42" s="57" t="str">
        <f>IF(AND($B42=AB$3,$C42="Weak"),IF(PUF!$S40&gt;0,PUF!$S40,""),"")</f>
        <v/>
      </c>
      <c r="AC42" s="57" t="str">
        <f>IF(AND($B42=AC$3,$C42="Weak"),IF(PUF!$S40&gt;0,PUF!$S40,""),"")</f>
        <v/>
      </c>
      <c r="AD42" s="57" t="str">
        <f>IF(AND($B42=AD$3,$C42="Weak"),IF(PUF!$S40&gt;0,PUF!$S40,""),"")</f>
        <v/>
      </c>
      <c r="AE42" s="57" t="str">
        <f>IF(AND($B42=AE$3,$C42="Weak"),IF(PUF!$S40&gt;0,PUF!$S40,""),"")</f>
        <v/>
      </c>
      <c r="AF42" s="57" t="str">
        <f>IF(AND($B42=AF$3,$C42="Weak"),IF(PUF!$S40&gt;0,PUF!$S40,""),"")</f>
        <v/>
      </c>
      <c r="AH42" s="210">
        <f t="shared" si="8"/>
        <v>2017</v>
      </c>
      <c r="AI42" s="211">
        <f>IF(AND($B42=AI$3,$C42="Weak"),IF(PUF!$U40&gt;0,PUF!$U40,""),"")</f>
        <v>34.5</v>
      </c>
      <c r="AJ42" s="211" t="str">
        <f>IF(AND($B42=AJ$3,$C42="Weak"),IF(PUF!$U40&gt;0,PUF!$U40,""),"")</f>
        <v/>
      </c>
      <c r="AK42" s="211" t="str">
        <f>IF(AND($B42=AK$3,$C42="Weak"),IF(PUF!$U40&gt;0,PUF!$U40,""),"")</f>
        <v/>
      </c>
      <c r="AL42" s="211" t="str">
        <f>IF(AND($B42=AL$3,$C42="Weak"),IF(PUF!$U40&gt;0,PUF!$U40,""),"")</f>
        <v/>
      </c>
      <c r="AM42" s="211" t="str">
        <f>IF(AND($B42=AM$3,$C42="Weak"),IF(PUF!$U40&gt;0,PUF!$U40,""),"")</f>
        <v/>
      </c>
      <c r="AN42" s="211" t="str">
        <f>IF(AND($B42=AN$3,$C42="Weak"),IF(PUF!$U40&gt;0,PUF!$U40,""),"")</f>
        <v/>
      </c>
      <c r="AO42" s="211" t="str">
        <f>IF(AND($B42=AO$3,$C42="Weak"),IF(PUF!$U40&gt;0,PUF!$U40,""),"")</f>
        <v/>
      </c>
      <c r="AP42" s="211" t="str">
        <f>IF(AND($B42=AP$3,$C42="Weak"),IF(PUF!$U40&gt;0,PUF!$U40,""),"")</f>
        <v/>
      </c>
      <c r="BB42" s="166">
        <f t="shared" si="9"/>
        <v>2017</v>
      </c>
      <c r="BC42" s="57" t="str">
        <f>IF(AND($B42=BC$3,$C42="Strong"),IF(PUF!$X40&gt;0,PUF!$X40,""),"")</f>
        <v/>
      </c>
      <c r="BD42" s="57" t="str">
        <f>IF(AND($B42=BD$3,$C42="Strong"),IF(PUF!$X40&gt;0,PUF!$X40,""),"")</f>
        <v/>
      </c>
      <c r="BE42" s="57" t="str">
        <f>IF(AND($B42=BE$3,$C42="Strong"),IF(PUF!$X40&gt;0,PUF!$X40,""),"")</f>
        <v/>
      </c>
      <c r="BF42" s="57" t="str">
        <f>IF(AND($B42=BF$3,$C42="Strong"),IF(PUF!$X40&gt;0,PUF!$X40,""),"")</f>
        <v/>
      </c>
      <c r="BG42" s="57" t="str">
        <f>IF(AND($B42=BG$3,$C42="Strong"),IF(PUF!$X40&gt;0,PUF!$X40,""),"")</f>
        <v/>
      </c>
      <c r="BH42" s="57" t="str">
        <f>IF(AND($B42=BH$3,$C42="Strong"),IF(PUF!$X40&gt;0,PUF!$X40,""),"")</f>
        <v/>
      </c>
      <c r="BI42" s="57" t="str">
        <f>IF(AND($B42=BI$3,$C42="Strong"),IF(PUF!$X40&gt;0,PUF!$X40,""),"")</f>
        <v/>
      </c>
      <c r="BJ42" s="57" t="str">
        <f>IF(AND($B42=BJ$3,$C42="Strong"),IF(PUF!$X40&gt;0,PUF!$X40,""),"")</f>
        <v/>
      </c>
      <c r="BL42" s="166">
        <f t="shared" si="10"/>
        <v>2017</v>
      </c>
      <c r="BM42" s="57" t="str">
        <f>IF(AND($B42=BM$3,$C42="Strong"),IF(PUF!$M40&gt;0,PUF!$M40,""),"")</f>
        <v/>
      </c>
      <c r="BN42" s="57" t="str">
        <f>IF(AND($B42=BN$3,$C42="Strong"),IF(PUF!$M40&gt;0,PUF!$M40,""),"")</f>
        <v/>
      </c>
      <c r="BO42" s="57" t="str">
        <f>IF(AND($B42=BO$3,$C42="Strong"),IF(PUF!$M40&gt;0,PUF!$M40,""),"")</f>
        <v/>
      </c>
      <c r="BP42" s="57" t="str">
        <f>IF(AND($B42=BP$3,$C42="Strong"),IF(PUF!$M40&gt;0,PUF!$M40,""),"")</f>
        <v/>
      </c>
      <c r="BQ42" s="57" t="str">
        <f>IF(AND($B42=BQ$3,$C42="Strong"),IF(PUF!$M40&gt;0,PUF!$M40,""),"")</f>
        <v/>
      </c>
      <c r="BR42" s="57" t="str">
        <f>IF(AND($B42=BR$3,$C42="Strong"),IF(PUF!$M40&gt;0,PUF!$M40,""),"")</f>
        <v/>
      </c>
      <c r="BS42" s="57" t="str">
        <f>IF(AND($B42=BS$3,$C42="Strong"),IF(PUF!$M40&gt;0,PUF!$M40,""),"")</f>
        <v/>
      </c>
      <c r="BT42" s="57" t="str">
        <f>IF(AND($B42=BT$3,$C42="Strong"),IF(PUF!$M40&gt;0,PUF!$M40,""),"")</f>
        <v/>
      </c>
      <c r="BV42" s="166">
        <f t="shared" si="5"/>
        <v>2017</v>
      </c>
      <c r="BW42" s="57" t="str">
        <f>IF(AND($B42=BW$3,$C42="Strong"),IF(PUF!$S40&gt;0,PUF!$S40,""),"")</f>
        <v/>
      </c>
      <c r="BX42" s="57" t="str">
        <f>IF(AND($B42=BX$3,$C42="Strong"),IF(PUF!$S40&gt;0,PUF!$S40,""),"")</f>
        <v/>
      </c>
      <c r="BY42" s="57" t="str">
        <f>IF(AND($B42=BY$3,$C42="Strong"),IF(PUF!$S40&gt;0,PUF!$S40,""),"")</f>
        <v/>
      </c>
      <c r="BZ42" s="57" t="str">
        <f>IF(AND($B42=BZ$3,$C42="Strong"),IF(PUF!$S40&gt;0,PUF!$S40,""),"")</f>
        <v/>
      </c>
      <c r="CA42" s="57" t="str">
        <f>IF(AND($B42=CA$3,$C42="Strong"),IF(PUF!$S40&gt;0,PUF!$S40,""),"")</f>
        <v/>
      </c>
      <c r="CB42" s="57" t="str">
        <f>IF(AND($B42=CB$3,$C42="Strong"),IF(PUF!$S40&gt;0,PUF!$S40,""),"")</f>
        <v/>
      </c>
      <c r="CC42" s="57" t="str">
        <f>IF(AND($B42=CC$3,$C42="Strong"),IF(PUF!$S40&gt;0,PUF!$S40,""),"")</f>
        <v/>
      </c>
      <c r="CD42" s="57" t="str">
        <f>IF(AND($B42=CD$3,$C42="Strong"),IF(PUF!$S40&gt;0,PUF!$S40,""),"")</f>
        <v/>
      </c>
      <c r="CF42" s="11">
        <f t="shared" si="6"/>
        <v>2017</v>
      </c>
      <c r="CG42" s="57" t="str">
        <f>IF(AND($B42=CG$3,$C42="Strong"),IF(PUF!$U40&gt;0,PUF!$U40,""),"")</f>
        <v/>
      </c>
      <c r="CH42" s="57" t="str">
        <f>IF(AND($B42=CH$3,$C42="Strong"),IF(PUF!$U40&gt;0,PUF!$U40,""),"")</f>
        <v/>
      </c>
      <c r="CI42" s="57" t="str">
        <f>IF(AND($B42=CI$3,$C42="Strong"),IF(PUF!$U40&gt;0,PUF!$U40,""),"")</f>
        <v/>
      </c>
      <c r="CJ42" s="57" t="str">
        <f>IF(AND($B42=CJ$3,$C42="Strong"),IF(PUF!$U40&gt;0,PUF!$U40,""),"")</f>
        <v/>
      </c>
      <c r="CK42" s="57" t="str">
        <f>IF(AND($B42=CK$3,$C42="Strong"),IF(PUF!$U40&gt;0,PUF!$U40,""),"")</f>
        <v/>
      </c>
      <c r="CL42" s="57" t="str">
        <f>IF(AND($B42=CL$3,$C42="Strong"),IF(PUF!$U40&gt;0,PUF!$U40,""),"")</f>
        <v/>
      </c>
      <c r="CM42" s="57" t="str">
        <f>IF(AND($B42=CM$3,$C42="Strong"),IF(PUF!$U40&gt;0,PUF!$U40,""),"")</f>
        <v/>
      </c>
      <c r="CN42" s="57" t="str">
        <f>IF(AND($B42=CN$3,$C42="Strong"),IF(PUF!$U40&gt;0,PUF!$U40,""),"")</f>
        <v/>
      </c>
    </row>
    <row r="43" spans="1:92" x14ac:dyDescent="0.3">
      <c r="A43" s="6">
        <f>PUF!A41</f>
        <v>40</v>
      </c>
      <c r="B43" s="6" t="str">
        <f>PUF!G41</f>
        <v>analog</v>
      </c>
      <c r="C43" t="str">
        <f>PUF!AL41</f>
        <v>Strong</v>
      </c>
      <c r="D43" s="166">
        <f>PUF!C41</f>
        <v>2017</v>
      </c>
      <c r="E43" s="167" t="str">
        <f>IF(AND($B43=E$3,$C43="Weak"),IF(PUF!$X41&gt;0,PUF!$X41,""),"")</f>
        <v/>
      </c>
      <c r="F43" s="167" t="str">
        <f>IF(AND($B43=F$3,$C43="Weak"),IF(PUF!$X41&gt;0,PUF!$X41,""),"")</f>
        <v/>
      </c>
      <c r="G43" s="167" t="str">
        <f>IF(AND($B43=G$3,$C43="Weak"),IF(PUF!$X41&gt;0,PUF!$X41,""),"")</f>
        <v/>
      </c>
      <c r="H43" s="167" t="str">
        <f>IF(AND($B43=H$3,$C43="Weak"),IF(PUF!$X41&gt;0,PUF!$X41,""),"")</f>
        <v/>
      </c>
      <c r="I43" s="167" t="str">
        <f>IF(AND($B43=I$3,$C43="Weak"),IF(PUF!$X41&gt;0,PUF!$X41,""),"")</f>
        <v/>
      </c>
      <c r="J43" s="167" t="str">
        <f>IF(AND($B43=J$3,$C43="Weak"),IF(PUF!$X41&gt;0,PUF!$X41,""),"")</f>
        <v/>
      </c>
      <c r="K43" s="167" t="str">
        <f>IF(AND($B43=K$3,$C43="Weak"),IF(PUF!$X41&gt;0,PUF!$X41,""),"")</f>
        <v/>
      </c>
      <c r="L43" s="167" t="str">
        <f>IF(AND($B43=L$3,$C43="Weak"),IF(PUF!$X41&gt;0,PUF!$X41,""),"")</f>
        <v/>
      </c>
      <c r="N43" s="11">
        <f t="shared" si="7"/>
        <v>2017</v>
      </c>
      <c r="O43" s="57" t="str">
        <f>IF(AND($B43=O$3,$C43="Weak"),IF(PUF!$M41&gt;0,PUF!$M41,""),"")</f>
        <v/>
      </c>
      <c r="P43" s="57" t="str">
        <f>IF(AND($B43=P$3,$C43="Weak"),IF(PUF!$M41&gt;0,PUF!$M41,""),"")</f>
        <v/>
      </c>
      <c r="Q43" s="57" t="str">
        <f>IF(AND($B43=Q$3,$C43="Weak"),IF(PUF!$M41&gt;0,PUF!$M41,""),"")</f>
        <v/>
      </c>
      <c r="R43" s="57" t="str">
        <f>IF(AND($B43=R$3,$C43="Weak"),IF(PUF!$M41&gt;0,PUF!$M41,""),"")</f>
        <v/>
      </c>
      <c r="S43" s="57" t="str">
        <f>IF(AND($B43=S$3,$C43="Weak"),IF(PUF!$M41&gt;0,PUF!$M41,""),"")</f>
        <v/>
      </c>
      <c r="T43" s="57" t="str">
        <f>IF(AND($B43=T$3,$C43="Weak"),IF(PUF!$M41&gt;0,PUF!$M41,""),"")</f>
        <v/>
      </c>
      <c r="U43" s="57" t="str">
        <f>IF(AND($B43=U$3,$C43="Weak"),IF(PUF!$M41&gt;0,PUF!$M41,""),"")</f>
        <v/>
      </c>
      <c r="V43" s="57" t="str">
        <f>IF(AND($B43=V$3,$C43="Weak"),IF(PUF!$M41&gt;0,PUF!$M41,""),"")</f>
        <v/>
      </c>
      <c r="W43" s="168"/>
      <c r="X43" s="166">
        <f t="shared" si="4"/>
        <v>2017</v>
      </c>
      <c r="Y43" s="57" t="str">
        <f>IF(AND($B43=Y$3,$C43="Weak"),IF(PUF!$S41&gt;0,PUF!$S41,""),"")</f>
        <v/>
      </c>
      <c r="Z43" s="57" t="str">
        <f>IF(AND($B43=Z$3,$C43="Weak"),IF(PUF!$S41&gt;0,PUF!$S41,""),"")</f>
        <v/>
      </c>
      <c r="AA43" s="57" t="str">
        <f>IF(AND($B43=AA$3,$C43="Weak"),IF(PUF!$S41&gt;0,PUF!$S41,""),"")</f>
        <v/>
      </c>
      <c r="AB43" s="57" t="str">
        <f>IF(AND($B43=AB$3,$C43="Weak"),IF(PUF!$S41&gt;0,PUF!$S41,""),"")</f>
        <v/>
      </c>
      <c r="AC43" s="57" t="str">
        <f>IF(AND($B43=AC$3,$C43="Weak"),IF(PUF!$S41&gt;0,PUF!$S41,""),"")</f>
        <v/>
      </c>
      <c r="AD43" s="57" t="str">
        <f>IF(AND($B43=AD$3,$C43="Weak"),IF(PUF!$S41&gt;0,PUF!$S41,""),"")</f>
        <v/>
      </c>
      <c r="AE43" s="57" t="str">
        <f>IF(AND($B43=AE$3,$C43="Weak"),IF(PUF!$S41&gt;0,PUF!$S41,""),"")</f>
        <v/>
      </c>
      <c r="AF43" s="57" t="str">
        <f>IF(AND($B43=AF$3,$C43="Weak"),IF(PUF!$S41&gt;0,PUF!$S41,""),"")</f>
        <v/>
      </c>
      <c r="AH43" s="210">
        <f t="shared" si="8"/>
        <v>2017</v>
      </c>
      <c r="AI43" s="211" t="str">
        <f>IF(AND($B43=AI$3,$C43="Weak"),IF(PUF!$U41&gt;0,PUF!$U41,""),"")</f>
        <v/>
      </c>
      <c r="AJ43" s="211" t="str">
        <f>IF(AND($B43=AJ$3,$C43="Weak"),IF(PUF!$U41&gt;0,PUF!$U41,""),"")</f>
        <v/>
      </c>
      <c r="AK43" s="211" t="str">
        <f>IF(AND($B43=AK$3,$C43="Weak"),IF(PUF!$U41&gt;0,PUF!$U41,""),"")</f>
        <v/>
      </c>
      <c r="AL43" s="211" t="str">
        <f>IF(AND($B43=AL$3,$C43="Weak"),IF(PUF!$U41&gt;0,PUF!$U41,""),"")</f>
        <v/>
      </c>
      <c r="AM43" s="211" t="str">
        <f>IF(AND($B43=AM$3,$C43="Weak"),IF(PUF!$U41&gt;0,PUF!$U41,""),"")</f>
        <v/>
      </c>
      <c r="AN43" s="211" t="str">
        <f>IF(AND($B43=AN$3,$C43="Weak"),IF(PUF!$U41&gt;0,PUF!$U41,""),"")</f>
        <v/>
      </c>
      <c r="AO43" s="211" t="str">
        <f>IF(AND($B43=AO$3,$C43="Weak"),IF(PUF!$U41&gt;0,PUF!$U41,""),"")</f>
        <v/>
      </c>
      <c r="AP43" s="211" t="str">
        <f>IF(AND($B43=AP$3,$C43="Weak"),IF(PUF!$U41&gt;0,PUF!$U41,""),"")</f>
        <v/>
      </c>
      <c r="BB43" s="166">
        <f t="shared" si="9"/>
        <v>2017</v>
      </c>
      <c r="BC43" s="57">
        <f>IF(AND($B43=BC$3,$C43="Strong"),IF(PUF!$X41&gt;0,PUF!$X41,""),"")</f>
        <v>2644970.4142011832</v>
      </c>
      <c r="BD43" s="57" t="str">
        <f>IF(AND($B43=BD$3,$C43="Strong"),IF(PUF!$X41&gt;0,PUF!$X41,""),"")</f>
        <v/>
      </c>
      <c r="BE43" s="57" t="str">
        <f>IF(AND($B43=BE$3,$C43="Strong"),IF(PUF!$X41&gt;0,PUF!$X41,""),"")</f>
        <v/>
      </c>
      <c r="BF43" s="57" t="str">
        <f>IF(AND($B43=BF$3,$C43="Strong"),IF(PUF!$X41&gt;0,PUF!$X41,""),"")</f>
        <v/>
      </c>
      <c r="BG43" s="57" t="str">
        <f>IF(AND($B43=BG$3,$C43="Strong"),IF(PUF!$X41&gt;0,PUF!$X41,""),"")</f>
        <v/>
      </c>
      <c r="BH43" s="57" t="str">
        <f>IF(AND($B43=BH$3,$C43="Strong"),IF(PUF!$X41&gt;0,PUF!$X41,""),"")</f>
        <v/>
      </c>
      <c r="BI43" s="57" t="str">
        <f>IF(AND($B43=BI$3,$C43="Strong"),IF(PUF!$X41&gt;0,PUF!$X41,""),"")</f>
        <v/>
      </c>
      <c r="BJ43" s="57" t="str">
        <f>IF(AND($B43=BJ$3,$C43="Strong"),IF(PUF!$X41&gt;0,PUF!$X41,""),"")</f>
        <v/>
      </c>
      <c r="BL43" s="166">
        <f t="shared" si="10"/>
        <v>2017</v>
      </c>
      <c r="BM43" s="57">
        <f>IF(AND($B43=BM$3,$C43="Strong"),IF(PUF!$M41&gt;0,PUF!$M41,""),"")</f>
        <v>9</v>
      </c>
      <c r="BN43" s="57" t="str">
        <f>IF(AND($B43=BN$3,$C43="Strong"),IF(PUF!$M41&gt;0,PUF!$M41,""),"")</f>
        <v/>
      </c>
      <c r="BO43" s="57" t="str">
        <f>IF(AND($B43=BO$3,$C43="Strong"),IF(PUF!$M41&gt;0,PUF!$M41,""),"")</f>
        <v/>
      </c>
      <c r="BP43" s="57" t="str">
        <f>IF(AND($B43=BP$3,$C43="Strong"),IF(PUF!$M41&gt;0,PUF!$M41,""),"")</f>
        <v/>
      </c>
      <c r="BQ43" s="57" t="str">
        <f>IF(AND($B43=BQ$3,$C43="Strong"),IF(PUF!$M41&gt;0,PUF!$M41,""),"")</f>
        <v/>
      </c>
      <c r="BR43" s="57" t="str">
        <f>IF(AND($B43=BR$3,$C43="Strong"),IF(PUF!$M41&gt;0,PUF!$M41,""),"")</f>
        <v/>
      </c>
      <c r="BS43" s="57" t="str">
        <f>IF(AND($B43=BS$3,$C43="Strong"),IF(PUF!$M41&gt;0,PUF!$M41,""),"")</f>
        <v/>
      </c>
      <c r="BT43" s="57" t="str">
        <f>IF(AND($B43=BT$3,$C43="Strong"),IF(PUF!$M41&gt;0,PUF!$M41,""),"")</f>
        <v/>
      </c>
      <c r="BV43" s="166">
        <f t="shared" si="5"/>
        <v>2017</v>
      </c>
      <c r="BW43" s="57">
        <f>IF(AND($B43=BW$3,$C43="Strong"),IF(PUF!$S41&gt;0,PUF!$S41,""),"")</f>
        <v>0.4</v>
      </c>
      <c r="BX43" s="57" t="str">
        <f>IF(AND($B43=BX$3,$C43="Strong"),IF(PUF!$S41&gt;0,PUF!$S41,""),"")</f>
        <v/>
      </c>
      <c r="BY43" s="57" t="str">
        <f>IF(AND($B43=BY$3,$C43="Strong"),IF(PUF!$S41&gt;0,PUF!$S41,""),"")</f>
        <v/>
      </c>
      <c r="BZ43" s="57" t="str">
        <f>IF(AND($B43=BZ$3,$C43="Strong"),IF(PUF!$S41&gt;0,PUF!$S41,""),"")</f>
        <v/>
      </c>
      <c r="CA43" s="57" t="str">
        <f>IF(AND($B43=CA$3,$C43="Strong"),IF(PUF!$S41&gt;0,PUF!$S41,""),"")</f>
        <v/>
      </c>
      <c r="CB43" s="57" t="str">
        <f>IF(AND($B43=CB$3,$C43="Strong"),IF(PUF!$S41&gt;0,PUF!$S41,""),"")</f>
        <v/>
      </c>
      <c r="CC43" s="57" t="str">
        <f>IF(AND($B43=CC$3,$C43="Strong"),IF(PUF!$S41&gt;0,PUF!$S41,""),"")</f>
        <v/>
      </c>
      <c r="CD43" s="57" t="str">
        <f>IF(AND($B43=CD$3,$C43="Strong"),IF(PUF!$S41&gt;0,PUF!$S41,""),"")</f>
        <v/>
      </c>
      <c r="CF43" s="11">
        <f t="shared" si="6"/>
        <v>2017</v>
      </c>
      <c r="CG43" s="57">
        <f>IF(AND($B43=CG$3,$C43="Strong"),IF(PUF!$U41&gt;0,PUF!$U41,""),"")</f>
        <v>11</v>
      </c>
      <c r="CH43" s="57" t="str">
        <f>IF(AND($B43=CH$3,$C43="Strong"),IF(PUF!$U41&gt;0,PUF!$U41,""),"")</f>
        <v/>
      </c>
      <c r="CI43" s="57" t="str">
        <f>IF(AND($B43=CI$3,$C43="Strong"),IF(PUF!$U41&gt;0,PUF!$U41,""),"")</f>
        <v/>
      </c>
      <c r="CJ43" s="57" t="str">
        <f>IF(AND($B43=CJ$3,$C43="Strong"),IF(PUF!$U41&gt;0,PUF!$U41,""),"")</f>
        <v/>
      </c>
      <c r="CK43" s="57" t="str">
        <f>IF(AND($B43=CK$3,$C43="Strong"),IF(PUF!$U41&gt;0,PUF!$U41,""),"")</f>
        <v/>
      </c>
      <c r="CL43" s="57" t="str">
        <f>IF(AND($B43=CL$3,$C43="Strong"),IF(PUF!$U41&gt;0,PUF!$U41,""),"")</f>
        <v/>
      </c>
      <c r="CM43" s="57" t="str">
        <f>IF(AND($B43=CM$3,$C43="Strong"),IF(PUF!$U41&gt;0,PUF!$U41,""),"")</f>
        <v/>
      </c>
      <c r="CN43" s="57" t="str">
        <f>IF(AND($B43=CN$3,$C43="Strong"),IF(PUF!$U41&gt;0,PUF!$U41,""),"")</f>
        <v/>
      </c>
    </row>
    <row r="44" spans="1:92" x14ac:dyDescent="0.3">
      <c r="A44" s="6">
        <f>PUF!A42</f>
        <v>41</v>
      </c>
      <c r="B44" s="6" t="str">
        <f>PUF!G42</f>
        <v>memory (volatile)</v>
      </c>
      <c r="C44" t="str">
        <f>PUF!AL42</f>
        <v>Strong</v>
      </c>
      <c r="D44" s="166">
        <f>PUF!C42</f>
        <v>2017</v>
      </c>
      <c r="E44" s="167" t="str">
        <f>IF(AND($B44=E$3,$C44="Weak"),IF(PUF!$X42&gt;0,PUF!$X42,""),"")</f>
        <v/>
      </c>
      <c r="F44" s="167" t="str">
        <f>IF(AND($B44=F$3,$C44="Weak"),IF(PUF!$X42&gt;0,PUF!$X42,""),"")</f>
        <v/>
      </c>
      <c r="G44" s="167" t="str">
        <f>IF(AND($B44=G$3,$C44="Weak"),IF(PUF!$X42&gt;0,PUF!$X42,""),"")</f>
        <v/>
      </c>
      <c r="H44" s="167" t="str">
        <f>IF(AND($B44=H$3,$C44="Weak"),IF(PUF!$X42&gt;0,PUF!$X42,""),"")</f>
        <v/>
      </c>
      <c r="I44" s="167" t="str">
        <f>IF(AND($B44=I$3,$C44="Weak"),IF(PUF!$X42&gt;0,PUF!$X42,""),"")</f>
        <v/>
      </c>
      <c r="J44" s="167" t="str">
        <f>IF(AND($B44=J$3,$C44="Weak"),IF(PUF!$X42&gt;0,PUF!$X42,""),"")</f>
        <v/>
      </c>
      <c r="K44" s="167" t="str">
        <f>IF(AND($B44=K$3,$C44="Weak"),IF(PUF!$X42&gt;0,PUF!$X42,""),"")</f>
        <v/>
      </c>
      <c r="L44" s="167" t="str">
        <f>IF(AND($B44=L$3,$C44="Weak"),IF(PUF!$X42&gt;0,PUF!$X42,""),"")</f>
        <v/>
      </c>
      <c r="N44" s="11">
        <f t="shared" si="7"/>
        <v>2017</v>
      </c>
      <c r="O44" s="57" t="str">
        <f>IF(AND($B44=O$3,$C44="Weak"),IF(PUF!$M42&gt;0,PUF!$M42,""),"")</f>
        <v/>
      </c>
      <c r="P44" s="57" t="str">
        <f>IF(AND($B44=P$3,$C44="Weak"),IF(PUF!$M42&gt;0,PUF!$M42,""),"")</f>
        <v/>
      </c>
      <c r="Q44" s="57" t="str">
        <f>IF(AND($B44=Q$3,$C44="Weak"),IF(PUF!$M42&gt;0,PUF!$M42,""),"")</f>
        <v/>
      </c>
      <c r="R44" s="57" t="str">
        <f>IF(AND($B44=R$3,$C44="Weak"),IF(PUF!$M42&gt;0,PUF!$M42,""),"")</f>
        <v/>
      </c>
      <c r="S44" s="57" t="str">
        <f>IF(AND($B44=S$3,$C44="Weak"),IF(PUF!$M42&gt;0,PUF!$M42,""),"")</f>
        <v/>
      </c>
      <c r="T44" s="57" t="str">
        <f>IF(AND($B44=T$3,$C44="Weak"),IF(PUF!$M42&gt;0,PUF!$M42,""),"")</f>
        <v/>
      </c>
      <c r="U44" s="57" t="str">
        <f>IF(AND($B44=U$3,$C44="Weak"),IF(PUF!$M42&gt;0,PUF!$M42,""),"")</f>
        <v/>
      </c>
      <c r="V44" s="57" t="str">
        <f>IF(AND($B44=V$3,$C44="Weak"),IF(PUF!$M42&gt;0,PUF!$M42,""),"")</f>
        <v/>
      </c>
      <c r="W44" s="168"/>
      <c r="X44" s="166">
        <f t="shared" si="4"/>
        <v>2017</v>
      </c>
      <c r="Y44" s="57" t="str">
        <f>IF(AND($B44=Y$3,$C44="Weak"),IF(PUF!$S42&gt;0,PUF!$S42,""),"")</f>
        <v/>
      </c>
      <c r="Z44" s="57" t="str">
        <f>IF(AND($B44=Z$3,$C44="Weak"),IF(PUF!$S42&gt;0,PUF!$S42,""),"")</f>
        <v/>
      </c>
      <c r="AA44" s="57" t="str">
        <f>IF(AND($B44=AA$3,$C44="Weak"),IF(PUF!$S42&gt;0,PUF!$S42,""),"")</f>
        <v/>
      </c>
      <c r="AB44" s="57" t="str">
        <f>IF(AND($B44=AB$3,$C44="Weak"),IF(PUF!$S42&gt;0,PUF!$S42,""),"")</f>
        <v/>
      </c>
      <c r="AC44" s="57" t="str">
        <f>IF(AND($B44=AC$3,$C44="Weak"),IF(PUF!$S42&gt;0,PUF!$S42,""),"")</f>
        <v/>
      </c>
      <c r="AD44" s="57" t="str">
        <f>IF(AND($B44=AD$3,$C44="Weak"),IF(PUF!$S42&gt;0,PUF!$S42,""),"")</f>
        <v/>
      </c>
      <c r="AE44" s="57" t="str">
        <f>IF(AND($B44=AE$3,$C44="Weak"),IF(PUF!$S42&gt;0,PUF!$S42,""),"")</f>
        <v/>
      </c>
      <c r="AF44" s="57" t="str">
        <f>IF(AND($B44=AF$3,$C44="Weak"),IF(PUF!$S42&gt;0,PUF!$S42,""),"")</f>
        <v/>
      </c>
      <c r="AH44" s="210">
        <f t="shared" si="8"/>
        <v>2017</v>
      </c>
      <c r="AI44" s="211" t="str">
        <f>IF(AND($B44=AI$3,$C44="Weak"),IF(PUF!$U42&gt;0,PUF!$U42,""),"")</f>
        <v/>
      </c>
      <c r="AJ44" s="211" t="str">
        <f>IF(AND($B44=AJ$3,$C44="Weak"),IF(PUF!$U42&gt;0,PUF!$U42,""),"")</f>
        <v/>
      </c>
      <c r="AK44" s="211" t="str">
        <f>IF(AND($B44=AK$3,$C44="Weak"),IF(PUF!$U42&gt;0,PUF!$U42,""),"")</f>
        <v/>
      </c>
      <c r="AL44" s="211" t="str">
        <f>IF(AND($B44=AL$3,$C44="Weak"),IF(PUF!$U42&gt;0,PUF!$U42,""),"")</f>
        <v/>
      </c>
      <c r="AM44" s="211" t="str">
        <f>IF(AND($B44=AM$3,$C44="Weak"),IF(PUF!$U42&gt;0,PUF!$U42,""),"")</f>
        <v/>
      </c>
      <c r="AN44" s="211" t="str">
        <f>IF(AND($B44=AN$3,$C44="Weak"),IF(PUF!$U42&gt;0,PUF!$U42,""),"")</f>
        <v/>
      </c>
      <c r="AO44" s="211" t="str">
        <f>IF(AND($B44=AO$3,$C44="Weak"),IF(PUF!$U42&gt;0,PUF!$U42,""),"")</f>
        <v/>
      </c>
      <c r="AP44" s="211" t="str">
        <f>IF(AND($B44=AP$3,$C44="Weak"),IF(PUF!$U42&gt;0,PUF!$U42,""),"")</f>
        <v/>
      </c>
      <c r="BB44" s="166">
        <f t="shared" si="9"/>
        <v>2017</v>
      </c>
      <c r="BC44" s="57" t="str">
        <f>IF(AND($B44=BC$3,$C44="Strong"),IF(PUF!$X42&gt;0,PUF!$X42,""),"")</f>
        <v/>
      </c>
      <c r="BD44" s="57" t="str">
        <f>IF(AND($B44=BD$3,$C44="Strong"),IF(PUF!$X42&gt;0,PUF!$X42,""),"")</f>
        <v/>
      </c>
      <c r="BE44" s="57">
        <f>IF(AND($B44=BE$3,$C44="Strong"),IF(PUF!$X42&gt;0,PUF!$X42,""),"")</f>
        <v>1454081</v>
      </c>
      <c r="BF44" s="57" t="str">
        <f>IF(AND($B44=BF$3,$C44="Strong"),IF(PUF!$X42&gt;0,PUF!$X42,""),"")</f>
        <v/>
      </c>
      <c r="BG44" s="57" t="str">
        <f>IF(AND($B44=BG$3,$C44="Strong"),IF(PUF!$X42&gt;0,PUF!$X42,""),"")</f>
        <v/>
      </c>
      <c r="BH44" s="57" t="str">
        <f>IF(AND($B44=BH$3,$C44="Strong"),IF(PUF!$X42&gt;0,PUF!$X42,""),"")</f>
        <v/>
      </c>
      <c r="BI44" s="57" t="str">
        <f>IF(AND($B44=BI$3,$C44="Strong"),IF(PUF!$X42&gt;0,PUF!$X42,""),"")</f>
        <v/>
      </c>
      <c r="BJ44" s="57" t="str">
        <f>IF(AND($B44=BJ$3,$C44="Strong"),IF(PUF!$X42&gt;0,PUF!$X42,""),"")</f>
        <v/>
      </c>
      <c r="BL44" s="166">
        <f t="shared" si="10"/>
        <v>2017</v>
      </c>
      <c r="BM44" s="57" t="str">
        <f>IF(AND($B44=BM$3,$C44="Strong"),IF(PUF!$M42&gt;0,PUF!$M42,""),"")</f>
        <v/>
      </c>
      <c r="BN44" s="57" t="str">
        <f>IF(AND($B44=BN$3,$C44="Strong"),IF(PUF!$M42&gt;0,PUF!$M42,""),"")</f>
        <v/>
      </c>
      <c r="BO44" s="57" t="str">
        <f>IF(AND($B44=BO$3,$C44="Strong"),IF(PUF!$M42&gt;0,PUF!$M42,""),"")</f>
        <v>N/A</v>
      </c>
      <c r="BP44" s="57" t="str">
        <f>IF(AND($B44=BP$3,$C44="Strong"),IF(PUF!$M42&gt;0,PUF!$M42,""),"")</f>
        <v/>
      </c>
      <c r="BQ44" s="57" t="str">
        <f>IF(AND($B44=BQ$3,$C44="Strong"),IF(PUF!$M42&gt;0,PUF!$M42,""),"")</f>
        <v/>
      </c>
      <c r="BR44" s="57" t="str">
        <f>IF(AND($B44=BR$3,$C44="Strong"),IF(PUF!$M42&gt;0,PUF!$M42,""),"")</f>
        <v/>
      </c>
      <c r="BS44" s="57" t="str">
        <f>IF(AND($B44=BS$3,$C44="Strong"),IF(PUF!$M42&gt;0,PUF!$M42,""),"")</f>
        <v/>
      </c>
      <c r="BT44" s="57" t="str">
        <f>IF(AND($B44=BT$3,$C44="Strong"),IF(PUF!$M42&gt;0,PUF!$M42,""),"")</f>
        <v/>
      </c>
      <c r="BV44" s="166">
        <f t="shared" si="5"/>
        <v>2017</v>
      </c>
      <c r="BW44" s="57" t="str">
        <f>IF(AND($B44=BW$3,$C44="Strong"),IF(PUF!$S42&gt;0,PUF!$S42,""),"")</f>
        <v/>
      </c>
      <c r="BX44" s="57" t="str">
        <f>IF(AND($B44=BX$3,$C44="Strong"),IF(PUF!$S42&gt;0,PUF!$S42,""),"")</f>
        <v/>
      </c>
      <c r="BY44" s="57">
        <f>IF(AND($B44=BY$3,$C44="Strong"),IF(PUF!$S42&gt;0,PUF!$S42,""),"")</f>
        <v>3.17</v>
      </c>
      <c r="BZ44" s="57" t="str">
        <f>IF(AND($B44=BZ$3,$C44="Strong"),IF(PUF!$S42&gt;0,PUF!$S42,""),"")</f>
        <v/>
      </c>
      <c r="CA44" s="57" t="str">
        <f>IF(AND($B44=CA$3,$C44="Strong"),IF(PUF!$S42&gt;0,PUF!$S42,""),"")</f>
        <v/>
      </c>
      <c r="CB44" s="57" t="str">
        <f>IF(AND($B44=CB$3,$C44="Strong"),IF(PUF!$S42&gt;0,PUF!$S42,""),"")</f>
        <v/>
      </c>
      <c r="CC44" s="57" t="str">
        <f>IF(AND($B44=CC$3,$C44="Strong"),IF(PUF!$S42&gt;0,PUF!$S42,""),"")</f>
        <v/>
      </c>
      <c r="CD44" s="57" t="str">
        <f>IF(AND($B44=CD$3,$C44="Strong"),IF(PUF!$S42&gt;0,PUF!$S42,""),"")</f>
        <v/>
      </c>
      <c r="CF44" s="11">
        <f t="shared" si="6"/>
        <v>2017</v>
      </c>
      <c r="CG44" s="57" t="str">
        <f>IF(AND($B44=CG$3,$C44="Strong"),IF(PUF!$U42&gt;0,PUF!$U42,""),"")</f>
        <v/>
      </c>
      <c r="CH44" s="57" t="str">
        <f>IF(AND($B44=CH$3,$C44="Strong"),IF(PUF!$U42&gt;0,PUF!$U42,""),"")</f>
        <v/>
      </c>
      <c r="CI44" s="57">
        <f>IF(AND($B44=CI$3,$C44="Strong"),IF(PUF!$U42&gt;0,PUF!$U42,""),"")</f>
        <v>9.7000000000000003E-2</v>
      </c>
      <c r="CJ44" s="57" t="str">
        <f>IF(AND($B44=CJ$3,$C44="Strong"),IF(PUF!$U42&gt;0,PUF!$U42,""),"")</f>
        <v/>
      </c>
      <c r="CK44" s="57" t="str">
        <f>IF(AND($B44=CK$3,$C44="Strong"),IF(PUF!$U42&gt;0,PUF!$U42,""),"")</f>
        <v/>
      </c>
      <c r="CL44" s="57" t="str">
        <f>IF(AND($B44=CL$3,$C44="Strong"),IF(PUF!$U42&gt;0,PUF!$U42,""),"")</f>
        <v/>
      </c>
      <c r="CM44" s="57" t="str">
        <f>IF(AND($B44=CM$3,$C44="Strong"),IF(PUF!$U42&gt;0,PUF!$U42,""),"")</f>
        <v/>
      </c>
      <c r="CN44" s="57" t="str">
        <f>IF(AND($B44=CN$3,$C44="Strong"),IF(PUF!$U42&gt;0,PUF!$U42,""),"")</f>
        <v/>
      </c>
    </row>
    <row r="45" spans="1:92" x14ac:dyDescent="0.3">
      <c r="A45" s="6">
        <f>PUF!A43</f>
        <v>42</v>
      </c>
      <c r="B45" s="6" t="str">
        <f>PUF!G43</f>
        <v>monostable</v>
      </c>
      <c r="C45" t="str">
        <f>PUF!AL43</f>
        <v>Weak</v>
      </c>
      <c r="D45" s="166">
        <f>PUF!C43</f>
        <v>2017</v>
      </c>
      <c r="E45" s="167" t="str">
        <f>IF(AND($B45=E$3,$C45="Weak"),IF(PUF!$X43&gt;0,PUF!$X43,""),"")</f>
        <v/>
      </c>
      <c r="F45" s="167" t="str">
        <f>IF(AND($B45=F$3,$C45="Weak"),IF(PUF!$X43&gt;0,PUF!$X43,""),"")</f>
        <v/>
      </c>
      <c r="G45" s="167" t="str">
        <f>IF(AND($B45=G$3,$C45="Weak"),IF(PUF!$X43&gt;0,PUF!$X43,""),"")</f>
        <v/>
      </c>
      <c r="H45" s="167" t="str">
        <f>IF(AND($B45=H$3,$C45="Weak"),IF(PUF!$X43&gt;0,PUF!$X43,""),"")</f>
        <v/>
      </c>
      <c r="I45" s="167">
        <f>IF(AND($B45=I$3,$C45="Weak"),IF(PUF!$X43&gt;0,PUF!$X43,""),"")</f>
        <v>4518.75</v>
      </c>
      <c r="J45" s="167" t="str">
        <f>IF(AND($B45=J$3,$C45="Weak"),IF(PUF!$X43&gt;0,PUF!$X43,""),"")</f>
        <v/>
      </c>
      <c r="K45" s="167" t="str">
        <f>IF(AND($B45=K$3,$C45="Weak"),IF(PUF!$X43&gt;0,PUF!$X43,""),"")</f>
        <v/>
      </c>
      <c r="L45" s="167" t="str">
        <f>IF(AND($B45=L$3,$C45="Weak"),IF(PUF!$X43&gt;0,PUF!$X43,""),"")</f>
        <v/>
      </c>
      <c r="N45" s="11">
        <f t="shared" si="7"/>
        <v>2017</v>
      </c>
      <c r="O45" s="57" t="str">
        <f>IF(AND($B45=O$3,$C45="Weak"),IF(PUF!$M43&gt;0,PUF!$M43,""),"")</f>
        <v/>
      </c>
      <c r="P45" s="57" t="str">
        <f>IF(AND($B45=P$3,$C45="Weak"),IF(PUF!$M43&gt;0,PUF!$M43,""),"")</f>
        <v/>
      </c>
      <c r="Q45" s="57" t="str">
        <f>IF(AND($B45=Q$3,$C45="Weak"),IF(PUF!$M43&gt;0,PUF!$M43,""),"")</f>
        <v/>
      </c>
      <c r="R45" s="57" t="str">
        <f>IF(AND($B45=R$3,$C45="Weak"),IF(PUF!$M43&gt;0,PUF!$M43,""),"")</f>
        <v/>
      </c>
      <c r="S45" s="57">
        <f>IF(AND($B45=S$3,$C45="Weak"),IF(PUF!$M43&gt;0,PUF!$M43,""),"")</f>
        <v>2.8000000000000003</v>
      </c>
      <c r="T45" s="57" t="str">
        <f>IF(AND($B45=T$3,$C45="Weak"),IF(PUF!$M43&gt;0,PUF!$M43,""),"")</f>
        <v/>
      </c>
      <c r="U45" s="57" t="str">
        <f>IF(AND($B45=U$3,$C45="Weak"),IF(PUF!$M43&gt;0,PUF!$M43,""),"")</f>
        <v/>
      </c>
      <c r="V45" s="57" t="str">
        <f>IF(AND($B45=V$3,$C45="Weak"),IF(PUF!$M43&gt;0,PUF!$M43,""),"")</f>
        <v/>
      </c>
      <c r="W45" s="168"/>
      <c r="X45" s="166">
        <f t="shared" si="4"/>
        <v>2017</v>
      </c>
      <c r="Y45" s="57" t="str">
        <f>IF(AND($B45=Y$3,$C45="Weak"),IF(PUF!$S43&gt;0,PUF!$S43,""),"")</f>
        <v/>
      </c>
      <c r="Z45" s="57" t="str">
        <f>IF(AND($B45=Z$3,$C45="Weak"),IF(PUF!$S43&gt;0,PUF!$S43,""),"")</f>
        <v/>
      </c>
      <c r="AA45" s="57" t="str">
        <f>IF(AND($B45=AA$3,$C45="Weak"),IF(PUF!$S43&gt;0,PUF!$S43,""),"")</f>
        <v/>
      </c>
      <c r="AB45" s="57" t="str">
        <f>IF(AND($B45=AB$3,$C45="Weak"),IF(PUF!$S43&gt;0,PUF!$S43,""),"")</f>
        <v/>
      </c>
      <c r="AC45" s="57" t="str">
        <f>IF(AND($B45=AC$3,$C45="Weak"),IF(PUF!$S43&gt;0,PUF!$S43,""),"")</f>
        <v>N/A</v>
      </c>
      <c r="AD45" s="57" t="str">
        <f>IF(AND($B45=AD$3,$C45="Weak"),IF(PUF!$S43&gt;0,PUF!$S43,""),"")</f>
        <v/>
      </c>
      <c r="AE45" s="57" t="str">
        <f>IF(AND($B45=AE$3,$C45="Weak"),IF(PUF!$S43&gt;0,PUF!$S43,""),"")</f>
        <v/>
      </c>
      <c r="AF45" s="57" t="str">
        <f>IF(AND($B45=AF$3,$C45="Weak"),IF(PUF!$S43&gt;0,PUF!$S43,""),"")</f>
        <v/>
      </c>
      <c r="AH45" s="210">
        <f t="shared" si="8"/>
        <v>2017</v>
      </c>
      <c r="AI45" s="211" t="str">
        <f>IF(AND($B45=AI$3,$C45="Weak"),IF(PUF!$U43&gt;0,PUF!$U43,""),"")</f>
        <v/>
      </c>
      <c r="AJ45" s="211" t="str">
        <f>IF(AND($B45=AJ$3,$C45="Weak"),IF(PUF!$U43&gt;0,PUF!$U43,""),"")</f>
        <v/>
      </c>
      <c r="AK45" s="211" t="str">
        <f>IF(AND($B45=AK$3,$C45="Weak"),IF(PUF!$U43&gt;0,PUF!$U43,""),"")</f>
        <v/>
      </c>
      <c r="AL45" s="211" t="str">
        <f>IF(AND($B45=AL$3,$C45="Weak"),IF(PUF!$U43&gt;0,PUF!$U43,""),"")</f>
        <v/>
      </c>
      <c r="AM45" s="211">
        <f>IF(AND($B45=AM$3,$C45="Weak"),IF(PUF!$U43&gt;0,PUF!$U43,""),"")</f>
        <v>1.0200000000000001E-3</v>
      </c>
      <c r="AN45" s="211" t="str">
        <f>IF(AND($B45=AN$3,$C45="Weak"),IF(PUF!$U43&gt;0,PUF!$U43,""),"")</f>
        <v/>
      </c>
      <c r="AO45" s="211" t="str">
        <f>IF(AND($B45=AO$3,$C45="Weak"),IF(PUF!$U43&gt;0,PUF!$U43,""),"")</f>
        <v/>
      </c>
      <c r="AP45" s="211" t="str">
        <f>IF(AND($B45=AP$3,$C45="Weak"),IF(PUF!$U43&gt;0,PUF!$U43,""),"")</f>
        <v/>
      </c>
      <c r="BB45" s="166">
        <f t="shared" si="9"/>
        <v>2017</v>
      </c>
      <c r="BC45" s="57" t="str">
        <f>IF(AND($B45=BC$3,$C45="Strong"),IF(PUF!$X43&gt;0,PUF!$X43,""),"")</f>
        <v/>
      </c>
      <c r="BD45" s="57" t="str">
        <f>IF(AND($B45=BD$3,$C45="Strong"),IF(PUF!$X43&gt;0,PUF!$X43,""),"")</f>
        <v/>
      </c>
      <c r="BE45" s="57" t="str">
        <f>IF(AND($B45=BE$3,$C45="Strong"),IF(PUF!$X43&gt;0,PUF!$X43,""),"")</f>
        <v/>
      </c>
      <c r="BF45" s="57" t="str">
        <f>IF(AND($B45=BF$3,$C45="Strong"),IF(PUF!$X43&gt;0,PUF!$X43,""),"")</f>
        <v/>
      </c>
      <c r="BG45" s="57" t="str">
        <f>IF(AND($B45=BG$3,$C45="Strong"),IF(PUF!$X43&gt;0,PUF!$X43,""),"")</f>
        <v/>
      </c>
      <c r="BH45" s="57" t="str">
        <f>IF(AND($B45=BH$3,$C45="Strong"),IF(PUF!$X43&gt;0,PUF!$X43,""),"")</f>
        <v/>
      </c>
      <c r="BI45" s="57" t="str">
        <f>IF(AND($B45=BI$3,$C45="Strong"),IF(PUF!$X43&gt;0,PUF!$X43,""),"")</f>
        <v/>
      </c>
      <c r="BJ45" s="57" t="str">
        <f>IF(AND($B45=BJ$3,$C45="Strong"),IF(PUF!$X43&gt;0,PUF!$X43,""),"")</f>
        <v/>
      </c>
      <c r="BL45" s="166">
        <f t="shared" si="10"/>
        <v>2017</v>
      </c>
      <c r="BM45" s="57" t="str">
        <f>IF(AND($B45=BM$3,$C45="Strong"),IF(PUF!$M43&gt;0,PUF!$M43,""),"")</f>
        <v/>
      </c>
      <c r="BN45" s="57" t="str">
        <f>IF(AND($B45=BN$3,$C45="Strong"),IF(PUF!$M43&gt;0,PUF!$M43,""),"")</f>
        <v/>
      </c>
      <c r="BO45" s="57" t="str">
        <f>IF(AND($B45=BO$3,$C45="Strong"),IF(PUF!$M43&gt;0,PUF!$M43,""),"")</f>
        <v/>
      </c>
      <c r="BP45" s="57" t="str">
        <f>IF(AND($B45=BP$3,$C45="Strong"),IF(PUF!$M43&gt;0,PUF!$M43,""),"")</f>
        <v/>
      </c>
      <c r="BQ45" s="57" t="str">
        <f>IF(AND($B45=BQ$3,$C45="Strong"),IF(PUF!$M43&gt;0,PUF!$M43,""),"")</f>
        <v/>
      </c>
      <c r="BR45" s="57" t="str">
        <f>IF(AND($B45=BR$3,$C45="Strong"),IF(PUF!$M43&gt;0,PUF!$M43,""),"")</f>
        <v/>
      </c>
      <c r="BS45" s="57" t="str">
        <f>IF(AND($B45=BS$3,$C45="Strong"),IF(PUF!$M43&gt;0,PUF!$M43,""),"")</f>
        <v/>
      </c>
      <c r="BT45" s="57" t="str">
        <f>IF(AND($B45=BT$3,$C45="Strong"),IF(PUF!$M43&gt;0,PUF!$M43,""),"")</f>
        <v/>
      </c>
      <c r="BV45" s="166">
        <f t="shared" si="5"/>
        <v>2017</v>
      </c>
      <c r="BW45" s="57" t="str">
        <f>IF(AND($B45=BW$3,$C45="Strong"),IF(PUF!$S43&gt;0,PUF!$S43,""),"")</f>
        <v/>
      </c>
      <c r="BX45" s="57" t="str">
        <f>IF(AND($B45=BX$3,$C45="Strong"),IF(PUF!$S43&gt;0,PUF!$S43,""),"")</f>
        <v/>
      </c>
      <c r="BY45" s="57" t="str">
        <f>IF(AND($B45=BY$3,$C45="Strong"),IF(PUF!$S43&gt;0,PUF!$S43,""),"")</f>
        <v/>
      </c>
      <c r="BZ45" s="57" t="str">
        <f>IF(AND($B45=BZ$3,$C45="Strong"),IF(PUF!$S43&gt;0,PUF!$S43,""),"")</f>
        <v/>
      </c>
      <c r="CA45" s="57" t="str">
        <f>IF(AND($B45=CA$3,$C45="Strong"),IF(PUF!$S43&gt;0,PUF!$S43,""),"")</f>
        <v/>
      </c>
      <c r="CB45" s="57" t="str">
        <f>IF(AND($B45=CB$3,$C45="Strong"),IF(PUF!$S43&gt;0,PUF!$S43,""),"")</f>
        <v/>
      </c>
      <c r="CC45" s="57" t="str">
        <f>IF(AND($B45=CC$3,$C45="Strong"),IF(PUF!$S43&gt;0,PUF!$S43,""),"")</f>
        <v/>
      </c>
      <c r="CD45" s="57" t="str">
        <f>IF(AND($B45=CD$3,$C45="Strong"),IF(PUF!$S43&gt;0,PUF!$S43,""),"")</f>
        <v/>
      </c>
      <c r="CF45" s="11">
        <f t="shared" si="6"/>
        <v>2017</v>
      </c>
      <c r="CG45" s="57" t="str">
        <f>IF(AND($B45=CG$3,$C45="Strong"),IF(PUF!$U43&gt;0,PUF!$U43,""),"")</f>
        <v/>
      </c>
      <c r="CH45" s="57" t="str">
        <f>IF(AND($B45=CH$3,$C45="Strong"),IF(PUF!$U43&gt;0,PUF!$U43,""),"")</f>
        <v/>
      </c>
      <c r="CI45" s="57" t="str">
        <f>IF(AND($B45=CI$3,$C45="Strong"),IF(PUF!$U43&gt;0,PUF!$U43,""),"")</f>
        <v/>
      </c>
      <c r="CJ45" s="57" t="str">
        <f>IF(AND($B45=CJ$3,$C45="Strong"),IF(PUF!$U43&gt;0,PUF!$U43,""),"")</f>
        <v/>
      </c>
      <c r="CK45" s="57" t="str">
        <f>IF(AND($B45=CK$3,$C45="Strong"),IF(PUF!$U43&gt;0,PUF!$U43,""),"")</f>
        <v/>
      </c>
      <c r="CL45" s="57" t="str">
        <f>IF(AND($B45=CL$3,$C45="Strong"),IF(PUF!$U43&gt;0,PUF!$U43,""),"")</f>
        <v/>
      </c>
      <c r="CM45" s="57" t="str">
        <f>IF(AND($B45=CM$3,$C45="Strong"),IF(PUF!$U43&gt;0,PUF!$U43,""),"")</f>
        <v/>
      </c>
      <c r="CN45" s="57" t="str">
        <f>IF(AND($B45=CN$3,$C45="Strong"),IF(PUF!$U43&gt;0,PUF!$U43,""),"")</f>
        <v/>
      </c>
    </row>
    <row r="46" spans="1:92" x14ac:dyDescent="0.3">
      <c r="A46" s="6">
        <f>PUF!A44</f>
        <v>43</v>
      </c>
      <c r="B46" s="6" t="str">
        <f>PUF!G44</f>
        <v>others</v>
      </c>
      <c r="C46" t="str">
        <f>PUF!AL44</f>
        <v>Weak</v>
      </c>
      <c r="D46" s="166">
        <f>PUF!C44</f>
        <v>2018</v>
      </c>
      <c r="E46" s="167" t="str">
        <f>IF(AND($B46=E$3,$C46="Weak"),IF(PUF!$X44&gt;0,PUF!$X44,""),"")</f>
        <v/>
      </c>
      <c r="F46" s="167" t="str">
        <f>IF(AND($B46=F$3,$C46="Weak"),IF(PUF!$X44&gt;0,PUF!$X44,""),"")</f>
        <v/>
      </c>
      <c r="G46" s="167" t="str">
        <f>IF(AND($B46=G$3,$C46="Weak"),IF(PUF!$X44&gt;0,PUF!$X44,""),"")</f>
        <v/>
      </c>
      <c r="H46" s="167" t="str">
        <f>IF(AND($B46=H$3,$C46="Weak"),IF(PUF!$X44&gt;0,PUF!$X44,""),"")</f>
        <v/>
      </c>
      <c r="I46" s="167" t="str">
        <f>IF(AND($B46=I$3,$C46="Weak"),IF(PUF!$X44&gt;0,PUF!$X44,""),"")</f>
        <v/>
      </c>
      <c r="J46" s="167" t="str">
        <f>IF(AND($B46=J$3,$C46="Weak"),IF(PUF!$X44&gt;0,PUF!$X44,""),"")</f>
        <v/>
      </c>
      <c r="K46" s="167" t="str">
        <f>IF(AND($B46=K$3,$C46="Weak"),IF(PUF!$X44&gt;0,PUF!$X44,""),"")</f>
        <v/>
      </c>
      <c r="L46" s="167">
        <f>IF(AND($B46=L$3,$C46="Weak"),IF(PUF!$X44&gt;0,PUF!$X44,""),"")</f>
        <v>218.18181818181819</v>
      </c>
      <c r="N46" s="11">
        <f t="shared" si="7"/>
        <v>2018</v>
      </c>
      <c r="O46" s="57" t="str">
        <f>IF(AND($B46=O$3,$C46="Weak"),IF(PUF!$M44&gt;0,PUF!$M44,""),"")</f>
        <v/>
      </c>
      <c r="P46" s="57" t="str">
        <f>IF(AND($B46=P$3,$C46="Weak"),IF(PUF!$M44&gt;0,PUF!$M44,""),"")</f>
        <v/>
      </c>
      <c r="Q46" s="57" t="str">
        <f>IF(AND($B46=Q$3,$C46="Weak"),IF(PUF!$M44&gt;0,PUF!$M44,""),"")</f>
        <v/>
      </c>
      <c r="R46" s="57" t="str">
        <f>IF(AND($B46=R$3,$C46="Weak"),IF(PUF!$M44&gt;0,PUF!$M44,""),"")</f>
        <v/>
      </c>
      <c r="S46" s="57" t="str">
        <f>IF(AND($B46=S$3,$C46="Weak"),IF(PUF!$M44&gt;0,PUF!$M44,""),"")</f>
        <v/>
      </c>
      <c r="T46" s="57" t="str">
        <f>IF(AND($B46=T$3,$C46="Weak"),IF(PUF!$M44&gt;0,PUF!$M44,""),"")</f>
        <v/>
      </c>
      <c r="U46" s="57" t="str">
        <f>IF(AND($B46=U$3,$C46="Weak"),IF(PUF!$M44&gt;0,PUF!$M44,""),"")</f>
        <v/>
      </c>
      <c r="V46" s="57">
        <f>IF(AND($B46=V$3,$C46="Weak"),IF(PUF!$M44&gt;0,PUF!$M44,""),"")</f>
        <v>3.6399999999999998E-10</v>
      </c>
      <c r="W46" s="168"/>
      <c r="X46" s="166">
        <f t="shared" si="4"/>
        <v>2018</v>
      </c>
      <c r="Y46" s="57" t="str">
        <f>IF(AND($B46=Y$3,$C46="Weak"),IF(PUF!$S44&gt;0,PUF!$S44,""),"")</f>
        <v/>
      </c>
      <c r="Z46" s="57" t="str">
        <f>IF(AND($B46=Z$3,$C46="Weak"),IF(PUF!$S44&gt;0,PUF!$S44,""),"")</f>
        <v/>
      </c>
      <c r="AA46" s="57" t="str">
        <f>IF(AND($B46=AA$3,$C46="Weak"),IF(PUF!$S44&gt;0,PUF!$S44,""),"")</f>
        <v/>
      </c>
      <c r="AB46" s="57" t="str">
        <f>IF(AND($B46=AB$3,$C46="Weak"),IF(PUF!$S44&gt;0,PUF!$S44,""),"")</f>
        <v/>
      </c>
      <c r="AC46" s="57" t="str">
        <f>IF(AND($B46=AC$3,$C46="Weak"),IF(PUF!$S44&gt;0,PUF!$S44,""),"")</f>
        <v/>
      </c>
      <c r="AD46" s="57" t="str">
        <f>IF(AND($B46=AD$3,$C46="Weak"),IF(PUF!$S44&gt;0,PUF!$S44,""),"")</f>
        <v/>
      </c>
      <c r="AE46" s="57" t="str">
        <f>IF(AND($B46=AE$3,$C46="Weak"),IF(PUF!$S44&gt;0,PUF!$S44,""),"")</f>
        <v/>
      </c>
      <c r="AF46" s="57">
        <f>IF(AND($B46=AF$3,$C46="Weak"),IF(PUF!$S44&gt;0,PUF!$S44,""),"")</f>
        <v>3.6399999999999998E-10</v>
      </c>
      <c r="AH46" s="210">
        <f t="shared" si="8"/>
        <v>2018</v>
      </c>
      <c r="AI46" s="211" t="str">
        <f>IF(AND($B46=AI$3,$C46="Weak"),IF(PUF!$U44&gt;0,PUF!$U44,""),"")</f>
        <v/>
      </c>
      <c r="AJ46" s="211" t="str">
        <f>IF(AND($B46=AJ$3,$C46="Weak"),IF(PUF!$U44&gt;0,PUF!$U44,""),"")</f>
        <v/>
      </c>
      <c r="AK46" s="211" t="str">
        <f>IF(AND($B46=AK$3,$C46="Weak"),IF(PUF!$U44&gt;0,PUF!$U44,""),"")</f>
        <v/>
      </c>
      <c r="AL46" s="211" t="str">
        <f>IF(AND($B46=AL$3,$C46="Weak"),IF(PUF!$U44&gt;0,PUF!$U44,""),"")</f>
        <v/>
      </c>
      <c r="AM46" s="211" t="str">
        <f>IF(AND($B46=AM$3,$C46="Weak"),IF(PUF!$U44&gt;0,PUF!$U44,""),"")</f>
        <v/>
      </c>
      <c r="AN46" s="211" t="str">
        <f>IF(AND($B46=AN$3,$C46="Weak"),IF(PUF!$U44&gt;0,PUF!$U44,""),"")</f>
        <v/>
      </c>
      <c r="AO46" s="211" t="str">
        <f>IF(AND($B46=AO$3,$C46="Weak"),IF(PUF!$U44&gt;0,PUF!$U44,""),"")</f>
        <v/>
      </c>
      <c r="AP46" s="211">
        <f>IF(AND($B46=AP$3,$C46="Weak"),IF(PUF!$U44&gt;0,PUF!$U44,""),"")</f>
        <v>5.2</v>
      </c>
      <c r="BB46" s="166">
        <f t="shared" si="9"/>
        <v>2018</v>
      </c>
      <c r="BC46" s="57" t="str">
        <f>IF(AND($B46=BC$3,$C46="Strong"),IF(PUF!$X44&gt;0,PUF!$X44,""),"")</f>
        <v/>
      </c>
      <c r="BD46" s="57" t="str">
        <f>IF(AND($B46=BD$3,$C46="Strong"),IF(PUF!$X44&gt;0,PUF!$X44,""),"")</f>
        <v/>
      </c>
      <c r="BE46" s="57" t="str">
        <f>IF(AND($B46=BE$3,$C46="Strong"),IF(PUF!$X44&gt;0,PUF!$X44,""),"")</f>
        <v/>
      </c>
      <c r="BF46" s="57" t="str">
        <f>IF(AND($B46=BF$3,$C46="Strong"),IF(PUF!$X44&gt;0,PUF!$X44,""),"")</f>
        <v/>
      </c>
      <c r="BG46" s="57" t="str">
        <f>IF(AND($B46=BG$3,$C46="Strong"),IF(PUF!$X44&gt;0,PUF!$X44,""),"")</f>
        <v/>
      </c>
      <c r="BH46" s="57" t="str">
        <f>IF(AND($B46=BH$3,$C46="Strong"),IF(PUF!$X44&gt;0,PUF!$X44,""),"")</f>
        <v/>
      </c>
      <c r="BI46" s="57" t="str">
        <f>IF(AND($B46=BI$3,$C46="Strong"),IF(PUF!$X44&gt;0,PUF!$X44,""),"")</f>
        <v/>
      </c>
      <c r="BJ46" s="57" t="str">
        <f>IF(AND($B46=BJ$3,$C46="Strong"),IF(PUF!$X44&gt;0,PUF!$X44,""),"")</f>
        <v/>
      </c>
      <c r="BL46" s="166">
        <f t="shared" si="10"/>
        <v>2018</v>
      </c>
      <c r="BM46" s="57" t="str">
        <f>IF(AND($B46=BM$3,$C46="Strong"),IF(PUF!$M44&gt;0,PUF!$M44,""),"")</f>
        <v/>
      </c>
      <c r="BN46" s="57" t="str">
        <f>IF(AND($B46=BN$3,$C46="Strong"),IF(PUF!$M44&gt;0,PUF!$M44,""),"")</f>
        <v/>
      </c>
      <c r="BO46" s="57" t="str">
        <f>IF(AND($B46=BO$3,$C46="Strong"),IF(PUF!$M44&gt;0,PUF!$M44,""),"")</f>
        <v/>
      </c>
      <c r="BP46" s="57" t="str">
        <f>IF(AND($B46=BP$3,$C46="Strong"),IF(PUF!$M44&gt;0,PUF!$M44,""),"")</f>
        <v/>
      </c>
      <c r="BQ46" s="57" t="str">
        <f>IF(AND($B46=BQ$3,$C46="Strong"),IF(PUF!$M44&gt;0,PUF!$M44,""),"")</f>
        <v/>
      </c>
      <c r="BR46" s="57" t="str">
        <f>IF(AND($B46=BR$3,$C46="Strong"),IF(PUF!$M44&gt;0,PUF!$M44,""),"")</f>
        <v/>
      </c>
      <c r="BS46" s="57" t="str">
        <f>IF(AND($B46=BS$3,$C46="Strong"),IF(PUF!$M44&gt;0,PUF!$M44,""),"")</f>
        <v/>
      </c>
      <c r="BT46" s="57" t="str">
        <f>IF(AND($B46=BT$3,$C46="Strong"),IF(PUF!$M44&gt;0,PUF!$M44,""),"")</f>
        <v/>
      </c>
      <c r="BV46" s="166">
        <f t="shared" si="5"/>
        <v>2018</v>
      </c>
      <c r="BW46" s="57" t="str">
        <f>IF(AND($B46=BW$3,$C46="Strong"),IF(PUF!$S44&gt;0,PUF!$S44,""),"")</f>
        <v/>
      </c>
      <c r="BX46" s="57" t="str">
        <f>IF(AND($B46=BX$3,$C46="Strong"),IF(PUF!$S44&gt;0,PUF!$S44,""),"")</f>
        <v/>
      </c>
      <c r="BY46" s="57" t="str">
        <f>IF(AND($B46=BY$3,$C46="Strong"),IF(PUF!$S44&gt;0,PUF!$S44,""),"")</f>
        <v/>
      </c>
      <c r="BZ46" s="57" t="str">
        <f>IF(AND($B46=BZ$3,$C46="Strong"),IF(PUF!$S44&gt;0,PUF!$S44,""),"")</f>
        <v/>
      </c>
      <c r="CA46" s="57" t="str">
        <f>IF(AND($B46=CA$3,$C46="Strong"),IF(PUF!$S44&gt;0,PUF!$S44,""),"")</f>
        <v/>
      </c>
      <c r="CB46" s="57" t="str">
        <f>IF(AND($B46=CB$3,$C46="Strong"),IF(PUF!$S44&gt;0,PUF!$S44,""),"")</f>
        <v/>
      </c>
      <c r="CC46" s="57" t="str">
        <f>IF(AND($B46=CC$3,$C46="Strong"),IF(PUF!$S44&gt;0,PUF!$S44,""),"")</f>
        <v/>
      </c>
      <c r="CD46" s="57" t="str">
        <f>IF(AND($B46=CD$3,$C46="Strong"),IF(PUF!$S44&gt;0,PUF!$S44,""),"")</f>
        <v/>
      </c>
      <c r="CF46" s="11">
        <f t="shared" si="6"/>
        <v>2018</v>
      </c>
      <c r="CG46" s="57" t="str">
        <f>IF(AND($B46=CG$3,$C46="Strong"),IF(PUF!$U44&gt;0,PUF!$U44,""),"")</f>
        <v/>
      </c>
      <c r="CH46" s="57" t="str">
        <f>IF(AND($B46=CH$3,$C46="Strong"),IF(PUF!$U44&gt;0,PUF!$U44,""),"")</f>
        <v/>
      </c>
      <c r="CI46" s="57" t="str">
        <f>IF(AND($B46=CI$3,$C46="Strong"),IF(PUF!$U44&gt;0,PUF!$U44,""),"")</f>
        <v/>
      </c>
      <c r="CJ46" s="57" t="str">
        <f>IF(AND($B46=CJ$3,$C46="Strong"),IF(PUF!$U44&gt;0,PUF!$U44,""),"")</f>
        <v/>
      </c>
      <c r="CK46" s="57" t="str">
        <f>IF(AND($B46=CK$3,$C46="Strong"),IF(PUF!$U44&gt;0,PUF!$U44,""),"")</f>
        <v/>
      </c>
      <c r="CL46" s="57" t="str">
        <f>IF(AND($B46=CL$3,$C46="Strong"),IF(PUF!$U44&gt;0,PUF!$U44,""),"")</f>
        <v/>
      </c>
      <c r="CM46" s="57" t="str">
        <f>IF(AND($B46=CM$3,$C46="Strong"),IF(PUF!$U44&gt;0,PUF!$U44,""),"")</f>
        <v/>
      </c>
      <c r="CN46" s="57" t="str">
        <f>IF(AND($B46=CN$3,$C46="Strong"),IF(PUF!$U44&gt;0,PUF!$U44,""),"")</f>
        <v/>
      </c>
    </row>
    <row r="47" spans="1:92" x14ac:dyDescent="0.3">
      <c r="A47" s="6">
        <f>PUF!A45</f>
        <v>44</v>
      </c>
      <c r="B47" s="6" t="str">
        <f>PUF!G45</f>
        <v>analog</v>
      </c>
      <c r="C47" t="str">
        <f>PUF!AL45</f>
        <v>Weak</v>
      </c>
      <c r="D47" s="166">
        <f>PUF!C45</f>
        <v>2018</v>
      </c>
      <c r="E47" s="167">
        <f>IF(AND($B47=E$3,$C47="Weak"),IF(PUF!$X45&gt;0,PUF!$X45,""),"")</f>
        <v>600</v>
      </c>
      <c r="F47" s="167" t="str">
        <f>IF(AND($B47=F$3,$C47="Weak"),IF(PUF!$X45&gt;0,PUF!$X45,""),"")</f>
        <v/>
      </c>
      <c r="G47" s="167" t="str">
        <f>IF(AND($B47=G$3,$C47="Weak"),IF(PUF!$X45&gt;0,PUF!$X45,""),"")</f>
        <v/>
      </c>
      <c r="H47" s="167" t="str">
        <f>IF(AND($B47=H$3,$C47="Weak"),IF(PUF!$X45&gt;0,PUF!$X45,""),"")</f>
        <v/>
      </c>
      <c r="I47" s="167" t="str">
        <f>IF(AND($B47=I$3,$C47="Weak"),IF(PUF!$X45&gt;0,PUF!$X45,""),"")</f>
        <v/>
      </c>
      <c r="J47" s="167" t="str">
        <f>IF(AND($B47=J$3,$C47="Weak"),IF(PUF!$X45&gt;0,PUF!$X45,""),"")</f>
        <v/>
      </c>
      <c r="K47" s="167" t="str">
        <f>IF(AND($B47=K$3,$C47="Weak"),IF(PUF!$X45&gt;0,PUF!$X45,""),"")</f>
        <v/>
      </c>
      <c r="L47" s="167" t="str">
        <f>IF(AND($B47=L$3,$C47="Weak"),IF(PUF!$X45&gt;0,PUF!$X45,""),"")</f>
        <v/>
      </c>
      <c r="N47" s="11">
        <f t="shared" si="7"/>
        <v>2018</v>
      </c>
      <c r="O47" s="57">
        <f>IF(AND($B47=O$3,$C47="Weak"),IF(PUF!$M45&gt;0,PUF!$M45,""),"")</f>
        <v>2.16</v>
      </c>
      <c r="P47" s="57" t="str">
        <f>IF(AND($B47=P$3,$C47="Weak"),IF(PUF!$M45&gt;0,PUF!$M45,""),"")</f>
        <v/>
      </c>
      <c r="Q47" s="57" t="str">
        <f>IF(AND($B47=Q$3,$C47="Weak"),IF(PUF!$M45&gt;0,PUF!$M45,""),"")</f>
        <v/>
      </c>
      <c r="R47" s="57" t="str">
        <f>IF(AND($B47=R$3,$C47="Weak"),IF(PUF!$M45&gt;0,PUF!$M45,""),"")</f>
        <v/>
      </c>
      <c r="S47" s="57" t="str">
        <f>IF(AND($B47=S$3,$C47="Weak"),IF(PUF!$M45&gt;0,PUF!$M45,""),"")</f>
        <v/>
      </c>
      <c r="T47" s="57" t="str">
        <f>IF(AND($B47=T$3,$C47="Weak"),IF(PUF!$M45&gt;0,PUF!$M45,""),"")</f>
        <v/>
      </c>
      <c r="U47" s="57" t="str">
        <f>IF(AND($B47=U$3,$C47="Weak"),IF(PUF!$M45&gt;0,PUF!$M45,""),"")</f>
        <v/>
      </c>
      <c r="V47" s="57" t="str">
        <f>IF(AND($B47=V$3,$C47="Weak"),IF(PUF!$M45&gt;0,PUF!$M45,""),"")</f>
        <v/>
      </c>
      <c r="W47" s="168"/>
      <c r="X47" s="166">
        <f t="shared" si="4"/>
        <v>2018</v>
      </c>
      <c r="Y47" s="57">
        <f>IF(AND($B47=Y$3,$C47="Weak"),IF(PUF!$S45&gt;0,PUF!$S45,""),"")</f>
        <v>0.62</v>
      </c>
      <c r="Z47" s="57" t="str">
        <f>IF(AND($B47=Z$3,$C47="Weak"),IF(PUF!$S45&gt;0,PUF!$S45,""),"")</f>
        <v/>
      </c>
      <c r="AA47" s="57" t="str">
        <f>IF(AND($B47=AA$3,$C47="Weak"),IF(PUF!$S45&gt;0,PUF!$S45,""),"")</f>
        <v/>
      </c>
      <c r="AB47" s="57" t="str">
        <f>IF(AND($B47=AB$3,$C47="Weak"),IF(PUF!$S45&gt;0,PUF!$S45,""),"")</f>
        <v/>
      </c>
      <c r="AC47" s="57" t="str">
        <f>IF(AND($B47=AC$3,$C47="Weak"),IF(PUF!$S45&gt;0,PUF!$S45,""),"")</f>
        <v/>
      </c>
      <c r="AD47" s="57" t="str">
        <f>IF(AND($B47=AD$3,$C47="Weak"),IF(PUF!$S45&gt;0,PUF!$S45,""),"")</f>
        <v/>
      </c>
      <c r="AE47" s="57" t="str">
        <f>IF(AND($B47=AE$3,$C47="Weak"),IF(PUF!$S45&gt;0,PUF!$S45,""),"")</f>
        <v/>
      </c>
      <c r="AF47" s="57" t="str">
        <f>IF(AND($B47=AF$3,$C47="Weak"),IF(PUF!$S45&gt;0,PUF!$S45,""),"")</f>
        <v/>
      </c>
      <c r="AH47" s="210">
        <f t="shared" si="8"/>
        <v>2018</v>
      </c>
      <c r="AI47" s="211">
        <f>IF(AND($B47=AI$3,$C47="Weak"),IF(PUF!$U45&gt;0,PUF!$U45,""),"")</f>
        <v>0.38</v>
      </c>
      <c r="AJ47" s="211" t="str">
        <f>IF(AND($B47=AJ$3,$C47="Weak"),IF(PUF!$U45&gt;0,PUF!$U45,""),"")</f>
        <v/>
      </c>
      <c r="AK47" s="211" t="str">
        <f>IF(AND($B47=AK$3,$C47="Weak"),IF(PUF!$U45&gt;0,PUF!$U45,""),"")</f>
        <v/>
      </c>
      <c r="AL47" s="211" t="str">
        <f>IF(AND($B47=AL$3,$C47="Weak"),IF(PUF!$U45&gt;0,PUF!$U45,""),"")</f>
        <v/>
      </c>
      <c r="AM47" s="211" t="str">
        <f>IF(AND($B47=AM$3,$C47="Weak"),IF(PUF!$U45&gt;0,PUF!$U45,""),"")</f>
        <v/>
      </c>
      <c r="AN47" s="211" t="str">
        <f>IF(AND($B47=AN$3,$C47="Weak"),IF(PUF!$U45&gt;0,PUF!$U45,""),"")</f>
        <v/>
      </c>
      <c r="AO47" s="211" t="str">
        <f>IF(AND($B47=AO$3,$C47="Weak"),IF(PUF!$U45&gt;0,PUF!$U45,""),"")</f>
        <v/>
      </c>
      <c r="AP47" s="211" t="str">
        <f>IF(AND($B47=AP$3,$C47="Weak"),IF(PUF!$U45&gt;0,PUF!$U45,""),"")</f>
        <v/>
      </c>
      <c r="BB47" s="166">
        <f t="shared" si="9"/>
        <v>2018</v>
      </c>
      <c r="BC47" s="57" t="str">
        <f>IF(AND($B47=BC$3,$C47="Strong"),IF(PUF!$X45&gt;0,PUF!$X45,""),"")</f>
        <v/>
      </c>
      <c r="BD47" s="57" t="str">
        <f>IF(AND($B47=BD$3,$C47="Strong"),IF(PUF!$X45&gt;0,PUF!$X45,""),"")</f>
        <v/>
      </c>
      <c r="BE47" s="57" t="str">
        <f>IF(AND($B47=BE$3,$C47="Strong"),IF(PUF!$X45&gt;0,PUF!$X45,""),"")</f>
        <v/>
      </c>
      <c r="BF47" s="57" t="str">
        <f>IF(AND($B47=BF$3,$C47="Strong"),IF(PUF!$X45&gt;0,PUF!$X45,""),"")</f>
        <v/>
      </c>
      <c r="BG47" s="57" t="str">
        <f>IF(AND($B47=BG$3,$C47="Strong"),IF(PUF!$X45&gt;0,PUF!$X45,""),"")</f>
        <v/>
      </c>
      <c r="BH47" s="57" t="str">
        <f>IF(AND($B47=BH$3,$C47="Strong"),IF(PUF!$X45&gt;0,PUF!$X45,""),"")</f>
        <v/>
      </c>
      <c r="BI47" s="57" t="str">
        <f>IF(AND($B47=BI$3,$C47="Strong"),IF(PUF!$X45&gt;0,PUF!$X45,""),"")</f>
        <v/>
      </c>
      <c r="BJ47" s="57" t="str">
        <f>IF(AND($B47=BJ$3,$C47="Strong"),IF(PUF!$X45&gt;0,PUF!$X45,""),"")</f>
        <v/>
      </c>
      <c r="BL47" s="166">
        <f t="shared" si="10"/>
        <v>2018</v>
      </c>
      <c r="BM47" s="57" t="str">
        <f>IF(AND($B47=BM$3,$C47="Strong"),IF(PUF!$M45&gt;0,PUF!$M45,""),"")</f>
        <v/>
      </c>
      <c r="BN47" s="57" t="str">
        <f>IF(AND($B47=BN$3,$C47="Strong"),IF(PUF!$M45&gt;0,PUF!$M45,""),"")</f>
        <v/>
      </c>
      <c r="BO47" s="57" t="str">
        <f>IF(AND($B47=BO$3,$C47="Strong"),IF(PUF!$M45&gt;0,PUF!$M45,""),"")</f>
        <v/>
      </c>
      <c r="BP47" s="57" t="str">
        <f>IF(AND($B47=BP$3,$C47="Strong"),IF(PUF!$M45&gt;0,PUF!$M45,""),"")</f>
        <v/>
      </c>
      <c r="BQ47" s="57" t="str">
        <f>IF(AND($B47=BQ$3,$C47="Strong"),IF(PUF!$M45&gt;0,PUF!$M45,""),"")</f>
        <v/>
      </c>
      <c r="BR47" s="57" t="str">
        <f>IF(AND($B47=BR$3,$C47="Strong"),IF(PUF!$M45&gt;0,PUF!$M45,""),"")</f>
        <v/>
      </c>
      <c r="BS47" s="57" t="str">
        <f>IF(AND($B47=BS$3,$C47="Strong"),IF(PUF!$M45&gt;0,PUF!$M45,""),"")</f>
        <v/>
      </c>
      <c r="BT47" s="57" t="str">
        <f>IF(AND($B47=BT$3,$C47="Strong"),IF(PUF!$M45&gt;0,PUF!$M45,""),"")</f>
        <v/>
      </c>
      <c r="BV47" s="166">
        <f t="shared" si="5"/>
        <v>2018</v>
      </c>
      <c r="BW47" s="57" t="str">
        <f>IF(AND($B47=BW$3,$C47="Strong"),IF(PUF!$S45&gt;0,PUF!$S45,""),"")</f>
        <v/>
      </c>
      <c r="BX47" s="57" t="str">
        <f>IF(AND($B47=BX$3,$C47="Strong"),IF(PUF!$S45&gt;0,PUF!$S45,""),"")</f>
        <v/>
      </c>
      <c r="BY47" s="57" t="str">
        <f>IF(AND($B47=BY$3,$C47="Strong"),IF(PUF!$S45&gt;0,PUF!$S45,""),"")</f>
        <v/>
      </c>
      <c r="BZ47" s="57" t="str">
        <f>IF(AND($B47=BZ$3,$C47="Strong"),IF(PUF!$S45&gt;0,PUF!$S45,""),"")</f>
        <v/>
      </c>
      <c r="CA47" s="57" t="str">
        <f>IF(AND($B47=CA$3,$C47="Strong"),IF(PUF!$S45&gt;0,PUF!$S45,""),"")</f>
        <v/>
      </c>
      <c r="CB47" s="57" t="str">
        <f>IF(AND($B47=CB$3,$C47="Strong"),IF(PUF!$S45&gt;0,PUF!$S45,""),"")</f>
        <v/>
      </c>
      <c r="CC47" s="57" t="str">
        <f>IF(AND($B47=CC$3,$C47="Strong"),IF(PUF!$S45&gt;0,PUF!$S45,""),"")</f>
        <v/>
      </c>
      <c r="CD47" s="57" t="str">
        <f>IF(AND($B47=CD$3,$C47="Strong"),IF(PUF!$S45&gt;0,PUF!$S45,""),"")</f>
        <v/>
      </c>
      <c r="CF47" s="11">
        <f t="shared" si="6"/>
        <v>2018</v>
      </c>
      <c r="CG47" s="57" t="str">
        <f>IF(AND($B47=CG$3,$C47="Strong"),IF(PUF!$U45&gt;0,PUF!$U45,""),"")</f>
        <v/>
      </c>
      <c r="CH47" s="57" t="str">
        <f>IF(AND($B47=CH$3,$C47="Strong"),IF(PUF!$U45&gt;0,PUF!$U45,""),"")</f>
        <v/>
      </c>
      <c r="CI47" s="57" t="str">
        <f>IF(AND($B47=CI$3,$C47="Strong"),IF(PUF!$U45&gt;0,PUF!$U45,""),"")</f>
        <v/>
      </c>
      <c r="CJ47" s="57" t="str">
        <f>IF(AND($B47=CJ$3,$C47="Strong"),IF(PUF!$U45&gt;0,PUF!$U45,""),"")</f>
        <v/>
      </c>
      <c r="CK47" s="57" t="str">
        <f>IF(AND($B47=CK$3,$C47="Strong"),IF(PUF!$U45&gt;0,PUF!$U45,""),"")</f>
        <v/>
      </c>
      <c r="CL47" s="57" t="str">
        <f>IF(AND($B47=CL$3,$C47="Strong"),IF(PUF!$U45&gt;0,PUF!$U45,""),"")</f>
        <v/>
      </c>
      <c r="CM47" s="57" t="str">
        <f>IF(AND($B47=CM$3,$C47="Strong"),IF(PUF!$U45&gt;0,PUF!$U45,""),"")</f>
        <v/>
      </c>
      <c r="CN47" s="57" t="str">
        <f>IF(AND($B47=CN$3,$C47="Strong"),IF(PUF!$U45&gt;0,PUF!$U45,""),"")</f>
        <v/>
      </c>
    </row>
    <row r="48" spans="1:92" x14ac:dyDescent="0.3">
      <c r="A48" s="6">
        <f>PUF!A46</f>
        <v>45</v>
      </c>
      <c r="B48" s="6" t="str">
        <f>PUF!G46</f>
        <v>analog</v>
      </c>
      <c r="C48" t="str">
        <f>PUF!AL46</f>
        <v>Weak</v>
      </c>
      <c r="D48" s="166">
        <f>PUF!C46</f>
        <v>2018</v>
      </c>
      <c r="E48" s="167">
        <f>IF(AND($B48=E$3,$C48="Weak"),IF(PUF!$X46&gt;0,PUF!$X46,""),"")</f>
        <v>445</v>
      </c>
      <c r="F48" s="167" t="str">
        <f>IF(AND($B48=F$3,$C48="Weak"),IF(PUF!$X46&gt;0,PUF!$X46,""),"")</f>
        <v/>
      </c>
      <c r="G48" s="167" t="str">
        <f>IF(AND($B48=G$3,$C48="Weak"),IF(PUF!$X46&gt;0,PUF!$X46,""),"")</f>
        <v/>
      </c>
      <c r="H48" s="167" t="str">
        <f>IF(AND($B48=H$3,$C48="Weak"),IF(PUF!$X46&gt;0,PUF!$X46,""),"")</f>
        <v/>
      </c>
      <c r="I48" s="167" t="str">
        <f>IF(AND($B48=I$3,$C48="Weak"),IF(PUF!$X46&gt;0,PUF!$X46,""),"")</f>
        <v/>
      </c>
      <c r="J48" s="167" t="str">
        <f>IF(AND($B48=J$3,$C48="Weak"),IF(PUF!$X46&gt;0,PUF!$X46,""),"")</f>
        <v/>
      </c>
      <c r="K48" s="167" t="str">
        <f>IF(AND($B48=K$3,$C48="Weak"),IF(PUF!$X46&gt;0,PUF!$X46,""),"")</f>
        <v/>
      </c>
      <c r="L48" s="167" t="str">
        <f>IF(AND($B48=L$3,$C48="Weak"),IF(PUF!$X46&gt;0,PUF!$X46,""),"")</f>
        <v/>
      </c>
      <c r="N48" s="11">
        <f t="shared" si="7"/>
        <v>2018</v>
      </c>
      <c r="O48" s="57">
        <f>IF(AND($B48=O$3,$C48="Weak"),IF(PUF!$M46&gt;0,PUF!$M46,""),"")</f>
        <v>0.72</v>
      </c>
      <c r="P48" s="57" t="str">
        <f>IF(AND($B48=P$3,$C48="Weak"),IF(PUF!$M46&gt;0,PUF!$M46,""),"")</f>
        <v/>
      </c>
      <c r="Q48" s="57" t="str">
        <f>IF(AND($B48=Q$3,$C48="Weak"),IF(PUF!$M46&gt;0,PUF!$M46,""),"")</f>
        <v/>
      </c>
      <c r="R48" s="57" t="str">
        <f>IF(AND($B48=R$3,$C48="Weak"),IF(PUF!$M46&gt;0,PUF!$M46,""),"")</f>
        <v/>
      </c>
      <c r="S48" s="57" t="str">
        <f>IF(AND($B48=S$3,$C48="Weak"),IF(PUF!$M46&gt;0,PUF!$M46,""),"")</f>
        <v/>
      </c>
      <c r="T48" s="57" t="str">
        <f>IF(AND($B48=T$3,$C48="Weak"),IF(PUF!$M46&gt;0,PUF!$M46,""),"")</f>
        <v/>
      </c>
      <c r="U48" s="57" t="str">
        <f>IF(AND($B48=U$3,$C48="Weak"),IF(PUF!$M46&gt;0,PUF!$M46,""),"")</f>
        <v/>
      </c>
      <c r="V48" s="57" t="str">
        <f>IF(AND($B48=V$3,$C48="Weak"),IF(PUF!$M46&gt;0,PUF!$M46,""),"")</f>
        <v/>
      </c>
      <c r="W48" s="168"/>
      <c r="X48" s="166">
        <f t="shared" si="4"/>
        <v>2018</v>
      </c>
      <c r="Y48" s="57">
        <f>IF(AND($B48=Y$3,$C48="Weak"),IF(PUF!$S46&gt;0,PUF!$S46,""),"")</f>
        <v>4.0000000000000001E-3</v>
      </c>
      <c r="Z48" s="57" t="str">
        <f>IF(AND($B48=Z$3,$C48="Weak"),IF(PUF!$S46&gt;0,PUF!$S46,""),"")</f>
        <v/>
      </c>
      <c r="AA48" s="57" t="str">
        <f>IF(AND($B48=AA$3,$C48="Weak"),IF(PUF!$S46&gt;0,PUF!$S46,""),"")</f>
        <v/>
      </c>
      <c r="AB48" s="57" t="str">
        <f>IF(AND($B48=AB$3,$C48="Weak"),IF(PUF!$S46&gt;0,PUF!$S46,""),"")</f>
        <v/>
      </c>
      <c r="AC48" s="57" t="str">
        <f>IF(AND($B48=AC$3,$C48="Weak"),IF(PUF!$S46&gt;0,PUF!$S46,""),"")</f>
        <v/>
      </c>
      <c r="AD48" s="57" t="str">
        <f>IF(AND($B48=AD$3,$C48="Weak"),IF(PUF!$S46&gt;0,PUF!$S46,""),"")</f>
        <v/>
      </c>
      <c r="AE48" s="57" t="str">
        <f>IF(AND($B48=AE$3,$C48="Weak"),IF(PUF!$S46&gt;0,PUF!$S46,""),"")</f>
        <v/>
      </c>
      <c r="AF48" s="57" t="str">
        <f>IF(AND($B48=AF$3,$C48="Weak"),IF(PUF!$S46&gt;0,PUF!$S46,""),"")</f>
        <v/>
      </c>
      <c r="AH48" s="210">
        <f t="shared" si="8"/>
        <v>2018</v>
      </c>
      <c r="AI48" s="211">
        <f>IF(AND($B48=AI$3,$C48="Weak"),IF(PUF!$U46&gt;0,PUF!$U46,""),"")</f>
        <v>9.8000000000000007</v>
      </c>
      <c r="AJ48" s="211" t="str">
        <f>IF(AND($B48=AJ$3,$C48="Weak"),IF(PUF!$U46&gt;0,PUF!$U46,""),"")</f>
        <v/>
      </c>
      <c r="AK48" s="211" t="str">
        <f>IF(AND($B48=AK$3,$C48="Weak"),IF(PUF!$U46&gt;0,PUF!$U46,""),"")</f>
        <v/>
      </c>
      <c r="AL48" s="211" t="str">
        <f>IF(AND($B48=AL$3,$C48="Weak"),IF(PUF!$U46&gt;0,PUF!$U46,""),"")</f>
        <v/>
      </c>
      <c r="AM48" s="211" t="str">
        <f>IF(AND($B48=AM$3,$C48="Weak"),IF(PUF!$U46&gt;0,PUF!$U46,""),"")</f>
        <v/>
      </c>
      <c r="AN48" s="211" t="str">
        <f>IF(AND($B48=AN$3,$C48="Weak"),IF(PUF!$U46&gt;0,PUF!$U46,""),"")</f>
        <v/>
      </c>
      <c r="AO48" s="211" t="str">
        <f>IF(AND($B48=AO$3,$C48="Weak"),IF(PUF!$U46&gt;0,PUF!$U46,""),"")</f>
        <v/>
      </c>
      <c r="AP48" s="211" t="str">
        <f>IF(AND($B48=AP$3,$C48="Weak"),IF(PUF!$U46&gt;0,PUF!$U46,""),"")</f>
        <v/>
      </c>
      <c r="BB48" s="166">
        <f t="shared" si="9"/>
        <v>2018</v>
      </c>
      <c r="BC48" s="57" t="str">
        <f>IF(AND($B48=BC$3,$C48="Strong"),IF(PUF!$X46&gt;0,PUF!$X46,""),"")</f>
        <v/>
      </c>
      <c r="BD48" s="57" t="str">
        <f>IF(AND($B48=BD$3,$C48="Strong"),IF(PUF!$X46&gt;0,PUF!$X46,""),"")</f>
        <v/>
      </c>
      <c r="BE48" s="57" t="str">
        <f>IF(AND($B48=BE$3,$C48="Strong"),IF(PUF!$X46&gt;0,PUF!$X46,""),"")</f>
        <v/>
      </c>
      <c r="BF48" s="57" t="str">
        <f>IF(AND($B48=BF$3,$C48="Strong"),IF(PUF!$X46&gt;0,PUF!$X46,""),"")</f>
        <v/>
      </c>
      <c r="BG48" s="57" t="str">
        <f>IF(AND($B48=BG$3,$C48="Strong"),IF(PUF!$X46&gt;0,PUF!$X46,""),"")</f>
        <v/>
      </c>
      <c r="BH48" s="57" t="str">
        <f>IF(AND($B48=BH$3,$C48="Strong"),IF(PUF!$X46&gt;0,PUF!$X46,""),"")</f>
        <v/>
      </c>
      <c r="BI48" s="57" t="str">
        <f>IF(AND($B48=BI$3,$C48="Strong"),IF(PUF!$X46&gt;0,PUF!$X46,""),"")</f>
        <v/>
      </c>
      <c r="BJ48" s="57" t="str">
        <f>IF(AND($B48=BJ$3,$C48="Strong"),IF(PUF!$X46&gt;0,PUF!$X46,""),"")</f>
        <v/>
      </c>
      <c r="BL48" s="166">
        <f t="shared" si="10"/>
        <v>2018</v>
      </c>
      <c r="BM48" s="57" t="str">
        <f>IF(AND($B48=BM$3,$C48="Strong"),IF(PUF!$M46&gt;0,PUF!$M46,""),"")</f>
        <v/>
      </c>
      <c r="BN48" s="57" t="str">
        <f>IF(AND($B48=BN$3,$C48="Strong"),IF(PUF!$M46&gt;0,PUF!$M46,""),"")</f>
        <v/>
      </c>
      <c r="BO48" s="57" t="str">
        <f>IF(AND($B48=BO$3,$C48="Strong"),IF(PUF!$M46&gt;0,PUF!$M46,""),"")</f>
        <v/>
      </c>
      <c r="BP48" s="57" t="str">
        <f>IF(AND($B48=BP$3,$C48="Strong"),IF(PUF!$M46&gt;0,PUF!$M46,""),"")</f>
        <v/>
      </c>
      <c r="BQ48" s="57" t="str">
        <f>IF(AND($B48=BQ$3,$C48="Strong"),IF(PUF!$M46&gt;0,PUF!$M46,""),"")</f>
        <v/>
      </c>
      <c r="BR48" s="57" t="str">
        <f>IF(AND($B48=BR$3,$C48="Strong"),IF(PUF!$M46&gt;0,PUF!$M46,""),"")</f>
        <v/>
      </c>
      <c r="BS48" s="57" t="str">
        <f>IF(AND($B48=BS$3,$C48="Strong"),IF(PUF!$M46&gt;0,PUF!$M46,""),"")</f>
        <v/>
      </c>
      <c r="BT48" s="57" t="str">
        <f>IF(AND($B48=BT$3,$C48="Strong"),IF(PUF!$M46&gt;0,PUF!$M46,""),"")</f>
        <v/>
      </c>
      <c r="BV48" s="166">
        <f t="shared" si="5"/>
        <v>2018</v>
      </c>
      <c r="BW48" s="57" t="str">
        <f>IF(AND($B48=BW$3,$C48="Strong"),IF(PUF!$S46&gt;0,PUF!$S46,""),"")</f>
        <v/>
      </c>
      <c r="BX48" s="57" t="str">
        <f>IF(AND($B48=BX$3,$C48="Strong"),IF(PUF!$S46&gt;0,PUF!$S46,""),"")</f>
        <v/>
      </c>
      <c r="BY48" s="57" t="str">
        <f>IF(AND($B48=BY$3,$C48="Strong"),IF(PUF!$S46&gt;0,PUF!$S46,""),"")</f>
        <v/>
      </c>
      <c r="BZ48" s="57" t="str">
        <f>IF(AND($B48=BZ$3,$C48="Strong"),IF(PUF!$S46&gt;0,PUF!$S46,""),"")</f>
        <v/>
      </c>
      <c r="CA48" s="57" t="str">
        <f>IF(AND($B48=CA$3,$C48="Strong"),IF(PUF!$S46&gt;0,PUF!$S46,""),"")</f>
        <v/>
      </c>
      <c r="CB48" s="57" t="str">
        <f>IF(AND($B48=CB$3,$C48="Strong"),IF(PUF!$S46&gt;0,PUF!$S46,""),"")</f>
        <v/>
      </c>
      <c r="CC48" s="57" t="str">
        <f>IF(AND($B48=CC$3,$C48="Strong"),IF(PUF!$S46&gt;0,PUF!$S46,""),"")</f>
        <v/>
      </c>
      <c r="CD48" s="57" t="str">
        <f>IF(AND($B48=CD$3,$C48="Strong"),IF(PUF!$S46&gt;0,PUF!$S46,""),"")</f>
        <v/>
      </c>
      <c r="CF48" s="11">
        <f t="shared" si="6"/>
        <v>2018</v>
      </c>
      <c r="CG48" s="57" t="str">
        <f>IF(AND($B48=CG$3,$C48="Strong"),IF(PUF!$U46&gt;0,PUF!$U46,""),"")</f>
        <v/>
      </c>
      <c r="CH48" s="57" t="str">
        <f>IF(AND($B48=CH$3,$C48="Strong"),IF(PUF!$U46&gt;0,PUF!$U46,""),"")</f>
        <v/>
      </c>
      <c r="CI48" s="57" t="str">
        <f>IF(AND($B48=CI$3,$C48="Strong"),IF(PUF!$U46&gt;0,PUF!$U46,""),"")</f>
        <v/>
      </c>
      <c r="CJ48" s="57" t="str">
        <f>IF(AND($B48=CJ$3,$C48="Strong"),IF(PUF!$U46&gt;0,PUF!$U46,""),"")</f>
        <v/>
      </c>
      <c r="CK48" s="57" t="str">
        <f>IF(AND($B48=CK$3,$C48="Strong"),IF(PUF!$U46&gt;0,PUF!$U46,""),"")</f>
        <v/>
      </c>
      <c r="CL48" s="57" t="str">
        <f>IF(AND($B48=CL$3,$C48="Strong"),IF(PUF!$U46&gt;0,PUF!$U46,""),"")</f>
        <v/>
      </c>
      <c r="CM48" s="57" t="str">
        <f>IF(AND($B48=CM$3,$C48="Strong"),IF(PUF!$U46&gt;0,PUF!$U46,""),"")</f>
        <v/>
      </c>
      <c r="CN48" s="57" t="str">
        <f>IF(AND($B48=CN$3,$C48="Strong"),IF(PUF!$U46&gt;0,PUF!$U46,""),"")</f>
        <v/>
      </c>
    </row>
    <row r="49" spans="1:92" x14ac:dyDescent="0.3">
      <c r="A49" s="6">
        <f>PUF!A47</f>
        <v>46</v>
      </c>
      <c r="B49" s="6" t="str">
        <f>PUF!G47</f>
        <v>analog</v>
      </c>
      <c r="C49" t="str">
        <f>PUF!AL47</f>
        <v>Weak</v>
      </c>
      <c r="D49" s="166">
        <f>PUF!C47</f>
        <v>2018</v>
      </c>
      <c r="E49" s="167" t="str">
        <f>IF(AND($B49=E$3,$C49="Weak"),IF(PUF!$X47&gt;0,PUF!$X47,""),"")</f>
        <v>N/A</v>
      </c>
      <c r="F49" s="167" t="str">
        <f>IF(AND($B49=F$3,$C49="Weak"),IF(PUF!$X47&gt;0,PUF!$X47,""),"")</f>
        <v/>
      </c>
      <c r="G49" s="167" t="str">
        <f>IF(AND($B49=G$3,$C49="Weak"),IF(PUF!$X47&gt;0,PUF!$X47,""),"")</f>
        <v/>
      </c>
      <c r="H49" s="167" t="str">
        <f>IF(AND($B49=H$3,$C49="Weak"),IF(PUF!$X47&gt;0,PUF!$X47,""),"")</f>
        <v/>
      </c>
      <c r="I49" s="167" t="str">
        <f>IF(AND($B49=I$3,$C49="Weak"),IF(PUF!$X47&gt;0,PUF!$X47,""),"")</f>
        <v/>
      </c>
      <c r="J49" s="167" t="str">
        <f>IF(AND($B49=J$3,$C49="Weak"),IF(PUF!$X47&gt;0,PUF!$X47,""),"")</f>
        <v/>
      </c>
      <c r="K49" s="167" t="str">
        <f>IF(AND($B49=K$3,$C49="Weak"),IF(PUF!$X47&gt;0,PUF!$X47,""),"")</f>
        <v/>
      </c>
      <c r="L49" s="167" t="str">
        <f>IF(AND($B49=L$3,$C49="Weak"),IF(PUF!$X47&gt;0,PUF!$X47,""),"")</f>
        <v/>
      </c>
      <c r="N49" s="11">
        <f t="shared" si="7"/>
        <v>2018</v>
      </c>
      <c r="O49" s="57" t="str">
        <f>IF(AND($B49=O$3,$C49="Weak"),IF(PUF!$M47&gt;0,PUF!$M47,""),"")</f>
        <v>N/A</v>
      </c>
      <c r="P49" s="57" t="str">
        <f>IF(AND($B49=P$3,$C49="Weak"),IF(PUF!$M47&gt;0,PUF!$M47,""),"")</f>
        <v/>
      </c>
      <c r="Q49" s="57" t="str">
        <f>IF(AND($B49=Q$3,$C49="Weak"),IF(PUF!$M47&gt;0,PUF!$M47,""),"")</f>
        <v/>
      </c>
      <c r="R49" s="57" t="str">
        <f>IF(AND($B49=R$3,$C49="Weak"),IF(PUF!$M47&gt;0,PUF!$M47,""),"")</f>
        <v/>
      </c>
      <c r="S49" s="57" t="str">
        <f>IF(AND($B49=S$3,$C49="Weak"),IF(PUF!$M47&gt;0,PUF!$M47,""),"")</f>
        <v/>
      </c>
      <c r="T49" s="57" t="str">
        <f>IF(AND($B49=T$3,$C49="Weak"),IF(PUF!$M47&gt;0,PUF!$M47,""),"")</f>
        <v/>
      </c>
      <c r="U49" s="57" t="str">
        <f>IF(AND($B49=U$3,$C49="Weak"),IF(PUF!$M47&gt;0,PUF!$M47,""),"")</f>
        <v/>
      </c>
      <c r="V49" s="57" t="str">
        <f>IF(AND($B49=V$3,$C49="Weak"),IF(PUF!$M47&gt;0,PUF!$M47,""),"")</f>
        <v/>
      </c>
      <c r="W49" s="168"/>
      <c r="X49" s="166">
        <f t="shared" si="4"/>
        <v>2018</v>
      </c>
      <c r="Y49" s="57">
        <f>IF(AND($B49=Y$3,$C49="Weak"),IF(PUF!$S47&gt;0,PUF!$S47,""),"")</f>
        <v>6.64</v>
      </c>
      <c r="Z49" s="57" t="str">
        <f>IF(AND($B49=Z$3,$C49="Weak"),IF(PUF!$S47&gt;0,PUF!$S47,""),"")</f>
        <v/>
      </c>
      <c r="AA49" s="57" t="str">
        <f>IF(AND($B49=AA$3,$C49="Weak"),IF(PUF!$S47&gt;0,PUF!$S47,""),"")</f>
        <v/>
      </c>
      <c r="AB49" s="57" t="str">
        <f>IF(AND($B49=AB$3,$C49="Weak"),IF(PUF!$S47&gt;0,PUF!$S47,""),"")</f>
        <v/>
      </c>
      <c r="AC49" s="57" t="str">
        <f>IF(AND($B49=AC$3,$C49="Weak"),IF(PUF!$S47&gt;0,PUF!$S47,""),"")</f>
        <v/>
      </c>
      <c r="AD49" s="57" t="str">
        <f>IF(AND($B49=AD$3,$C49="Weak"),IF(PUF!$S47&gt;0,PUF!$S47,""),"")</f>
        <v/>
      </c>
      <c r="AE49" s="57" t="str">
        <f>IF(AND($B49=AE$3,$C49="Weak"),IF(PUF!$S47&gt;0,PUF!$S47,""),"")</f>
        <v/>
      </c>
      <c r="AF49" s="57" t="str">
        <f>IF(AND($B49=AF$3,$C49="Weak"),IF(PUF!$S47&gt;0,PUF!$S47,""),"")</f>
        <v/>
      </c>
      <c r="AH49" s="210">
        <f t="shared" si="8"/>
        <v>2018</v>
      </c>
      <c r="AI49" s="211" t="str">
        <f>IF(AND($B49=AI$3,$C49="Weak"),IF(PUF!$U47&gt;0,PUF!$U47,""),"")</f>
        <v>N/A</v>
      </c>
      <c r="AJ49" s="211" t="str">
        <f>IF(AND($B49=AJ$3,$C49="Weak"),IF(PUF!$U47&gt;0,PUF!$U47,""),"")</f>
        <v/>
      </c>
      <c r="AK49" s="211" t="str">
        <f>IF(AND($B49=AK$3,$C49="Weak"),IF(PUF!$U47&gt;0,PUF!$U47,""),"")</f>
        <v/>
      </c>
      <c r="AL49" s="211" t="str">
        <f>IF(AND($B49=AL$3,$C49="Weak"),IF(PUF!$U47&gt;0,PUF!$U47,""),"")</f>
        <v/>
      </c>
      <c r="AM49" s="211" t="str">
        <f>IF(AND($B49=AM$3,$C49="Weak"),IF(PUF!$U47&gt;0,PUF!$U47,""),"")</f>
        <v/>
      </c>
      <c r="AN49" s="211" t="str">
        <f>IF(AND($B49=AN$3,$C49="Weak"),IF(PUF!$U47&gt;0,PUF!$U47,""),"")</f>
        <v/>
      </c>
      <c r="AO49" s="211" t="str">
        <f>IF(AND($B49=AO$3,$C49="Weak"),IF(PUF!$U47&gt;0,PUF!$U47,""),"")</f>
        <v/>
      </c>
      <c r="AP49" s="211" t="str">
        <f>IF(AND($B49=AP$3,$C49="Weak"),IF(PUF!$U47&gt;0,PUF!$U47,""),"")</f>
        <v/>
      </c>
      <c r="BB49" s="166">
        <f t="shared" si="9"/>
        <v>2018</v>
      </c>
      <c r="BC49" s="57" t="str">
        <f>IF(AND($B49=BC$3,$C49="Strong"),IF(PUF!$X47&gt;0,PUF!$X47,""),"")</f>
        <v/>
      </c>
      <c r="BD49" s="57" t="str">
        <f>IF(AND($B49=BD$3,$C49="Strong"),IF(PUF!$X47&gt;0,PUF!$X47,""),"")</f>
        <v/>
      </c>
      <c r="BE49" s="57" t="str">
        <f>IF(AND($B49=BE$3,$C49="Strong"),IF(PUF!$X47&gt;0,PUF!$X47,""),"")</f>
        <v/>
      </c>
      <c r="BF49" s="57" t="str">
        <f>IF(AND($B49=BF$3,$C49="Strong"),IF(PUF!$X47&gt;0,PUF!$X47,""),"")</f>
        <v/>
      </c>
      <c r="BG49" s="57" t="str">
        <f>IF(AND($B49=BG$3,$C49="Strong"),IF(PUF!$X47&gt;0,PUF!$X47,""),"")</f>
        <v/>
      </c>
      <c r="BH49" s="57" t="str">
        <f>IF(AND($B49=BH$3,$C49="Strong"),IF(PUF!$X47&gt;0,PUF!$X47,""),"")</f>
        <v/>
      </c>
      <c r="BI49" s="57" t="str">
        <f>IF(AND($B49=BI$3,$C49="Strong"),IF(PUF!$X47&gt;0,PUF!$X47,""),"")</f>
        <v/>
      </c>
      <c r="BJ49" s="57" t="str">
        <f>IF(AND($B49=BJ$3,$C49="Strong"),IF(PUF!$X47&gt;0,PUF!$X47,""),"")</f>
        <v/>
      </c>
      <c r="BL49" s="166">
        <f t="shared" si="10"/>
        <v>2018</v>
      </c>
      <c r="BM49" s="57" t="str">
        <f>IF(AND($B49=BM$3,$C49="Strong"),IF(PUF!$M47&gt;0,PUF!$M47,""),"")</f>
        <v/>
      </c>
      <c r="BN49" s="57" t="str">
        <f>IF(AND($B49=BN$3,$C49="Strong"),IF(PUF!$M47&gt;0,PUF!$M47,""),"")</f>
        <v/>
      </c>
      <c r="BO49" s="57" t="str">
        <f>IF(AND($B49=BO$3,$C49="Strong"),IF(PUF!$M47&gt;0,PUF!$M47,""),"")</f>
        <v/>
      </c>
      <c r="BP49" s="57" t="str">
        <f>IF(AND($B49=BP$3,$C49="Strong"),IF(PUF!$M47&gt;0,PUF!$M47,""),"")</f>
        <v/>
      </c>
      <c r="BQ49" s="57" t="str">
        <f>IF(AND($B49=BQ$3,$C49="Strong"),IF(PUF!$M47&gt;0,PUF!$M47,""),"")</f>
        <v/>
      </c>
      <c r="BR49" s="57" t="str">
        <f>IF(AND($B49=BR$3,$C49="Strong"),IF(PUF!$M47&gt;0,PUF!$M47,""),"")</f>
        <v/>
      </c>
      <c r="BS49" s="57" t="str">
        <f>IF(AND($B49=BS$3,$C49="Strong"),IF(PUF!$M47&gt;0,PUF!$M47,""),"")</f>
        <v/>
      </c>
      <c r="BT49" s="57" t="str">
        <f>IF(AND($B49=BT$3,$C49="Strong"),IF(PUF!$M47&gt;0,PUF!$M47,""),"")</f>
        <v/>
      </c>
      <c r="BV49" s="166">
        <f t="shared" si="5"/>
        <v>2018</v>
      </c>
      <c r="BW49" s="57" t="str">
        <f>IF(AND($B49=BW$3,$C49="Strong"),IF(PUF!$S47&gt;0,PUF!$S47,""),"")</f>
        <v/>
      </c>
      <c r="BX49" s="57" t="str">
        <f>IF(AND($B49=BX$3,$C49="Strong"),IF(PUF!$S47&gt;0,PUF!$S47,""),"")</f>
        <v/>
      </c>
      <c r="BY49" s="57" t="str">
        <f>IF(AND($B49=BY$3,$C49="Strong"),IF(PUF!$S47&gt;0,PUF!$S47,""),"")</f>
        <v/>
      </c>
      <c r="BZ49" s="57" t="str">
        <f>IF(AND($B49=BZ$3,$C49="Strong"),IF(PUF!$S47&gt;0,PUF!$S47,""),"")</f>
        <v/>
      </c>
      <c r="CA49" s="57" t="str">
        <f>IF(AND($B49=CA$3,$C49="Strong"),IF(PUF!$S47&gt;0,PUF!$S47,""),"")</f>
        <v/>
      </c>
      <c r="CB49" s="57" t="str">
        <f>IF(AND($B49=CB$3,$C49="Strong"),IF(PUF!$S47&gt;0,PUF!$S47,""),"")</f>
        <v/>
      </c>
      <c r="CC49" s="57" t="str">
        <f>IF(AND($B49=CC$3,$C49="Strong"),IF(PUF!$S47&gt;0,PUF!$S47,""),"")</f>
        <v/>
      </c>
      <c r="CD49" s="57" t="str">
        <f>IF(AND($B49=CD$3,$C49="Strong"),IF(PUF!$S47&gt;0,PUF!$S47,""),"")</f>
        <v/>
      </c>
      <c r="CF49" s="11">
        <f t="shared" si="6"/>
        <v>2018</v>
      </c>
      <c r="CG49" s="57" t="str">
        <f>IF(AND($B49=CG$3,$C49="Strong"),IF(PUF!$U47&gt;0,PUF!$U47,""),"")</f>
        <v/>
      </c>
      <c r="CH49" s="57" t="str">
        <f>IF(AND($B49=CH$3,$C49="Strong"),IF(PUF!$U47&gt;0,PUF!$U47,""),"")</f>
        <v/>
      </c>
      <c r="CI49" s="57" t="str">
        <f>IF(AND($B49=CI$3,$C49="Strong"),IF(PUF!$U47&gt;0,PUF!$U47,""),"")</f>
        <v/>
      </c>
      <c r="CJ49" s="57" t="str">
        <f>IF(AND($B49=CJ$3,$C49="Strong"),IF(PUF!$U47&gt;0,PUF!$U47,""),"")</f>
        <v/>
      </c>
      <c r="CK49" s="57" t="str">
        <f>IF(AND($B49=CK$3,$C49="Strong"),IF(PUF!$U47&gt;0,PUF!$U47,""),"")</f>
        <v/>
      </c>
      <c r="CL49" s="57" t="str">
        <f>IF(AND($B49=CL$3,$C49="Strong"),IF(PUF!$U47&gt;0,PUF!$U47,""),"")</f>
        <v/>
      </c>
      <c r="CM49" s="57" t="str">
        <f>IF(AND($B49=CM$3,$C49="Strong"),IF(PUF!$U47&gt;0,PUF!$U47,""),"")</f>
        <v/>
      </c>
      <c r="CN49" s="57" t="str">
        <f>IF(AND($B49=CN$3,$C49="Strong"),IF(PUF!$U47&gt;0,PUF!$U47,""),"")</f>
        <v/>
      </c>
    </row>
    <row r="50" spans="1:92" x14ac:dyDescent="0.3">
      <c r="A50" s="6">
        <f>PUF!A48</f>
        <v>47</v>
      </c>
      <c r="B50" s="6" t="str">
        <f>PUF!G48</f>
        <v>delay</v>
      </c>
      <c r="C50" t="str">
        <f>PUF!AL48</f>
        <v>Weak</v>
      </c>
      <c r="D50" s="166">
        <f>PUF!C48</f>
        <v>2018</v>
      </c>
      <c r="E50" s="167" t="str">
        <f>IF(AND($B50=E$3,$C50="Weak"),IF(PUF!$X48&gt;0,PUF!$X48,""),"")</f>
        <v/>
      </c>
      <c r="F50" s="167" t="str">
        <f>IF(AND($B50=F$3,$C50="Weak"),IF(PUF!$X48&gt;0,PUF!$X48,""),"")</f>
        <v>N/A</v>
      </c>
      <c r="G50" s="167" t="str">
        <f>IF(AND($B50=G$3,$C50="Weak"),IF(PUF!$X48&gt;0,PUF!$X48,""),"")</f>
        <v/>
      </c>
      <c r="H50" s="167" t="str">
        <f>IF(AND($B50=H$3,$C50="Weak"),IF(PUF!$X48&gt;0,PUF!$X48,""),"")</f>
        <v/>
      </c>
      <c r="I50" s="167" t="str">
        <f>IF(AND($B50=I$3,$C50="Weak"),IF(PUF!$X48&gt;0,PUF!$X48,""),"")</f>
        <v/>
      </c>
      <c r="J50" s="167" t="str">
        <f>IF(AND($B50=J$3,$C50="Weak"),IF(PUF!$X48&gt;0,PUF!$X48,""),"")</f>
        <v/>
      </c>
      <c r="K50" s="167" t="str">
        <f>IF(AND($B50=K$3,$C50="Weak"),IF(PUF!$X48&gt;0,PUF!$X48,""),"")</f>
        <v/>
      </c>
      <c r="L50" s="167" t="str">
        <f>IF(AND($B50=L$3,$C50="Weak"),IF(PUF!$X48&gt;0,PUF!$X48,""),"")</f>
        <v/>
      </c>
      <c r="N50" s="11">
        <f t="shared" si="7"/>
        <v>2018</v>
      </c>
      <c r="O50" s="57" t="str">
        <f>IF(AND($B50=O$3,$C50="Weak"),IF(PUF!$M48&gt;0,PUF!$M48,""),"")</f>
        <v/>
      </c>
      <c r="P50" s="57" t="str">
        <f>IF(AND($B50=P$3,$C50="Weak"),IF(PUF!$M48&gt;0,PUF!$M48,""),"")</f>
        <v>N/A</v>
      </c>
      <c r="Q50" s="57" t="str">
        <f>IF(AND($B50=Q$3,$C50="Weak"),IF(PUF!$M48&gt;0,PUF!$M48,""),"")</f>
        <v/>
      </c>
      <c r="R50" s="57" t="str">
        <f>IF(AND($B50=R$3,$C50="Weak"),IF(PUF!$M48&gt;0,PUF!$M48,""),"")</f>
        <v/>
      </c>
      <c r="S50" s="57" t="str">
        <f>IF(AND($B50=S$3,$C50="Weak"),IF(PUF!$M48&gt;0,PUF!$M48,""),"")</f>
        <v/>
      </c>
      <c r="T50" s="57" t="str">
        <f>IF(AND($B50=T$3,$C50="Weak"),IF(PUF!$M48&gt;0,PUF!$M48,""),"")</f>
        <v/>
      </c>
      <c r="U50" s="57" t="str">
        <f>IF(AND($B50=U$3,$C50="Weak"),IF(PUF!$M48&gt;0,PUF!$M48,""),"")</f>
        <v/>
      </c>
      <c r="V50" s="57" t="str">
        <f>IF(AND($B50=V$3,$C50="Weak"),IF(PUF!$M48&gt;0,PUF!$M48,""),"")</f>
        <v/>
      </c>
      <c r="W50" s="168"/>
      <c r="X50" s="166">
        <f t="shared" si="4"/>
        <v>2018</v>
      </c>
      <c r="Y50" s="57" t="str">
        <f>IF(AND($B50=Y$3,$C50="Weak"),IF(PUF!$S48&gt;0,PUF!$S48,""),"")</f>
        <v/>
      </c>
      <c r="Z50" s="57" t="str">
        <f>IF(AND($B50=Z$3,$C50="Weak"),IF(PUF!$S48&gt;0,PUF!$S48,""),"")</f>
        <v>N/A</v>
      </c>
      <c r="AA50" s="57" t="str">
        <f>IF(AND($B50=AA$3,$C50="Weak"),IF(PUF!$S48&gt;0,PUF!$S48,""),"")</f>
        <v/>
      </c>
      <c r="AB50" s="57" t="str">
        <f>IF(AND($B50=AB$3,$C50="Weak"),IF(PUF!$S48&gt;0,PUF!$S48,""),"")</f>
        <v/>
      </c>
      <c r="AC50" s="57" t="str">
        <f>IF(AND($B50=AC$3,$C50="Weak"),IF(PUF!$S48&gt;0,PUF!$S48,""),"")</f>
        <v/>
      </c>
      <c r="AD50" s="57" t="str">
        <f>IF(AND($B50=AD$3,$C50="Weak"),IF(PUF!$S48&gt;0,PUF!$S48,""),"")</f>
        <v/>
      </c>
      <c r="AE50" s="57" t="str">
        <f>IF(AND($B50=AE$3,$C50="Weak"),IF(PUF!$S48&gt;0,PUF!$S48,""),"")</f>
        <v/>
      </c>
      <c r="AF50" s="57" t="str">
        <f>IF(AND($B50=AF$3,$C50="Weak"),IF(PUF!$S48&gt;0,PUF!$S48,""),"")</f>
        <v/>
      </c>
      <c r="AH50" s="210">
        <f t="shared" si="8"/>
        <v>2018</v>
      </c>
      <c r="AI50" s="211" t="str">
        <f>IF(AND($B50=AI$3,$C50="Weak"),IF(PUF!$U48&gt;0,PUF!$U48,""),"")</f>
        <v/>
      </c>
      <c r="AJ50" s="211" t="str">
        <f>IF(AND($B50=AJ$3,$C50="Weak"),IF(PUF!$U48&gt;0,PUF!$U48,""),"")</f>
        <v>N/A</v>
      </c>
      <c r="AK50" s="211" t="str">
        <f>IF(AND($B50=AK$3,$C50="Weak"),IF(PUF!$U48&gt;0,PUF!$U48,""),"")</f>
        <v/>
      </c>
      <c r="AL50" s="211" t="str">
        <f>IF(AND($B50=AL$3,$C50="Weak"),IF(PUF!$U48&gt;0,PUF!$U48,""),"")</f>
        <v/>
      </c>
      <c r="AM50" s="211" t="str">
        <f>IF(AND($B50=AM$3,$C50="Weak"),IF(PUF!$U48&gt;0,PUF!$U48,""),"")</f>
        <v/>
      </c>
      <c r="AN50" s="211" t="str">
        <f>IF(AND($B50=AN$3,$C50="Weak"),IF(PUF!$U48&gt;0,PUF!$U48,""),"")</f>
        <v/>
      </c>
      <c r="AO50" s="211" t="str">
        <f>IF(AND($B50=AO$3,$C50="Weak"),IF(PUF!$U48&gt;0,PUF!$U48,""),"")</f>
        <v/>
      </c>
      <c r="AP50" s="211" t="str">
        <f>IF(AND($B50=AP$3,$C50="Weak"),IF(PUF!$U48&gt;0,PUF!$U48,""),"")</f>
        <v/>
      </c>
      <c r="BB50" s="166">
        <f t="shared" si="9"/>
        <v>2018</v>
      </c>
      <c r="BC50" s="57" t="str">
        <f>IF(AND($B50=BC$3,$C50="Strong"),IF(PUF!$X48&gt;0,PUF!$X48,""),"")</f>
        <v/>
      </c>
      <c r="BD50" s="57" t="str">
        <f>IF(AND($B50=BD$3,$C50="Strong"),IF(PUF!$X48&gt;0,PUF!$X48,""),"")</f>
        <v/>
      </c>
      <c r="BE50" s="57" t="str">
        <f>IF(AND($B50=BE$3,$C50="Strong"),IF(PUF!$X48&gt;0,PUF!$X48,""),"")</f>
        <v/>
      </c>
      <c r="BF50" s="57" t="str">
        <f>IF(AND($B50=BF$3,$C50="Strong"),IF(PUF!$X48&gt;0,PUF!$X48,""),"")</f>
        <v/>
      </c>
      <c r="BG50" s="57" t="str">
        <f>IF(AND($B50=BG$3,$C50="Strong"),IF(PUF!$X48&gt;0,PUF!$X48,""),"")</f>
        <v/>
      </c>
      <c r="BH50" s="57" t="str">
        <f>IF(AND($B50=BH$3,$C50="Strong"),IF(PUF!$X48&gt;0,PUF!$X48,""),"")</f>
        <v/>
      </c>
      <c r="BI50" s="57" t="str">
        <f>IF(AND($B50=BI$3,$C50="Strong"),IF(PUF!$X48&gt;0,PUF!$X48,""),"")</f>
        <v/>
      </c>
      <c r="BJ50" s="57" t="str">
        <f>IF(AND($B50=BJ$3,$C50="Strong"),IF(PUF!$X48&gt;0,PUF!$X48,""),"")</f>
        <v/>
      </c>
      <c r="BL50" s="166">
        <f t="shared" si="10"/>
        <v>2018</v>
      </c>
      <c r="BM50" s="57" t="str">
        <f>IF(AND($B50=BM$3,$C50="Strong"),IF(PUF!$M48&gt;0,PUF!$M48,""),"")</f>
        <v/>
      </c>
      <c r="BN50" s="57" t="str">
        <f>IF(AND($B50=BN$3,$C50="Strong"),IF(PUF!$M48&gt;0,PUF!$M48,""),"")</f>
        <v/>
      </c>
      <c r="BO50" s="57" t="str">
        <f>IF(AND($B50=BO$3,$C50="Strong"),IF(PUF!$M48&gt;0,PUF!$M48,""),"")</f>
        <v/>
      </c>
      <c r="BP50" s="57" t="str">
        <f>IF(AND($B50=BP$3,$C50="Strong"),IF(PUF!$M48&gt;0,PUF!$M48,""),"")</f>
        <v/>
      </c>
      <c r="BQ50" s="57" t="str">
        <f>IF(AND($B50=BQ$3,$C50="Strong"),IF(PUF!$M48&gt;0,PUF!$M48,""),"")</f>
        <v/>
      </c>
      <c r="BR50" s="57" t="str">
        <f>IF(AND($B50=BR$3,$C50="Strong"),IF(PUF!$M48&gt;0,PUF!$M48,""),"")</f>
        <v/>
      </c>
      <c r="BS50" s="57" t="str">
        <f>IF(AND($B50=BS$3,$C50="Strong"),IF(PUF!$M48&gt;0,PUF!$M48,""),"")</f>
        <v/>
      </c>
      <c r="BT50" s="57" t="str">
        <f>IF(AND($B50=BT$3,$C50="Strong"),IF(PUF!$M48&gt;0,PUF!$M48,""),"")</f>
        <v/>
      </c>
      <c r="BV50" s="166">
        <f t="shared" si="5"/>
        <v>2018</v>
      </c>
      <c r="BW50" s="57" t="str">
        <f>IF(AND($B50=BW$3,$C50="Strong"),IF(PUF!$S48&gt;0,PUF!$S48,""),"")</f>
        <v/>
      </c>
      <c r="BX50" s="57" t="str">
        <f>IF(AND($B50=BX$3,$C50="Strong"),IF(PUF!$S48&gt;0,PUF!$S48,""),"")</f>
        <v/>
      </c>
      <c r="BY50" s="57" t="str">
        <f>IF(AND($B50=BY$3,$C50="Strong"),IF(PUF!$S48&gt;0,PUF!$S48,""),"")</f>
        <v/>
      </c>
      <c r="BZ50" s="57" t="str">
        <f>IF(AND($B50=BZ$3,$C50="Strong"),IF(PUF!$S48&gt;0,PUF!$S48,""),"")</f>
        <v/>
      </c>
      <c r="CA50" s="57" t="str">
        <f>IF(AND($B50=CA$3,$C50="Strong"),IF(PUF!$S48&gt;0,PUF!$S48,""),"")</f>
        <v/>
      </c>
      <c r="CB50" s="57" t="str">
        <f>IF(AND($B50=CB$3,$C50="Strong"),IF(PUF!$S48&gt;0,PUF!$S48,""),"")</f>
        <v/>
      </c>
      <c r="CC50" s="57" t="str">
        <f>IF(AND($B50=CC$3,$C50="Strong"),IF(PUF!$S48&gt;0,PUF!$S48,""),"")</f>
        <v/>
      </c>
      <c r="CD50" s="57" t="str">
        <f>IF(AND($B50=CD$3,$C50="Strong"),IF(PUF!$S48&gt;0,PUF!$S48,""),"")</f>
        <v/>
      </c>
      <c r="CF50" s="11">
        <f t="shared" si="6"/>
        <v>2018</v>
      </c>
      <c r="CG50" s="57" t="str">
        <f>IF(AND($B50=CG$3,$C50="Strong"),IF(PUF!$U48&gt;0,PUF!$U48,""),"")</f>
        <v/>
      </c>
      <c r="CH50" s="57" t="str">
        <f>IF(AND($B50=CH$3,$C50="Strong"),IF(PUF!$U48&gt;0,PUF!$U48,""),"")</f>
        <v/>
      </c>
      <c r="CI50" s="57" t="str">
        <f>IF(AND($B50=CI$3,$C50="Strong"),IF(PUF!$U48&gt;0,PUF!$U48,""),"")</f>
        <v/>
      </c>
      <c r="CJ50" s="57" t="str">
        <f>IF(AND($B50=CJ$3,$C50="Strong"),IF(PUF!$U48&gt;0,PUF!$U48,""),"")</f>
        <v/>
      </c>
      <c r="CK50" s="57" t="str">
        <f>IF(AND($B50=CK$3,$C50="Strong"),IF(PUF!$U48&gt;0,PUF!$U48,""),"")</f>
        <v/>
      </c>
      <c r="CL50" s="57" t="str">
        <f>IF(AND($B50=CL$3,$C50="Strong"),IF(PUF!$U48&gt;0,PUF!$U48,""),"")</f>
        <v/>
      </c>
      <c r="CM50" s="57" t="str">
        <f>IF(AND($B50=CM$3,$C50="Strong"),IF(PUF!$U48&gt;0,PUF!$U48,""),"")</f>
        <v/>
      </c>
      <c r="CN50" s="57" t="str">
        <f>IF(AND($B50=CN$3,$C50="Strong"),IF(PUF!$U48&gt;0,PUF!$U48,""),"")</f>
        <v/>
      </c>
    </row>
    <row r="51" spans="1:92" x14ac:dyDescent="0.3">
      <c r="A51" s="6">
        <f>PUF!A49</f>
        <v>48</v>
      </c>
      <c r="B51" s="6" t="str">
        <f>PUF!G49</f>
        <v>monostable</v>
      </c>
      <c r="C51" t="str">
        <f>PUF!AL49</f>
        <v>Weak</v>
      </c>
      <c r="D51" s="166">
        <f>PUF!C49</f>
        <v>2018</v>
      </c>
      <c r="E51" s="167" t="str">
        <f>IF(AND($B51=E$3,$C51="Weak"),IF(PUF!$X49&gt;0,PUF!$X49,""),"")</f>
        <v/>
      </c>
      <c r="F51" s="167" t="str">
        <f>IF(AND($B51=F$3,$C51="Weak"),IF(PUF!$X49&gt;0,PUF!$X49,""),"")</f>
        <v/>
      </c>
      <c r="G51" s="167" t="str">
        <f>IF(AND($B51=G$3,$C51="Weak"),IF(PUF!$X49&gt;0,PUF!$X49,""),"")</f>
        <v/>
      </c>
      <c r="H51" s="167" t="str">
        <f>IF(AND($B51=H$3,$C51="Weak"),IF(PUF!$X49&gt;0,PUF!$X49,""),"")</f>
        <v/>
      </c>
      <c r="I51" s="167">
        <f>IF(AND($B51=I$3,$C51="Weak"),IF(PUF!$X49&gt;0,PUF!$X49,""),"")</f>
        <v>3643</v>
      </c>
      <c r="J51" s="167" t="str">
        <f>IF(AND($B51=J$3,$C51="Weak"),IF(PUF!$X49&gt;0,PUF!$X49,""),"")</f>
        <v/>
      </c>
      <c r="K51" s="167" t="str">
        <f>IF(AND($B51=K$3,$C51="Weak"),IF(PUF!$X49&gt;0,PUF!$X49,""),"")</f>
        <v/>
      </c>
      <c r="L51" s="167" t="str">
        <f>IF(AND($B51=L$3,$C51="Weak"),IF(PUF!$X49&gt;0,PUF!$X49,""),"")</f>
        <v/>
      </c>
      <c r="N51" s="11">
        <f t="shared" si="7"/>
        <v>2018</v>
      </c>
      <c r="O51" s="57" t="str">
        <f>IF(AND($B51=O$3,$C51="Weak"),IF(PUF!$M49&gt;0,PUF!$M49,""),"")</f>
        <v/>
      </c>
      <c r="P51" s="57" t="str">
        <f>IF(AND($B51=P$3,$C51="Weak"),IF(PUF!$M49&gt;0,PUF!$M49,""),"")</f>
        <v/>
      </c>
      <c r="Q51" s="57" t="str">
        <f>IF(AND($B51=Q$3,$C51="Weak"),IF(PUF!$M49&gt;0,PUF!$M49,""),"")</f>
        <v/>
      </c>
      <c r="R51" s="57" t="str">
        <f>IF(AND($B51=R$3,$C51="Weak"),IF(PUF!$M49&gt;0,PUF!$M49,""),"")</f>
        <v/>
      </c>
      <c r="S51" s="57">
        <f>IF(AND($B51=S$3,$C51="Weak"),IF(PUF!$M49&gt;0,PUF!$M49,""),"")</f>
        <v>3.2</v>
      </c>
      <c r="T51" s="57" t="str">
        <f>IF(AND($B51=T$3,$C51="Weak"),IF(PUF!$M49&gt;0,PUF!$M49,""),"")</f>
        <v/>
      </c>
      <c r="U51" s="57" t="str">
        <f>IF(AND($B51=U$3,$C51="Weak"),IF(PUF!$M49&gt;0,PUF!$M49,""),"")</f>
        <v/>
      </c>
      <c r="V51" s="57" t="str">
        <f>IF(AND($B51=V$3,$C51="Weak"),IF(PUF!$M49&gt;0,PUF!$M49,""),"")</f>
        <v/>
      </c>
      <c r="W51" s="168"/>
      <c r="X51" s="166">
        <f t="shared" si="4"/>
        <v>2018</v>
      </c>
      <c r="Y51" s="57" t="str">
        <f>IF(AND($B51=Y$3,$C51="Weak"),IF(PUF!$S49&gt;0,PUF!$S49,""),"")</f>
        <v/>
      </c>
      <c r="Z51" s="57" t="str">
        <f>IF(AND($B51=Z$3,$C51="Weak"),IF(PUF!$S49&gt;0,PUF!$S49,""),"")</f>
        <v/>
      </c>
      <c r="AA51" s="57" t="str">
        <f>IF(AND($B51=AA$3,$C51="Weak"),IF(PUF!$S49&gt;0,PUF!$S49,""),"")</f>
        <v/>
      </c>
      <c r="AB51" s="57" t="str">
        <f>IF(AND($B51=AB$3,$C51="Weak"),IF(PUF!$S49&gt;0,PUF!$S49,""),"")</f>
        <v/>
      </c>
      <c r="AC51" s="57">
        <f>IF(AND($B51=AC$3,$C51="Weak"),IF(PUF!$S49&gt;0,PUF!$S49,""),"")</f>
        <v>0.81</v>
      </c>
      <c r="AD51" s="57" t="str">
        <f>IF(AND($B51=AD$3,$C51="Weak"),IF(PUF!$S49&gt;0,PUF!$S49,""),"")</f>
        <v/>
      </c>
      <c r="AE51" s="57" t="str">
        <f>IF(AND($B51=AE$3,$C51="Weak"),IF(PUF!$S49&gt;0,PUF!$S49,""),"")</f>
        <v/>
      </c>
      <c r="AF51" s="57" t="str">
        <f>IF(AND($B51=AF$3,$C51="Weak"),IF(PUF!$S49&gt;0,PUF!$S49,""),"")</f>
        <v/>
      </c>
      <c r="AH51" s="210">
        <f t="shared" si="8"/>
        <v>2018</v>
      </c>
      <c r="AI51" s="211" t="str">
        <f>IF(AND($B51=AI$3,$C51="Weak"),IF(PUF!$U49&gt;0,PUF!$U49,""),"")</f>
        <v/>
      </c>
      <c r="AJ51" s="211" t="str">
        <f>IF(AND($B51=AJ$3,$C51="Weak"),IF(PUF!$U49&gt;0,PUF!$U49,""),"")</f>
        <v/>
      </c>
      <c r="AK51" s="211" t="str">
        <f>IF(AND($B51=AK$3,$C51="Weak"),IF(PUF!$U49&gt;0,PUF!$U49,""),"")</f>
        <v/>
      </c>
      <c r="AL51" s="211" t="str">
        <f>IF(AND($B51=AL$3,$C51="Weak"),IF(PUF!$U49&gt;0,PUF!$U49,""),"")</f>
        <v/>
      </c>
      <c r="AM51" s="211">
        <f>IF(AND($B51=AM$3,$C51="Weak"),IF(PUF!$U49&gt;0,PUF!$U49,""),"")</f>
        <v>1.0200000000000001E-3</v>
      </c>
      <c r="AN51" s="211" t="str">
        <f>IF(AND($B51=AN$3,$C51="Weak"),IF(PUF!$U49&gt;0,PUF!$U49,""),"")</f>
        <v/>
      </c>
      <c r="AO51" s="211" t="str">
        <f>IF(AND($B51=AO$3,$C51="Weak"),IF(PUF!$U49&gt;0,PUF!$U49,""),"")</f>
        <v/>
      </c>
      <c r="AP51" s="211" t="str">
        <f>IF(AND($B51=AP$3,$C51="Weak"),IF(PUF!$U49&gt;0,PUF!$U49,""),"")</f>
        <v/>
      </c>
      <c r="BB51" s="166">
        <f t="shared" si="9"/>
        <v>2018</v>
      </c>
      <c r="BC51" s="57" t="str">
        <f>IF(AND($B51=BC$3,$C51="Strong"),IF(PUF!$X49&gt;0,PUF!$X49,""),"")</f>
        <v/>
      </c>
      <c r="BD51" s="57" t="str">
        <f>IF(AND($B51=BD$3,$C51="Strong"),IF(PUF!$X49&gt;0,PUF!$X49,""),"")</f>
        <v/>
      </c>
      <c r="BE51" s="57" t="str">
        <f>IF(AND($B51=BE$3,$C51="Strong"),IF(PUF!$X49&gt;0,PUF!$X49,""),"")</f>
        <v/>
      </c>
      <c r="BF51" s="57" t="str">
        <f>IF(AND($B51=BF$3,$C51="Strong"),IF(PUF!$X49&gt;0,PUF!$X49,""),"")</f>
        <v/>
      </c>
      <c r="BG51" s="57" t="str">
        <f>IF(AND($B51=BG$3,$C51="Strong"),IF(PUF!$X49&gt;0,PUF!$X49,""),"")</f>
        <v/>
      </c>
      <c r="BH51" s="57" t="str">
        <f>IF(AND($B51=BH$3,$C51="Strong"),IF(PUF!$X49&gt;0,PUF!$X49,""),"")</f>
        <v/>
      </c>
      <c r="BI51" s="57" t="str">
        <f>IF(AND($B51=BI$3,$C51="Strong"),IF(PUF!$X49&gt;0,PUF!$X49,""),"")</f>
        <v/>
      </c>
      <c r="BJ51" s="57" t="str">
        <f>IF(AND($B51=BJ$3,$C51="Strong"),IF(PUF!$X49&gt;0,PUF!$X49,""),"")</f>
        <v/>
      </c>
      <c r="BL51" s="166">
        <f t="shared" si="10"/>
        <v>2018</v>
      </c>
      <c r="BM51" s="57" t="str">
        <f>IF(AND($B51=BM$3,$C51="Strong"),IF(PUF!$M49&gt;0,PUF!$M49,""),"")</f>
        <v/>
      </c>
      <c r="BN51" s="57" t="str">
        <f>IF(AND($B51=BN$3,$C51="Strong"),IF(PUF!$M49&gt;0,PUF!$M49,""),"")</f>
        <v/>
      </c>
      <c r="BO51" s="57" t="str">
        <f>IF(AND($B51=BO$3,$C51="Strong"),IF(PUF!$M49&gt;0,PUF!$M49,""),"")</f>
        <v/>
      </c>
      <c r="BP51" s="57" t="str">
        <f>IF(AND($B51=BP$3,$C51="Strong"),IF(PUF!$M49&gt;0,PUF!$M49,""),"")</f>
        <v/>
      </c>
      <c r="BQ51" s="57" t="str">
        <f>IF(AND($B51=BQ$3,$C51="Strong"),IF(PUF!$M49&gt;0,PUF!$M49,""),"")</f>
        <v/>
      </c>
      <c r="BR51" s="57" t="str">
        <f>IF(AND($B51=BR$3,$C51="Strong"),IF(PUF!$M49&gt;0,PUF!$M49,""),"")</f>
        <v/>
      </c>
      <c r="BS51" s="57" t="str">
        <f>IF(AND($B51=BS$3,$C51="Strong"),IF(PUF!$M49&gt;0,PUF!$M49,""),"")</f>
        <v/>
      </c>
      <c r="BT51" s="57" t="str">
        <f>IF(AND($B51=BT$3,$C51="Strong"),IF(PUF!$M49&gt;0,PUF!$M49,""),"")</f>
        <v/>
      </c>
      <c r="BV51" s="166">
        <f t="shared" si="5"/>
        <v>2018</v>
      </c>
      <c r="BW51" s="57" t="str">
        <f>IF(AND($B51=BW$3,$C51="Strong"),IF(PUF!$S49&gt;0,PUF!$S49,""),"")</f>
        <v/>
      </c>
      <c r="BX51" s="57" t="str">
        <f>IF(AND($B51=BX$3,$C51="Strong"),IF(PUF!$S49&gt;0,PUF!$S49,""),"")</f>
        <v/>
      </c>
      <c r="BY51" s="57" t="str">
        <f>IF(AND($B51=BY$3,$C51="Strong"),IF(PUF!$S49&gt;0,PUF!$S49,""),"")</f>
        <v/>
      </c>
      <c r="BZ51" s="57" t="str">
        <f>IF(AND($B51=BZ$3,$C51="Strong"),IF(PUF!$S49&gt;0,PUF!$S49,""),"")</f>
        <v/>
      </c>
      <c r="CA51" s="57" t="str">
        <f>IF(AND($B51=CA$3,$C51="Strong"),IF(PUF!$S49&gt;0,PUF!$S49,""),"")</f>
        <v/>
      </c>
      <c r="CB51" s="57" t="str">
        <f>IF(AND($B51=CB$3,$C51="Strong"),IF(PUF!$S49&gt;0,PUF!$S49,""),"")</f>
        <v/>
      </c>
      <c r="CC51" s="57" t="str">
        <f>IF(AND($B51=CC$3,$C51="Strong"),IF(PUF!$S49&gt;0,PUF!$S49,""),"")</f>
        <v/>
      </c>
      <c r="CD51" s="57" t="str">
        <f>IF(AND($B51=CD$3,$C51="Strong"),IF(PUF!$S49&gt;0,PUF!$S49,""),"")</f>
        <v/>
      </c>
      <c r="CF51" s="11">
        <f t="shared" si="6"/>
        <v>2018</v>
      </c>
      <c r="CG51" s="57" t="str">
        <f>IF(AND($B51=CG$3,$C51="Strong"),IF(PUF!$U49&gt;0,PUF!$U49,""),"")</f>
        <v/>
      </c>
      <c r="CH51" s="57" t="str">
        <f>IF(AND($B51=CH$3,$C51="Strong"),IF(PUF!$U49&gt;0,PUF!$U49,""),"")</f>
        <v/>
      </c>
      <c r="CI51" s="57" t="str">
        <f>IF(AND($B51=CI$3,$C51="Strong"),IF(PUF!$U49&gt;0,PUF!$U49,""),"")</f>
        <v/>
      </c>
      <c r="CJ51" s="57" t="str">
        <f>IF(AND($B51=CJ$3,$C51="Strong"),IF(PUF!$U49&gt;0,PUF!$U49,""),"")</f>
        <v/>
      </c>
      <c r="CK51" s="57" t="str">
        <f>IF(AND($B51=CK$3,$C51="Strong"),IF(PUF!$U49&gt;0,PUF!$U49,""),"")</f>
        <v/>
      </c>
      <c r="CL51" s="57" t="str">
        <f>IF(AND($B51=CL$3,$C51="Strong"),IF(PUF!$U49&gt;0,PUF!$U49,""),"")</f>
        <v/>
      </c>
      <c r="CM51" s="57" t="str">
        <f>IF(AND($B51=CM$3,$C51="Strong"),IF(PUF!$U49&gt;0,PUF!$U49,""),"")</f>
        <v/>
      </c>
      <c r="CN51" s="57" t="str">
        <f>IF(AND($B51=CN$3,$C51="Strong"),IF(PUF!$U49&gt;0,PUF!$U49,""),"")</f>
        <v/>
      </c>
    </row>
    <row r="52" spans="1:92" x14ac:dyDescent="0.3">
      <c r="A52" s="6">
        <f>PUF!A50</f>
        <v>49</v>
      </c>
      <c r="B52" s="6" t="str">
        <f>PUF!G50</f>
        <v>analog</v>
      </c>
      <c r="C52" t="str">
        <f>PUF!AL50</f>
        <v>Weak</v>
      </c>
      <c r="D52" s="166">
        <f>PUF!C50</f>
        <v>2018</v>
      </c>
      <c r="E52" s="167" t="str">
        <f>IF(AND($B52=E$3,$C52="Weak"),IF(PUF!$X50&gt;0,PUF!$X50,""),"")</f>
        <v/>
      </c>
      <c r="F52" s="167" t="str">
        <f>IF(AND($B52=F$3,$C52="Weak"),IF(PUF!$X50&gt;0,PUF!$X50,""),"")</f>
        <v/>
      </c>
      <c r="G52" s="167" t="str">
        <f>IF(AND($B52=G$3,$C52="Weak"),IF(PUF!$X50&gt;0,PUF!$X50,""),"")</f>
        <v/>
      </c>
      <c r="H52" s="167" t="str">
        <f>IF(AND($B52=H$3,$C52="Weak"),IF(PUF!$X50&gt;0,PUF!$X50,""),"")</f>
        <v/>
      </c>
      <c r="I52" s="167" t="str">
        <f>IF(AND($B52=I$3,$C52="Weak"),IF(PUF!$X50&gt;0,PUF!$X50,""),"")</f>
        <v/>
      </c>
      <c r="J52" s="167" t="str">
        <f>IF(AND($B52=J$3,$C52="Weak"),IF(PUF!$X50&gt;0,PUF!$X50,""),"")</f>
        <v/>
      </c>
      <c r="K52" s="167" t="str">
        <f>IF(AND($B52=K$3,$C52="Weak"),IF(PUF!$X50&gt;0,PUF!$X50,""),"")</f>
        <v/>
      </c>
      <c r="L52" s="167" t="str">
        <f>IF(AND($B52=L$3,$C52="Weak"),IF(PUF!$X50&gt;0,PUF!$X50,""),"")</f>
        <v/>
      </c>
      <c r="N52" s="11">
        <f t="shared" si="7"/>
        <v>2018</v>
      </c>
      <c r="O52" s="57">
        <f>IF(AND($B52=O$3,$C52="Weak"),IF(PUF!$M50&gt;0,PUF!$M50,""),"")</f>
        <v>0.251</v>
      </c>
      <c r="P52" s="57" t="str">
        <f>IF(AND($B52=P$3,$C52="Weak"),IF(PUF!$M50&gt;0,PUF!$M50,""),"")</f>
        <v/>
      </c>
      <c r="Q52" s="57" t="str">
        <f>IF(AND($B52=Q$3,$C52="Weak"),IF(PUF!$M50&gt;0,PUF!$M50,""),"")</f>
        <v/>
      </c>
      <c r="R52" s="57" t="str">
        <f>IF(AND($B52=R$3,$C52="Weak"),IF(PUF!$M50&gt;0,PUF!$M50,""),"")</f>
        <v/>
      </c>
      <c r="S52" s="57" t="str">
        <f>IF(AND($B52=S$3,$C52="Weak"),IF(PUF!$M50&gt;0,PUF!$M50,""),"")</f>
        <v/>
      </c>
      <c r="T52" s="57" t="str">
        <f>IF(AND($B52=T$3,$C52="Weak"),IF(PUF!$M50&gt;0,PUF!$M50,""),"")</f>
        <v/>
      </c>
      <c r="U52" s="57" t="str">
        <f>IF(AND($B52=U$3,$C52="Weak"),IF(PUF!$M50&gt;0,PUF!$M50,""),"")</f>
        <v/>
      </c>
      <c r="V52" s="57" t="str">
        <f>IF(AND($B52=V$3,$C52="Weak"),IF(PUF!$M50&gt;0,PUF!$M50,""),"")</f>
        <v/>
      </c>
      <c r="W52" s="168"/>
      <c r="X52" s="166">
        <f t="shared" si="4"/>
        <v>2018</v>
      </c>
      <c r="Y52" s="57">
        <f>IF(AND($B52=Y$3,$C52="Weak"),IF(PUF!$S50&gt;0,PUF!$S50,""),"")</f>
        <v>0.06</v>
      </c>
      <c r="Z52" s="57" t="str">
        <f>IF(AND($B52=Z$3,$C52="Weak"),IF(PUF!$S50&gt;0,PUF!$S50,""),"")</f>
        <v/>
      </c>
      <c r="AA52" s="57" t="str">
        <f>IF(AND($B52=AA$3,$C52="Weak"),IF(PUF!$S50&gt;0,PUF!$S50,""),"")</f>
        <v/>
      </c>
      <c r="AB52" s="57" t="str">
        <f>IF(AND($B52=AB$3,$C52="Weak"),IF(PUF!$S50&gt;0,PUF!$S50,""),"")</f>
        <v/>
      </c>
      <c r="AC52" s="57" t="str">
        <f>IF(AND($B52=AC$3,$C52="Weak"),IF(PUF!$S50&gt;0,PUF!$S50,""),"")</f>
        <v/>
      </c>
      <c r="AD52" s="57" t="str">
        <f>IF(AND($B52=AD$3,$C52="Weak"),IF(PUF!$S50&gt;0,PUF!$S50,""),"")</f>
        <v/>
      </c>
      <c r="AE52" s="57" t="str">
        <f>IF(AND($B52=AE$3,$C52="Weak"),IF(PUF!$S50&gt;0,PUF!$S50,""),"")</f>
        <v/>
      </c>
      <c r="AF52" s="57" t="str">
        <f>IF(AND($B52=AF$3,$C52="Weak"),IF(PUF!$S50&gt;0,PUF!$S50,""),"")</f>
        <v/>
      </c>
      <c r="AH52" s="210">
        <f t="shared" si="8"/>
        <v>2018</v>
      </c>
      <c r="AI52" s="211">
        <f>IF(AND($B52=AI$3,$C52="Weak"),IF(PUF!$U50&gt;0,PUF!$U50,""),"")</f>
        <v>12</v>
      </c>
      <c r="AJ52" s="211" t="str">
        <f>IF(AND($B52=AJ$3,$C52="Weak"),IF(PUF!$U50&gt;0,PUF!$U50,""),"")</f>
        <v/>
      </c>
      <c r="AK52" s="211" t="str">
        <f>IF(AND($B52=AK$3,$C52="Weak"),IF(PUF!$U50&gt;0,PUF!$U50,""),"")</f>
        <v/>
      </c>
      <c r="AL52" s="211" t="str">
        <f>IF(AND($B52=AL$3,$C52="Weak"),IF(PUF!$U50&gt;0,PUF!$U50,""),"")</f>
        <v/>
      </c>
      <c r="AM52" s="211" t="str">
        <f>IF(AND($B52=AM$3,$C52="Weak"),IF(PUF!$U50&gt;0,PUF!$U50,""),"")</f>
        <v/>
      </c>
      <c r="AN52" s="211" t="str">
        <f>IF(AND($B52=AN$3,$C52="Weak"),IF(PUF!$U50&gt;0,PUF!$U50,""),"")</f>
        <v/>
      </c>
      <c r="AO52" s="211" t="str">
        <f>IF(AND($B52=AO$3,$C52="Weak"),IF(PUF!$U50&gt;0,PUF!$U50,""),"")</f>
        <v/>
      </c>
      <c r="AP52" s="211" t="str">
        <f>IF(AND($B52=AP$3,$C52="Weak"),IF(PUF!$U50&gt;0,PUF!$U50,""),"")</f>
        <v/>
      </c>
      <c r="BB52" s="166">
        <f t="shared" si="9"/>
        <v>2018</v>
      </c>
      <c r="BC52" s="57" t="str">
        <f>IF(AND($B52=BC$3,$C52="Strong"),IF(PUF!$X50&gt;0,PUF!$X50,""),"")</f>
        <v/>
      </c>
      <c r="BD52" s="57" t="str">
        <f>IF(AND($B52=BD$3,$C52="Strong"),IF(PUF!$X50&gt;0,PUF!$X50,""),"")</f>
        <v/>
      </c>
      <c r="BE52" s="57" t="str">
        <f>IF(AND($B52=BE$3,$C52="Strong"),IF(PUF!$X50&gt;0,PUF!$X50,""),"")</f>
        <v/>
      </c>
      <c r="BF52" s="57" t="str">
        <f>IF(AND($B52=BF$3,$C52="Strong"),IF(PUF!$X50&gt;0,PUF!$X50,""),"")</f>
        <v/>
      </c>
      <c r="BG52" s="57" t="str">
        <f>IF(AND($B52=BG$3,$C52="Strong"),IF(PUF!$X50&gt;0,PUF!$X50,""),"")</f>
        <v/>
      </c>
      <c r="BH52" s="57" t="str">
        <f>IF(AND($B52=BH$3,$C52="Strong"),IF(PUF!$X50&gt;0,PUF!$X50,""),"")</f>
        <v/>
      </c>
      <c r="BI52" s="57" t="str">
        <f>IF(AND($B52=BI$3,$C52="Strong"),IF(PUF!$X50&gt;0,PUF!$X50,""),"")</f>
        <v/>
      </c>
      <c r="BJ52" s="57" t="str">
        <f>IF(AND($B52=BJ$3,$C52="Strong"),IF(PUF!$X50&gt;0,PUF!$X50,""),"")</f>
        <v/>
      </c>
      <c r="BL52" s="166">
        <f t="shared" si="10"/>
        <v>2018</v>
      </c>
      <c r="BM52" s="57" t="str">
        <f>IF(AND($B52=BM$3,$C52="Strong"),IF(PUF!$M50&gt;0,PUF!$M50,""),"")</f>
        <v/>
      </c>
      <c r="BN52" s="57" t="str">
        <f>IF(AND($B52=BN$3,$C52="Strong"),IF(PUF!$M50&gt;0,PUF!$M50,""),"")</f>
        <v/>
      </c>
      <c r="BO52" s="57" t="str">
        <f>IF(AND($B52=BO$3,$C52="Strong"),IF(PUF!$M50&gt;0,PUF!$M50,""),"")</f>
        <v/>
      </c>
      <c r="BP52" s="57" t="str">
        <f>IF(AND($B52=BP$3,$C52="Strong"),IF(PUF!$M50&gt;0,PUF!$M50,""),"")</f>
        <v/>
      </c>
      <c r="BQ52" s="57" t="str">
        <f>IF(AND($B52=BQ$3,$C52="Strong"),IF(PUF!$M50&gt;0,PUF!$M50,""),"")</f>
        <v/>
      </c>
      <c r="BR52" s="57" t="str">
        <f>IF(AND($B52=BR$3,$C52="Strong"),IF(PUF!$M50&gt;0,PUF!$M50,""),"")</f>
        <v/>
      </c>
      <c r="BS52" s="57" t="str">
        <f>IF(AND($B52=BS$3,$C52="Strong"),IF(PUF!$M50&gt;0,PUF!$M50,""),"")</f>
        <v/>
      </c>
      <c r="BT52" s="57" t="str">
        <f>IF(AND($B52=BT$3,$C52="Strong"),IF(PUF!$M50&gt;0,PUF!$M50,""),"")</f>
        <v/>
      </c>
      <c r="BV52" s="166">
        <f t="shared" si="5"/>
        <v>2018</v>
      </c>
      <c r="BW52" s="57" t="str">
        <f>IF(AND($B52=BW$3,$C52="Strong"),IF(PUF!$S50&gt;0,PUF!$S50,""),"")</f>
        <v/>
      </c>
      <c r="BX52" s="57" t="str">
        <f>IF(AND($B52=BX$3,$C52="Strong"),IF(PUF!$S50&gt;0,PUF!$S50,""),"")</f>
        <v/>
      </c>
      <c r="BY52" s="57" t="str">
        <f>IF(AND($B52=BY$3,$C52="Strong"),IF(PUF!$S50&gt;0,PUF!$S50,""),"")</f>
        <v/>
      </c>
      <c r="BZ52" s="57" t="str">
        <f>IF(AND($B52=BZ$3,$C52="Strong"),IF(PUF!$S50&gt;0,PUF!$S50,""),"")</f>
        <v/>
      </c>
      <c r="CA52" s="57" t="str">
        <f>IF(AND($B52=CA$3,$C52="Strong"),IF(PUF!$S50&gt;0,PUF!$S50,""),"")</f>
        <v/>
      </c>
      <c r="CB52" s="57" t="str">
        <f>IF(AND($B52=CB$3,$C52="Strong"),IF(PUF!$S50&gt;0,PUF!$S50,""),"")</f>
        <v/>
      </c>
      <c r="CC52" s="57" t="str">
        <f>IF(AND($B52=CC$3,$C52="Strong"),IF(PUF!$S50&gt;0,PUF!$S50,""),"")</f>
        <v/>
      </c>
      <c r="CD52" s="57" t="str">
        <f>IF(AND($B52=CD$3,$C52="Strong"),IF(PUF!$S50&gt;0,PUF!$S50,""),"")</f>
        <v/>
      </c>
      <c r="CF52" s="11">
        <f t="shared" si="6"/>
        <v>2018</v>
      </c>
      <c r="CG52" s="57" t="str">
        <f>IF(AND($B52=CG$3,$C52="Strong"),IF(PUF!$U50&gt;0,PUF!$U50,""),"")</f>
        <v/>
      </c>
      <c r="CH52" s="57" t="str">
        <f>IF(AND($B52=CH$3,$C52="Strong"),IF(PUF!$U50&gt;0,PUF!$U50,""),"")</f>
        <v/>
      </c>
      <c r="CI52" s="57" t="str">
        <f>IF(AND($B52=CI$3,$C52="Strong"),IF(PUF!$U50&gt;0,PUF!$U50,""),"")</f>
        <v/>
      </c>
      <c r="CJ52" s="57" t="str">
        <f>IF(AND($B52=CJ$3,$C52="Strong"),IF(PUF!$U50&gt;0,PUF!$U50,""),"")</f>
        <v/>
      </c>
      <c r="CK52" s="57" t="str">
        <f>IF(AND($B52=CK$3,$C52="Strong"),IF(PUF!$U50&gt;0,PUF!$U50,""),"")</f>
        <v/>
      </c>
      <c r="CL52" s="57" t="str">
        <f>IF(AND($B52=CL$3,$C52="Strong"),IF(PUF!$U50&gt;0,PUF!$U50,""),"")</f>
        <v/>
      </c>
      <c r="CM52" s="57" t="str">
        <f>IF(AND($B52=CM$3,$C52="Strong"),IF(PUF!$U50&gt;0,PUF!$U50,""),"")</f>
        <v/>
      </c>
      <c r="CN52" s="57" t="str">
        <f>IF(AND($B52=CN$3,$C52="Strong"),IF(PUF!$U50&gt;0,PUF!$U50,""),"")</f>
        <v/>
      </c>
    </row>
    <row r="53" spans="1:92" x14ac:dyDescent="0.3">
      <c r="A53" s="6">
        <f>PUF!A51</f>
        <v>50</v>
      </c>
      <c r="B53" s="6" t="str">
        <f>PUF!G51</f>
        <v>monostable</v>
      </c>
      <c r="C53" t="str">
        <f>PUF!AL51</f>
        <v>Strong</v>
      </c>
      <c r="D53" s="166">
        <f>PUF!C51</f>
        <v>2018</v>
      </c>
      <c r="E53" s="167" t="str">
        <f>IF(AND($B53=E$3,$C53="Weak"),IF(PUF!$X51&gt;0,PUF!$X51,""),"")</f>
        <v/>
      </c>
      <c r="F53" s="167" t="str">
        <f>IF(AND($B53=F$3,$C53="Weak"),IF(PUF!$X51&gt;0,PUF!$X51,""),"")</f>
        <v/>
      </c>
      <c r="G53" s="167" t="str">
        <f>IF(AND($B53=G$3,$C53="Weak"),IF(PUF!$X51&gt;0,PUF!$X51,""),"")</f>
        <v/>
      </c>
      <c r="H53" s="167" t="str">
        <f>IF(AND($B53=H$3,$C53="Weak"),IF(PUF!$X51&gt;0,PUF!$X51,""),"")</f>
        <v/>
      </c>
      <c r="I53" s="167" t="str">
        <f>IF(AND($B53=I$3,$C53="Weak"),IF(PUF!$X51&gt;0,PUF!$X51,""),"")</f>
        <v/>
      </c>
      <c r="J53" s="167" t="str">
        <f>IF(AND($B53=J$3,$C53="Weak"),IF(PUF!$X51&gt;0,PUF!$X51,""),"")</f>
        <v/>
      </c>
      <c r="K53" s="167" t="str">
        <f>IF(AND($B53=K$3,$C53="Weak"),IF(PUF!$X51&gt;0,PUF!$X51,""),"")</f>
        <v/>
      </c>
      <c r="L53" s="167" t="str">
        <f>IF(AND($B53=L$3,$C53="Weak"),IF(PUF!$X51&gt;0,PUF!$X51,""),"")</f>
        <v/>
      </c>
      <c r="N53" s="11">
        <f t="shared" si="7"/>
        <v>2018</v>
      </c>
      <c r="O53" s="57" t="str">
        <f>IF(AND($B53=O$3,$C53="Weak"),IF(PUF!$M51&gt;0,PUF!$M51,""),"")</f>
        <v/>
      </c>
      <c r="P53" s="57" t="str">
        <f>IF(AND($B53=P$3,$C53="Weak"),IF(PUF!$M51&gt;0,PUF!$M51,""),"")</f>
        <v/>
      </c>
      <c r="Q53" s="57" t="str">
        <f>IF(AND($B53=Q$3,$C53="Weak"),IF(PUF!$M51&gt;0,PUF!$M51,""),"")</f>
        <v/>
      </c>
      <c r="R53" s="57" t="str">
        <f>IF(AND($B53=R$3,$C53="Weak"),IF(PUF!$M51&gt;0,PUF!$M51,""),"")</f>
        <v/>
      </c>
      <c r="S53" s="57" t="str">
        <f>IF(AND($B53=S$3,$C53="Weak"),IF(PUF!$M51&gt;0,PUF!$M51,""),"")</f>
        <v/>
      </c>
      <c r="T53" s="57" t="str">
        <f>IF(AND($B53=T$3,$C53="Weak"),IF(PUF!$M51&gt;0,PUF!$M51,""),"")</f>
        <v/>
      </c>
      <c r="U53" s="57" t="str">
        <f>IF(AND($B53=U$3,$C53="Weak"),IF(PUF!$M51&gt;0,PUF!$M51,""),"")</f>
        <v/>
      </c>
      <c r="V53" s="57" t="str">
        <f>IF(AND($B53=V$3,$C53="Weak"),IF(PUF!$M51&gt;0,PUF!$M51,""),"")</f>
        <v/>
      </c>
      <c r="W53" s="168"/>
      <c r="X53" s="166">
        <f t="shared" si="4"/>
        <v>2018</v>
      </c>
      <c r="Y53" s="57" t="str">
        <f>IF(AND($B53=Y$3,$C53="Weak"),IF(PUF!$S51&gt;0,PUF!$S51,""),"")</f>
        <v/>
      </c>
      <c r="Z53" s="57" t="str">
        <f>IF(AND($B53=Z$3,$C53="Weak"),IF(PUF!$S51&gt;0,PUF!$S51,""),"")</f>
        <v/>
      </c>
      <c r="AA53" s="57" t="str">
        <f>IF(AND($B53=AA$3,$C53="Weak"),IF(PUF!$S51&gt;0,PUF!$S51,""),"")</f>
        <v/>
      </c>
      <c r="AB53" s="57" t="str">
        <f>IF(AND($B53=AB$3,$C53="Weak"),IF(PUF!$S51&gt;0,PUF!$S51,""),"")</f>
        <v/>
      </c>
      <c r="AC53" s="57" t="str">
        <f>IF(AND($B53=AC$3,$C53="Weak"),IF(PUF!$S51&gt;0,PUF!$S51,""),"")</f>
        <v/>
      </c>
      <c r="AD53" s="57" t="str">
        <f>IF(AND($B53=AD$3,$C53="Weak"),IF(PUF!$S51&gt;0,PUF!$S51,""),"")</f>
        <v/>
      </c>
      <c r="AE53" s="57" t="str">
        <f>IF(AND($B53=AE$3,$C53="Weak"),IF(PUF!$S51&gt;0,PUF!$S51,""),"")</f>
        <v/>
      </c>
      <c r="AF53" s="57" t="str">
        <f>IF(AND($B53=AF$3,$C53="Weak"),IF(PUF!$S51&gt;0,PUF!$S51,""),"")</f>
        <v/>
      </c>
      <c r="AH53" s="210">
        <f t="shared" si="8"/>
        <v>2018</v>
      </c>
      <c r="AI53" s="211" t="str">
        <f>IF(AND($B53=AI$3,$C53="Weak"),IF(PUF!$U51&gt;0,PUF!$U51,""),"")</f>
        <v/>
      </c>
      <c r="AJ53" s="211" t="str">
        <f>IF(AND($B53=AJ$3,$C53="Weak"),IF(PUF!$U51&gt;0,PUF!$U51,""),"")</f>
        <v/>
      </c>
      <c r="AK53" s="211" t="str">
        <f>IF(AND($B53=AK$3,$C53="Weak"),IF(PUF!$U51&gt;0,PUF!$U51,""),"")</f>
        <v/>
      </c>
      <c r="AL53" s="211" t="str">
        <f>IF(AND($B53=AL$3,$C53="Weak"),IF(PUF!$U51&gt;0,PUF!$U51,""),"")</f>
        <v/>
      </c>
      <c r="AM53" s="211" t="str">
        <f>IF(AND($B53=AM$3,$C53="Weak"),IF(PUF!$U51&gt;0,PUF!$U51,""),"")</f>
        <v/>
      </c>
      <c r="AN53" s="211" t="str">
        <f>IF(AND($B53=AN$3,$C53="Weak"),IF(PUF!$U51&gt;0,PUF!$U51,""),"")</f>
        <v/>
      </c>
      <c r="AO53" s="211" t="str">
        <f>IF(AND($B53=AO$3,$C53="Weak"),IF(PUF!$U51&gt;0,PUF!$U51,""),"")</f>
        <v/>
      </c>
      <c r="AP53" s="211" t="str">
        <f>IF(AND($B53=AP$3,$C53="Weak"),IF(PUF!$U51&gt;0,PUF!$U51,""),"")</f>
        <v/>
      </c>
      <c r="BB53" s="166">
        <f t="shared" si="9"/>
        <v>2018</v>
      </c>
      <c r="BC53" s="57" t="str">
        <f>IF(AND($B53=BC$3,$C53="Strong"),IF(PUF!$X51&gt;0,PUF!$X51,""),"")</f>
        <v/>
      </c>
      <c r="BD53" s="57" t="str">
        <f>IF(AND($B53=BD$3,$C53="Strong"),IF(PUF!$X51&gt;0,PUF!$X51,""),"")</f>
        <v/>
      </c>
      <c r="BE53" s="57" t="str">
        <f>IF(AND($B53=BE$3,$C53="Strong"),IF(PUF!$X51&gt;0,PUF!$X51,""),"")</f>
        <v/>
      </c>
      <c r="BF53" s="57" t="str">
        <f>IF(AND($B53=BF$3,$C53="Strong"),IF(PUF!$X51&gt;0,PUF!$X51,""),"")</f>
        <v/>
      </c>
      <c r="BG53" s="57">
        <f>IF(AND($B53=BG$3,$C53="Strong"),IF(PUF!$X51&gt;0,PUF!$X51,""),"")</f>
        <v>2949375</v>
      </c>
      <c r="BH53" s="57" t="str">
        <f>IF(AND($B53=BH$3,$C53="Strong"),IF(PUF!$X51&gt;0,PUF!$X51,""),"")</f>
        <v/>
      </c>
      <c r="BI53" s="57" t="str">
        <f>IF(AND($B53=BI$3,$C53="Strong"),IF(PUF!$X51&gt;0,PUF!$X51,""),"")</f>
        <v/>
      </c>
      <c r="BJ53" s="57" t="str">
        <f>IF(AND($B53=BJ$3,$C53="Strong"),IF(PUF!$X51&gt;0,PUF!$X51,""),"")</f>
        <v/>
      </c>
      <c r="BL53" s="166">
        <f t="shared" si="10"/>
        <v>2018</v>
      </c>
      <c r="BM53" s="57" t="str">
        <f>IF(AND($B53=BM$3,$C53="Strong"),IF(PUF!$M51&gt;0,PUF!$M51,""),"")</f>
        <v/>
      </c>
      <c r="BN53" s="57" t="str">
        <f>IF(AND($B53=BN$3,$C53="Strong"),IF(PUF!$M51&gt;0,PUF!$M51,""),"")</f>
        <v/>
      </c>
      <c r="BO53" s="57" t="str">
        <f>IF(AND($B53=BO$3,$C53="Strong"),IF(PUF!$M51&gt;0,PUF!$M51,""),"")</f>
        <v/>
      </c>
      <c r="BP53" s="57" t="str">
        <f>IF(AND($B53=BP$3,$C53="Strong"),IF(PUF!$M51&gt;0,PUF!$M51,""),"")</f>
        <v/>
      </c>
      <c r="BQ53" s="57" t="str">
        <f>IF(AND($B53=BQ$3,$C53="Strong"),IF(PUF!$M51&gt;0,PUF!$M51,""),"")</f>
        <v/>
      </c>
      <c r="BR53" s="57" t="str">
        <f>IF(AND($B53=BR$3,$C53="Strong"),IF(PUF!$M51&gt;0,PUF!$M51,""),"")</f>
        <v/>
      </c>
      <c r="BS53" s="57" t="str">
        <f>IF(AND($B53=BS$3,$C53="Strong"),IF(PUF!$M51&gt;0,PUF!$M51,""),"")</f>
        <v/>
      </c>
      <c r="BT53" s="57" t="str">
        <f>IF(AND($B53=BT$3,$C53="Strong"),IF(PUF!$M51&gt;0,PUF!$M51,""),"")</f>
        <v/>
      </c>
      <c r="BV53" s="166">
        <f t="shared" si="5"/>
        <v>2018</v>
      </c>
      <c r="BW53" s="57" t="str">
        <f>IF(AND($B53=BW$3,$C53="Strong"),IF(PUF!$S51&gt;0,PUF!$S51,""),"")</f>
        <v/>
      </c>
      <c r="BX53" s="57" t="str">
        <f>IF(AND($B53=BX$3,$C53="Strong"),IF(PUF!$S51&gt;0,PUF!$S51,""),"")</f>
        <v/>
      </c>
      <c r="BY53" s="57" t="str">
        <f>IF(AND($B53=BY$3,$C53="Strong"),IF(PUF!$S51&gt;0,PUF!$S51,""),"")</f>
        <v/>
      </c>
      <c r="BZ53" s="57" t="str">
        <f>IF(AND($B53=BZ$3,$C53="Strong"),IF(PUF!$S51&gt;0,PUF!$S51,""),"")</f>
        <v/>
      </c>
      <c r="CA53" s="57">
        <f>IF(AND($B53=CA$3,$C53="Strong"),IF(PUF!$S51&gt;0,PUF!$S51,""),"")</f>
        <v>0.82</v>
      </c>
      <c r="CB53" s="57" t="str">
        <f>IF(AND($B53=CB$3,$C53="Strong"),IF(PUF!$S51&gt;0,PUF!$S51,""),"")</f>
        <v/>
      </c>
      <c r="CC53" s="57" t="str">
        <f>IF(AND($B53=CC$3,$C53="Strong"),IF(PUF!$S51&gt;0,PUF!$S51,""),"")</f>
        <v/>
      </c>
      <c r="CD53" s="57" t="str">
        <f>IF(AND($B53=CD$3,$C53="Strong"),IF(PUF!$S51&gt;0,PUF!$S51,""),"")</f>
        <v/>
      </c>
      <c r="CF53" s="11">
        <f t="shared" si="6"/>
        <v>2018</v>
      </c>
      <c r="CG53" s="57" t="str">
        <f>IF(AND($B53=CG$3,$C53="Strong"),IF(PUF!$U51&gt;0,PUF!$U51,""),"")</f>
        <v/>
      </c>
      <c r="CH53" s="57" t="str">
        <f>IF(AND($B53=CH$3,$C53="Strong"),IF(PUF!$U51&gt;0,PUF!$U51,""),"")</f>
        <v/>
      </c>
      <c r="CI53" s="57" t="str">
        <f>IF(AND($B53=CI$3,$C53="Strong"),IF(PUF!$U51&gt;0,PUF!$U51,""),"")</f>
        <v/>
      </c>
      <c r="CJ53" s="57" t="str">
        <f>IF(AND($B53=CJ$3,$C53="Strong"),IF(PUF!$U51&gt;0,PUF!$U51,""),"")</f>
        <v/>
      </c>
      <c r="CK53" s="57">
        <f>IF(AND($B53=CK$3,$C53="Strong"),IF(PUF!$U51&gt;0,PUF!$U51,""),"")</f>
        <v>15.42</v>
      </c>
      <c r="CL53" s="57" t="str">
        <f>IF(AND($B53=CL$3,$C53="Strong"),IF(PUF!$U51&gt;0,PUF!$U51,""),"")</f>
        <v/>
      </c>
      <c r="CM53" s="57" t="str">
        <f>IF(AND($B53=CM$3,$C53="Strong"),IF(PUF!$U51&gt;0,PUF!$U51,""),"")</f>
        <v/>
      </c>
      <c r="CN53" s="57" t="str">
        <f>IF(AND($B53=CN$3,$C53="Strong"),IF(PUF!$U51&gt;0,PUF!$U51,""),"")</f>
        <v/>
      </c>
    </row>
    <row r="54" spans="1:92" x14ac:dyDescent="0.3">
      <c r="A54" s="6">
        <f>PUF!A52</f>
        <v>51</v>
      </c>
      <c r="B54" s="6" t="str">
        <f>PUF!G52</f>
        <v>others</v>
      </c>
      <c r="C54" t="str">
        <f>PUF!AL52</f>
        <v>Weak</v>
      </c>
      <c r="D54" s="166">
        <f>PUF!C52</f>
        <v>2019</v>
      </c>
      <c r="E54" s="167" t="str">
        <f>IF(AND($B54=E$3,$C54="Weak"),IF(PUF!$X52&gt;0,PUF!$X52,""),"")</f>
        <v/>
      </c>
      <c r="F54" s="167" t="str">
        <f>IF(AND($B54=F$3,$C54="Weak"),IF(PUF!$X52&gt;0,PUF!$X52,""),"")</f>
        <v/>
      </c>
      <c r="G54" s="167" t="str">
        <f>IF(AND($B54=G$3,$C54="Weak"),IF(PUF!$X52&gt;0,PUF!$X52,""),"")</f>
        <v/>
      </c>
      <c r="H54" s="167" t="str">
        <f>IF(AND($B54=H$3,$C54="Weak"),IF(PUF!$X52&gt;0,PUF!$X52,""),"")</f>
        <v/>
      </c>
      <c r="I54" s="167" t="str">
        <f>IF(AND($B54=I$3,$C54="Weak"),IF(PUF!$X52&gt;0,PUF!$X52,""),"")</f>
        <v/>
      </c>
      <c r="J54" s="167" t="str">
        <f>IF(AND($B54=J$3,$C54="Weak"),IF(PUF!$X52&gt;0,PUF!$X52,""),"")</f>
        <v/>
      </c>
      <c r="K54" s="167" t="str">
        <f>IF(AND($B54=K$3,$C54="Weak"),IF(PUF!$X52&gt;0,PUF!$X52,""),"")</f>
        <v/>
      </c>
      <c r="L54" s="167">
        <f>IF(AND($B54=L$3,$C54="Weak"),IF(PUF!$X52&gt;0,PUF!$X52,""),"")</f>
        <v>4918</v>
      </c>
      <c r="N54" s="11">
        <f t="shared" si="7"/>
        <v>2019</v>
      </c>
      <c r="O54" s="57" t="str">
        <f>IF(AND($B54=O$3,$C54="Weak"),IF(PUF!$M52&gt;0,PUF!$M52,""),"")</f>
        <v/>
      </c>
      <c r="P54" s="57" t="str">
        <f>IF(AND($B54=P$3,$C54="Weak"),IF(PUF!$M52&gt;0,PUF!$M52,""),"")</f>
        <v/>
      </c>
      <c r="Q54" s="57" t="str">
        <f>IF(AND($B54=Q$3,$C54="Weak"),IF(PUF!$M52&gt;0,PUF!$M52,""),"")</f>
        <v/>
      </c>
      <c r="R54" s="57" t="str">
        <f>IF(AND($B54=R$3,$C54="Weak"),IF(PUF!$M52&gt;0,PUF!$M52,""),"")</f>
        <v/>
      </c>
      <c r="S54" s="57" t="str">
        <f>IF(AND($B54=S$3,$C54="Weak"),IF(PUF!$M52&gt;0,PUF!$M52,""),"")</f>
        <v/>
      </c>
      <c r="T54" s="57" t="str">
        <f>IF(AND($B54=T$3,$C54="Weak"),IF(PUF!$M52&gt;0,PUF!$M52,""),"")</f>
        <v/>
      </c>
      <c r="U54" s="57" t="str">
        <f>IF(AND($B54=U$3,$C54="Weak"),IF(PUF!$M52&gt;0,PUF!$M52,""),"")</f>
        <v/>
      </c>
      <c r="V54" s="57">
        <f>IF(AND($B54=V$3,$C54="Weak"),IF(PUF!$M52&gt;0,PUF!$M52,""),"")</f>
        <v>0.02</v>
      </c>
      <c r="W54" s="168"/>
      <c r="X54" s="166">
        <f t="shared" si="4"/>
        <v>2019</v>
      </c>
      <c r="Y54" s="57" t="str">
        <f>IF(AND($B54=Y$3,$C54="Weak"),IF(PUF!$S52&gt;0,PUF!$S52,""),"")</f>
        <v/>
      </c>
      <c r="Z54" s="57" t="str">
        <f>IF(AND($B54=Z$3,$C54="Weak"),IF(PUF!$S52&gt;0,PUF!$S52,""),"")</f>
        <v/>
      </c>
      <c r="AA54" s="57" t="str">
        <f>IF(AND($B54=AA$3,$C54="Weak"),IF(PUF!$S52&gt;0,PUF!$S52,""),"")</f>
        <v/>
      </c>
      <c r="AB54" s="57" t="str">
        <f>IF(AND($B54=AB$3,$C54="Weak"),IF(PUF!$S52&gt;0,PUF!$S52,""),"")</f>
        <v/>
      </c>
      <c r="AC54" s="57" t="str">
        <f>IF(AND($B54=AC$3,$C54="Weak"),IF(PUF!$S52&gt;0,PUF!$S52,""),"")</f>
        <v/>
      </c>
      <c r="AD54" s="57" t="str">
        <f>IF(AND($B54=AD$3,$C54="Weak"),IF(PUF!$S52&gt;0,PUF!$S52,""),"")</f>
        <v/>
      </c>
      <c r="AE54" s="57" t="str">
        <f>IF(AND($B54=AE$3,$C54="Weak"),IF(PUF!$S52&gt;0,PUF!$S52,""),"")</f>
        <v/>
      </c>
      <c r="AF54" s="57">
        <f>IF(AND($B54=AF$3,$C54="Weak"),IF(PUF!$S52&gt;0,PUF!$S52,""),"")</f>
        <v>0.02</v>
      </c>
      <c r="AH54" s="210">
        <f t="shared" si="8"/>
        <v>2019</v>
      </c>
      <c r="AI54" s="211" t="str">
        <f>IF(AND($B54=AI$3,$C54="Weak"),IF(PUF!$U52&gt;0,PUF!$U52,""),"")</f>
        <v/>
      </c>
      <c r="AJ54" s="211" t="str">
        <f>IF(AND($B54=AJ$3,$C54="Weak"),IF(PUF!$U52&gt;0,PUF!$U52,""),"")</f>
        <v/>
      </c>
      <c r="AK54" s="211" t="str">
        <f>IF(AND($B54=AK$3,$C54="Weak"),IF(PUF!$U52&gt;0,PUF!$U52,""),"")</f>
        <v/>
      </c>
      <c r="AL54" s="211" t="str">
        <f>IF(AND($B54=AL$3,$C54="Weak"),IF(PUF!$U52&gt;0,PUF!$U52,""),"")</f>
        <v/>
      </c>
      <c r="AM54" s="211" t="str">
        <f>IF(AND($B54=AM$3,$C54="Weak"),IF(PUF!$U52&gt;0,PUF!$U52,""),"")</f>
        <v/>
      </c>
      <c r="AN54" s="211" t="str">
        <f>IF(AND($B54=AN$3,$C54="Weak"),IF(PUF!$U52&gt;0,PUF!$U52,""),"")</f>
        <v/>
      </c>
      <c r="AO54" s="211" t="str">
        <f>IF(AND($B54=AO$3,$C54="Weak"),IF(PUF!$U52&gt;0,PUF!$U52,""),"")</f>
        <v/>
      </c>
      <c r="AP54" s="211">
        <f>IF(AND($B54=AP$3,$C54="Weak"),IF(PUF!$U52&gt;0,PUF!$U52,""),"")</f>
        <v>5.1799999999999999E-2</v>
      </c>
      <c r="BB54" s="166">
        <f t="shared" si="9"/>
        <v>2019</v>
      </c>
      <c r="BC54" s="57" t="str">
        <f>IF(AND($B54=BC$3,$C54="Strong"),IF(PUF!$X52&gt;0,PUF!$X52,""),"")</f>
        <v/>
      </c>
      <c r="BD54" s="57" t="str">
        <f>IF(AND($B54=BD$3,$C54="Strong"),IF(PUF!$X52&gt;0,PUF!$X52,""),"")</f>
        <v/>
      </c>
      <c r="BE54" s="57" t="str">
        <f>IF(AND($B54=BE$3,$C54="Strong"),IF(PUF!$X52&gt;0,PUF!$X52,""),"")</f>
        <v/>
      </c>
      <c r="BF54" s="57" t="str">
        <f>IF(AND($B54=BF$3,$C54="Strong"),IF(PUF!$X52&gt;0,PUF!$X52,""),"")</f>
        <v/>
      </c>
      <c r="BG54" s="57" t="str">
        <f>IF(AND($B54=BG$3,$C54="Strong"),IF(PUF!$X52&gt;0,PUF!$X52,""),"")</f>
        <v/>
      </c>
      <c r="BH54" s="57" t="str">
        <f>IF(AND($B54=BH$3,$C54="Strong"),IF(PUF!$X52&gt;0,PUF!$X52,""),"")</f>
        <v/>
      </c>
      <c r="BI54" s="57" t="str">
        <f>IF(AND($B54=BI$3,$C54="Strong"),IF(PUF!$X52&gt;0,PUF!$X52,""),"")</f>
        <v/>
      </c>
      <c r="BJ54" s="57" t="str">
        <f>IF(AND($B54=BJ$3,$C54="Strong"),IF(PUF!$X52&gt;0,PUF!$X52,""),"")</f>
        <v/>
      </c>
      <c r="BL54" s="166">
        <f t="shared" si="10"/>
        <v>2019</v>
      </c>
      <c r="BM54" s="57" t="str">
        <f>IF(AND($B54=BM$3,$C54="Strong"),IF(PUF!$M52&gt;0,PUF!$M52,""),"")</f>
        <v/>
      </c>
      <c r="BN54" s="57" t="str">
        <f>IF(AND($B54=BN$3,$C54="Strong"),IF(PUF!$M52&gt;0,PUF!$M52,""),"")</f>
        <v/>
      </c>
      <c r="BO54" s="57" t="str">
        <f>IF(AND($B54=BO$3,$C54="Strong"),IF(PUF!$M52&gt;0,PUF!$M52,""),"")</f>
        <v/>
      </c>
      <c r="BP54" s="57" t="str">
        <f>IF(AND($B54=BP$3,$C54="Strong"),IF(PUF!$M52&gt;0,PUF!$M52,""),"")</f>
        <v/>
      </c>
      <c r="BQ54" s="57" t="str">
        <f>IF(AND($B54=BQ$3,$C54="Strong"),IF(PUF!$M52&gt;0,PUF!$M52,""),"")</f>
        <v/>
      </c>
      <c r="BR54" s="57" t="str">
        <f>IF(AND($B54=BR$3,$C54="Strong"),IF(PUF!$M52&gt;0,PUF!$M52,""),"")</f>
        <v/>
      </c>
      <c r="BS54" s="57" t="str">
        <f>IF(AND($B54=BS$3,$C54="Strong"),IF(PUF!$M52&gt;0,PUF!$M52,""),"")</f>
        <v/>
      </c>
      <c r="BT54" s="57" t="str">
        <f>IF(AND($B54=BT$3,$C54="Strong"),IF(PUF!$M52&gt;0,PUF!$M52,""),"")</f>
        <v/>
      </c>
      <c r="BV54" s="166">
        <f t="shared" si="5"/>
        <v>2019</v>
      </c>
      <c r="BW54" s="57" t="str">
        <f>IF(AND($B54=BW$3,$C54="Strong"),IF(PUF!$S52&gt;0,PUF!$S52,""),"")</f>
        <v/>
      </c>
      <c r="BX54" s="57" t="str">
        <f>IF(AND($B54=BX$3,$C54="Strong"),IF(PUF!$S52&gt;0,PUF!$S52,""),"")</f>
        <v/>
      </c>
      <c r="BY54" s="57" t="str">
        <f>IF(AND($B54=BY$3,$C54="Strong"),IF(PUF!$S52&gt;0,PUF!$S52,""),"")</f>
        <v/>
      </c>
      <c r="BZ54" s="57" t="str">
        <f>IF(AND($B54=BZ$3,$C54="Strong"),IF(PUF!$S52&gt;0,PUF!$S52,""),"")</f>
        <v/>
      </c>
      <c r="CA54" s="57" t="str">
        <f>IF(AND($B54=CA$3,$C54="Strong"),IF(PUF!$S52&gt;0,PUF!$S52,""),"")</f>
        <v/>
      </c>
      <c r="CB54" s="57" t="str">
        <f>IF(AND($B54=CB$3,$C54="Strong"),IF(PUF!$S52&gt;0,PUF!$S52,""),"")</f>
        <v/>
      </c>
      <c r="CC54" s="57" t="str">
        <f>IF(AND($B54=CC$3,$C54="Strong"),IF(PUF!$S52&gt;0,PUF!$S52,""),"")</f>
        <v/>
      </c>
      <c r="CD54" s="57" t="str">
        <f>IF(AND($B54=CD$3,$C54="Strong"),IF(PUF!$S52&gt;0,PUF!$S52,""),"")</f>
        <v/>
      </c>
      <c r="CF54" s="11">
        <f t="shared" si="6"/>
        <v>2019</v>
      </c>
      <c r="CG54" s="57" t="str">
        <f>IF(AND($B54=CG$3,$C54="Strong"),IF(PUF!$U52&gt;0,PUF!$U52,""),"")</f>
        <v/>
      </c>
      <c r="CH54" s="57" t="str">
        <f>IF(AND($B54=CH$3,$C54="Strong"),IF(PUF!$U52&gt;0,PUF!$U52,""),"")</f>
        <v/>
      </c>
      <c r="CI54" s="57" t="str">
        <f>IF(AND($B54=CI$3,$C54="Strong"),IF(PUF!$U52&gt;0,PUF!$U52,""),"")</f>
        <v/>
      </c>
      <c r="CJ54" s="57" t="str">
        <f>IF(AND($B54=CJ$3,$C54="Strong"),IF(PUF!$U52&gt;0,PUF!$U52,""),"")</f>
        <v/>
      </c>
      <c r="CK54" s="57" t="str">
        <f>IF(AND($B54=CK$3,$C54="Strong"),IF(PUF!$U52&gt;0,PUF!$U52,""),"")</f>
        <v/>
      </c>
      <c r="CL54" s="57" t="str">
        <f>IF(AND($B54=CL$3,$C54="Strong"),IF(PUF!$U52&gt;0,PUF!$U52,""),"")</f>
        <v/>
      </c>
      <c r="CM54" s="57" t="str">
        <f>IF(AND($B54=CM$3,$C54="Strong"),IF(PUF!$U52&gt;0,PUF!$U52,""),"")</f>
        <v/>
      </c>
      <c r="CN54" s="57" t="str">
        <f>IF(AND($B54=CN$3,$C54="Strong"),IF(PUF!$U52&gt;0,PUF!$U52,""),"")</f>
        <v/>
      </c>
    </row>
    <row r="55" spans="1:92" x14ac:dyDescent="0.3">
      <c r="A55" s="6">
        <f>PUF!A53</f>
        <v>52</v>
      </c>
      <c r="B55" s="6" t="str">
        <f>PUF!G53</f>
        <v>monostable</v>
      </c>
      <c r="C55" t="str">
        <f>PUF!AL53</f>
        <v>Weak</v>
      </c>
      <c r="D55" s="166">
        <f>PUF!C53</f>
        <v>2019</v>
      </c>
      <c r="E55" s="167" t="str">
        <f>IF(AND($B55=E$3,$C55="Weak"),IF(PUF!$X53&gt;0,PUF!$X53,""),"")</f>
        <v/>
      </c>
      <c r="F55" s="167" t="str">
        <f>IF(AND($B55=F$3,$C55="Weak"),IF(PUF!$X53&gt;0,PUF!$X53,""),"")</f>
        <v/>
      </c>
      <c r="G55" s="167" t="str">
        <f>IF(AND($B55=G$3,$C55="Weak"),IF(PUF!$X53&gt;0,PUF!$X53,""),"")</f>
        <v/>
      </c>
      <c r="H55" s="167" t="str">
        <f>IF(AND($B55=H$3,$C55="Weak"),IF(PUF!$X53&gt;0,PUF!$X53,""),"")</f>
        <v/>
      </c>
      <c r="I55" s="167">
        <f>IF(AND($B55=I$3,$C55="Weak"),IF(PUF!$X53&gt;0,PUF!$X53,""),"")</f>
        <v>562</v>
      </c>
      <c r="J55" s="167" t="str">
        <f>IF(AND($B55=J$3,$C55="Weak"),IF(PUF!$X53&gt;0,PUF!$X53,""),"")</f>
        <v/>
      </c>
      <c r="K55" s="167" t="str">
        <f>IF(AND($B55=K$3,$C55="Weak"),IF(PUF!$X53&gt;0,PUF!$X53,""),"")</f>
        <v/>
      </c>
      <c r="L55" s="167" t="str">
        <f>IF(AND($B55=L$3,$C55="Weak"),IF(PUF!$X53&gt;0,PUF!$X53,""),"")</f>
        <v/>
      </c>
      <c r="N55" s="11">
        <f t="shared" si="7"/>
        <v>2019</v>
      </c>
      <c r="O55" s="57" t="str">
        <f>IF(AND($B55=O$3,$C55="Weak"),IF(PUF!$M53&gt;0,PUF!$M53,""),"")</f>
        <v/>
      </c>
      <c r="P55" s="57" t="str">
        <f>IF(AND($B55=P$3,$C55="Weak"),IF(PUF!$M53&gt;0,PUF!$M53,""),"")</f>
        <v/>
      </c>
      <c r="Q55" s="57" t="str">
        <f>IF(AND($B55=Q$3,$C55="Weak"),IF(PUF!$M53&gt;0,PUF!$M53,""),"")</f>
        <v/>
      </c>
      <c r="R55" s="57" t="str">
        <f>IF(AND($B55=R$3,$C55="Weak"),IF(PUF!$M53&gt;0,PUF!$M53,""),"")</f>
        <v/>
      </c>
      <c r="S55" s="57">
        <f>IF(AND($B55=S$3,$C55="Weak"),IF(PUF!$M53&gt;0,PUF!$M53,""),"")</f>
        <v>0.3</v>
      </c>
      <c r="T55" s="57" t="str">
        <f>IF(AND($B55=T$3,$C55="Weak"),IF(PUF!$M53&gt;0,PUF!$M53,""),"")</f>
        <v/>
      </c>
      <c r="U55" s="57" t="str">
        <f>IF(AND($B55=U$3,$C55="Weak"),IF(PUF!$M53&gt;0,PUF!$M53,""),"")</f>
        <v/>
      </c>
      <c r="V55" s="57" t="str">
        <f>IF(AND($B55=V$3,$C55="Weak"),IF(PUF!$M53&gt;0,PUF!$M53,""),"")</f>
        <v/>
      </c>
      <c r="W55" s="168"/>
      <c r="X55" s="166">
        <f t="shared" si="4"/>
        <v>2019</v>
      </c>
      <c r="Y55" s="57" t="str">
        <f>IF(AND($B55=Y$3,$C55="Weak"),IF(PUF!$S53&gt;0,PUF!$S53,""),"")</f>
        <v/>
      </c>
      <c r="Z55" s="57" t="str">
        <f>IF(AND($B55=Z$3,$C55="Weak"),IF(PUF!$S53&gt;0,PUF!$S53,""),"")</f>
        <v/>
      </c>
      <c r="AA55" s="57" t="str">
        <f>IF(AND($B55=AA$3,$C55="Weak"),IF(PUF!$S53&gt;0,PUF!$S53,""),"")</f>
        <v/>
      </c>
      <c r="AB55" s="57" t="str">
        <f>IF(AND($B55=AB$3,$C55="Weak"),IF(PUF!$S53&gt;0,PUF!$S53,""),"")</f>
        <v/>
      </c>
      <c r="AC55" s="57">
        <f>IF(AND($B55=AC$3,$C55="Weak"),IF(PUF!$S53&gt;0,PUF!$S53,""),"")</f>
        <v>0.182</v>
      </c>
      <c r="AD55" s="57" t="str">
        <f>IF(AND($B55=AD$3,$C55="Weak"),IF(PUF!$S53&gt;0,PUF!$S53,""),"")</f>
        <v/>
      </c>
      <c r="AE55" s="57" t="str">
        <f>IF(AND($B55=AE$3,$C55="Weak"),IF(PUF!$S53&gt;0,PUF!$S53,""),"")</f>
        <v/>
      </c>
      <c r="AF55" s="57" t="str">
        <f>IF(AND($B55=AF$3,$C55="Weak"),IF(PUF!$S53&gt;0,PUF!$S53,""),"")</f>
        <v/>
      </c>
      <c r="AH55" s="210">
        <f t="shared" si="8"/>
        <v>2019</v>
      </c>
      <c r="AI55" s="211" t="str">
        <f>IF(AND($B55=AI$3,$C55="Weak"),IF(PUF!$U53&gt;0,PUF!$U53,""),"")</f>
        <v/>
      </c>
      <c r="AJ55" s="211" t="str">
        <f>IF(AND($B55=AJ$3,$C55="Weak"),IF(PUF!$U53&gt;0,PUF!$U53,""),"")</f>
        <v/>
      </c>
      <c r="AK55" s="211" t="str">
        <f>IF(AND($B55=AK$3,$C55="Weak"),IF(PUF!$U53&gt;0,PUF!$U53,""),"")</f>
        <v/>
      </c>
      <c r="AL55" s="211" t="str">
        <f>IF(AND($B55=AL$3,$C55="Weak"),IF(PUF!$U53&gt;0,PUF!$U53,""),"")</f>
        <v/>
      </c>
      <c r="AM55" s="211">
        <f>IF(AND($B55=AM$3,$C55="Weak"),IF(PUF!$U53&gt;0,PUF!$U53,""),"")</f>
        <v>6.2000000000000003E-5</v>
      </c>
      <c r="AN55" s="211" t="str">
        <f>IF(AND($B55=AN$3,$C55="Weak"),IF(PUF!$U53&gt;0,PUF!$U53,""),"")</f>
        <v/>
      </c>
      <c r="AO55" s="211" t="str">
        <f>IF(AND($B55=AO$3,$C55="Weak"),IF(PUF!$U53&gt;0,PUF!$U53,""),"")</f>
        <v/>
      </c>
      <c r="AP55" s="211" t="str">
        <f>IF(AND($B55=AP$3,$C55="Weak"),IF(PUF!$U53&gt;0,PUF!$U53,""),"")</f>
        <v/>
      </c>
      <c r="BB55" s="166">
        <f t="shared" si="9"/>
        <v>2019</v>
      </c>
      <c r="BC55" s="57" t="str">
        <f>IF(AND($B55=BC$3,$C55="Strong"),IF(PUF!$X53&gt;0,PUF!$X53,""),"")</f>
        <v/>
      </c>
      <c r="BD55" s="57" t="str">
        <f>IF(AND($B55=BD$3,$C55="Strong"),IF(PUF!$X53&gt;0,PUF!$X53,""),"")</f>
        <v/>
      </c>
      <c r="BE55" s="57" t="str">
        <f>IF(AND($B55=BE$3,$C55="Strong"),IF(PUF!$X53&gt;0,PUF!$X53,""),"")</f>
        <v/>
      </c>
      <c r="BF55" s="57" t="str">
        <f>IF(AND($B55=BF$3,$C55="Strong"),IF(PUF!$X53&gt;0,PUF!$X53,""),"")</f>
        <v/>
      </c>
      <c r="BG55" s="57" t="str">
        <f>IF(AND($B55=BG$3,$C55="Strong"),IF(PUF!$X53&gt;0,PUF!$X53,""),"")</f>
        <v/>
      </c>
      <c r="BH55" s="57" t="str">
        <f>IF(AND($B55=BH$3,$C55="Strong"),IF(PUF!$X53&gt;0,PUF!$X53,""),"")</f>
        <v/>
      </c>
      <c r="BI55" s="57" t="str">
        <f>IF(AND($B55=BI$3,$C55="Strong"),IF(PUF!$X53&gt;0,PUF!$X53,""),"")</f>
        <v/>
      </c>
      <c r="BJ55" s="57" t="str">
        <f>IF(AND($B55=BJ$3,$C55="Strong"),IF(PUF!$X53&gt;0,PUF!$X53,""),"")</f>
        <v/>
      </c>
      <c r="BL55" s="166">
        <f t="shared" si="10"/>
        <v>2019</v>
      </c>
      <c r="BM55" s="57" t="str">
        <f>IF(AND($B55=BM$3,$C55="Strong"),IF(PUF!$M53&gt;0,PUF!$M53,""),"")</f>
        <v/>
      </c>
      <c r="BN55" s="57" t="str">
        <f>IF(AND($B55=BN$3,$C55="Strong"),IF(PUF!$M53&gt;0,PUF!$M53,""),"")</f>
        <v/>
      </c>
      <c r="BO55" s="57" t="str">
        <f>IF(AND($B55=BO$3,$C55="Strong"),IF(PUF!$M53&gt;0,PUF!$M53,""),"")</f>
        <v/>
      </c>
      <c r="BP55" s="57" t="str">
        <f>IF(AND($B55=BP$3,$C55="Strong"),IF(PUF!$M53&gt;0,PUF!$M53,""),"")</f>
        <v/>
      </c>
      <c r="BQ55" s="57" t="str">
        <f>IF(AND($B55=BQ$3,$C55="Strong"),IF(PUF!$M53&gt;0,PUF!$M53,""),"")</f>
        <v/>
      </c>
      <c r="BR55" s="57" t="str">
        <f>IF(AND($B55=BR$3,$C55="Strong"),IF(PUF!$M53&gt;0,PUF!$M53,""),"")</f>
        <v/>
      </c>
      <c r="BS55" s="57" t="str">
        <f>IF(AND($B55=BS$3,$C55="Strong"),IF(PUF!$M53&gt;0,PUF!$M53,""),"")</f>
        <v/>
      </c>
      <c r="BT55" s="57" t="str">
        <f>IF(AND($B55=BT$3,$C55="Strong"),IF(PUF!$M53&gt;0,PUF!$M53,""),"")</f>
        <v/>
      </c>
      <c r="BV55" s="166">
        <f t="shared" si="5"/>
        <v>2019</v>
      </c>
      <c r="BW55" s="57" t="str">
        <f>IF(AND($B55=BW$3,$C55="Strong"),IF(PUF!$S53&gt;0,PUF!$S53,""),"")</f>
        <v/>
      </c>
      <c r="BX55" s="57" t="str">
        <f>IF(AND($B55=BX$3,$C55="Strong"),IF(PUF!$S53&gt;0,PUF!$S53,""),"")</f>
        <v/>
      </c>
      <c r="BY55" s="57" t="str">
        <f>IF(AND($B55=BY$3,$C55="Strong"),IF(PUF!$S53&gt;0,PUF!$S53,""),"")</f>
        <v/>
      </c>
      <c r="BZ55" s="57" t="str">
        <f>IF(AND($B55=BZ$3,$C55="Strong"),IF(PUF!$S53&gt;0,PUF!$S53,""),"")</f>
        <v/>
      </c>
      <c r="CA55" s="57" t="str">
        <f>IF(AND($B55=CA$3,$C55="Strong"),IF(PUF!$S53&gt;0,PUF!$S53,""),"")</f>
        <v/>
      </c>
      <c r="CB55" s="57" t="str">
        <f>IF(AND($B55=CB$3,$C55="Strong"),IF(PUF!$S53&gt;0,PUF!$S53,""),"")</f>
        <v/>
      </c>
      <c r="CC55" s="57" t="str">
        <f>IF(AND($B55=CC$3,$C55="Strong"),IF(PUF!$S53&gt;0,PUF!$S53,""),"")</f>
        <v/>
      </c>
      <c r="CD55" s="57" t="str">
        <f>IF(AND($B55=CD$3,$C55="Strong"),IF(PUF!$S53&gt;0,PUF!$S53,""),"")</f>
        <v/>
      </c>
      <c r="CF55" s="11">
        <f t="shared" si="6"/>
        <v>2019</v>
      </c>
      <c r="CG55" s="57" t="str">
        <f>IF(AND($B55=CG$3,$C55="Strong"),IF(PUF!$U53&gt;0,PUF!$U53,""),"")</f>
        <v/>
      </c>
      <c r="CH55" s="57" t="str">
        <f>IF(AND($B55=CH$3,$C55="Strong"),IF(PUF!$U53&gt;0,PUF!$U53,""),"")</f>
        <v/>
      </c>
      <c r="CI55" s="57" t="str">
        <f>IF(AND($B55=CI$3,$C55="Strong"),IF(PUF!$U53&gt;0,PUF!$U53,""),"")</f>
        <v/>
      </c>
      <c r="CJ55" s="57" t="str">
        <f>IF(AND($B55=CJ$3,$C55="Strong"),IF(PUF!$U53&gt;0,PUF!$U53,""),"")</f>
        <v/>
      </c>
      <c r="CK55" s="57" t="str">
        <f>IF(AND($B55=CK$3,$C55="Strong"),IF(PUF!$U53&gt;0,PUF!$U53,""),"")</f>
        <v/>
      </c>
      <c r="CL55" s="57" t="str">
        <f>IF(AND($B55=CL$3,$C55="Strong"),IF(PUF!$U53&gt;0,PUF!$U53,""),"")</f>
        <v/>
      </c>
      <c r="CM55" s="57" t="str">
        <f>IF(AND($B55=CM$3,$C55="Strong"),IF(PUF!$U53&gt;0,PUF!$U53,""),"")</f>
        <v/>
      </c>
      <c r="CN55" s="57" t="str">
        <f>IF(AND($B55=CN$3,$C55="Strong"),IF(PUF!$U53&gt;0,PUF!$U53,""),"")</f>
        <v/>
      </c>
    </row>
    <row r="56" spans="1:92" x14ac:dyDescent="0.3">
      <c r="A56" s="6">
        <f>PUF!A54</f>
        <v>53</v>
      </c>
      <c r="B56" s="6" t="str">
        <f>PUF!G54</f>
        <v>memory (non-volatile)</v>
      </c>
      <c r="C56" t="str">
        <f>PUF!AL54</f>
        <v>Weak</v>
      </c>
      <c r="D56" s="166">
        <f>PUF!C54</f>
        <v>2019</v>
      </c>
      <c r="E56" s="167" t="str">
        <f>IF(AND($B56=E$3,$C56="Weak"),IF(PUF!$X54&gt;0,PUF!$X54,""),"")</f>
        <v/>
      </c>
      <c r="F56" s="167" t="str">
        <f>IF(AND($B56=F$3,$C56="Weak"),IF(PUF!$X54&gt;0,PUF!$X54,""),"")</f>
        <v/>
      </c>
      <c r="G56" s="167" t="str">
        <f>IF(AND($B56=G$3,$C56="Weak"),IF(PUF!$X54&gt;0,PUF!$X54,""),"")</f>
        <v/>
      </c>
      <c r="H56" s="167" t="str">
        <f>IF(AND($B56=H$3,$C56="Weak"),IF(PUF!$X54&gt;0,PUF!$X54,""),"")</f>
        <v/>
      </c>
      <c r="I56" s="167" t="str">
        <f>IF(AND($B56=I$3,$C56="Weak"),IF(PUF!$X54&gt;0,PUF!$X54,""),"")</f>
        <v/>
      </c>
      <c r="J56" s="167">
        <f>IF(AND($B56=J$3,$C56="Weak"),IF(PUF!$X54&gt;0,PUF!$X54,""),"")</f>
        <v>169.2307692307692</v>
      </c>
      <c r="K56" s="167" t="str">
        <f>IF(AND($B56=K$3,$C56="Weak"),IF(PUF!$X54&gt;0,PUF!$X54,""),"")</f>
        <v/>
      </c>
      <c r="L56" s="167" t="str">
        <f>IF(AND($B56=L$3,$C56="Weak"),IF(PUF!$X54&gt;0,PUF!$X54,""),"")</f>
        <v/>
      </c>
      <c r="N56" s="11">
        <f t="shared" si="7"/>
        <v>2019</v>
      </c>
      <c r="O56" s="57" t="str">
        <f>IF(AND($B56=O$3,$C56="Weak"),IF(PUF!$M54&gt;0,PUF!$M54,""),"")</f>
        <v/>
      </c>
      <c r="P56" s="57" t="str">
        <f>IF(AND($B56=P$3,$C56="Weak"),IF(PUF!$M54&gt;0,PUF!$M54,""),"")</f>
        <v/>
      </c>
      <c r="Q56" s="57" t="str">
        <f>IF(AND($B56=Q$3,$C56="Weak"),IF(PUF!$M54&gt;0,PUF!$M54,""),"")</f>
        <v/>
      </c>
      <c r="R56" s="57" t="str">
        <f>IF(AND($B56=R$3,$C56="Weak"),IF(PUF!$M54&gt;0,PUF!$M54,""),"")</f>
        <v/>
      </c>
      <c r="S56" s="57" t="str">
        <f>IF(AND($B56=S$3,$C56="Weak"),IF(PUF!$M54&gt;0,PUF!$M54,""),"")</f>
        <v/>
      </c>
      <c r="T56" s="57">
        <f>IF(AND($B56=T$3,$C56="Weak"),IF(PUF!$M54&gt;0,PUF!$M54,""),"")</f>
        <v>6.0000000000000006E-4</v>
      </c>
      <c r="U56" s="57" t="str">
        <f>IF(AND($B56=U$3,$C56="Weak"),IF(PUF!$M54&gt;0,PUF!$M54,""),"")</f>
        <v/>
      </c>
      <c r="V56" s="57" t="str">
        <f>IF(AND($B56=V$3,$C56="Weak"),IF(PUF!$M54&gt;0,PUF!$M54,""),"")</f>
        <v/>
      </c>
      <c r="W56" s="168"/>
      <c r="X56" s="166">
        <f t="shared" si="4"/>
        <v>2019</v>
      </c>
      <c r="Y56" s="57" t="str">
        <f>IF(AND($B56=Y$3,$C56="Weak"),IF(PUF!$S54&gt;0,PUF!$S54,""),"")</f>
        <v/>
      </c>
      <c r="Z56" s="57" t="str">
        <f>IF(AND($B56=Z$3,$C56="Weak"),IF(PUF!$S54&gt;0,PUF!$S54,""),"")</f>
        <v/>
      </c>
      <c r="AA56" s="57" t="str">
        <f>IF(AND($B56=AA$3,$C56="Weak"),IF(PUF!$S54&gt;0,PUF!$S54,""),"")</f>
        <v/>
      </c>
      <c r="AB56" s="57" t="str">
        <f>IF(AND($B56=AB$3,$C56="Weak"),IF(PUF!$S54&gt;0,PUF!$S54,""),"")</f>
        <v/>
      </c>
      <c r="AC56" s="57" t="str">
        <f>IF(AND($B56=AC$3,$C56="Weak"),IF(PUF!$S54&gt;0,PUF!$S54,""),"")</f>
        <v/>
      </c>
      <c r="AD56" s="57">
        <f>IF(AND($B56=AD$3,$C56="Weak"),IF(PUF!$S54&gt;0,PUF!$S54,""),"")</f>
        <v>6.0000000000000006E-4</v>
      </c>
      <c r="AE56" s="57" t="str">
        <f>IF(AND($B56=AE$3,$C56="Weak"),IF(PUF!$S54&gt;0,PUF!$S54,""),"")</f>
        <v/>
      </c>
      <c r="AF56" s="57" t="str">
        <f>IF(AND($B56=AF$3,$C56="Weak"),IF(PUF!$S54&gt;0,PUF!$S54,""),"")</f>
        <v/>
      </c>
      <c r="AH56" s="210">
        <f t="shared" si="8"/>
        <v>2019</v>
      </c>
      <c r="AI56" s="211" t="str">
        <f>IF(AND($B56=AI$3,$C56="Weak"),IF(PUF!$U54&gt;0,PUF!$U54,""),"")</f>
        <v/>
      </c>
      <c r="AJ56" s="211" t="str">
        <f>IF(AND($B56=AJ$3,$C56="Weak"),IF(PUF!$U54&gt;0,PUF!$U54,""),"")</f>
        <v/>
      </c>
      <c r="AK56" s="211" t="str">
        <f>IF(AND($B56=AK$3,$C56="Weak"),IF(PUF!$U54&gt;0,PUF!$U54,""),"")</f>
        <v/>
      </c>
      <c r="AL56" s="211" t="str">
        <f>IF(AND($B56=AL$3,$C56="Weak"),IF(PUF!$U54&gt;0,PUF!$U54,""),"")</f>
        <v/>
      </c>
      <c r="AM56" s="211" t="str">
        <f>IF(AND($B56=AM$3,$C56="Weak"),IF(PUF!$U54&gt;0,PUF!$U54,""),"")</f>
        <v/>
      </c>
      <c r="AN56" s="211">
        <f>IF(AND($B56=AN$3,$C56="Weak"),IF(PUF!$U54&gt;0,PUF!$U54,""),"")</f>
        <v>3.028</v>
      </c>
      <c r="AO56" s="211" t="str">
        <f>IF(AND($B56=AO$3,$C56="Weak"),IF(PUF!$U54&gt;0,PUF!$U54,""),"")</f>
        <v/>
      </c>
      <c r="AP56" s="211" t="str">
        <f>IF(AND($B56=AP$3,$C56="Weak"),IF(PUF!$U54&gt;0,PUF!$U54,""),"")</f>
        <v/>
      </c>
      <c r="BB56" s="166">
        <f t="shared" si="9"/>
        <v>2019</v>
      </c>
      <c r="BC56" s="57" t="str">
        <f>IF(AND($B56=BC$3,$C56="Strong"),IF(PUF!$X54&gt;0,PUF!$X54,""),"")</f>
        <v/>
      </c>
      <c r="BD56" s="57" t="str">
        <f>IF(AND($B56=BD$3,$C56="Strong"),IF(PUF!$X54&gt;0,PUF!$X54,""),"")</f>
        <v/>
      </c>
      <c r="BE56" s="57" t="str">
        <f>IF(AND($B56=BE$3,$C56="Strong"),IF(PUF!$X54&gt;0,PUF!$X54,""),"")</f>
        <v/>
      </c>
      <c r="BF56" s="57" t="str">
        <f>IF(AND($B56=BF$3,$C56="Strong"),IF(PUF!$X54&gt;0,PUF!$X54,""),"")</f>
        <v/>
      </c>
      <c r="BG56" s="57" t="str">
        <f>IF(AND($B56=BG$3,$C56="Strong"),IF(PUF!$X54&gt;0,PUF!$X54,""),"")</f>
        <v/>
      </c>
      <c r="BH56" s="57" t="str">
        <f>IF(AND($B56=BH$3,$C56="Strong"),IF(PUF!$X54&gt;0,PUF!$X54,""),"")</f>
        <v/>
      </c>
      <c r="BI56" s="57" t="str">
        <f>IF(AND($B56=BI$3,$C56="Strong"),IF(PUF!$X54&gt;0,PUF!$X54,""),"")</f>
        <v/>
      </c>
      <c r="BJ56" s="57" t="str">
        <f>IF(AND($B56=BJ$3,$C56="Strong"),IF(PUF!$X54&gt;0,PUF!$X54,""),"")</f>
        <v/>
      </c>
      <c r="BL56" s="166">
        <f t="shared" si="10"/>
        <v>2019</v>
      </c>
      <c r="BM56" s="57" t="str">
        <f>IF(AND($B56=BM$3,$C56="Strong"),IF(PUF!$M54&gt;0,PUF!$M54,""),"")</f>
        <v/>
      </c>
      <c r="BN56" s="57" t="str">
        <f>IF(AND($B56=BN$3,$C56="Strong"),IF(PUF!$M54&gt;0,PUF!$M54,""),"")</f>
        <v/>
      </c>
      <c r="BO56" s="57" t="str">
        <f>IF(AND($B56=BO$3,$C56="Strong"),IF(PUF!$M54&gt;0,PUF!$M54,""),"")</f>
        <v/>
      </c>
      <c r="BP56" s="57" t="str">
        <f>IF(AND($B56=BP$3,$C56="Strong"),IF(PUF!$M54&gt;0,PUF!$M54,""),"")</f>
        <v/>
      </c>
      <c r="BQ56" s="57" t="str">
        <f>IF(AND($B56=BQ$3,$C56="Strong"),IF(PUF!$M54&gt;0,PUF!$M54,""),"")</f>
        <v/>
      </c>
      <c r="BR56" s="57" t="str">
        <f>IF(AND($B56=BR$3,$C56="Strong"),IF(PUF!$M54&gt;0,PUF!$M54,""),"")</f>
        <v/>
      </c>
      <c r="BS56" s="57" t="str">
        <f>IF(AND($B56=BS$3,$C56="Strong"),IF(PUF!$M54&gt;0,PUF!$M54,""),"")</f>
        <v/>
      </c>
      <c r="BT56" s="57" t="str">
        <f>IF(AND($B56=BT$3,$C56="Strong"),IF(PUF!$M54&gt;0,PUF!$M54,""),"")</f>
        <v/>
      </c>
      <c r="BV56" s="166">
        <f t="shared" si="5"/>
        <v>2019</v>
      </c>
      <c r="BW56" s="57" t="str">
        <f>IF(AND($B56=BW$3,$C56="Strong"),IF(PUF!$S54&gt;0,PUF!$S54,""),"")</f>
        <v/>
      </c>
      <c r="BX56" s="57" t="str">
        <f>IF(AND($B56=BX$3,$C56="Strong"),IF(PUF!$S54&gt;0,PUF!$S54,""),"")</f>
        <v/>
      </c>
      <c r="BY56" s="57" t="str">
        <f>IF(AND($B56=BY$3,$C56="Strong"),IF(PUF!$S54&gt;0,PUF!$S54,""),"")</f>
        <v/>
      </c>
      <c r="BZ56" s="57" t="str">
        <f>IF(AND($B56=BZ$3,$C56="Strong"),IF(PUF!$S54&gt;0,PUF!$S54,""),"")</f>
        <v/>
      </c>
      <c r="CA56" s="57" t="str">
        <f>IF(AND($B56=CA$3,$C56="Strong"),IF(PUF!$S54&gt;0,PUF!$S54,""),"")</f>
        <v/>
      </c>
      <c r="CB56" s="57" t="str">
        <f>IF(AND($B56=CB$3,$C56="Strong"),IF(PUF!$S54&gt;0,PUF!$S54,""),"")</f>
        <v/>
      </c>
      <c r="CC56" s="57" t="str">
        <f>IF(AND($B56=CC$3,$C56="Strong"),IF(PUF!$S54&gt;0,PUF!$S54,""),"")</f>
        <v/>
      </c>
      <c r="CD56" s="57" t="str">
        <f>IF(AND($B56=CD$3,$C56="Strong"),IF(PUF!$S54&gt;0,PUF!$S54,""),"")</f>
        <v/>
      </c>
      <c r="CF56" s="11">
        <f t="shared" si="6"/>
        <v>2019</v>
      </c>
      <c r="CG56" s="57" t="str">
        <f>IF(AND($B56=CG$3,$C56="Strong"),IF(PUF!$U54&gt;0,PUF!$U54,""),"")</f>
        <v/>
      </c>
      <c r="CH56" s="57" t="str">
        <f>IF(AND($B56=CH$3,$C56="Strong"),IF(PUF!$U54&gt;0,PUF!$U54,""),"")</f>
        <v/>
      </c>
      <c r="CI56" s="57" t="str">
        <f>IF(AND($B56=CI$3,$C56="Strong"),IF(PUF!$U54&gt;0,PUF!$U54,""),"")</f>
        <v/>
      </c>
      <c r="CJ56" s="57" t="str">
        <f>IF(AND($B56=CJ$3,$C56="Strong"),IF(PUF!$U54&gt;0,PUF!$U54,""),"")</f>
        <v/>
      </c>
      <c r="CK56" s="57" t="str">
        <f>IF(AND($B56=CK$3,$C56="Strong"),IF(PUF!$U54&gt;0,PUF!$U54,""),"")</f>
        <v/>
      </c>
      <c r="CL56" s="57" t="str">
        <f>IF(AND($B56=CL$3,$C56="Strong"),IF(PUF!$U54&gt;0,PUF!$U54,""),"")</f>
        <v/>
      </c>
      <c r="CM56" s="57" t="str">
        <f>IF(AND($B56=CM$3,$C56="Strong"),IF(PUF!$U54&gt;0,PUF!$U54,""),"")</f>
        <v/>
      </c>
      <c r="CN56" s="57" t="str">
        <f>IF(AND($B56=CN$3,$C56="Strong"),IF(PUF!$U54&gt;0,PUF!$U54,""),"")</f>
        <v/>
      </c>
    </row>
    <row r="57" spans="1:92" x14ac:dyDescent="0.3">
      <c r="A57" s="6">
        <f>PUF!A55</f>
        <v>54</v>
      </c>
      <c r="B57" s="6" t="str">
        <f>PUF!G55</f>
        <v>metastability</v>
      </c>
      <c r="C57" t="str">
        <f>PUF!AL55</f>
        <v>Weak</v>
      </c>
      <c r="D57" s="166">
        <f>PUF!C55</f>
        <v>2019</v>
      </c>
      <c r="E57" s="167" t="str">
        <f>IF(AND($B57=E$3,$C57="Weak"),IF(PUF!$X55&gt;0,PUF!$X55,""),"")</f>
        <v/>
      </c>
      <c r="F57" s="167" t="str">
        <f>IF(AND($B57=F$3,$C57="Weak"),IF(PUF!$X55&gt;0,PUF!$X55,""),"")</f>
        <v/>
      </c>
      <c r="G57" s="167" t="str">
        <f>IF(AND($B57=G$3,$C57="Weak"),IF(PUF!$X55&gt;0,PUF!$X55,""),"")</f>
        <v/>
      </c>
      <c r="H57" s="167">
        <f>IF(AND($B57=H$3,$C57="Weak"),IF(PUF!$X55&gt;0,PUF!$X55,""),"")</f>
        <v>21065.848214285717</v>
      </c>
      <c r="I57" s="167" t="str">
        <f>IF(AND($B57=I$3,$C57="Weak"),IF(PUF!$X55&gt;0,PUF!$X55,""),"")</f>
        <v/>
      </c>
      <c r="J57" s="167" t="str">
        <f>IF(AND($B57=J$3,$C57="Weak"),IF(PUF!$X55&gt;0,PUF!$X55,""),"")</f>
        <v/>
      </c>
      <c r="K57" s="167" t="str">
        <f>IF(AND($B57=K$3,$C57="Weak"),IF(PUF!$X55&gt;0,PUF!$X55,""),"")</f>
        <v/>
      </c>
      <c r="L57" s="167" t="str">
        <f>IF(AND($B57=L$3,$C57="Weak"),IF(PUF!$X55&gt;0,PUF!$X55,""),"")</f>
        <v/>
      </c>
      <c r="N57" s="11">
        <f t="shared" si="7"/>
        <v>2019</v>
      </c>
      <c r="O57" s="57" t="str">
        <f>IF(AND($B57=O$3,$C57="Weak"),IF(PUF!$M55&gt;0,PUF!$M55,""),"")</f>
        <v/>
      </c>
      <c r="P57" s="57" t="str">
        <f>IF(AND($B57=P$3,$C57="Weak"),IF(PUF!$M55&gt;0,PUF!$M55,""),"")</f>
        <v/>
      </c>
      <c r="Q57" s="57" t="str">
        <f>IF(AND($B57=Q$3,$C57="Weak"),IF(PUF!$M55&gt;0,PUF!$M55,""),"")</f>
        <v/>
      </c>
      <c r="R57" s="57" t="str">
        <f>IF(AND($B57=R$3,$C57="Weak"),IF(PUF!$M55&gt;0,PUF!$M55,""),"")</f>
        <v/>
      </c>
      <c r="S57" s="57" t="str">
        <f>IF(AND($B57=S$3,$C57="Weak"),IF(PUF!$M55&gt;0,PUF!$M55,""),"")</f>
        <v/>
      </c>
      <c r="T57" s="57" t="str">
        <f>IF(AND($B57=T$3,$C57="Weak"),IF(PUF!$M55&gt;0,PUF!$M55,""),"")</f>
        <v/>
      </c>
      <c r="U57" s="57" t="str">
        <f>IF(AND($B57=U$3,$C57="Weak"),IF(PUF!$M55&gt;0,PUF!$M55,""),"")</f>
        <v/>
      </c>
      <c r="V57" s="57" t="str">
        <f>IF(AND($B57=V$3,$C57="Weak"),IF(PUF!$M55&gt;0,PUF!$M55,""),"")</f>
        <v/>
      </c>
      <c r="W57" s="168"/>
      <c r="X57" s="166">
        <f t="shared" si="4"/>
        <v>2019</v>
      </c>
      <c r="Y57" s="57" t="str">
        <f>IF(AND($B57=Y$3,$C57="Weak"),IF(PUF!$S55&gt;0,PUF!$S55,""),"")</f>
        <v/>
      </c>
      <c r="Z57" s="57" t="str">
        <f>IF(AND($B57=Z$3,$C57="Weak"),IF(PUF!$S55&gt;0,PUF!$S55,""),"")</f>
        <v/>
      </c>
      <c r="AA57" s="57" t="str">
        <f>IF(AND($B57=AA$3,$C57="Weak"),IF(PUF!$S55&gt;0,PUF!$S55,""),"")</f>
        <v/>
      </c>
      <c r="AB57" s="57">
        <f>IF(AND($B57=AB$3,$C57="Weak"),IF(PUF!$S55&gt;0,PUF!$S55,""),"")</f>
        <v>2.8</v>
      </c>
      <c r="AC57" s="57" t="str">
        <f>IF(AND($B57=AC$3,$C57="Weak"),IF(PUF!$S55&gt;0,PUF!$S55,""),"")</f>
        <v/>
      </c>
      <c r="AD57" s="57" t="str">
        <f>IF(AND($B57=AD$3,$C57="Weak"),IF(PUF!$S55&gt;0,PUF!$S55,""),"")</f>
        <v/>
      </c>
      <c r="AE57" s="57" t="str">
        <f>IF(AND($B57=AE$3,$C57="Weak"),IF(PUF!$S55&gt;0,PUF!$S55,""),"")</f>
        <v/>
      </c>
      <c r="AF57" s="57" t="str">
        <f>IF(AND($B57=AF$3,$C57="Weak"),IF(PUF!$S55&gt;0,PUF!$S55,""),"")</f>
        <v/>
      </c>
      <c r="AH57" s="210">
        <f t="shared" si="8"/>
        <v>2019</v>
      </c>
      <c r="AI57" s="211" t="str">
        <f>IF(AND($B57=AI$3,$C57="Weak"),IF(PUF!$U55&gt;0,PUF!$U55,""),"")</f>
        <v/>
      </c>
      <c r="AJ57" s="211" t="str">
        <f>IF(AND($B57=AJ$3,$C57="Weak"),IF(PUF!$U55&gt;0,PUF!$U55,""),"")</f>
        <v/>
      </c>
      <c r="AK57" s="211" t="str">
        <f>IF(AND($B57=AK$3,$C57="Weak"),IF(PUF!$U55&gt;0,PUF!$U55,""),"")</f>
        <v/>
      </c>
      <c r="AL57" s="211">
        <f>IF(AND($B57=AL$3,$C57="Weak"),IF(PUF!$U55&gt;0,PUF!$U55,""),"")</f>
        <v>0.46</v>
      </c>
      <c r="AM57" s="211" t="str">
        <f>IF(AND($B57=AM$3,$C57="Weak"),IF(PUF!$U55&gt;0,PUF!$U55,""),"")</f>
        <v/>
      </c>
      <c r="AN57" s="211" t="str">
        <f>IF(AND($B57=AN$3,$C57="Weak"),IF(PUF!$U55&gt;0,PUF!$U55,""),"")</f>
        <v/>
      </c>
      <c r="AO57" s="211" t="str">
        <f>IF(AND($B57=AO$3,$C57="Weak"),IF(PUF!$U55&gt;0,PUF!$U55,""),"")</f>
        <v/>
      </c>
      <c r="AP57" s="211" t="str">
        <f>IF(AND($B57=AP$3,$C57="Weak"),IF(PUF!$U55&gt;0,PUF!$U55,""),"")</f>
        <v/>
      </c>
      <c r="BB57" s="166">
        <f t="shared" si="9"/>
        <v>2019</v>
      </c>
      <c r="BC57" s="57" t="str">
        <f>IF(AND($B57=BC$3,$C57="Strong"),IF(PUF!$X55&gt;0,PUF!$X55,""),"")</f>
        <v/>
      </c>
      <c r="BD57" s="57" t="str">
        <f>IF(AND($B57=BD$3,$C57="Strong"),IF(PUF!$X55&gt;0,PUF!$X55,""),"")</f>
        <v/>
      </c>
      <c r="BE57" s="57" t="str">
        <f>IF(AND($B57=BE$3,$C57="Strong"),IF(PUF!$X55&gt;0,PUF!$X55,""),"")</f>
        <v/>
      </c>
      <c r="BF57" s="57" t="str">
        <f>IF(AND($B57=BF$3,$C57="Strong"),IF(PUF!$X55&gt;0,PUF!$X55,""),"")</f>
        <v/>
      </c>
      <c r="BG57" s="57" t="str">
        <f>IF(AND($B57=BG$3,$C57="Strong"),IF(PUF!$X55&gt;0,PUF!$X55,""),"")</f>
        <v/>
      </c>
      <c r="BH57" s="57" t="str">
        <f>IF(AND($B57=BH$3,$C57="Strong"),IF(PUF!$X55&gt;0,PUF!$X55,""),"")</f>
        <v/>
      </c>
      <c r="BI57" s="57" t="str">
        <f>IF(AND($B57=BI$3,$C57="Strong"),IF(PUF!$X55&gt;0,PUF!$X55,""),"")</f>
        <v/>
      </c>
      <c r="BJ57" s="57" t="str">
        <f>IF(AND($B57=BJ$3,$C57="Strong"),IF(PUF!$X55&gt;0,PUF!$X55,""),"")</f>
        <v/>
      </c>
      <c r="BL57" s="166">
        <f t="shared" si="10"/>
        <v>2019</v>
      </c>
      <c r="BM57" s="57" t="str">
        <f>IF(AND($B57=BM$3,$C57="Strong"),IF(PUF!$M55&gt;0,PUF!$M55,""),"")</f>
        <v/>
      </c>
      <c r="BN57" s="57" t="str">
        <f>IF(AND($B57=BN$3,$C57="Strong"),IF(PUF!$M55&gt;0,PUF!$M55,""),"")</f>
        <v/>
      </c>
      <c r="BO57" s="57" t="str">
        <f>IF(AND($B57=BO$3,$C57="Strong"),IF(PUF!$M55&gt;0,PUF!$M55,""),"")</f>
        <v/>
      </c>
      <c r="BP57" s="57" t="str">
        <f>IF(AND($B57=BP$3,$C57="Strong"),IF(PUF!$M55&gt;0,PUF!$M55,""),"")</f>
        <v/>
      </c>
      <c r="BQ57" s="57" t="str">
        <f>IF(AND($B57=BQ$3,$C57="Strong"),IF(PUF!$M55&gt;0,PUF!$M55,""),"")</f>
        <v/>
      </c>
      <c r="BR57" s="57" t="str">
        <f>IF(AND($B57=BR$3,$C57="Strong"),IF(PUF!$M55&gt;0,PUF!$M55,""),"")</f>
        <v/>
      </c>
      <c r="BS57" s="57" t="str">
        <f>IF(AND($B57=BS$3,$C57="Strong"),IF(PUF!$M55&gt;0,PUF!$M55,""),"")</f>
        <v/>
      </c>
      <c r="BT57" s="57" t="str">
        <f>IF(AND($B57=BT$3,$C57="Strong"),IF(PUF!$M55&gt;0,PUF!$M55,""),"")</f>
        <v/>
      </c>
      <c r="BV57" s="166">
        <f t="shared" si="5"/>
        <v>2019</v>
      </c>
      <c r="BW57" s="57" t="str">
        <f>IF(AND($B57=BW$3,$C57="Strong"),IF(PUF!$S55&gt;0,PUF!$S55,""),"")</f>
        <v/>
      </c>
      <c r="BX57" s="57" t="str">
        <f>IF(AND($B57=BX$3,$C57="Strong"),IF(PUF!$S55&gt;0,PUF!$S55,""),"")</f>
        <v/>
      </c>
      <c r="BY57" s="57" t="str">
        <f>IF(AND($B57=BY$3,$C57="Strong"),IF(PUF!$S55&gt;0,PUF!$S55,""),"")</f>
        <v/>
      </c>
      <c r="BZ57" s="57" t="str">
        <f>IF(AND($B57=BZ$3,$C57="Strong"),IF(PUF!$S55&gt;0,PUF!$S55,""),"")</f>
        <v/>
      </c>
      <c r="CA57" s="57" t="str">
        <f>IF(AND($B57=CA$3,$C57="Strong"),IF(PUF!$S55&gt;0,PUF!$S55,""),"")</f>
        <v/>
      </c>
      <c r="CB57" s="57" t="str">
        <f>IF(AND($B57=CB$3,$C57="Strong"),IF(PUF!$S55&gt;0,PUF!$S55,""),"")</f>
        <v/>
      </c>
      <c r="CC57" s="57" t="str">
        <f>IF(AND($B57=CC$3,$C57="Strong"),IF(PUF!$S55&gt;0,PUF!$S55,""),"")</f>
        <v/>
      </c>
      <c r="CD57" s="57" t="str">
        <f>IF(AND($B57=CD$3,$C57="Strong"),IF(PUF!$S55&gt;0,PUF!$S55,""),"")</f>
        <v/>
      </c>
      <c r="CF57" s="11">
        <f t="shared" si="6"/>
        <v>2019</v>
      </c>
      <c r="CG57" s="57" t="str">
        <f>IF(AND($B57=CG$3,$C57="Strong"),IF(PUF!$U55&gt;0,PUF!$U55,""),"")</f>
        <v/>
      </c>
      <c r="CH57" s="57" t="str">
        <f>IF(AND($B57=CH$3,$C57="Strong"),IF(PUF!$U55&gt;0,PUF!$U55,""),"")</f>
        <v/>
      </c>
      <c r="CI57" s="57" t="str">
        <f>IF(AND($B57=CI$3,$C57="Strong"),IF(PUF!$U55&gt;0,PUF!$U55,""),"")</f>
        <v/>
      </c>
      <c r="CJ57" s="57" t="str">
        <f>IF(AND($B57=CJ$3,$C57="Strong"),IF(PUF!$U55&gt;0,PUF!$U55,""),"")</f>
        <v/>
      </c>
      <c r="CK57" s="57" t="str">
        <f>IF(AND($B57=CK$3,$C57="Strong"),IF(PUF!$U55&gt;0,PUF!$U55,""),"")</f>
        <v/>
      </c>
      <c r="CL57" s="57" t="str">
        <f>IF(AND($B57=CL$3,$C57="Strong"),IF(PUF!$U55&gt;0,PUF!$U55,""),"")</f>
        <v/>
      </c>
      <c r="CM57" s="57" t="str">
        <f>IF(AND($B57=CM$3,$C57="Strong"),IF(PUF!$U55&gt;0,PUF!$U55,""),"")</f>
        <v/>
      </c>
      <c r="CN57" s="57" t="str">
        <f>IF(AND($B57=CN$3,$C57="Strong"),IF(PUF!$U55&gt;0,PUF!$U55,""),"")</f>
        <v/>
      </c>
    </row>
    <row r="58" spans="1:92" x14ac:dyDescent="0.3">
      <c r="A58" s="6">
        <f>PUF!A56</f>
        <v>55</v>
      </c>
      <c r="B58" s="6" t="str">
        <f>PUF!G56</f>
        <v>monostable</v>
      </c>
      <c r="C58" t="str">
        <f>PUF!AL56</f>
        <v>Weak</v>
      </c>
      <c r="D58" s="166">
        <f>PUF!C56</f>
        <v>2020</v>
      </c>
      <c r="E58" s="167" t="str">
        <f>IF(AND($B58=E$3,$C58="Weak"),IF(PUF!$X56&gt;0,PUF!$X56,""),"")</f>
        <v/>
      </c>
      <c r="F58" s="167" t="str">
        <f>IF(AND($B58=F$3,$C58="Weak"),IF(PUF!$X56&gt;0,PUF!$X56,""),"")</f>
        <v/>
      </c>
      <c r="G58" s="167" t="str">
        <f>IF(AND($B58=G$3,$C58="Weak"),IF(PUF!$X56&gt;0,PUF!$X56,""),"")</f>
        <v/>
      </c>
      <c r="H58" s="167" t="str">
        <f>IF(AND($B58=H$3,$C58="Weak"),IF(PUF!$X56&gt;0,PUF!$X56,""),"")</f>
        <v/>
      </c>
      <c r="I58" s="167">
        <f>IF(AND($B58=I$3,$C58="Weak"),IF(PUF!$X56&gt;0,PUF!$X56,""),"")</f>
        <v>2665</v>
      </c>
      <c r="J58" s="167" t="str">
        <f>IF(AND($B58=J$3,$C58="Weak"),IF(PUF!$X56&gt;0,PUF!$X56,""),"")</f>
        <v/>
      </c>
      <c r="K58" s="167" t="str">
        <f>IF(AND($B58=K$3,$C58="Weak"),IF(PUF!$X56&gt;0,PUF!$X56,""),"")</f>
        <v/>
      </c>
      <c r="L58" s="167" t="str">
        <f>IF(AND($B58=L$3,$C58="Weak"),IF(PUF!$X56&gt;0,PUF!$X56,""),"")</f>
        <v/>
      </c>
      <c r="N58" s="11">
        <f t="shared" si="7"/>
        <v>2020</v>
      </c>
      <c r="O58" s="57" t="str">
        <f>IF(AND($B58=O$3,$C58="Weak"),IF(PUF!$M56&gt;0,PUF!$M56,""),"")</f>
        <v/>
      </c>
      <c r="P58" s="57" t="str">
        <f>IF(AND($B58=P$3,$C58="Weak"),IF(PUF!$M56&gt;0,PUF!$M56,""),"")</f>
        <v/>
      </c>
      <c r="Q58" s="57" t="str">
        <f>IF(AND($B58=Q$3,$C58="Weak"),IF(PUF!$M56&gt;0,PUF!$M56,""),"")</f>
        <v/>
      </c>
      <c r="R58" s="57" t="str">
        <f>IF(AND($B58=R$3,$C58="Weak"),IF(PUF!$M56&gt;0,PUF!$M56,""),"")</f>
        <v/>
      </c>
      <c r="S58" s="57">
        <f>IF(AND($B58=S$3,$C58="Weak"),IF(PUF!$M56&gt;0,PUF!$M56,""),"")</f>
        <v>10.5</v>
      </c>
      <c r="T58" s="57" t="str">
        <f>IF(AND($B58=T$3,$C58="Weak"),IF(PUF!$M56&gt;0,PUF!$M56,""),"")</f>
        <v/>
      </c>
      <c r="U58" s="57" t="str">
        <f>IF(AND($B58=U$3,$C58="Weak"),IF(PUF!$M56&gt;0,PUF!$M56,""),"")</f>
        <v/>
      </c>
      <c r="V58" s="57" t="str">
        <f>IF(AND($B58=V$3,$C58="Weak"),IF(PUF!$M56&gt;0,PUF!$M56,""),"")</f>
        <v/>
      </c>
      <c r="W58" s="168"/>
      <c r="X58" s="166">
        <f t="shared" si="4"/>
        <v>2020</v>
      </c>
      <c r="Y58" s="57" t="str">
        <f>IF(AND($B58=Y$3,$C58="Weak"),IF(PUF!$S56&gt;0,PUF!$S56,""),"")</f>
        <v/>
      </c>
      <c r="Z58" s="57" t="str">
        <f>IF(AND($B58=Z$3,$C58="Weak"),IF(PUF!$S56&gt;0,PUF!$S56,""),"")</f>
        <v/>
      </c>
      <c r="AA58" s="57" t="str">
        <f>IF(AND($B58=AA$3,$C58="Weak"),IF(PUF!$S56&gt;0,PUF!$S56,""),"")</f>
        <v/>
      </c>
      <c r="AB58" s="57" t="str">
        <f>IF(AND($B58=AB$3,$C58="Weak"),IF(PUF!$S56&gt;0,PUF!$S56,""),"")</f>
        <v/>
      </c>
      <c r="AC58" s="57">
        <f>IF(AND($B58=AC$3,$C58="Weak"),IF(PUF!$S56&gt;0,PUF!$S56,""),"")</f>
        <v>8.8999999999999996E-2</v>
      </c>
      <c r="AD58" s="57" t="str">
        <f>IF(AND($B58=AD$3,$C58="Weak"),IF(PUF!$S56&gt;0,PUF!$S56,""),"")</f>
        <v/>
      </c>
      <c r="AE58" s="57" t="str">
        <f>IF(AND($B58=AE$3,$C58="Weak"),IF(PUF!$S56&gt;0,PUF!$S56,""),"")</f>
        <v/>
      </c>
      <c r="AF58" s="57" t="str">
        <f>IF(AND($B58=AF$3,$C58="Weak"),IF(PUF!$S56&gt;0,PUF!$S56,""),"")</f>
        <v/>
      </c>
      <c r="AH58" s="210">
        <f t="shared" si="8"/>
        <v>2020</v>
      </c>
      <c r="AI58" s="211" t="str">
        <f>IF(AND($B58=AI$3,$C58="Weak"),IF(PUF!$U56&gt;0,PUF!$U56,""),"")</f>
        <v/>
      </c>
      <c r="AJ58" s="211" t="str">
        <f>IF(AND($B58=AJ$3,$C58="Weak"),IF(PUF!$U56&gt;0,PUF!$U56,""),"")</f>
        <v/>
      </c>
      <c r="AK58" s="211" t="str">
        <f>IF(AND($B58=AK$3,$C58="Weak"),IF(PUF!$U56&gt;0,PUF!$U56,""),"")</f>
        <v/>
      </c>
      <c r="AL58" s="211" t="str">
        <f>IF(AND($B58=AL$3,$C58="Weak"),IF(PUF!$U56&gt;0,PUF!$U56,""),"")</f>
        <v/>
      </c>
      <c r="AM58" s="211" t="str">
        <f>IF(AND($B58=AM$3,$C58="Weak"),IF(PUF!$U56&gt;0,PUF!$U56,""),"")</f>
        <v>N/A</v>
      </c>
      <c r="AN58" s="211" t="str">
        <f>IF(AND($B58=AN$3,$C58="Weak"),IF(PUF!$U56&gt;0,PUF!$U56,""),"")</f>
        <v/>
      </c>
      <c r="AO58" s="211" t="str">
        <f>IF(AND($B58=AO$3,$C58="Weak"),IF(PUF!$U56&gt;0,PUF!$U56,""),"")</f>
        <v/>
      </c>
      <c r="AP58" s="211" t="str">
        <f>IF(AND($B58=AP$3,$C58="Weak"),IF(PUF!$U56&gt;0,PUF!$U56,""),"")</f>
        <v/>
      </c>
      <c r="BB58" s="166">
        <f t="shared" si="9"/>
        <v>2020</v>
      </c>
      <c r="BC58" s="57" t="str">
        <f>IF(AND($B58=BC$3,$C58="Strong"),IF(PUF!$X56&gt;0,PUF!$X56,""),"")</f>
        <v/>
      </c>
      <c r="BD58" s="57" t="str">
        <f>IF(AND($B58=BD$3,$C58="Strong"),IF(PUF!$X56&gt;0,PUF!$X56,""),"")</f>
        <v/>
      </c>
      <c r="BE58" s="57" t="str">
        <f>IF(AND($B58=BE$3,$C58="Strong"),IF(PUF!$X56&gt;0,PUF!$X56,""),"")</f>
        <v/>
      </c>
      <c r="BF58" s="57" t="str">
        <f>IF(AND($B58=BF$3,$C58="Strong"),IF(PUF!$X56&gt;0,PUF!$X56,""),"")</f>
        <v/>
      </c>
      <c r="BG58" s="57" t="str">
        <f>IF(AND($B58=BG$3,$C58="Strong"),IF(PUF!$X56&gt;0,PUF!$X56,""),"")</f>
        <v/>
      </c>
      <c r="BH58" s="57" t="str">
        <f>IF(AND($B58=BH$3,$C58="Strong"),IF(PUF!$X56&gt;0,PUF!$X56,""),"")</f>
        <v/>
      </c>
      <c r="BI58" s="57" t="str">
        <f>IF(AND($B58=BI$3,$C58="Strong"),IF(PUF!$X56&gt;0,PUF!$X56,""),"")</f>
        <v/>
      </c>
      <c r="BJ58" s="57" t="str">
        <f>IF(AND($B58=BJ$3,$C58="Strong"),IF(PUF!$X56&gt;0,PUF!$X56,""),"")</f>
        <v/>
      </c>
      <c r="BL58" s="166">
        <f t="shared" si="10"/>
        <v>2020</v>
      </c>
      <c r="BM58" s="57" t="str">
        <f>IF(AND($B58=BM$3,$C58="Strong"),IF(PUF!$M56&gt;0,PUF!$M56,""),"")</f>
        <v/>
      </c>
      <c r="BN58" s="57" t="str">
        <f>IF(AND($B58=BN$3,$C58="Strong"),IF(PUF!$M56&gt;0,PUF!$M56,""),"")</f>
        <v/>
      </c>
      <c r="BO58" s="57" t="str">
        <f>IF(AND($B58=BO$3,$C58="Strong"),IF(PUF!$M56&gt;0,PUF!$M56,""),"")</f>
        <v/>
      </c>
      <c r="BP58" s="57" t="str">
        <f>IF(AND($B58=BP$3,$C58="Strong"),IF(PUF!$M56&gt;0,PUF!$M56,""),"")</f>
        <v/>
      </c>
      <c r="BQ58" s="57" t="str">
        <f>IF(AND($B58=BQ$3,$C58="Strong"),IF(PUF!$M56&gt;0,PUF!$M56,""),"")</f>
        <v/>
      </c>
      <c r="BR58" s="57" t="str">
        <f>IF(AND($B58=BR$3,$C58="Strong"),IF(PUF!$M56&gt;0,PUF!$M56,""),"")</f>
        <v/>
      </c>
      <c r="BS58" s="57" t="str">
        <f>IF(AND($B58=BS$3,$C58="Strong"),IF(PUF!$M56&gt;0,PUF!$M56,""),"")</f>
        <v/>
      </c>
      <c r="BT58" s="57" t="str">
        <f>IF(AND($B58=BT$3,$C58="Strong"),IF(PUF!$M56&gt;0,PUF!$M56,""),"")</f>
        <v/>
      </c>
      <c r="BV58" s="166">
        <f t="shared" si="5"/>
        <v>2020</v>
      </c>
      <c r="BW58" s="57" t="str">
        <f>IF(AND($B58=BW$3,$C58="Strong"),IF(PUF!$S56&gt;0,PUF!$S56,""),"")</f>
        <v/>
      </c>
      <c r="BX58" s="57" t="str">
        <f>IF(AND($B58=BX$3,$C58="Strong"),IF(PUF!$S56&gt;0,PUF!$S56,""),"")</f>
        <v/>
      </c>
      <c r="BY58" s="57" t="str">
        <f>IF(AND($B58=BY$3,$C58="Strong"),IF(PUF!$S56&gt;0,PUF!$S56,""),"")</f>
        <v/>
      </c>
      <c r="BZ58" s="57" t="str">
        <f>IF(AND($B58=BZ$3,$C58="Strong"),IF(PUF!$S56&gt;0,PUF!$S56,""),"")</f>
        <v/>
      </c>
      <c r="CA58" s="57" t="str">
        <f>IF(AND($B58=CA$3,$C58="Strong"),IF(PUF!$S56&gt;0,PUF!$S56,""),"")</f>
        <v/>
      </c>
      <c r="CB58" s="57" t="str">
        <f>IF(AND($B58=CB$3,$C58="Strong"),IF(PUF!$S56&gt;0,PUF!$S56,""),"")</f>
        <v/>
      </c>
      <c r="CC58" s="57" t="str">
        <f>IF(AND($B58=CC$3,$C58="Strong"),IF(PUF!$S56&gt;0,PUF!$S56,""),"")</f>
        <v/>
      </c>
      <c r="CD58" s="57" t="str">
        <f>IF(AND($B58=CD$3,$C58="Strong"),IF(PUF!$S56&gt;0,PUF!$S56,""),"")</f>
        <v/>
      </c>
      <c r="CF58" s="11">
        <f t="shared" si="6"/>
        <v>2020</v>
      </c>
      <c r="CG58" s="57" t="str">
        <f>IF(AND($B58=CG$3,$C58="Strong"),IF(PUF!$U56&gt;0,PUF!$U56,""),"")</f>
        <v/>
      </c>
      <c r="CH58" s="57" t="str">
        <f>IF(AND($B58=CH$3,$C58="Strong"),IF(PUF!$U56&gt;0,PUF!$U56,""),"")</f>
        <v/>
      </c>
      <c r="CI58" s="57" t="str">
        <f>IF(AND($B58=CI$3,$C58="Strong"),IF(PUF!$U56&gt;0,PUF!$U56,""),"")</f>
        <v/>
      </c>
      <c r="CJ58" s="57" t="str">
        <f>IF(AND($B58=CJ$3,$C58="Strong"),IF(PUF!$U56&gt;0,PUF!$U56,""),"")</f>
        <v/>
      </c>
      <c r="CK58" s="57" t="str">
        <f>IF(AND($B58=CK$3,$C58="Strong"),IF(PUF!$U56&gt;0,PUF!$U56,""),"")</f>
        <v/>
      </c>
      <c r="CL58" s="57" t="str">
        <f>IF(AND($B58=CL$3,$C58="Strong"),IF(PUF!$U56&gt;0,PUF!$U56,""),"")</f>
        <v/>
      </c>
      <c r="CM58" s="57" t="str">
        <f>IF(AND($B58=CM$3,$C58="Strong"),IF(PUF!$U56&gt;0,PUF!$U56,""),"")</f>
        <v/>
      </c>
      <c r="CN58" s="57" t="str">
        <f>IF(AND($B58=CN$3,$C58="Strong"),IF(PUF!$U56&gt;0,PUF!$U56,""),"")</f>
        <v/>
      </c>
    </row>
    <row r="59" spans="1:92" x14ac:dyDescent="0.3">
      <c r="A59" s="6">
        <f>PUF!A57</f>
        <v>56</v>
      </c>
      <c r="B59" s="6" t="str">
        <f>PUF!G57</f>
        <v>delay</v>
      </c>
      <c r="C59" t="str">
        <f>PUF!AL57</f>
        <v>Weak</v>
      </c>
      <c r="D59" s="166">
        <f>PUF!C57</f>
        <v>2020</v>
      </c>
      <c r="E59" s="167" t="str">
        <f>IF(AND($B59=E$3,$C59="Weak"),IF(PUF!$X57&gt;0,PUF!$X57,""),"")</f>
        <v/>
      </c>
      <c r="F59" s="167">
        <f>IF(AND($B59=F$3,$C59="Weak"),IF(PUF!$X57&gt;0,PUF!$X57,""),"")</f>
        <v>33163.265306122448</v>
      </c>
      <c r="G59" s="167" t="str">
        <f>IF(AND($B59=G$3,$C59="Weak"),IF(PUF!$X57&gt;0,PUF!$X57,""),"")</f>
        <v/>
      </c>
      <c r="H59" s="167" t="str">
        <f>IF(AND($B59=H$3,$C59="Weak"),IF(PUF!$X57&gt;0,PUF!$X57,""),"")</f>
        <v/>
      </c>
      <c r="I59" s="182" t="str">
        <f>IF(AND($B59=I$3,$C59="Weak"),IF(PUF!$X57&gt;0,PUF!$X57,""),"")</f>
        <v/>
      </c>
      <c r="J59" s="167" t="str">
        <f>IF(AND($B59=J$3,$C59="Weak"),IF(PUF!$X57&gt;0,PUF!$X57,""),"")</f>
        <v/>
      </c>
      <c r="K59" s="167" t="str">
        <f>IF(AND($B59=K$3,$C59="Weak"),IF(PUF!$X57&gt;0,PUF!$X57,""),"")</f>
        <v/>
      </c>
      <c r="L59" s="167" t="str">
        <f>IF(AND($B59=L$3,$C59="Weak"),IF(PUF!$X57&gt;0,PUF!$X57,""),"")</f>
        <v/>
      </c>
      <c r="N59" s="11">
        <f t="shared" si="7"/>
        <v>2020</v>
      </c>
      <c r="O59" s="57" t="str">
        <f>IF(AND($B59=O$3,$C59="Weak"),IF(PUF!$M57&gt;0,PUF!$M57,""),"")</f>
        <v/>
      </c>
      <c r="P59" s="57">
        <f>IF(AND($B59=P$3,$C59="Weak"),IF(PUF!$M57&gt;0,PUF!$M57,""),"")</f>
        <v>1.4</v>
      </c>
      <c r="Q59" s="57" t="str">
        <f>IF(AND($B59=Q$3,$C59="Weak"),IF(PUF!$M57&gt;0,PUF!$M57,""),"")</f>
        <v/>
      </c>
      <c r="R59" s="57" t="str">
        <f>IF(AND($B59=R$3,$C59="Weak"),IF(PUF!$M57&gt;0,PUF!$M57,""),"")</f>
        <v/>
      </c>
      <c r="S59" s="57" t="str">
        <f>IF(AND($B59=S$3,$C59="Weak"),IF(PUF!$M57&gt;0,PUF!$M57,""),"")</f>
        <v/>
      </c>
      <c r="T59" s="57" t="str">
        <f>IF(AND($B59=T$3,$C59="Weak"),IF(PUF!$M57&gt;0,PUF!$M57,""),"")</f>
        <v/>
      </c>
      <c r="U59" s="57" t="str">
        <f>IF(AND($B59=U$3,$C59="Weak"),IF(PUF!$M57&gt;0,PUF!$M57,""),"")</f>
        <v/>
      </c>
      <c r="V59" s="57" t="str">
        <f>IF(AND($B59=V$3,$C59="Weak"),IF(PUF!$M57&gt;0,PUF!$M57,""),"")</f>
        <v/>
      </c>
      <c r="W59" s="168"/>
      <c r="X59" s="166">
        <f t="shared" si="4"/>
        <v>2020</v>
      </c>
      <c r="Y59" s="57" t="str">
        <f>IF(AND($B59=Y$3,$C59="Weak"),IF(PUF!$S57&gt;0,PUF!$S57,""),"")</f>
        <v/>
      </c>
      <c r="Z59" s="57">
        <f>IF(AND($B59=Z$3,$C59="Weak"),IF(PUF!$S57&gt;0,PUF!$S57,""),"")</f>
        <v>7.8E-2</v>
      </c>
      <c r="AA59" s="57" t="str">
        <f>IF(AND($B59=AA$3,$C59="Weak"),IF(PUF!$S57&gt;0,PUF!$S57,""),"")</f>
        <v/>
      </c>
      <c r="AB59" s="57" t="str">
        <f>IF(AND($B59=AB$3,$C59="Weak"),IF(PUF!$S57&gt;0,PUF!$S57,""),"")</f>
        <v/>
      </c>
      <c r="AC59" s="57" t="str">
        <f>IF(AND($B59=AC$3,$C59="Weak"),IF(PUF!$S57&gt;0,PUF!$S57,""),"")</f>
        <v/>
      </c>
      <c r="AD59" s="57" t="str">
        <f>IF(AND($B59=AD$3,$C59="Weak"),IF(PUF!$S57&gt;0,PUF!$S57,""),"")</f>
        <v/>
      </c>
      <c r="AE59" s="57" t="str">
        <f>IF(AND($B59=AE$3,$C59="Weak"),IF(PUF!$S57&gt;0,PUF!$S57,""),"")</f>
        <v/>
      </c>
      <c r="AF59" s="57" t="str">
        <f>IF(AND($B59=AF$3,$C59="Weak"),IF(PUF!$S57&gt;0,PUF!$S57,""),"")</f>
        <v/>
      </c>
      <c r="AH59" s="210">
        <f t="shared" si="8"/>
        <v>2020</v>
      </c>
      <c r="AI59" s="211" t="str">
        <f>IF(AND($B59=AI$3,$C59="Weak"),IF(PUF!$U57&gt;0,PUF!$U57,""),"")</f>
        <v/>
      </c>
      <c r="AJ59" s="211">
        <f>IF(AND($B59=AJ$3,$C59="Weak"),IF(PUF!$U57&gt;0,PUF!$U57,""),"")</f>
        <v>2.15</v>
      </c>
      <c r="AK59" s="211" t="str">
        <f>IF(AND($B59=AK$3,$C59="Weak"),IF(PUF!$U57&gt;0,PUF!$U57,""),"")</f>
        <v/>
      </c>
      <c r="AL59" s="211" t="str">
        <f>IF(AND($B59=AL$3,$C59="Weak"),IF(PUF!$U57&gt;0,PUF!$U57,""),"")</f>
        <v/>
      </c>
      <c r="AM59" s="212" t="str">
        <f>IF(AND($B59=AM$3,$C59="Weak"),IF(PUF!$U57&gt;0,PUF!$U57,""),"")</f>
        <v/>
      </c>
      <c r="AN59" s="211" t="str">
        <f>IF(AND($B59=AN$3,$C59="Weak"),IF(PUF!$U57&gt;0,PUF!$U57,""),"")</f>
        <v/>
      </c>
      <c r="AO59" s="211" t="str">
        <f>IF(AND($B59=AO$3,$C59="Weak"),IF(PUF!$U57&gt;0,PUF!$U57,""),"")</f>
        <v/>
      </c>
      <c r="AP59" s="211" t="str">
        <f>IF(AND($B59=AP$3,$C59="Weak"),IF(PUF!$U57&gt;0,PUF!$U57,""),"")</f>
        <v/>
      </c>
      <c r="BB59" s="166">
        <f t="shared" si="9"/>
        <v>2020</v>
      </c>
      <c r="BC59" s="57" t="str">
        <f>IF(AND($B59=BC$3,$C59="Strong"),IF(PUF!$X57&gt;0,PUF!$X57,""),"")</f>
        <v/>
      </c>
      <c r="BD59" s="57" t="str">
        <f>IF(AND($B59=BD$3,$C59="Strong"),IF(PUF!$X57&gt;0,PUF!$X57,""),"")</f>
        <v/>
      </c>
      <c r="BE59" s="57" t="str">
        <f>IF(AND($B59=BE$3,$C59="Strong"),IF(PUF!$X57&gt;0,PUF!$X57,""),"")</f>
        <v/>
      </c>
      <c r="BF59" s="57" t="str">
        <f>IF(AND($B59=BF$3,$C59="Strong"),IF(PUF!$X57&gt;0,PUF!$X57,""),"")</f>
        <v/>
      </c>
      <c r="BG59" s="57" t="str">
        <f>IF(AND($B59=BG$3,$C59="Strong"),IF(PUF!$X57&gt;0,PUF!$X57,""),"")</f>
        <v/>
      </c>
      <c r="BH59" s="57" t="str">
        <f>IF(AND($B59=BH$3,$C59="Strong"),IF(PUF!$X57&gt;0,PUF!$X57,""),"")</f>
        <v/>
      </c>
      <c r="BI59" s="57" t="str">
        <f>IF(AND($B59=BI$3,$C59="Strong"),IF(PUF!$X57&gt;0,PUF!$X57,""),"")</f>
        <v/>
      </c>
      <c r="BJ59" s="57" t="str">
        <f>IF(AND($B59=BJ$3,$C59="Strong"),IF(PUF!$X57&gt;0,PUF!$X57,""),"")</f>
        <v/>
      </c>
      <c r="BL59" s="166">
        <f t="shared" si="10"/>
        <v>2020</v>
      </c>
      <c r="BM59" s="57" t="str">
        <f>IF(AND($B59=BM$3,$C59="Strong"),IF(PUF!$M57&gt;0,PUF!$M57,""),"")</f>
        <v/>
      </c>
      <c r="BN59" s="57" t="str">
        <f>IF(AND($B59=BN$3,$C59="Strong"),IF(PUF!$M57&gt;0,PUF!$M57,""),"")</f>
        <v/>
      </c>
      <c r="BO59" s="57" t="str">
        <f>IF(AND($B59=BO$3,$C59="Strong"),IF(PUF!$M57&gt;0,PUF!$M57,""),"")</f>
        <v/>
      </c>
      <c r="BP59" s="57" t="str">
        <f>IF(AND($B59=BP$3,$C59="Strong"),IF(PUF!$M57&gt;0,PUF!$M57,""),"")</f>
        <v/>
      </c>
      <c r="BQ59" s="57" t="str">
        <f>IF(AND($B59=BQ$3,$C59="Strong"),IF(PUF!$M57&gt;0,PUF!$M57,""),"")</f>
        <v/>
      </c>
      <c r="BR59" s="57" t="str">
        <f>IF(AND($B59=BR$3,$C59="Strong"),IF(PUF!$M57&gt;0,PUF!$M57,""),"")</f>
        <v/>
      </c>
      <c r="BS59" s="57" t="str">
        <f>IF(AND($B59=BS$3,$C59="Strong"),IF(PUF!$M57&gt;0,PUF!$M57,""),"")</f>
        <v/>
      </c>
      <c r="BT59" s="57" t="str">
        <f>IF(AND($B59=BT$3,$C59="Strong"),IF(PUF!$M57&gt;0,PUF!$M57,""),"")</f>
        <v/>
      </c>
      <c r="BV59" s="166">
        <f t="shared" si="5"/>
        <v>2020</v>
      </c>
      <c r="BW59" s="57" t="str">
        <f>IF(AND($B59=BW$3,$C59="Strong"),IF(PUF!$S57&gt;0,PUF!$S57,""),"")</f>
        <v/>
      </c>
      <c r="BX59" s="57" t="str">
        <f>IF(AND($B59=BX$3,$C59="Strong"),IF(PUF!$S57&gt;0,PUF!$S57,""),"")</f>
        <v/>
      </c>
      <c r="BY59" s="57" t="str">
        <f>IF(AND($B59=BY$3,$C59="Strong"),IF(PUF!$S57&gt;0,PUF!$S57,""),"")</f>
        <v/>
      </c>
      <c r="BZ59" s="57" t="str">
        <f>IF(AND($B59=BZ$3,$C59="Strong"),IF(PUF!$S57&gt;0,PUF!$S57,""),"")</f>
        <v/>
      </c>
      <c r="CA59" s="57" t="str">
        <f>IF(AND($B59=CA$3,$C59="Strong"),IF(PUF!$S57&gt;0,PUF!$S57,""),"")</f>
        <v/>
      </c>
      <c r="CB59" s="57" t="str">
        <f>IF(AND($B59=CB$3,$C59="Strong"),IF(PUF!$S57&gt;0,PUF!$S57,""),"")</f>
        <v/>
      </c>
      <c r="CC59" s="57" t="str">
        <f>IF(AND($B59=CC$3,$C59="Strong"),IF(PUF!$S57&gt;0,PUF!$S57,""),"")</f>
        <v/>
      </c>
      <c r="CD59" s="57" t="str">
        <f>IF(AND($B59=CD$3,$C59="Strong"),IF(PUF!$S57&gt;0,PUF!$S57,""),"")</f>
        <v/>
      </c>
      <c r="CF59" s="11">
        <f t="shared" si="6"/>
        <v>2020</v>
      </c>
      <c r="CG59" s="57" t="str">
        <f>IF(AND($B59=CG$3,$C59="Strong"),IF(PUF!$U57&gt;0,PUF!$U57,""),"")</f>
        <v/>
      </c>
      <c r="CH59" s="57" t="str">
        <f>IF(AND($B59=CH$3,$C59="Strong"),IF(PUF!$U57&gt;0,PUF!$U57,""),"")</f>
        <v/>
      </c>
      <c r="CI59" s="57" t="str">
        <f>IF(AND($B59=CI$3,$C59="Strong"),IF(PUF!$U57&gt;0,PUF!$U57,""),"")</f>
        <v/>
      </c>
      <c r="CJ59" s="57" t="str">
        <f>IF(AND($B59=CJ$3,$C59="Strong"),IF(PUF!$U57&gt;0,PUF!$U57,""),"")</f>
        <v/>
      </c>
      <c r="CK59" s="57" t="str">
        <f>IF(AND($B59=CK$3,$C59="Strong"),IF(PUF!$U57&gt;0,PUF!$U57,""),"")</f>
        <v/>
      </c>
      <c r="CL59" s="57" t="str">
        <f>IF(AND($B59=CL$3,$C59="Strong"),IF(PUF!$U57&gt;0,PUF!$U57,""),"")</f>
        <v/>
      </c>
      <c r="CM59" s="57" t="str">
        <f>IF(AND($B59=CM$3,$C59="Strong"),IF(PUF!$U57&gt;0,PUF!$U57,""),"")</f>
        <v/>
      </c>
      <c r="CN59" s="57" t="str">
        <f>IF(AND($B59=CN$3,$C59="Strong"),IF(PUF!$U57&gt;0,PUF!$U57,""),"")</f>
        <v/>
      </c>
    </row>
    <row r="60" spans="1:92" x14ac:dyDescent="0.3">
      <c r="A60" s="6">
        <f>PUF!A58</f>
        <v>57</v>
      </c>
      <c r="B60" s="6" t="str">
        <f>PUF!G58</f>
        <v>memory (non-volatile)</v>
      </c>
      <c r="C60" t="str">
        <f>PUF!AL58</f>
        <v>Strong</v>
      </c>
      <c r="D60" s="166">
        <f>PUF!C58</f>
        <v>2020</v>
      </c>
      <c r="E60" s="167" t="str">
        <f>IF(AND($B60=E$3,$C60="Weak"),IF(PUF!$X58&gt;0,PUF!$X58,""),"")</f>
        <v/>
      </c>
      <c r="F60" s="167" t="str">
        <f>IF(AND($B60=F$3,$C60="Weak"),IF(PUF!$X58&gt;0,PUF!$X58,""),"")</f>
        <v/>
      </c>
      <c r="G60" s="167" t="str">
        <f>IF(AND($B60=G$3,$C60="Weak"),IF(PUF!$X58&gt;0,PUF!$X58,""),"")</f>
        <v/>
      </c>
      <c r="H60" s="167" t="str">
        <f>IF(AND($B60=H$3,$C60="Weak"),IF(PUF!$X58&gt;0,PUF!$X58,""),"")</f>
        <v/>
      </c>
      <c r="I60" s="167" t="str">
        <f>IF(AND($B60=I$3,$C60="Weak"),IF(PUF!$X58&gt;0,PUF!$X58,""),"")</f>
        <v/>
      </c>
      <c r="J60" s="167" t="str">
        <f>IF(AND($B60=J$3,$C60="Weak"),IF(PUF!$X58&gt;0,PUF!$X58,""),"")</f>
        <v/>
      </c>
      <c r="K60" s="167" t="str">
        <f>IF(AND($B60=K$3,$C60="Weak"),IF(PUF!$X58&gt;0,PUF!$X58,""),"")</f>
        <v/>
      </c>
      <c r="L60" s="167" t="str">
        <f>IF(AND($B60=L$3,$C60="Weak"),IF(PUF!$X58&gt;0,PUF!$X58,""),"")</f>
        <v/>
      </c>
      <c r="N60" s="11">
        <f t="shared" si="7"/>
        <v>2020</v>
      </c>
      <c r="O60" s="57" t="str">
        <f>IF(AND($B60=O$3,$C60="Weak"),IF(PUF!$M58&gt;0,PUF!$M58,""),"")</f>
        <v/>
      </c>
      <c r="P60" s="57" t="str">
        <f>IF(AND($B60=P$3,$C60="Weak"),IF(PUF!$M58&gt;0,PUF!$M58,""),"")</f>
        <v/>
      </c>
      <c r="Q60" s="57" t="str">
        <f>IF(AND($B60=Q$3,$C60="Weak"),IF(PUF!$M58&gt;0,PUF!$M58,""),"")</f>
        <v/>
      </c>
      <c r="R60" s="57" t="str">
        <f>IF(AND($B60=R$3,$C60="Weak"),IF(PUF!$M58&gt;0,PUF!$M58,""),"")</f>
        <v/>
      </c>
      <c r="S60" s="57" t="str">
        <f>IF(AND($B60=S$3,$C60="Weak"),IF(PUF!$M58&gt;0,PUF!$M58,""),"")</f>
        <v/>
      </c>
      <c r="T60" s="57" t="str">
        <f>IF(AND($B60=T$3,$C60="Weak"),IF(PUF!$M58&gt;0,PUF!$M58,""),"")</f>
        <v/>
      </c>
      <c r="U60" s="57" t="str">
        <f>IF(AND($B60=U$3,$C60="Weak"),IF(PUF!$M58&gt;0,PUF!$M58,""),"")</f>
        <v/>
      </c>
      <c r="V60" s="57" t="str">
        <f>IF(AND($B60=V$3,$C60="Weak"),IF(PUF!$M58&gt;0,PUF!$M58,""),"")</f>
        <v/>
      </c>
      <c r="W60" s="168"/>
      <c r="X60" s="166">
        <f t="shared" si="4"/>
        <v>2020</v>
      </c>
      <c r="Y60" s="57" t="str">
        <f>IF(AND($B60=Y$3,$C60="Weak"),IF(PUF!$S58&gt;0,PUF!$S58,""),"")</f>
        <v/>
      </c>
      <c r="Z60" s="57" t="str">
        <f>IF(AND($B60=Z$3,$C60="Weak"),IF(PUF!$S58&gt;0,PUF!$S58,""),"")</f>
        <v/>
      </c>
      <c r="AA60" s="57" t="str">
        <f>IF(AND($B60=AA$3,$C60="Weak"),IF(PUF!$S58&gt;0,PUF!$S58,""),"")</f>
        <v/>
      </c>
      <c r="AB60" s="57" t="str">
        <f>IF(AND($B60=AB$3,$C60="Weak"),IF(PUF!$S58&gt;0,PUF!$S58,""),"")</f>
        <v/>
      </c>
      <c r="AC60" s="57" t="str">
        <f>IF(AND($B60=AC$3,$C60="Weak"),IF(PUF!$S58&gt;0,PUF!$S58,""),"")</f>
        <v/>
      </c>
      <c r="AD60" s="57" t="str">
        <f>IF(AND($B60=AD$3,$C60="Weak"),IF(PUF!$S58&gt;0,PUF!$S58,""),"")</f>
        <v/>
      </c>
      <c r="AE60" s="57" t="str">
        <f>IF(AND($B60=AE$3,$C60="Weak"),IF(PUF!$S58&gt;0,PUF!$S58,""),"")</f>
        <v/>
      </c>
      <c r="AF60" s="57" t="str">
        <f>IF(AND($B60=AF$3,$C60="Weak"),IF(PUF!$S58&gt;0,PUF!$S58,""),"")</f>
        <v/>
      </c>
      <c r="AH60" s="210">
        <f t="shared" si="8"/>
        <v>2020</v>
      </c>
      <c r="AI60" s="211" t="str">
        <f>IF(AND($B60=AI$3,$C60="Weak"),IF(PUF!$U58&gt;0,PUF!$U58,""),"")</f>
        <v/>
      </c>
      <c r="AJ60" s="211" t="str">
        <f>IF(AND($B60=AJ$3,$C60="Weak"),IF(PUF!$U58&gt;0,PUF!$U58,""),"")</f>
        <v/>
      </c>
      <c r="AK60" s="211" t="str">
        <f>IF(AND($B60=AK$3,$C60="Weak"),IF(PUF!$U58&gt;0,PUF!$U58,""),"")</f>
        <v/>
      </c>
      <c r="AL60" s="211" t="str">
        <f>IF(AND($B60=AL$3,$C60="Weak"),IF(PUF!$U58&gt;0,PUF!$U58,""),"")</f>
        <v/>
      </c>
      <c r="AM60" s="211" t="str">
        <f>IF(AND($B60=AM$3,$C60="Weak"),IF(PUF!$U58&gt;0,PUF!$U58,""),"")</f>
        <v/>
      </c>
      <c r="AN60" s="211" t="str">
        <f>IF(AND($B60=AN$3,$C60="Weak"),IF(PUF!$U58&gt;0,PUF!$U58,""),"")</f>
        <v/>
      </c>
      <c r="AO60" s="211" t="str">
        <f>IF(AND($B60=AO$3,$C60="Weak"),IF(PUF!$U58&gt;0,PUF!$U58,""),"")</f>
        <v/>
      </c>
      <c r="AP60" s="211" t="str">
        <f>IF(AND($B60=AP$3,$C60="Weak"),IF(PUF!$U58&gt;0,PUF!$U58,""),"")</f>
        <v/>
      </c>
      <c r="BB60" s="166">
        <f t="shared" si="9"/>
        <v>2020</v>
      </c>
      <c r="BC60" s="57" t="str">
        <f>IF(AND($B60=BC$3,$C60="Strong"),IF(PUF!$X58&gt;0,PUF!$X58,""),"")</f>
        <v/>
      </c>
      <c r="BD60" s="57" t="str">
        <f>IF(AND($B60=BD$3,$C60="Strong"),IF(PUF!$X58&gt;0,PUF!$X58,""),"")</f>
        <v/>
      </c>
      <c r="BE60" s="57" t="str">
        <f>IF(AND($B60=BE$3,$C60="Strong"),IF(PUF!$X58&gt;0,PUF!$X58,""),"")</f>
        <v/>
      </c>
      <c r="BF60" s="57" t="str">
        <f>IF(AND($B60=BF$3,$C60="Strong"),IF(PUF!$X58&gt;0,PUF!$X58,""),"")</f>
        <v/>
      </c>
      <c r="BG60" s="57" t="str">
        <f>IF(AND($B60=BG$3,$C60="Strong"),IF(PUF!$X58&gt;0,PUF!$X58,""),"")</f>
        <v/>
      </c>
      <c r="BH60" s="57">
        <f>IF(AND($B60=BH$3,$C60="Strong"),IF(PUF!$X58&gt;0,PUF!$X58,""),"")</f>
        <v>8000000</v>
      </c>
      <c r="BI60" s="57" t="str">
        <f>IF(AND($B60=BI$3,$C60="Strong"),IF(PUF!$X58&gt;0,PUF!$X58,""),"")</f>
        <v/>
      </c>
      <c r="BJ60" s="57" t="str">
        <f>IF(AND($B60=BJ$3,$C60="Strong"),IF(PUF!$X58&gt;0,PUF!$X58,""),"")</f>
        <v/>
      </c>
      <c r="BL60" s="166">
        <f t="shared" si="10"/>
        <v>2020</v>
      </c>
      <c r="BM60" s="57" t="str">
        <f>IF(AND($B60=BM$3,$C60="Strong"),IF(PUF!$M58&gt;0,PUF!$M58,""),"")</f>
        <v/>
      </c>
      <c r="BN60" s="57" t="str">
        <f>IF(AND($B60=BN$3,$C60="Strong"),IF(PUF!$M58&gt;0,PUF!$M58,""),"")</f>
        <v/>
      </c>
      <c r="BO60" s="57" t="str">
        <f>IF(AND($B60=BO$3,$C60="Strong"),IF(PUF!$M58&gt;0,PUF!$M58,""),"")</f>
        <v/>
      </c>
      <c r="BP60" s="57" t="str">
        <f>IF(AND($B60=BP$3,$C60="Strong"),IF(PUF!$M58&gt;0,PUF!$M58,""),"")</f>
        <v/>
      </c>
      <c r="BQ60" s="57" t="str">
        <f>IF(AND($B60=BQ$3,$C60="Strong"),IF(PUF!$M58&gt;0,PUF!$M58,""),"")</f>
        <v/>
      </c>
      <c r="BR60" s="57" t="str">
        <f>IF(AND($B60=BR$3,$C60="Strong"),IF(PUF!$M58&gt;0,PUF!$M58,""),"")</f>
        <v/>
      </c>
      <c r="BS60" s="57" t="str">
        <f>IF(AND($B60=BS$3,$C60="Strong"),IF(PUF!$M58&gt;0,PUF!$M58,""),"")</f>
        <v/>
      </c>
      <c r="BT60" s="57" t="str">
        <f>IF(AND($B60=BT$3,$C60="Strong"),IF(PUF!$M58&gt;0,PUF!$M58,""),"")</f>
        <v/>
      </c>
      <c r="BV60" s="166">
        <f t="shared" si="5"/>
        <v>2020</v>
      </c>
      <c r="BW60" s="57" t="str">
        <f>IF(AND($B60=BW$3,$C60="Strong"),IF(PUF!$S58&gt;0,PUF!$S58,""),"")</f>
        <v/>
      </c>
      <c r="BX60" s="57" t="str">
        <f>IF(AND($B60=BX$3,$C60="Strong"),IF(PUF!$S58&gt;0,PUF!$S58,""),"")</f>
        <v/>
      </c>
      <c r="BY60" s="57" t="str">
        <f>IF(AND($B60=BY$3,$C60="Strong"),IF(PUF!$S58&gt;0,PUF!$S58,""),"")</f>
        <v/>
      </c>
      <c r="BZ60" s="57" t="str">
        <f>IF(AND($B60=BZ$3,$C60="Strong"),IF(PUF!$S58&gt;0,PUF!$S58,""),"")</f>
        <v/>
      </c>
      <c r="CA60" s="57" t="str">
        <f>IF(AND($B60=CA$3,$C60="Strong"),IF(PUF!$S58&gt;0,PUF!$S58,""),"")</f>
        <v/>
      </c>
      <c r="CB60" s="57">
        <f>IF(AND($B60=CB$3,$C60="Strong"),IF(PUF!$S58&gt;0,PUF!$S58,""),"")</f>
        <v>5</v>
      </c>
      <c r="CC60" s="57" t="str">
        <f>IF(AND($B60=CC$3,$C60="Strong"),IF(PUF!$S58&gt;0,PUF!$S58,""),"")</f>
        <v/>
      </c>
      <c r="CD60" s="57" t="str">
        <f>IF(AND($B60=CD$3,$C60="Strong"),IF(PUF!$S58&gt;0,PUF!$S58,""),"")</f>
        <v/>
      </c>
      <c r="CF60" s="11">
        <f t="shared" si="6"/>
        <v>2020</v>
      </c>
      <c r="CG60" s="57" t="str">
        <f>IF(AND($B60=CG$3,$C60="Strong"),IF(PUF!$U58&gt;0,PUF!$U58,""),"")</f>
        <v/>
      </c>
      <c r="CH60" s="57" t="str">
        <f>IF(AND($B60=CH$3,$C60="Strong"),IF(PUF!$U58&gt;0,PUF!$U58,""),"")</f>
        <v/>
      </c>
      <c r="CI60" s="57" t="str">
        <f>IF(AND($B60=CI$3,$C60="Strong"),IF(PUF!$U58&gt;0,PUF!$U58,""),"")</f>
        <v/>
      </c>
      <c r="CJ60" s="57" t="str">
        <f>IF(AND($B60=CJ$3,$C60="Strong"),IF(PUF!$U58&gt;0,PUF!$U58,""),"")</f>
        <v/>
      </c>
      <c r="CK60" s="57" t="str">
        <f>IF(AND($B60=CK$3,$C60="Strong"),IF(PUF!$U58&gt;0,PUF!$U58,""),"")</f>
        <v/>
      </c>
      <c r="CL60" s="57">
        <f>IF(AND($B60=CL$3,$C60="Strong"),IF(PUF!$U58&gt;0,PUF!$U58,""),"")</f>
        <v>0.57999999999999996</v>
      </c>
      <c r="CM60" s="57" t="str">
        <f>IF(AND($B60=CM$3,$C60="Strong"),IF(PUF!$U58&gt;0,PUF!$U58,""),"")</f>
        <v/>
      </c>
      <c r="CN60" s="57" t="str">
        <f>IF(AND($B60=CN$3,$C60="Strong"),IF(PUF!$U58&gt;0,PUF!$U58,""),"")</f>
        <v/>
      </c>
    </row>
    <row r="61" spans="1:92" x14ac:dyDescent="0.3">
      <c r="A61" s="6">
        <f>PUF!A59</f>
        <v>58</v>
      </c>
      <c r="B61" s="6" t="str">
        <f>PUF!G59</f>
        <v>metastability</v>
      </c>
      <c r="C61" t="str">
        <f>PUF!AL59</f>
        <v>Strong</v>
      </c>
      <c r="D61" s="166">
        <f>PUF!C59</f>
        <v>2020</v>
      </c>
      <c r="E61" s="167" t="str">
        <f>IF(AND($B61=E$3,$C61="Weak"),IF(PUF!$X59&gt;0,PUF!$X59,""),"")</f>
        <v/>
      </c>
      <c r="F61" s="167" t="str">
        <f>IF(AND($B61=F$3,$C61="Weak"),IF(PUF!$X59&gt;0,PUF!$X59,""),"")</f>
        <v/>
      </c>
      <c r="G61" s="167" t="str">
        <f>IF(AND($B61=G$3,$C61="Weak"),IF(PUF!$X59&gt;0,PUF!$X59,""),"")</f>
        <v/>
      </c>
      <c r="H61" s="167" t="str">
        <f>IF(AND($B61=H$3,$C61="Weak"),IF(PUF!$X59&gt;0,PUF!$X59,""),"")</f>
        <v/>
      </c>
      <c r="I61" s="167" t="str">
        <f>IF(AND($B61=I$3,$C61="Weak"),IF(PUF!$X59&gt;0,PUF!$X59,""),"")</f>
        <v/>
      </c>
      <c r="J61" s="167" t="str">
        <f>IF(AND($B61=J$3,$C61="Weak"),IF(PUF!$X59&gt;0,PUF!$X59,""),"")</f>
        <v/>
      </c>
      <c r="K61" s="167" t="str">
        <f>IF(AND($B61=K$3,$C61="Weak"),IF(PUF!$X59&gt;0,PUF!$X59,""),"")</f>
        <v/>
      </c>
      <c r="L61" s="167" t="str">
        <f>IF(AND($B61=L$3,$C61="Weak"),IF(PUF!$X59&gt;0,PUF!$X59,""),"")</f>
        <v/>
      </c>
      <c r="N61" s="11">
        <f t="shared" si="7"/>
        <v>2020</v>
      </c>
      <c r="O61" s="57" t="str">
        <f>IF(AND($B61=O$3,$C61="Weak"),IF(PUF!$M59&gt;0,PUF!$M59,""),"")</f>
        <v/>
      </c>
      <c r="P61" s="57" t="str">
        <f>IF(AND($B61=P$3,$C61="Weak"),IF(PUF!$M59&gt;0,PUF!$M59,""),"")</f>
        <v/>
      </c>
      <c r="Q61" s="57" t="str">
        <f>IF(AND($B61=Q$3,$C61="Weak"),IF(PUF!$M59&gt;0,PUF!$M59,""),"")</f>
        <v/>
      </c>
      <c r="R61" s="57" t="str">
        <f>IF(AND($B61=R$3,$C61="Weak"),IF(PUF!$M59&gt;0,PUF!$M59,""),"")</f>
        <v/>
      </c>
      <c r="S61" s="57" t="str">
        <f>IF(AND($B61=S$3,$C61="Weak"),IF(PUF!$M59&gt;0,PUF!$M59,""),"")</f>
        <v/>
      </c>
      <c r="T61" s="57" t="str">
        <f>IF(AND($B61=T$3,$C61="Weak"),IF(PUF!$M59&gt;0,PUF!$M59,""),"")</f>
        <v/>
      </c>
      <c r="U61" s="57" t="str">
        <f>IF(AND($B61=U$3,$C61="Weak"),IF(PUF!$M59&gt;0,PUF!$M59,""),"")</f>
        <v/>
      </c>
      <c r="V61" s="57" t="str">
        <f>IF(AND($B61=V$3,$C61="Weak"),IF(PUF!$M59&gt;0,PUF!$M59,""),"")</f>
        <v/>
      </c>
      <c r="W61" s="168"/>
      <c r="X61" s="166">
        <f t="shared" si="4"/>
        <v>2020</v>
      </c>
      <c r="Y61" s="57" t="str">
        <f>IF(AND($B61=Y$3,$C61="Weak"),IF(PUF!$S59&gt;0,PUF!$S59,""),"")</f>
        <v/>
      </c>
      <c r="Z61" s="57" t="str">
        <f>IF(AND($B61=Z$3,$C61="Weak"),IF(PUF!$S59&gt;0,PUF!$S59,""),"")</f>
        <v/>
      </c>
      <c r="AA61" s="57" t="str">
        <f>IF(AND($B61=AA$3,$C61="Weak"),IF(PUF!$S59&gt;0,PUF!$S59,""),"")</f>
        <v/>
      </c>
      <c r="AB61" s="57" t="str">
        <f>IF(AND($B61=AB$3,$C61="Weak"),IF(PUF!$S59&gt;0,PUF!$S59,""),"")</f>
        <v/>
      </c>
      <c r="AC61" s="57" t="str">
        <f>IF(AND($B61=AC$3,$C61="Weak"),IF(PUF!$S59&gt;0,PUF!$S59,""),"")</f>
        <v/>
      </c>
      <c r="AD61" s="57" t="str">
        <f>IF(AND($B61=AD$3,$C61="Weak"),IF(PUF!$S59&gt;0,PUF!$S59,""),"")</f>
        <v/>
      </c>
      <c r="AE61" s="57" t="str">
        <f>IF(AND($B61=AE$3,$C61="Weak"),IF(PUF!$S59&gt;0,PUF!$S59,""),"")</f>
        <v/>
      </c>
      <c r="AF61" s="57" t="str">
        <f>IF(AND($B61=AF$3,$C61="Weak"),IF(PUF!$S59&gt;0,PUF!$S59,""),"")</f>
        <v/>
      </c>
      <c r="AH61" s="210">
        <f t="shared" si="8"/>
        <v>2020</v>
      </c>
      <c r="AI61" s="211" t="str">
        <f>IF(AND($B61=AI$3,$C61="Weak"),IF(PUF!$U59&gt;0,PUF!$U59,""),"")</f>
        <v/>
      </c>
      <c r="AJ61" s="211" t="str">
        <f>IF(AND($B61=AJ$3,$C61="Weak"),IF(PUF!$U59&gt;0,PUF!$U59,""),"")</f>
        <v/>
      </c>
      <c r="AK61" s="211" t="str">
        <f>IF(AND($B61=AK$3,$C61="Weak"),IF(PUF!$U59&gt;0,PUF!$U59,""),"")</f>
        <v/>
      </c>
      <c r="AL61" s="211" t="str">
        <f>IF(AND($B61=AL$3,$C61="Weak"),IF(PUF!$U59&gt;0,PUF!$U59,""),"")</f>
        <v/>
      </c>
      <c r="AM61" s="211" t="str">
        <f>IF(AND($B61=AM$3,$C61="Weak"),IF(PUF!$U59&gt;0,PUF!$U59,""),"")</f>
        <v/>
      </c>
      <c r="AN61" s="211" t="str">
        <f>IF(AND($B61=AN$3,$C61="Weak"),IF(PUF!$U59&gt;0,PUF!$U59,""),"")</f>
        <v/>
      </c>
      <c r="AO61" s="211" t="str">
        <f>IF(AND($B61=AO$3,$C61="Weak"),IF(PUF!$U59&gt;0,PUF!$U59,""),"")</f>
        <v/>
      </c>
      <c r="AP61" s="211" t="str">
        <f>IF(AND($B61=AP$3,$C61="Weak"),IF(PUF!$U59&gt;0,PUF!$U59,""),"")</f>
        <v/>
      </c>
      <c r="BB61" s="166">
        <f t="shared" si="9"/>
        <v>2020</v>
      </c>
      <c r="BC61" s="57" t="str">
        <f>IF(AND($B61=BC$3,$C61="Strong"),IF(PUF!$X59&gt;0,PUF!$X59,""),"")</f>
        <v/>
      </c>
      <c r="BD61" s="57" t="str">
        <f>IF(AND($B61=BD$3,$C61="Strong"),IF(PUF!$X59&gt;0,PUF!$X59,""),"")</f>
        <v/>
      </c>
      <c r="BE61" s="57" t="str">
        <f>IF(AND($B61=BE$3,$C61="Strong"),IF(PUF!$X59&gt;0,PUF!$X59,""),"")</f>
        <v/>
      </c>
      <c r="BF61" s="57">
        <f>IF(AND($B61=BF$3,$C61="Strong"),IF(PUF!$X59&gt;0,PUF!$X59,""),"")</f>
        <v>29729591.836734693</v>
      </c>
      <c r="BG61" s="57" t="str">
        <f>IF(AND($B61=BG$3,$C61="Strong"),IF(PUF!$X59&gt;0,PUF!$X59,""),"")</f>
        <v/>
      </c>
      <c r="BH61" s="57" t="str">
        <f>IF(AND($B61=BH$3,$C61="Strong"),IF(PUF!$X59&gt;0,PUF!$X59,""),"")</f>
        <v/>
      </c>
      <c r="BI61" s="57" t="str">
        <f>IF(AND($B61=BI$3,$C61="Strong"),IF(PUF!$X59&gt;0,PUF!$X59,""),"")</f>
        <v/>
      </c>
      <c r="BJ61" s="57" t="str">
        <f>IF(AND($B61=BJ$3,$C61="Strong"),IF(PUF!$X59&gt;0,PUF!$X59,""),"")</f>
        <v/>
      </c>
      <c r="BL61" s="166">
        <f t="shared" si="10"/>
        <v>2020</v>
      </c>
      <c r="BM61" s="57" t="str">
        <f>IF(AND($B61=BM$3,$C61="Strong"),IF(PUF!$M59&gt;0,PUF!$M59,""),"")</f>
        <v/>
      </c>
      <c r="BN61" s="57" t="str">
        <f>IF(AND($B61=BN$3,$C61="Strong"),IF(PUF!$M59&gt;0,PUF!$M59,""),"")</f>
        <v/>
      </c>
      <c r="BO61" s="57" t="str">
        <f>IF(AND($B61=BO$3,$C61="Strong"),IF(PUF!$M59&gt;0,PUF!$M59,""),"")</f>
        <v/>
      </c>
      <c r="BP61" s="57">
        <f>IF(AND($B61=BP$3,$C61="Strong"),IF(PUF!$M59&gt;0,PUF!$M59,""),"")</f>
        <v>0.19</v>
      </c>
      <c r="BQ61" s="57" t="str">
        <f>IF(AND($B61=BQ$3,$C61="Strong"),IF(PUF!$M59&gt;0,PUF!$M59,""),"")</f>
        <v/>
      </c>
      <c r="BR61" s="57" t="str">
        <f>IF(AND($B61=BR$3,$C61="Strong"),IF(PUF!$M59&gt;0,PUF!$M59,""),"")</f>
        <v/>
      </c>
      <c r="BS61" s="57" t="str">
        <f>IF(AND($B61=BS$3,$C61="Strong"),IF(PUF!$M59&gt;0,PUF!$M59,""),"")</f>
        <v/>
      </c>
      <c r="BT61" s="57" t="str">
        <f>IF(AND($B61=BT$3,$C61="Strong"),IF(PUF!$M59&gt;0,PUF!$M59,""),"")</f>
        <v/>
      </c>
      <c r="BV61" s="166">
        <f t="shared" si="5"/>
        <v>2020</v>
      </c>
      <c r="BW61" s="57" t="str">
        <f>IF(AND($B61=BW$3,$C61="Strong"),IF(PUF!$S59&gt;0,PUF!$S59,""),"")</f>
        <v/>
      </c>
      <c r="BX61" s="57" t="str">
        <f>IF(AND($B61=BX$3,$C61="Strong"),IF(PUF!$S59&gt;0,PUF!$S59,""),"")</f>
        <v/>
      </c>
      <c r="BY61" s="57" t="str">
        <f>IF(AND($B61=BY$3,$C61="Strong"),IF(PUF!$S59&gt;0,PUF!$S59,""),"")</f>
        <v/>
      </c>
      <c r="BZ61" s="57">
        <f>IF(AND($B61=BZ$3,$C61="Strong"),IF(PUF!$S59&gt;0,PUF!$S59,""),"")</f>
        <v>0.26</v>
      </c>
      <c r="CA61" s="57" t="str">
        <f>IF(AND($B61=CA$3,$C61="Strong"),IF(PUF!$S59&gt;0,PUF!$S59,""),"")</f>
        <v/>
      </c>
      <c r="CB61" s="57" t="str">
        <f>IF(AND($B61=CB$3,$C61="Strong"),IF(PUF!$S59&gt;0,PUF!$S59,""),"")</f>
        <v/>
      </c>
      <c r="CC61" s="57" t="str">
        <f>IF(AND($B61=CC$3,$C61="Strong"),IF(PUF!$S59&gt;0,PUF!$S59,""),"")</f>
        <v/>
      </c>
      <c r="CD61" s="57" t="str">
        <f>IF(AND($B61=CD$3,$C61="Strong"),IF(PUF!$S59&gt;0,PUF!$S59,""),"")</f>
        <v/>
      </c>
      <c r="CF61" s="11">
        <f t="shared" si="6"/>
        <v>2020</v>
      </c>
      <c r="CG61" s="57" t="str">
        <f>IF(AND($B61=CG$3,$C61="Strong"),IF(PUF!$U59&gt;0,PUF!$U59,""),"")</f>
        <v/>
      </c>
      <c r="CH61" s="57" t="str">
        <f>IF(AND($B61=CH$3,$C61="Strong"),IF(PUF!$U59&gt;0,PUF!$U59,""),"")</f>
        <v/>
      </c>
      <c r="CI61" s="57" t="str">
        <f>IF(AND($B61=CI$3,$C61="Strong"),IF(PUF!$U59&gt;0,PUF!$U59,""),"")</f>
        <v/>
      </c>
      <c r="CJ61" s="57">
        <f>IF(AND($B61=CJ$3,$C61="Strong"),IF(PUF!$U59&gt;0,PUF!$U59,""),"")</f>
        <v>97.08</v>
      </c>
      <c r="CK61" s="57" t="str">
        <f>IF(AND($B61=CK$3,$C61="Strong"),IF(PUF!$U59&gt;0,PUF!$U59,""),"")</f>
        <v/>
      </c>
      <c r="CL61" s="57" t="str">
        <f>IF(AND($B61=CL$3,$C61="Strong"),IF(PUF!$U59&gt;0,PUF!$U59,""),"")</f>
        <v/>
      </c>
      <c r="CM61" s="57" t="str">
        <f>IF(AND($B61=CM$3,$C61="Strong"),IF(PUF!$U59&gt;0,PUF!$U59,""),"")</f>
        <v/>
      </c>
      <c r="CN61" s="57" t="str">
        <f>IF(AND($B61=CN$3,$C61="Strong"),IF(PUF!$U59&gt;0,PUF!$U59,""),"")</f>
        <v/>
      </c>
    </row>
    <row r="62" spans="1:92" x14ac:dyDescent="0.3">
      <c r="A62" s="6">
        <f>PUF!A60</f>
        <v>59</v>
      </c>
      <c r="B62" s="6" t="str">
        <f>PUF!G60</f>
        <v>memory (volatile)</v>
      </c>
      <c r="C62" t="str">
        <f>PUF!AL60</f>
        <v>Weak</v>
      </c>
      <c r="D62" s="166">
        <f>PUF!C60</f>
        <v>2020</v>
      </c>
      <c r="E62" s="167" t="str">
        <f>IF(AND($B62=E$3,$C62="Weak"),IF(PUF!$X60&gt;0,PUF!$X60,""),"")</f>
        <v/>
      </c>
      <c r="F62" s="167" t="str">
        <f>IF(AND($B62=F$3,$C62="Weak"),IF(PUF!$X60&gt;0,PUF!$X60,""),"")</f>
        <v/>
      </c>
      <c r="G62" s="167">
        <f>IF(AND($B62=G$3,$C62="Weak"),IF(PUF!$X60&gt;0,PUF!$X60,""),"")</f>
        <v>373</v>
      </c>
      <c r="H62" s="167" t="str">
        <f>IF(AND($B62=H$3,$C62="Weak"),IF(PUF!$X60&gt;0,PUF!$X60,""),"")</f>
        <v/>
      </c>
      <c r="I62" s="167" t="str">
        <f>IF(AND($B62=I$3,$C62="Weak"),IF(PUF!$X60&gt;0,PUF!$X60,""),"")</f>
        <v/>
      </c>
      <c r="J62" s="167" t="str">
        <f>IF(AND($B62=J$3,$C62="Weak"),IF(PUF!$X60&gt;0,PUF!$X60,""),"")</f>
        <v/>
      </c>
      <c r="K62" s="167" t="str">
        <f>IF(AND($B62=K$3,$C62="Weak"),IF(PUF!$X60&gt;0,PUF!$X60,""),"")</f>
        <v/>
      </c>
      <c r="L62" s="167" t="str">
        <f>IF(AND($B62=L$3,$C62="Weak"),IF(PUF!$X60&gt;0,PUF!$X60,""),"")</f>
        <v/>
      </c>
      <c r="N62" s="11">
        <f t="shared" ref="N62:N79" si="11">D62</f>
        <v>2020</v>
      </c>
      <c r="O62" s="57" t="str">
        <f>IF(AND($B62=O$3,$C62="Weak"),IF(PUF!$M60&gt;0,PUF!$M60,""),"")</f>
        <v/>
      </c>
      <c r="P62" s="57" t="str">
        <f>IF(AND($B62=P$3,$C62="Weak"),IF(PUF!$M60&gt;0,PUF!$M60,""),"")</f>
        <v/>
      </c>
      <c r="Q62" s="57">
        <f>IF(AND($B62=Q$3,$C62="Weak"),IF(PUF!$M60&gt;0,PUF!$M60,""),"")</f>
        <v>0.21</v>
      </c>
      <c r="R62" s="57" t="str">
        <f>IF(AND($B62=R$3,$C62="Weak"),IF(PUF!$M60&gt;0,PUF!$M60,""),"")</f>
        <v/>
      </c>
      <c r="S62" s="57" t="str">
        <f>IF(AND($B62=S$3,$C62="Weak"),IF(PUF!$M60&gt;0,PUF!$M60,""),"")</f>
        <v/>
      </c>
      <c r="T62" s="57" t="str">
        <f>IF(AND($B62=T$3,$C62="Weak"),IF(PUF!$M60&gt;0,PUF!$M60,""),"")</f>
        <v/>
      </c>
      <c r="U62" s="57" t="str">
        <f>IF(AND($B62=U$3,$C62="Weak"),IF(PUF!$M60&gt;0,PUF!$M60,""),"")</f>
        <v/>
      </c>
      <c r="V62" s="57" t="str">
        <f>IF(AND($B62=V$3,$C62="Weak"),IF(PUF!$M60&gt;0,PUF!$M60,""),"")</f>
        <v/>
      </c>
      <c r="W62" s="168"/>
      <c r="X62" s="166">
        <f t="shared" ref="X62:X79" si="12">N62</f>
        <v>2020</v>
      </c>
      <c r="Y62" s="57" t="str">
        <f>IF(AND($B62=Y$3,$C62="Weak"),IF(PUF!$S60&gt;0,PUF!$S60,""),"")</f>
        <v/>
      </c>
      <c r="Z62" s="57" t="str">
        <f>IF(AND($B62=Z$3,$C62="Weak"),IF(PUF!$S60&gt;0,PUF!$S60,""),"")</f>
        <v/>
      </c>
      <c r="AA62" s="57">
        <f>IF(AND($B62=AA$3,$C62="Weak"),IF(PUF!$S60&gt;0,PUF!$S60,""),"")</f>
        <v>5.9899999999999999E-5</v>
      </c>
      <c r="AB62" s="57" t="str">
        <f>IF(AND($B62=AB$3,$C62="Weak"),IF(PUF!$S60&gt;0,PUF!$S60,""),"")</f>
        <v/>
      </c>
      <c r="AC62" s="57" t="str">
        <f>IF(AND($B62=AC$3,$C62="Weak"),IF(PUF!$S60&gt;0,PUF!$S60,""),"")</f>
        <v/>
      </c>
      <c r="AD62" s="57" t="str">
        <f>IF(AND($B62=AD$3,$C62="Weak"),IF(PUF!$S60&gt;0,PUF!$S60,""),"")</f>
        <v/>
      </c>
      <c r="AE62" s="57" t="str">
        <f>IF(AND($B62=AE$3,$C62="Weak"),IF(PUF!$S60&gt;0,PUF!$S60,""),"")</f>
        <v/>
      </c>
      <c r="AF62" s="57" t="str">
        <f>IF(AND($B62=AF$3,$C62="Weak"),IF(PUF!$S60&gt;0,PUF!$S60,""),"")</f>
        <v/>
      </c>
      <c r="AH62" s="210">
        <f t="shared" ref="AH62:AH79" si="13">D62</f>
        <v>2020</v>
      </c>
      <c r="AI62" s="211" t="str">
        <f>IF(AND($B62=AI$3,$C62="Weak"),IF(PUF!$U60&gt;0,PUF!$U60,""),"")</f>
        <v/>
      </c>
      <c r="AJ62" s="211" t="str">
        <f>IF(AND($B62=AJ$3,$C62="Weak"),IF(PUF!$U60&gt;0,PUF!$U60,""),"")</f>
        <v/>
      </c>
      <c r="AK62" s="211">
        <f>IF(AND($B62=AK$3,$C62="Weak"),IF(PUF!$U60&gt;0,PUF!$U60,""),"")</f>
        <v>128</v>
      </c>
      <c r="AL62" s="211" t="str">
        <f>IF(AND($B62=AL$3,$C62="Weak"),IF(PUF!$U60&gt;0,PUF!$U60,""),"")</f>
        <v/>
      </c>
      <c r="AM62" s="211" t="str">
        <f>IF(AND($B62=AM$3,$C62="Weak"),IF(PUF!$U60&gt;0,PUF!$U60,""),"")</f>
        <v/>
      </c>
      <c r="AN62" s="211" t="str">
        <f>IF(AND($B62=AN$3,$C62="Weak"),IF(PUF!$U60&gt;0,PUF!$U60,""),"")</f>
        <v/>
      </c>
      <c r="AO62" s="211" t="str">
        <f>IF(AND($B62=AO$3,$C62="Weak"),IF(PUF!$U60&gt;0,PUF!$U60,""),"")</f>
        <v/>
      </c>
      <c r="AP62" s="211" t="str">
        <f>IF(AND($B62=AP$3,$C62="Weak"),IF(PUF!$U60&gt;0,PUF!$U60,""),"")</f>
        <v/>
      </c>
      <c r="BB62" s="166">
        <f t="shared" si="9"/>
        <v>2020</v>
      </c>
      <c r="BC62" s="57" t="str">
        <f>IF(AND($B62=BC$3,$C62="Strong"),IF(PUF!$X61&gt;0,PUF!$X61,""),"")</f>
        <v/>
      </c>
      <c r="BD62" s="57" t="str">
        <f>IF(AND($B62=BD$3,$C62="Strong"),IF(PUF!$X61&gt;0,PUF!$X61,""),"")</f>
        <v/>
      </c>
      <c r="BE62" s="57" t="str">
        <f>IF(AND($B62=BE$3,$C62="Strong"),IF(PUF!$X61&gt;0,PUF!$X61,""),"")</f>
        <v/>
      </c>
      <c r="BF62" s="57" t="str">
        <f>IF(AND($B62=BF$3,$C62="Strong"),IF(PUF!$X61&gt;0,PUF!$X61,""),"")</f>
        <v/>
      </c>
      <c r="BG62" s="57" t="str">
        <f>IF(AND($B62=BG$3,$C62="Strong"),IF(PUF!$X61&gt;0,PUF!$X61,""),"")</f>
        <v/>
      </c>
      <c r="BH62" s="57" t="str">
        <f>IF(AND($B62=BH$3,$C62="Strong"),IF(PUF!$X61&gt;0,PUF!$X61,""),"")</f>
        <v/>
      </c>
      <c r="BI62" s="57" t="str">
        <f>IF(AND($B62=BI$3,$C62="Strong"),IF(PUF!$X61&gt;0,PUF!$X61,""),"")</f>
        <v/>
      </c>
      <c r="BJ62" s="57" t="str">
        <f>IF(AND($B62=BJ$3,$C62="Strong"),IF(PUF!$X61&gt;0,PUF!$X61,""),"")</f>
        <v/>
      </c>
      <c r="BL62" s="166">
        <f t="shared" si="10"/>
        <v>2020</v>
      </c>
      <c r="BM62" s="57" t="str">
        <f>IF(AND($B62=BM$3,$C62="Strong"),IF(PUF!$M61&gt;0,PUF!$M61,""),"")</f>
        <v/>
      </c>
      <c r="BN62" s="57" t="str">
        <f>IF(AND($B62=BN$3,$C62="Strong"),IF(PUF!$M61&gt;0,PUF!$M61,""),"")</f>
        <v/>
      </c>
      <c r="BO62" s="57" t="str">
        <f>IF(AND($B62=BO$3,$C62="Strong"),IF(PUF!$M61&gt;0,PUF!$M61,""),"")</f>
        <v/>
      </c>
      <c r="BP62" s="57" t="str">
        <f>IF(AND($B62=BP$3,$C62="Strong"),IF(PUF!$M61&gt;0,PUF!$M61,""),"")</f>
        <v/>
      </c>
      <c r="BQ62" s="57" t="str">
        <f>IF(AND($B62=BQ$3,$C62="Strong"),IF(PUF!$M61&gt;0,PUF!$M61,""),"")</f>
        <v/>
      </c>
      <c r="BR62" s="57" t="str">
        <f>IF(AND($B62=BR$3,$C62="Strong"),IF(PUF!$M61&gt;0,PUF!$M61,""),"")</f>
        <v/>
      </c>
      <c r="BS62" s="57" t="str">
        <f>IF(AND($B62=BS$3,$C62="Strong"),IF(PUF!$M61&gt;0,PUF!$M61,""),"")</f>
        <v/>
      </c>
      <c r="BT62" s="57" t="str">
        <f>IF(AND($B62=BT$3,$C62="Strong"),IF(PUF!$M61&gt;0,PUF!$M61,""),"")</f>
        <v/>
      </c>
      <c r="BV62" s="166">
        <f t="shared" si="5"/>
        <v>2020</v>
      </c>
      <c r="BW62" s="57" t="str">
        <f>IF(AND($B62=BW$3,$C62="Strong"),IF(PUF!$S61&gt;0,PUF!$S61,""),"")</f>
        <v/>
      </c>
      <c r="BX62" s="57" t="str">
        <f>IF(AND($B62=BX$3,$C62="Strong"),IF(PUF!$S61&gt;0,PUF!$S61,""),"")</f>
        <v/>
      </c>
      <c r="BY62" s="57" t="str">
        <f>IF(AND($B62=BY$3,$C62="Strong"),IF(PUF!$S61&gt;0,PUF!$S61,""),"")</f>
        <v/>
      </c>
      <c r="BZ62" s="57" t="str">
        <f>IF(AND($B62=BZ$3,$C62="Strong"),IF(PUF!$S61&gt;0,PUF!$S61,""),"")</f>
        <v/>
      </c>
      <c r="CA62" s="57" t="str">
        <f>IF(AND($B62=CA$3,$C62="Strong"),IF(PUF!$S61&gt;0,PUF!$S61,""),"")</f>
        <v/>
      </c>
      <c r="CB62" s="57" t="str">
        <f>IF(AND($B62=CB$3,$C62="Strong"),IF(PUF!$S61&gt;0,PUF!$S61,""),"")</f>
        <v/>
      </c>
      <c r="CC62" s="57" t="str">
        <f>IF(AND($B62=CC$3,$C62="Strong"),IF(PUF!$S61&gt;0,PUF!$S61,""),"")</f>
        <v/>
      </c>
      <c r="CD62" s="57" t="str">
        <f>IF(AND($B62=CD$3,$C62="Strong"),IF(PUF!$S61&gt;0,PUF!$S61,""),"")</f>
        <v/>
      </c>
      <c r="CF62" s="11">
        <f t="shared" si="6"/>
        <v>2020</v>
      </c>
      <c r="CG62" s="57" t="str">
        <f>IF(AND($B62=CG$3,$C62="Strong"),IF(PUF!$U61&gt;0,PUF!$U61,""),"")</f>
        <v/>
      </c>
      <c r="CH62" s="57" t="str">
        <f>IF(AND($B62=CH$3,$C62="Strong"),IF(PUF!$U61&gt;0,PUF!$U61,""),"")</f>
        <v/>
      </c>
      <c r="CI62" s="57" t="str">
        <f>IF(AND($B62=CI$3,$C62="Strong"),IF(PUF!$U61&gt;0,PUF!$U61,""),"")</f>
        <v/>
      </c>
      <c r="CJ62" s="57" t="str">
        <f>IF(AND($B62=CJ$3,$C62="Strong"),IF(PUF!$U61&gt;0,PUF!$U61,""),"")</f>
        <v/>
      </c>
      <c r="CK62" s="57" t="str">
        <f>IF(AND($B62=CK$3,$C62="Strong"),IF(PUF!$U61&gt;0,PUF!$U61,""),"")</f>
        <v/>
      </c>
      <c r="CL62" s="57" t="str">
        <f>IF(AND($B62=CL$3,$C62="Strong"),IF(PUF!$U61&gt;0,PUF!$U61,""),"")</f>
        <v/>
      </c>
      <c r="CM62" s="57" t="str">
        <f>IF(AND($B62=CM$3,$C62="Strong"),IF(PUF!$U61&gt;0,PUF!$U61,""),"")</f>
        <v/>
      </c>
      <c r="CN62" s="57" t="str">
        <f>IF(AND($B62=CN$3,$C62="Strong"),IF(PUF!$U61&gt;0,PUF!$U61,""),"")</f>
        <v/>
      </c>
    </row>
    <row r="63" spans="1:92" x14ac:dyDescent="0.3">
      <c r="A63" s="6">
        <f>PUF!A61</f>
        <v>60</v>
      </c>
      <c r="B63" s="6" t="str">
        <f>PUF!G61</f>
        <v>memory (volatile)</v>
      </c>
      <c r="C63" t="str">
        <f>PUF!AL61</f>
        <v>Weak</v>
      </c>
      <c r="D63" s="166">
        <f>PUF!C61</f>
        <v>2020</v>
      </c>
      <c r="E63" s="167" t="str">
        <f>IF(AND($B63=E$3,$C63="Weak"),IF(PUF!$X61&gt;0,PUF!$X61,""),"")</f>
        <v/>
      </c>
      <c r="F63" s="167" t="str">
        <f>IF(AND($B63=F$3,$C63="Weak"),IF(PUF!$X61&gt;0,PUF!$X61,""),"")</f>
        <v/>
      </c>
      <c r="G63" s="167">
        <f>IF(AND($B63=G$3,$C63="Weak"),IF(PUF!$X61&gt;0,PUF!$X61,""),"")</f>
        <v>497</v>
      </c>
      <c r="H63" s="167" t="str">
        <f>IF(AND($B63=H$3,$C63="Weak"),IF(PUF!$X61&gt;0,PUF!$X61,""),"")</f>
        <v/>
      </c>
      <c r="I63" s="167" t="str">
        <f>IF(AND($B63=I$3,$C63="Weak"),IF(PUF!$X61&gt;0,PUF!$X61,""),"")</f>
        <v/>
      </c>
      <c r="J63" s="167" t="str">
        <f>IF(AND($B63=J$3,$C63="Weak"),IF(PUF!$X61&gt;0,PUF!$X61,""),"")</f>
        <v/>
      </c>
      <c r="K63" s="167" t="str">
        <f>IF(AND($B63=K$3,$C63="Weak"),IF(PUF!$X61&gt;0,PUF!$X61,""),"")</f>
        <v/>
      </c>
      <c r="L63" s="167" t="str">
        <f>IF(AND($B63=L$3,$C63="Weak"),IF(PUF!$X61&gt;0,PUF!$X61,""),"")</f>
        <v/>
      </c>
      <c r="N63" s="11">
        <f t="shared" si="11"/>
        <v>2020</v>
      </c>
      <c r="O63" s="57" t="str">
        <f>IF(AND($B63=O$3,$C63="Weak"),IF(PUF!$M61&gt;0,PUF!$M61,""),"")</f>
        <v/>
      </c>
      <c r="P63" s="57" t="str">
        <f>IF(AND($B63=P$3,$C63="Weak"),IF(PUF!$M61&gt;0,PUF!$M61,""),"")</f>
        <v/>
      </c>
      <c r="Q63" s="57">
        <f>IF(AND($B63=Q$3,$C63="Weak"),IF(PUF!$M61&gt;0,PUF!$M61,""),"")</f>
        <v>0.28999999999999998</v>
      </c>
      <c r="R63" s="57" t="str">
        <f>IF(AND($B63=R$3,$C63="Weak"),IF(PUF!$M61&gt;0,PUF!$M61,""),"")</f>
        <v/>
      </c>
      <c r="S63" s="57" t="str">
        <f>IF(AND($B63=S$3,$C63="Weak"),IF(PUF!$M61&gt;0,PUF!$M61,""),"")</f>
        <v/>
      </c>
      <c r="T63" s="57" t="str">
        <f>IF(AND($B63=T$3,$C63="Weak"),IF(PUF!$M61&gt;0,PUF!$M61,""),"")</f>
        <v/>
      </c>
      <c r="U63" s="57" t="str">
        <f>IF(AND($B63=U$3,$C63="Weak"),IF(PUF!$M61&gt;0,PUF!$M61,""),"")</f>
        <v/>
      </c>
      <c r="V63" s="57" t="str">
        <f>IF(AND($B63=V$3,$C63="Weak"),IF(PUF!$M61&gt;0,PUF!$M61,""),"")</f>
        <v/>
      </c>
      <c r="W63" s="168"/>
      <c r="X63" s="166">
        <f t="shared" si="12"/>
        <v>2020</v>
      </c>
      <c r="Y63" s="57" t="str">
        <f>IF(AND($B63=Y$3,$C63="Weak"),IF(PUF!$S61&gt;0,PUF!$S61,""),"")</f>
        <v/>
      </c>
      <c r="Z63" s="57" t="str">
        <f>IF(AND($B63=Z$3,$C63="Weak"),IF(PUF!$S61&gt;0,PUF!$S61,""),"")</f>
        <v/>
      </c>
      <c r="AA63" s="57">
        <f>IF(AND($B63=AA$3,$C63="Weak"),IF(PUF!$S61&gt;0,PUF!$S61,""),"")</f>
        <v>3.9100000000000002E-5</v>
      </c>
      <c r="AB63" s="57" t="str">
        <f>IF(AND($B63=AB$3,$C63="Weak"),IF(PUF!$S61&gt;0,PUF!$S61,""),"")</f>
        <v/>
      </c>
      <c r="AC63" s="57" t="str">
        <f>IF(AND($B63=AC$3,$C63="Weak"),IF(PUF!$S61&gt;0,PUF!$S61,""),"")</f>
        <v/>
      </c>
      <c r="AD63" s="57" t="str">
        <f>IF(AND($B63=AD$3,$C63="Weak"),IF(PUF!$S61&gt;0,PUF!$S61,""),"")</f>
        <v/>
      </c>
      <c r="AE63" s="57" t="str">
        <f>IF(AND($B63=AE$3,$C63="Weak"),IF(PUF!$S61&gt;0,PUF!$S61,""),"")</f>
        <v/>
      </c>
      <c r="AF63" s="57" t="str">
        <f>IF(AND($B63=AF$3,$C63="Weak"),IF(PUF!$S61&gt;0,PUF!$S61,""),"")</f>
        <v/>
      </c>
      <c r="AH63" s="210">
        <f t="shared" si="13"/>
        <v>2020</v>
      </c>
      <c r="AI63" s="211" t="str">
        <f>IF(AND($B63=AI$3,$C63="Weak"),IF(PUF!$U61&gt;0,PUF!$U61,""),"")</f>
        <v/>
      </c>
      <c r="AJ63" s="211" t="str">
        <f>IF(AND($B63=AJ$3,$C63="Weak"),IF(PUF!$U61&gt;0,PUF!$U61,""),"")</f>
        <v/>
      </c>
      <c r="AK63" s="211">
        <f>IF(AND($B63=AK$3,$C63="Weak"),IF(PUF!$U61&gt;0,PUF!$U61,""),"")</f>
        <v>1.5299999999999999E-2</v>
      </c>
      <c r="AL63" s="211" t="str">
        <f>IF(AND($B63=AL$3,$C63="Weak"),IF(PUF!$U61&gt;0,PUF!$U61,""),"")</f>
        <v/>
      </c>
      <c r="AM63" s="211" t="str">
        <f>IF(AND($B63=AM$3,$C63="Weak"),IF(PUF!$U61&gt;0,PUF!$U61,""),"")</f>
        <v/>
      </c>
      <c r="AN63" s="211" t="str">
        <f>IF(AND($B63=AN$3,$C63="Weak"),IF(PUF!$U61&gt;0,PUF!$U61,""),"")</f>
        <v/>
      </c>
      <c r="AO63" s="211" t="str">
        <f>IF(AND($B63=AO$3,$C63="Weak"),IF(PUF!$U61&gt;0,PUF!$U61,""),"")</f>
        <v/>
      </c>
      <c r="AP63" s="211" t="str">
        <f>IF(AND($B63=AP$3,$C63="Weak"),IF(PUF!$U61&gt;0,PUF!$U61,""),"")</f>
        <v/>
      </c>
      <c r="BB63" s="166">
        <f t="shared" si="9"/>
        <v>2020</v>
      </c>
      <c r="BC63" s="57" t="str">
        <f>IF(AND($B63=BC$3,$C63="Strong"),IF(PUF!$X62&gt;0,PUF!$X62,""),"")</f>
        <v/>
      </c>
      <c r="BD63" s="57" t="str">
        <f>IF(AND($B63=BD$3,$C63="Strong"),IF(PUF!$X62&gt;0,PUF!$X62,""),"")</f>
        <v/>
      </c>
      <c r="BE63" s="57" t="str">
        <f>IF(AND($B63=BE$3,$C63="Strong"),IF(PUF!$X62&gt;0,PUF!$X62,""),"")</f>
        <v/>
      </c>
      <c r="BF63" s="57" t="str">
        <f>IF(AND($B63=BF$3,$C63="Strong"),IF(PUF!$X62&gt;0,PUF!$X62,""),"")</f>
        <v/>
      </c>
      <c r="BG63" s="57" t="str">
        <f>IF(AND($B63=BG$3,$C63="Strong"),IF(PUF!$X62&gt;0,PUF!$X62,""),"")</f>
        <v/>
      </c>
      <c r="BH63" s="57" t="str">
        <f>IF(AND($B63=BH$3,$C63="Strong"),IF(PUF!$X62&gt;0,PUF!$X62,""),"")</f>
        <v/>
      </c>
      <c r="BI63" s="57" t="str">
        <f>IF(AND($B63=BI$3,$C63="Strong"),IF(PUF!$X62&gt;0,PUF!$X62,""),"")</f>
        <v/>
      </c>
      <c r="BJ63" s="57" t="str">
        <f>IF(AND($B63=BJ$3,$C63="Strong"),IF(PUF!$X62&gt;0,PUF!$X62,""),"")</f>
        <v/>
      </c>
      <c r="BL63" s="166">
        <f t="shared" si="10"/>
        <v>2020</v>
      </c>
      <c r="BM63" s="57" t="str">
        <f>IF(AND($B63=BM$3,$C63="Strong"),IF(PUF!$M62&gt;0,PUF!$M62,""),"")</f>
        <v/>
      </c>
      <c r="BN63" s="57" t="str">
        <f>IF(AND($B63=BN$3,$C63="Strong"),IF(PUF!$M62&gt;0,PUF!$M62,""),"")</f>
        <v/>
      </c>
      <c r="BO63" s="57" t="str">
        <f>IF(AND($B63=BO$3,$C63="Strong"),IF(PUF!$M62&gt;0,PUF!$M62,""),"")</f>
        <v/>
      </c>
      <c r="BP63" s="57" t="str">
        <f>IF(AND($B63=BP$3,$C63="Strong"),IF(PUF!$M62&gt;0,PUF!$M62,""),"")</f>
        <v/>
      </c>
      <c r="BQ63" s="57" t="str">
        <f>IF(AND($B63=BQ$3,$C63="Strong"),IF(PUF!$M62&gt;0,PUF!$M62,""),"")</f>
        <v/>
      </c>
      <c r="BR63" s="57" t="str">
        <f>IF(AND($B63=BR$3,$C63="Strong"),IF(PUF!$M62&gt;0,PUF!$M62,""),"")</f>
        <v/>
      </c>
      <c r="BS63" s="57" t="str">
        <f>IF(AND($B63=BS$3,$C63="Strong"),IF(PUF!$M62&gt;0,PUF!$M62,""),"")</f>
        <v/>
      </c>
      <c r="BT63" s="57" t="str">
        <f>IF(AND($B63=BT$3,$C63="Strong"),IF(PUF!$M62&gt;0,PUF!$M62,""),"")</f>
        <v/>
      </c>
      <c r="BV63" s="166">
        <f t="shared" si="5"/>
        <v>2020</v>
      </c>
      <c r="BW63" s="57" t="str">
        <f>IF(AND($B63=BW$3,$C63="Strong"),IF(PUF!$S62&gt;0,PUF!$S62,""),"")</f>
        <v/>
      </c>
      <c r="BX63" s="57" t="str">
        <f>IF(AND($B63=BX$3,$C63="Strong"),IF(PUF!$S62&gt;0,PUF!$S62,""),"")</f>
        <v/>
      </c>
      <c r="BY63" s="57" t="str">
        <f>IF(AND($B63=BY$3,$C63="Strong"),IF(PUF!$S62&gt;0,PUF!$S62,""),"")</f>
        <v/>
      </c>
      <c r="BZ63" s="57" t="str">
        <f>IF(AND($B63=BZ$3,$C63="Strong"),IF(PUF!$S62&gt;0,PUF!$S62,""),"")</f>
        <v/>
      </c>
      <c r="CA63" s="57" t="str">
        <f>IF(AND($B63=CA$3,$C63="Strong"),IF(PUF!$S62&gt;0,PUF!$S62,""),"")</f>
        <v/>
      </c>
      <c r="CB63" s="57" t="str">
        <f>IF(AND($B63=CB$3,$C63="Strong"),IF(PUF!$S62&gt;0,PUF!$S62,""),"")</f>
        <v/>
      </c>
      <c r="CC63" s="57" t="str">
        <f>IF(AND($B63=CC$3,$C63="Strong"),IF(PUF!$S62&gt;0,PUF!$S62,""),"")</f>
        <v/>
      </c>
      <c r="CD63" s="57" t="str">
        <f>IF(AND($B63=CD$3,$C63="Strong"),IF(PUF!$S62&gt;0,PUF!$S62,""),"")</f>
        <v/>
      </c>
      <c r="CF63" s="11">
        <f t="shared" si="6"/>
        <v>2020</v>
      </c>
      <c r="CG63" s="57" t="str">
        <f>IF(AND($B63=CG$3,$C63="Strong"),IF(PUF!$U62&gt;0,PUF!$U62,""),"")</f>
        <v/>
      </c>
      <c r="CH63" s="57" t="str">
        <f>IF(AND($B63=CH$3,$C63="Strong"),IF(PUF!$U62&gt;0,PUF!$U62,""),"")</f>
        <v/>
      </c>
      <c r="CI63" s="57" t="str">
        <f>IF(AND($B63=CI$3,$C63="Strong"),IF(PUF!$U62&gt;0,PUF!$U62,""),"")</f>
        <v/>
      </c>
      <c r="CJ63" s="57" t="str">
        <f>IF(AND($B63=CJ$3,$C63="Strong"),IF(PUF!$U62&gt;0,PUF!$U62,""),"")</f>
        <v/>
      </c>
      <c r="CK63" s="57" t="str">
        <f>IF(AND($B63=CK$3,$C63="Strong"),IF(PUF!$U62&gt;0,PUF!$U62,""),"")</f>
        <v/>
      </c>
      <c r="CL63" s="57" t="str">
        <f>IF(AND($B63=CL$3,$C63="Strong"),IF(PUF!$U62&gt;0,PUF!$U62,""),"")</f>
        <v/>
      </c>
      <c r="CM63" s="57" t="str">
        <f>IF(AND($B63=CM$3,$C63="Strong"),IF(PUF!$U62&gt;0,PUF!$U62,""),"")</f>
        <v/>
      </c>
      <c r="CN63" s="57" t="str">
        <f>IF(AND($B63=CN$3,$C63="Strong"),IF(PUF!$U62&gt;0,PUF!$U62,""),"")</f>
        <v/>
      </c>
    </row>
    <row r="64" spans="1:92" x14ac:dyDescent="0.3">
      <c r="A64" s="6">
        <f>PUF!A62</f>
        <v>61</v>
      </c>
      <c r="B64" s="6" t="str">
        <f>PUF!G62</f>
        <v>monostable</v>
      </c>
      <c r="C64" t="str">
        <f>PUF!AL62</f>
        <v>Weak</v>
      </c>
      <c r="D64" s="166">
        <f>PUF!C62</f>
        <v>2020</v>
      </c>
      <c r="E64" s="167" t="str">
        <f>IF(AND($B64=E$3,$C64="Weak"),IF(PUF!$X62&gt;0,PUF!$X62,""),"")</f>
        <v/>
      </c>
      <c r="F64" s="167" t="str">
        <f>IF(AND($B64=F$3,$C64="Weak"),IF(PUF!$X62&gt;0,PUF!$X62,""),"")</f>
        <v/>
      </c>
      <c r="G64" s="167" t="str">
        <f>IF(AND($B64=G$3,$C64="Weak"),IF(PUF!$X62&gt;0,PUF!$X62,""),"")</f>
        <v/>
      </c>
      <c r="H64" s="167" t="str">
        <f>IF(AND($B64=H$3,$C64="Weak"),IF(PUF!$X62&gt;0,PUF!$X62,""),"")</f>
        <v/>
      </c>
      <c r="I64" s="167">
        <f>IF(AND($B64=I$3,$C64="Weak"),IF(PUF!$X62&gt;0,PUF!$X62,""),"")</f>
        <v>3643</v>
      </c>
      <c r="J64" s="167" t="str">
        <f>IF(AND($B64=J$3,$C64="Weak"),IF(PUF!$X62&gt;0,PUF!$X62,""),"")</f>
        <v/>
      </c>
      <c r="K64" s="167" t="str">
        <f>IF(AND($B64=K$3,$C64="Weak"),IF(PUF!$X62&gt;0,PUF!$X62,""),"")</f>
        <v/>
      </c>
      <c r="L64" s="167" t="str">
        <f>IF(AND($B64=L$3,$C64="Weak"),IF(PUF!$X62&gt;0,PUF!$X62,""),"")</f>
        <v/>
      </c>
      <c r="N64" s="11">
        <f t="shared" si="11"/>
        <v>2020</v>
      </c>
      <c r="O64" s="57" t="str">
        <f>IF(AND($B64=O$3,$C64="Weak"),IF(PUF!$M62&gt;0,PUF!$M62,""),"")</f>
        <v/>
      </c>
      <c r="P64" s="57" t="str">
        <f>IF(AND($B64=P$3,$C64="Weak"),IF(PUF!$M62&gt;0,PUF!$M62,""),"")</f>
        <v/>
      </c>
      <c r="Q64" s="57" t="str">
        <f>IF(AND($B64=Q$3,$C64="Weak"),IF(PUF!$M62&gt;0,PUF!$M62,""),"")</f>
        <v/>
      </c>
      <c r="R64" s="57" t="str">
        <f>IF(AND($B64=R$3,$C64="Weak"),IF(PUF!$M62&gt;0,PUF!$M62,""),"")</f>
        <v/>
      </c>
      <c r="S64" s="57">
        <f>IF(AND($B64=S$3,$C64="Weak"),IF(PUF!$M62&gt;0,PUF!$M62,""),"")</f>
        <v>0.8</v>
      </c>
      <c r="T64" s="57" t="str">
        <f>IF(AND($B64=T$3,$C64="Weak"),IF(PUF!$M62&gt;0,PUF!$M62,""),"")</f>
        <v/>
      </c>
      <c r="U64" s="57" t="str">
        <f>IF(AND($B64=U$3,$C64="Weak"),IF(PUF!$M62&gt;0,PUF!$M62,""),"")</f>
        <v/>
      </c>
      <c r="V64" s="57" t="str">
        <f>IF(AND($B64=V$3,$C64="Weak"),IF(PUF!$M62&gt;0,PUF!$M62,""),"")</f>
        <v/>
      </c>
      <c r="W64" s="168"/>
      <c r="X64" s="166">
        <f t="shared" si="12"/>
        <v>2020</v>
      </c>
      <c r="Y64" s="57" t="str">
        <f>IF(AND($B64=Y$3,$C64="Weak"),IF(PUF!$S62&gt;0,PUF!$S62,""),"")</f>
        <v/>
      </c>
      <c r="Z64" s="57" t="str">
        <f>IF(AND($B64=Z$3,$C64="Weak"),IF(PUF!$S62&gt;0,PUF!$S62,""),"")</f>
        <v/>
      </c>
      <c r="AA64" s="57" t="str">
        <f>IF(AND($B64=AA$3,$C64="Weak"),IF(PUF!$S62&gt;0,PUF!$S62,""),"")</f>
        <v/>
      </c>
      <c r="AB64" s="57" t="str">
        <f>IF(AND($B64=AB$3,$C64="Weak"),IF(PUF!$S62&gt;0,PUF!$S62,""),"")</f>
        <v/>
      </c>
      <c r="AC64" s="57">
        <f>IF(AND($B64=AC$3,$C64="Weak"),IF(PUF!$S62&gt;0,PUF!$S62,""),"")</f>
        <v>5.0000000000000001E-4</v>
      </c>
      <c r="AD64" s="57" t="str">
        <f>IF(AND($B64=AD$3,$C64="Weak"),IF(PUF!$S62&gt;0,PUF!$S62,""),"")</f>
        <v/>
      </c>
      <c r="AE64" s="57" t="str">
        <f>IF(AND($B64=AE$3,$C64="Weak"),IF(PUF!$S62&gt;0,PUF!$S62,""),"")</f>
        <v/>
      </c>
      <c r="AF64" s="57" t="str">
        <f>IF(AND($B64=AF$3,$C64="Weak"),IF(PUF!$S62&gt;0,PUF!$S62,""),"")</f>
        <v/>
      </c>
      <c r="AH64" s="210">
        <f t="shared" si="13"/>
        <v>2020</v>
      </c>
      <c r="AI64" s="211" t="str">
        <f>IF(AND($B64=AI$3,$C64="Weak"),IF(PUF!$U62&gt;0,PUF!$U62,""),"")</f>
        <v/>
      </c>
      <c r="AJ64" s="211" t="str">
        <f>IF(AND($B64=AJ$3,$C64="Weak"),IF(PUF!$U62&gt;0,PUF!$U62,""),"")</f>
        <v/>
      </c>
      <c r="AK64" s="211" t="str">
        <f>IF(AND($B64=AK$3,$C64="Weak"),IF(PUF!$U62&gt;0,PUF!$U62,""),"")</f>
        <v/>
      </c>
      <c r="AL64" s="211" t="str">
        <f>IF(AND($B64=AL$3,$C64="Weak"),IF(PUF!$U62&gt;0,PUF!$U62,""),"")</f>
        <v/>
      </c>
      <c r="AM64" s="211">
        <f>IF(AND($B64=AM$3,$C64="Weak"),IF(PUF!$U62&gt;0,PUF!$U62,""),"")</f>
        <v>1E-3</v>
      </c>
      <c r="AN64" s="211" t="str">
        <f>IF(AND($B64=AN$3,$C64="Weak"),IF(PUF!$U62&gt;0,PUF!$U62,""),"")</f>
        <v/>
      </c>
      <c r="AO64" s="211" t="str">
        <f>IF(AND($B64=AO$3,$C64="Weak"),IF(PUF!$U62&gt;0,PUF!$U62,""),"")</f>
        <v/>
      </c>
      <c r="AP64" s="211" t="str">
        <f>IF(AND($B64=AP$3,$C64="Weak"),IF(PUF!$U62&gt;0,PUF!$U62,""),"")</f>
        <v/>
      </c>
      <c r="BB64" s="166">
        <f t="shared" si="9"/>
        <v>2020</v>
      </c>
      <c r="BC64" s="57" t="str">
        <f>IF(AND($B64=BC$3,$C64="Strong"),IF(PUF!$X63&gt;0,PUF!$X63,""),"")</f>
        <v/>
      </c>
      <c r="BD64" s="57" t="str">
        <f>IF(AND($B64=BD$3,$C64="Strong"),IF(PUF!$X63&gt;0,PUF!$X63,""),"")</f>
        <v/>
      </c>
      <c r="BE64" s="57" t="str">
        <f>IF(AND($B64=BE$3,$C64="Strong"),IF(PUF!$X63&gt;0,PUF!$X63,""),"")</f>
        <v/>
      </c>
      <c r="BF64" s="57" t="str">
        <f>IF(AND($B64=BF$3,$C64="Strong"),IF(PUF!$X63&gt;0,PUF!$X63,""),"")</f>
        <v/>
      </c>
      <c r="BG64" s="57" t="str">
        <f>IF(AND($B64=BG$3,$C64="Strong"),IF(PUF!$X63&gt;0,PUF!$X63,""),"")</f>
        <v/>
      </c>
      <c r="BH64" s="57" t="str">
        <f>IF(AND($B64=BH$3,$C64="Strong"),IF(PUF!$X63&gt;0,PUF!$X63,""),"")</f>
        <v/>
      </c>
      <c r="BI64" s="57" t="str">
        <f>IF(AND($B64=BI$3,$C64="Strong"),IF(PUF!$X63&gt;0,PUF!$X63,""),"")</f>
        <v/>
      </c>
      <c r="BJ64" s="57" t="str">
        <f>IF(AND($B64=BJ$3,$C64="Strong"),IF(PUF!$X63&gt;0,PUF!$X63,""),"")</f>
        <v/>
      </c>
      <c r="BL64" s="166">
        <f t="shared" si="10"/>
        <v>2020</v>
      </c>
      <c r="BM64" s="57" t="str">
        <f>IF(AND($B64=BM$3,$C64="Strong"),IF(PUF!$M63&gt;0,PUF!$M63,""),"")</f>
        <v/>
      </c>
      <c r="BN64" s="57" t="str">
        <f>IF(AND($B64=BN$3,$C64="Strong"),IF(PUF!$M63&gt;0,PUF!$M63,""),"")</f>
        <v/>
      </c>
      <c r="BO64" s="57" t="str">
        <f>IF(AND($B64=BO$3,$C64="Strong"),IF(PUF!$M63&gt;0,PUF!$M63,""),"")</f>
        <v/>
      </c>
      <c r="BP64" s="57" t="str">
        <f>IF(AND($B64=BP$3,$C64="Strong"),IF(PUF!$M63&gt;0,PUF!$M63,""),"")</f>
        <v/>
      </c>
      <c r="BQ64" s="57" t="str">
        <f>IF(AND($B64=BQ$3,$C64="Strong"),IF(PUF!$M63&gt;0,PUF!$M63,""),"")</f>
        <v/>
      </c>
      <c r="BR64" s="57" t="str">
        <f>IF(AND($B64=BR$3,$C64="Strong"),IF(PUF!$M63&gt;0,PUF!$M63,""),"")</f>
        <v/>
      </c>
      <c r="BS64" s="57" t="str">
        <f>IF(AND($B64=BS$3,$C64="Strong"),IF(PUF!$M63&gt;0,PUF!$M63,""),"")</f>
        <v/>
      </c>
      <c r="BT64" s="57" t="str">
        <f>IF(AND($B64=BT$3,$C64="Strong"),IF(PUF!$M63&gt;0,PUF!$M63,""),"")</f>
        <v/>
      </c>
      <c r="BV64" s="166">
        <f t="shared" si="5"/>
        <v>2020</v>
      </c>
      <c r="BW64" s="57" t="str">
        <f>IF(AND($B64=BW$3,$C64="Strong"),IF(PUF!$S63&gt;0,PUF!$S63,""),"")</f>
        <v/>
      </c>
      <c r="BX64" s="57" t="str">
        <f>IF(AND($B64=BX$3,$C64="Strong"),IF(PUF!$S63&gt;0,PUF!$S63,""),"")</f>
        <v/>
      </c>
      <c r="BY64" s="57" t="str">
        <f>IF(AND($B64=BY$3,$C64="Strong"),IF(PUF!$S63&gt;0,PUF!$S63,""),"")</f>
        <v/>
      </c>
      <c r="BZ64" s="57" t="str">
        <f>IF(AND($B64=BZ$3,$C64="Strong"),IF(PUF!$S63&gt;0,PUF!$S63,""),"")</f>
        <v/>
      </c>
      <c r="CA64" s="57" t="str">
        <f>IF(AND($B64=CA$3,$C64="Strong"),IF(PUF!$S63&gt;0,PUF!$S63,""),"")</f>
        <v/>
      </c>
      <c r="CB64" s="57" t="str">
        <f>IF(AND($B64=CB$3,$C64="Strong"),IF(PUF!$S63&gt;0,PUF!$S63,""),"")</f>
        <v/>
      </c>
      <c r="CC64" s="57" t="str">
        <f>IF(AND($B64=CC$3,$C64="Strong"),IF(PUF!$S63&gt;0,PUF!$S63,""),"")</f>
        <v/>
      </c>
      <c r="CD64" s="57" t="str">
        <f>IF(AND($B64=CD$3,$C64="Strong"),IF(PUF!$S63&gt;0,PUF!$S63,""),"")</f>
        <v/>
      </c>
      <c r="CF64" s="11">
        <f t="shared" si="6"/>
        <v>2020</v>
      </c>
      <c r="CG64" s="57" t="str">
        <f>IF(AND($B64=CG$3,$C64="Strong"),IF(PUF!$U63&gt;0,PUF!$U63,""),"")</f>
        <v/>
      </c>
      <c r="CH64" s="57" t="str">
        <f>IF(AND($B64=CH$3,$C64="Strong"),IF(PUF!$U63&gt;0,PUF!$U63,""),"")</f>
        <v/>
      </c>
      <c r="CI64" s="57" t="str">
        <f>IF(AND($B64=CI$3,$C64="Strong"),IF(PUF!$U63&gt;0,PUF!$U63,""),"")</f>
        <v/>
      </c>
      <c r="CJ64" s="57" t="str">
        <f>IF(AND($B64=CJ$3,$C64="Strong"),IF(PUF!$U63&gt;0,PUF!$U63,""),"")</f>
        <v/>
      </c>
      <c r="CK64" s="57" t="str">
        <f>IF(AND($B64=CK$3,$C64="Strong"),IF(PUF!$U63&gt;0,PUF!$U63,""),"")</f>
        <v/>
      </c>
      <c r="CL64" s="57" t="str">
        <f>IF(AND($B64=CL$3,$C64="Strong"),IF(PUF!$U63&gt;0,PUF!$U63,""),"")</f>
        <v/>
      </c>
      <c r="CM64" s="57" t="str">
        <f>IF(AND($B64=CM$3,$C64="Strong"),IF(PUF!$U63&gt;0,PUF!$U63,""),"")</f>
        <v/>
      </c>
      <c r="CN64" s="57" t="str">
        <f>IF(AND($B64=CN$3,$C64="Strong"),IF(PUF!$U63&gt;0,PUF!$U63,""),"")</f>
        <v/>
      </c>
    </row>
    <row r="65" spans="1:92" x14ac:dyDescent="0.3">
      <c r="A65" s="6">
        <f>PUF!A63</f>
        <v>62</v>
      </c>
      <c r="B65" s="6" t="str">
        <f>PUF!G63</f>
        <v>memory (volatile)</v>
      </c>
      <c r="C65" t="str">
        <f>PUF!AL63</f>
        <v>Weak</v>
      </c>
      <c r="D65" s="166">
        <f>PUF!C63</f>
        <v>2021</v>
      </c>
      <c r="E65" s="167" t="str">
        <f>IF(AND($B65=E$3,$C65="Weak"),IF(PUF!$X63&gt;0,PUF!$X63,""),"")</f>
        <v/>
      </c>
      <c r="F65" s="167" t="str">
        <f>IF(AND($B65=F$3,$C65="Weak"),IF(PUF!$X63&gt;0,PUF!$X63,""),"")</f>
        <v/>
      </c>
      <c r="G65" s="167">
        <f>IF(AND($B65=G$3,$C65="Weak"),IF(PUF!$X63&gt;0,PUF!$X63,""),"")</f>
        <v>1125</v>
      </c>
      <c r="H65" s="167" t="str">
        <f>IF(AND($B65=H$3,$C65="Weak"),IF(PUF!$X63&gt;0,PUF!$X63,""),"")</f>
        <v/>
      </c>
      <c r="I65" s="167" t="str">
        <f>IF(AND($B65=I$3,$C65="Weak"),IF(PUF!$X63&gt;0,PUF!$X63,""),"")</f>
        <v/>
      </c>
      <c r="J65" s="167" t="str">
        <f>IF(AND($B65=J$3,$C65="Weak"),IF(PUF!$X63&gt;0,PUF!$X63,""),"")</f>
        <v/>
      </c>
      <c r="K65" s="167" t="str">
        <f>IF(AND($B65=K$3,$C65="Weak"),IF(PUF!$X63&gt;0,PUF!$X63,""),"")</f>
        <v/>
      </c>
      <c r="L65" s="167" t="str">
        <f>IF(AND($B65=L$3,$C65="Weak"),IF(PUF!$X63&gt;0,PUF!$X63,""),"")</f>
        <v/>
      </c>
      <c r="N65" s="11">
        <f t="shared" si="11"/>
        <v>2021</v>
      </c>
      <c r="O65" s="57" t="str">
        <f>IF(AND($B65=O$3,$C65="Weak"),IF(PUF!$M63&gt;0,PUF!$M63,""),"")</f>
        <v/>
      </c>
      <c r="P65" s="57" t="str">
        <f>IF(AND($B65=P$3,$C65="Weak"),IF(PUF!$M63&gt;0,PUF!$M63,""),"")</f>
        <v/>
      </c>
      <c r="Q65" s="57">
        <f>IF(AND($B65=Q$3,$C65="Weak"),IF(PUF!$M63&gt;0,PUF!$M63,""),"")</f>
        <v>1.8</v>
      </c>
      <c r="R65" s="57" t="str">
        <f>IF(AND($B65=R$3,$C65="Weak"),IF(PUF!$M63&gt;0,PUF!$M63,""),"")</f>
        <v/>
      </c>
      <c r="S65" s="57" t="str">
        <f>IF(AND($B65=S$3,$C65="Weak"),IF(PUF!$M63&gt;0,PUF!$M63,""),"")</f>
        <v/>
      </c>
      <c r="T65" s="57" t="str">
        <f>IF(AND($B65=T$3,$C65="Weak"),IF(PUF!$M63&gt;0,PUF!$M63,""),"")</f>
        <v/>
      </c>
      <c r="U65" s="57" t="str">
        <f>IF(AND($B65=U$3,$C65="Weak"),IF(PUF!$M63&gt;0,PUF!$M63,""),"")</f>
        <v/>
      </c>
      <c r="V65" s="57" t="str">
        <f>IF(AND($B65=V$3,$C65="Weak"),IF(PUF!$M63&gt;0,PUF!$M63,""),"")</f>
        <v/>
      </c>
      <c r="W65" s="168"/>
      <c r="X65" s="166">
        <f t="shared" si="12"/>
        <v>2021</v>
      </c>
      <c r="Y65" s="57" t="str">
        <f>IF(AND($B65=Y$3,$C65="Weak"),IF(PUF!$S63&gt;0,PUF!$S63,""),"")</f>
        <v/>
      </c>
      <c r="Z65" s="57" t="str">
        <f>IF(AND($B65=Z$3,$C65="Weak"),IF(PUF!$S63&gt;0,PUF!$S63,""),"")</f>
        <v/>
      </c>
      <c r="AA65" s="57" t="str">
        <f>IF(AND($B65=AA$3,$C65="Weak"),IF(PUF!$S63&gt;0,PUF!$S63,""),"")</f>
        <v>N/A</v>
      </c>
      <c r="AB65" s="57" t="str">
        <f>IF(AND($B65=AB$3,$C65="Weak"),IF(PUF!$S63&gt;0,PUF!$S63,""),"")</f>
        <v/>
      </c>
      <c r="AC65" s="57" t="str">
        <f>IF(AND($B65=AC$3,$C65="Weak"),IF(PUF!$S63&gt;0,PUF!$S63,""),"")</f>
        <v/>
      </c>
      <c r="AD65" s="57" t="str">
        <f>IF(AND($B65=AD$3,$C65="Weak"),IF(PUF!$S63&gt;0,PUF!$S63,""),"")</f>
        <v/>
      </c>
      <c r="AE65" s="57" t="str">
        <f>IF(AND($B65=AE$3,$C65="Weak"),IF(PUF!$S63&gt;0,PUF!$S63,""),"")</f>
        <v/>
      </c>
      <c r="AF65" s="57" t="str">
        <f>IF(AND($B65=AF$3,$C65="Weak"),IF(PUF!$S63&gt;0,PUF!$S63,""),"")</f>
        <v/>
      </c>
      <c r="AH65" s="210">
        <f t="shared" si="13"/>
        <v>2021</v>
      </c>
      <c r="AI65" s="211" t="str">
        <f>IF(AND($B65=AI$3,$C65="Weak"),IF(PUF!$U63&gt;0,PUF!$U63,""),"")</f>
        <v/>
      </c>
      <c r="AJ65" s="211" t="str">
        <f>IF(AND($B65=AJ$3,$C65="Weak"),IF(PUF!$U63&gt;0,PUF!$U63,""),"")</f>
        <v/>
      </c>
      <c r="AK65" s="211">
        <f>IF(AND($B65=AK$3,$C65="Weak"),IF(PUF!$U63&gt;0,PUF!$U63,""),"")</f>
        <v>7.8E-2</v>
      </c>
      <c r="AL65" s="211" t="str">
        <f>IF(AND($B65=AL$3,$C65="Weak"),IF(PUF!$U63&gt;0,PUF!$U63,""),"")</f>
        <v/>
      </c>
      <c r="AM65" s="211" t="str">
        <f>IF(AND($B65=AM$3,$C65="Weak"),IF(PUF!$U63&gt;0,PUF!$U63,""),"")</f>
        <v/>
      </c>
      <c r="AN65" s="211" t="str">
        <f>IF(AND($B65=AN$3,$C65="Weak"),IF(PUF!$U63&gt;0,PUF!$U63,""),"")</f>
        <v/>
      </c>
      <c r="AO65" s="211" t="str">
        <f>IF(AND($B65=AO$3,$C65="Weak"),IF(PUF!$U63&gt;0,PUF!$U63,""),"")</f>
        <v/>
      </c>
      <c r="AP65" s="211" t="str">
        <f>IF(AND($B65=AP$3,$C65="Weak"),IF(PUF!$U63&gt;0,PUF!$U63,""),"")</f>
        <v/>
      </c>
      <c r="BB65" s="166">
        <f t="shared" si="9"/>
        <v>2021</v>
      </c>
      <c r="BC65" s="57" t="str">
        <f>IF(AND($B65=BC$3,$C65="Strong"),IF(PUF!$X64&gt;0,PUF!$X64,""),"")</f>
        <v/>
      </c>
      <c r="BD65" s="57" t="str">
        <f>IF(AND($B65=BD$3,$C65="Strong"),IF(PUF!$X64&gt;0,PUF!$X64,""),"")</f>
        <v/>
      </c>
      <c r="BE65" s="57" t="str">
        <f>IF(AND($B65=BE$3,$C65="Strong"),IF(PUF!$X64&gt;0,PUF!$X64,""),"")</f>
        <v/>
      </c>
      <c r="BF65" s="57" t="str">
        <f>IF(AND($B65=BF$3,$C65="Strong"),IF(PUF!$X64&gt;0,PUF!$X64,""),"")</f>
        <v/>
      </c>
      <c r="BG65" s="57" t="str">
        <f>IF(AND($B65=BG$3,$C65="Strong"),IF(PUF!$X64&gt;0,PUF!$X64,""),"")</f>
        <v/>
      </c>
      <c r="BH65" s="57" t="str">
        <f>IF(AND($B65=BH$3,$C65="Strong"),IF(PUF!$X64&gt;0,PUF!$X64,""),"")</f>
        <v/>
      </c>
      <c r="BI65" s="57" t="str">
        <f>IF(AND($B65=BI$3,$C65="Strong"),IF(PUF!$X64&gt;0,PUF!$X64,""),"")</f>
        <v/>
      </c>
      <c r="BJ65" s="57" t="str">
        <f>IF(AND($B65=BJ$3,$C65="Strong"),IF(PUF!$X64&gt;0,PUF!$X64,""),"")</f>
        <v/>
      </c>
      <c r="BL65" s="166">
        <f t="shared" si="10"/>
        <v>2021</v>
      </c>
      <c r="BM65" s="57" t="str">
        <f>IF(AND($B65=BM$3,$C65="Strong"),IF(PUF!$M64&gt;0,PUF!$M64,""),"")</f>
        <v/>
      </c>
      <c r="BN65" s="57" t="str">
        <f>IF(AND($B65=BN$3,$C65="Strong"),IF(PUF!$M64&gt;0,PUF!$M64,""),"")</f>
        <v/>
      </c>
      <c r="BO65" s="57" t="str">
        <f>IF(AND($B65=BO$3,$C65="Strong"),IF(PUF!$M64&gt;0,PUF!$M64,""),"")</f>
        <v/>
      </c>
      <c r="BP65" s="57" t="str">
        <f>IF(AND($B65=BP$3,$C65="Strong"),IF(PUF!$M64&gt;0,PUF!$M64,""),"")</f>
        <v/>
      </c>
      <c r="BQ65" s="57" t="str">
        <f>IF(AND($B65=BQ$3,$C65="Strong"),IF(PUF!$M64&gt;0,PUF!$M64,""),"")</f>
        <v/>
      </c>
      <c r="BR65" s="57" t="str">
        <f>IF(AND($B65=BR$3,$C65="Strong"),IF(PUF!$M64&gt;0,PUF!$M64,""),"")</f>
        <v/>
      </c>
      <c r="BS65" s="57" t="str">
        <f>IF(AND($B65=BS$3,$C65="Strong"),IF(PUF!$M64&gt;0,PUF!$M64,""),"")</f>
        <v/>
      </c>
      <c r="BT65" s="57" t="str">
        <f>IF(AND($B65=BT$3,$C65="Strong"),IF(PUF!$M64&gt;0,PUF!$M64,""),"")</f>
        <v/>
      </c>
      <c r="BV65" s="166">
        <f t="shared" ref="BV65:BV74" si="14">N65</f>
        <v>2021</v>
      </c>
      <c r="BW65" s="57" t="str">
        <f>IF(AND($B65=BW$3,$C65="Strong"),IF(PUF!$S64&gt;0,PUF!$S64,""),"")</f>
        <v/>
      </c>
      <c r="BX65" s="57" t="str">
        <f>IF(AND($B65=BX$3,$C65="Strong"),IF(PUF!$S64&gt;0,PUF!$S64,""),"")</f>
        <v/>
      </c>
      <c r="BY65" s="57" t="str">
        <f>IF(AND($B65=BY$3,$C65="Strong"),IF(PUF!$S64&gt;0,PUF!$S64,""),"")</f>
        <v/>
      </c>
      <c r="BZ65" s="57" t="str">
        <f>IF(AND($B65=BZ$3,$C65="Strong"),IF(PUF!$S64&gt;0,PUF!$S64,""),"")</f>
        <v/>
      </c>
      <c r="CA65" s="57" t="str">
        <f>IF(AND($B65=CA$3,$C65="Strong"),IF(PUF!$S64&gt;0,PUF!$S64,""),"")</f>
        <v/>
      </c>
      <c r="CB65" s="57" t="str">
        <f>IF(AND($B65=CB$3,$C65="Strong"),IF(PUF!$S64&gt;0,PUF!$S64,""),"")</f>
        <v/>
      </c>
      <c r="CC65" s="57" t="str">
        <f>IF(AND($B65=CC$3,$C65="Strong"),IF(PUF!$S64&gt;0,PUF!$S64,""),"")</f>
        <v/>
      </c>
      <c r="CD65" s="57" t="str">
        <f>IF(AND($B65=CD$3,$C65="Strong"),IF(PUF!$S64&gt;0,PUF!$S64,""),"")</f>
        <v/>
      </c>
      <c r="CF65" s="11">
        <f t="shared" ref="CF65:CF74" si="15">D65</f>
        <v>2021</v>
      </c>
      <c r="CG65" s="57" t="str">
        <f>IF(AND($B65=CG$3,$C65="Strong"),IF(PUF!$U64&gt;0,PUF!$U64,""),"")</f>
        <v/>
      </c>
      <c r="CH65" s="57" t="str">
        <f>IF(AND($B65=CH$3,$C65="Strong"),IF(PUF!$U64&gt;0,PUF!$U64,""),"")</f>
        <v/>
      </c>
      <c r="CI65" s="57" t="str">
        <f>IF(AND($B65=CI$3,$C65="Strong"),IF(PUF!$U64&gt;0,PUF!$U64,""),"")</f>
        <v/>
      </c>
      <c r="CJ65" s="57" t="str">
        <f>IF(AND($B65=CJ$3,$C65="Strong"),IF(PUF!$U64&gt;0,PUF!$U64,""),"")</f>
        <v/>
      </c>
      <c r="CK65" s="57" t="str">
        <f>IF(AND($B65=CK$3,$C65="Strong"),IF(PUF!$U64&gt;0,PUF!$U64,""),"")</f>
        <v/>
      </c>
      <c r="CL65" s="57" t="str">
        <f>IF(AND($B65=CL$3,$C65="Strong"),IF(PUF!$U64&gt;0,PUF!$U64,""),"")</f>
        <v/>
      </c>
      <c r="CM65" s="57" t="str">
        <f>IF(AND($B65=CM$3,$C65="Strong"),IF(PUF!$U64&gt;0,PUF!$U64,""),"")</f>
        <v/>
      </c>
      <c r="CN65" s="57" t="str">
        <f>IF(AND($B65=CN$3,$C65="Strong"),IF(PUF!$U64&gt;0,PUF!$U64,""),"")</f>
        <v/>
      </c>
    </row>
    <row r="66" spans="1:92" x14ac:dyDescent="0.3">
      <c r="A66" s="6">
        <f>PUF!A64</f>
        <v>63</v>
      </c>
      <c r="B66" s="6" t="str">
        <f>PUF!G64</f>
        <v>memory (volatile)</v>
      </c>
      <c r="C66" t="str">
        <f>PUF!AL64</f>
        <v>Strong</v>
      </c>
      <c r="D66" s="166">
        <f>PUF!C64</f>
        <v>2021</v>
      </c>
      <c r="E66" s="167" t="str">
        <f>IF(AND($B66=E$3,$C66="Weak"),IF(PUF!$X64&gt;0,PUF!$X64,""),"")</f>
        <v/>
      </c>
      <c r="F66" s="167" t="str">
        <f>IF(AND($B66=F$3,$C66="Weak"),IF(PUF!$X64&gt;0,PUF!$X64,""),"")</f>
        <v/>
      </c>
      <c r="G66" s="167" t="str">
        <f>IF(AND($B66=G$3,$C66="Weak"),IF(PUF!$X64&gt;0,PUF!$X64,""),"")</f>
        <v/>
      </c>
      <c r="H66" s="167" t="str">
        <f>IF(AND($B66=H$3,$C66="Weak"),IF(PUF!$X64&gt;0,PUF!$X64,""),"")</f>
        <v/>
      </c>
      <c r="I66" s="167" t="str">
        <f>IF(AND($B66=I$3,$C66="Weak"),IF(PUF!$X64&gt;0,PUF!$X64,""),"")</f>
        <v/>
      </c>
      <c r="J66" s="167" t="str">
        <f>IF(AND($B66=J$3,$C66="Weak"),IF(PUF!$X64&gt;0,PUF!$X64,""),"")</f>
        <v/>
      </c>
      <c r="K66" s="167" t="str">
        <f>IF(AND($B66=K$3,$C66="Weak"),IF(PUF!$X64&gt;0,PUF!$X64,""),"")</f>
        <v/>
      </c>
      <c r="L66" s="167" t="str">
        <f>IF(AND($B66=L$3,$C66="Weak"),IF(PUF!$X64&gt;0,PUF!$X64,""),"")</f>
        <v/>
      </c>
      <c r="N66" s="11">
        <f t="shared" si="11"/>
        <v>2021</v>
      </c>
      <c r="O66" s="57" t="str">
        <f>IF(AND($B66=O$3,$C66="Weak"),IF(PUF!$M64&gt;0,PUF!$M64,""),"")</f>
        <v/>
      </c>
      <c r="P66" s="57" t="str">
        <f>IF(AND($B66=P$3,$C66="Weak"),IF(PUF!$M64&gt;0,PUF!$M64,""),"")</f>
        <v/>
      </c>
      <c r="Q66" s="57" t="str">
        <f>IF(AND($B66=Q$3,$C66="Weak"),IF(PUF!$M64&gt;0,PUF!$M64,""),"")</f>
        <v/>
      </c>
      <c r="R66" s="57" t="str">
        <f>IF(AND($B66=R$3,$C66="Weak"),IF(PUF!$M64&gt;0,PUF!$M64,""),"")</f>
        <v/>
      </c>
      <c r="S66" s="57" t="str">
        <f>IF(AND($B66=S$3,$C66="Weak"),IF(PUF!$M64&gt;0,PUF!$M64,""),"")</f>
        <v/>
      </c>
      <c r="T66" s="57" t="str">
        <f>IF(AND($B66=T$3,$C66="Weak"),IF(PUF!$M64&gt;0,PUF!$M64,""),"")</f>
        <v/>
      </c>
      <c r="U66" s="57" t="str">
        <f>IF(AND($B66=U$3,$C66="Weak"),IF(PUF!$M64&gt;0,PUF!$M64,""),"")</f>
        <v/>
      </c>
      <c r="V66" s="57" t="str">
        <f>IF(AND($B66=V$3,$C66="Weak"),IF(PUF!$M64&gt;0,PUF!$M64,""),"")</f>
        <v/>
      </c>
      <c r="W66" s="168"/>
      <c r="X66" s="166">
        <f t="shared" si="12"/>
        <v>2021</v>
      </c>
      <c r="Y66" s="57" t="str">
        <f>IF(AND($B66=Y$3,$C66="Weak"),IF(PUF!$S64&gt;0,PUF!$S64,""),"")</f>
        <v/>
      </c>
      <c r="Z66" s="57" t="str">
        <f>IF(AND($B66=Z$3,$C66="Weak"),IF(PUF!$S64&gt;0,PUF!$S64,""),"")</f>
        <v/>
      </c>
      <c r="AA66" s="57" t="str">
        <f>IF(AND($B66=AA$3,$C66="Weak"),IF(PUF!$S64&gt;0,PUF!$S64,""),"")</f>
        <v/>
      </c>
      <c r="AB66" s="57" t="str">
        <f>IF(AND($B66=AB$3,$C66="Weak"),IF(PUF!$S64&gt;0,PUF!$S64,""),"")</f>
        <v/>
      </c>
      <c r="AC66" s="57" t="str">
        <f>IF(AND($B66=AC$3,$C66="Weak"),IF(PUF!$S64&gt;0,PUF!$S64,""),"")</f>
        <v/>
      </c>
      <c r="AD66" s="57" t="str">
        <f>IF(AND($B66=AD$3,$C66="Weak"),IF(PUF!$S64&gt;0,PUF!$S64,""),"")</f>
        <v/>
      </c>
      <c r="AE66" s="57" t="str">
        <f>IF(AND($B66=AE$3,$C66="Weak"),IF(PUF!$S64&gt;0,PUF!$S64,""),"")</f>
        <v/>
      </c>
      <c r="AF66" s="57" t="str">
        <f>IF(AND($B66=AF$3,$C66="Weak"),IF(PUF!$S64&gt;0,PUF!$S64,""),"")</f>
        <v/>
      </c>
      <c r="AH66" s="210">
        <f t="shared" si="13"/>
        <v>2021</v>
      </c>
      <c r="AI66" s="211" t="str">
        <f>IF(AND($B66=AI$3,$C66="Weak"),IF(PUF!$U64&gt;0,PUF!$U64,""),"")</f>
        <v/>
      </c>
      <c r="AJ66" s="211" t="str">
        <f>IF(AND($B66=AJ$3,$C66="Weak"),IF(PUF!$U64&gt;0,PUF!$U64,""),"")</f>
        <v/>
      </c>
      <c r="AK66" s="211" t="str">
        <f>IF(AND($B66=AK$3,$C66="Weak"),IF(PUF!$U64&gt;0,PUF!$U64,""),"")</f>
        <v/>
      </c>
      <c r="AL66" s="211" t="str">
        <f>IF(AND($B66=AL$3,$C66="Weak"),IF(PUF!$U64&gt;0,PUF!$U64,""),"")</f>
        <v/>
      </c>
      <c r="AM66" s="211" t="str">
        <f>IF(AND($B66=AM$3,$C66="Weak"),IF(PUF!$U64&gt;0,PUF!$U64,""),"")</f>
        <v/>
      </c>
      <c r="AN66" s="211" t="str">
        <f>IF(AND($B66=AN$3,$C66="Weak"),IF(PUF!$U64&gt;0,PUF!$U64,""),"")</f>
        <v/>
      </c>
      <c r="AO66" s="211" t="str">
        <f>IF(AND($B66=AO$3,$C66="Weak"),IF(PUF!$U64&gt;0,PUF!$U64,""),"")</f>
        <v/>
      </c>
      <c r="AP66" s="211" t="str">
        <f>IF(AND($B66=AP$3,$C66="Weak"),IF(PUF!$U64&gt;0,PUF!$U64,""),"")</f>
        <v/>
      </c>
      <c r="BB66" s="166">
        <f t="shared" si="9"/>
        <v>2021</v>
      </c>
      <c r="BC66" s="57" t="str">
        <f>IF(AND($B66=BC$3,$C66="Strong"),IF(PUF!$X65&gt;0,PUF!$X65,""),"")</f>
        <v/>
      </c>
      <c r="BD66" s="57" t="str">
        <f>IF(AND($B66=BD$3,$C66="Strong"),IF(PUF!$X65&gt;0,PUF!$X65,""),"")</f>
        <v/>
      </c>
      <c r="BE66" s="57">
        <f>IF(AND($B66=BE$3,$C66="Strong"),IF(PUF!$X65&gt;0,PUF!$X65,""),"")</f>
        <v>594</v>
      </c>
      <c r="BF66" s="57" t="str">
        <f>IF(AND($B66=BF$3,$C66="Strong"),IF(PUF!$X65&gt;0,PUF!$X65,""),"")</f>
        <v/>
      </c>
      <c r="BG66" s="57" t="str">
        <f>IF(AND($B66=BG$3,$C66="Strong"),IF(PUF!$X65&gt;0,PUF!$X65,""),"")</f>
        <v/>
      </c>
      <c r="BH66" s="57" t="str">
        <f>IF(AND($B66=BH$3,$C66="Strong"),IF(PUF!$X65&gt;0,PUF!$X65,""),"")</f>
        <v/>
      </c>
      <c r="BI66" s="57" t="str">
        <f>IF(AND($B66=BI$3,$C66="Strong"),IF(PUF!$X65&gt;0,PUF!$X65,""),"")</f>
        <v/>
      </c>
      <c r="BJ66" s="57" t="str">
        <f>IF(AND($B66=BJ$3,$C66="Strong"),IF(PUF!$X65&gt;0,PUF!$X65,""),"")</f>
        <v/>
      </c>
      <c r="BL66" s="166">
        <f t="shared" si="10"/>
        <v>2021</v>
      </c>
      <c r="BM66" s="57" t="str">
        <f>IF(AND($B66=BM$3,$C66="Strong"),IF(PUF!$M65&gt;0,PUF!$M65,""),"")</f>
        <v/>
      </c>
      <c r="BN66" s="57" t="str">
        <f>IF(AND($B66=BN$3,$C66="Strong"),IF(PUF!$M65&gt;0,PUF!$M65,""),"")</f>
        <v/>
      </c>
      <c r="BO66" s="57">
        <f>IF(AND($B66=BO$3,$C66="Strong"),IF(PUF!$M65&gt;0,PUF!$M65,""),"")</f>
        <v>2.7E-2</v>
      </c>
      <c r="BP66" s="57" t="str">
        <f>IF(AND($B66=BP$3,$C66="Strong"),IF(PUF!$M65&gt;0,PUF!$M65,""),"")</f>
        <v/>
      </c>
      <c r="BQ66" s="57" t="str">
        <f>IF(AND($B66=BQ$3,$C66="Strong"),IF(PUF!$M65&gt;0,PUF!$M65,""),"")</f>
        <v/>
      </c>
      <c r="BR66" s="57" t="str">
        <f>IF(AND($B66=BR$3,$C66="Strong"),IF(PUF!$M65&gt;0,PUF!$M65,""),"")</f>
        <v/>
      </c>
      <c r="BS66" s="57" t="str">
        <f>IF(AND($B66=BS$3,$C66="Strong"),IF(PUF!$M65&gt;0,PUF!$M65,""),"")</f>
        <v/>
      </c>
      <c r="BT66" s="57" t="str">
        <f>IF(AND($B66=BT$3,$C66="Strong"),IF(PUF!$M65&gt;0,PUF!$M65,""),"")</f>
        <v/>
      </c>
      <c r="BV66" s="166">
        <f t="shared" si="14"/>
        <v>2021</v>
      </c>
      <c r="BW66" s="57" t="str">
        <f>IF(AND($B66=BW$3,$C66="Strong"),IF(PUF!$S65&gt;0,PUF!$S65,""),"")</f>
        <v/>
      </c>
      <c r="BX66" s="57" t="str">
        <f>IF(AND($B66=BX$3,$C66="Strong"),IF(PUF!$S65&gt;0,PUF!$S65,""),"")</f>
        <v/>
      </c>
      <c r="BY66" s="57">
        <f>IF(AND($B66=BY$3,$C66="Strong"),IF(PUF!$S65&gt;0,PUF!$S65,""),"")</f>
        <v>1.9E-3</v>
      </c>
      <c r="BZ66" s="57" t="str">
        <f>IF(AND($B66=BZ$3,$C66="Strong"),IF(PUF!$S65&gt;0,PUF!$S65,""),"")</f>
        <v/>
      </c>
      <c r="CA66" s="57" t="str">
        <f>IF(AND($B66=CA$3,$C66="Strong"),IF(PUF!$S65&gt;0,PUF!$S65,""),"")</f>
        <v/>
      </c>
      <c r="CB66" s="57" t="str">
        <f>IF(AND($B66=CB$3,$C66="Strong"),IF(PUF!$S65&gt;0,PUF!$S65,""),"")</f>
        <v/>
      </c>
      <c r="CC66" s="57" t="str">
        <f>IF(AND($B66=CC$3,$C66="Strong"),IF(PUF!$S65&gt;0,PUF!$S65,""),"")</f>
        <v/>
      </c>
      <c r="CD66" s="57" t="str">
        <f>IF(AND($B66=CD$3,$C66="Strong"),IF(PUF!$S65&gt;0,PUF!$S65,""),"")</f>
        <v/>
      </c>
      <c r="CF66" s="11">
        <f t="shared" si="15"/>
        <v>2021</v>
      </c>
      <c r="CG66" s="57" t="str">
        <f>IF(AND($B66=CG$3,$C66="Strong"),IF(PUF!$U65&gt;0,PUF!$U65,""),"")</f>
        <v/>
      </c>
      <c r="CH66" s="57" t="str">
        <f>IF(AND($B66=CH$3,$C66="Strong"),IF(PUF!$U65&gt;0,PUF!$U65,""),"")</f>
        <v/>
      </c>
      <c r="CI66" s="57">
        <f>IF(AND($B66=CI$3,$C66="Strong"),IF(PUF!$U65&gt;0,PUF!$U65,""),"")</f>
        <v>3.9E-2</v>
      </c>
      <c r="CJ66" s="57" t="str">
        <f>IF(AND($B66=CJ$3,$C66="Strong"),IF(PUF!$U65&gt;0,PUF!$U65,""),"")</f>
        <v/>
      </c>
      <c r="CK66" s="57" t="str">
        <f>IF(AND($B66=CK$3,$C66="Strong"),IF(PUF!$U65&gt;0,PUF!$U65,""),"")</f>
        <v/>
      </c>
      <c r="CL66" s="57" t="str">
        <f>IF(AND($B66=CL$3,$C66="Strong"),IF(PUF!$U65&gt;0,PUF!$U65,""),"")</f>
        <v/>
      </c>
      <c r="CM66" s="57" t="str">
        <f>IF(AND($B66=CM$3,$C66="Strong"),IF(PUF!$U65&gt;0,PUF!$U65,""),"")</f>
        <v/>
      </c>
      <c r="CN66" s="57" t="str">
        <f>IF(AND($B66=CN$3,$C66="Strong"),IF(PUF!$U65&gt;0,PUF!$U65,""),"")</f>
        <v/>
      </c>
    </row>
    <row r="67" spans="1:92" x14ac:dyDescent="0.3">
      <c r="A67" s="6">
        <f>PUF!A65</f>
        <v>64</v>
      </c>
      <c r="B67" s="6" t="str">
        <f>PUF!G65</f>
        <v>hybrid</v>
      </c>
      <c r="C67" t="str">
        <f>PUF!AL65</f>
        <v>Weak</v>
      </c>
      <c r="D67" s="166">
        <f>PUF!C65</f>
        <v>2021</v>
      </c>
      <c r="E67" s="167" t="str">
        <f>IF(AND($B67=E$3,$C67="Weak"),IF(PUF!$X65&gt;0,PUF!$X65,""),"")</f>
        <v/>
      </c>
      <c r="F67" s="167" t="str">
        <f>IF(AND($B67=F$3,$C67="Weak"),IF(PUF!$X65&gt;0,PUF!$X65,""),"")</f>
        <v/>
      </c>
      <c r="G67" s="167" t="str">
        <f>IF(AND($B67=G$3,$C67="Weak"),IF(PUF!$X65&gt;0,PUF!$X65,""),"")</f>
        <v/>
      </c>
      <c r="H67" s="167" t="str">
        <f>IF(AND($B67=H$3,$C67="Weak"),IF(PUF!$X65&gt;0,PUF!$X65,""),"")</f>
        <v/>
      </c>
      <c r="I67" s="167" t="str">
        <f>IF(AND($B67=I$3,$C67="Weak"),IF(PUF!$X65&gt;0,PUF!$X65,""),"")</f>
        <v/>
      </c>
      <c r="J67" s="167" t="str">
        <f>IF(AND($B67=J$3,$C67="Weak"),IF(PUF!$X65&gt;0,PUF!$X65,""),"")</f>
        <v/>
      </c>
      <c r="K67" s="167">
        <f>IF(AND($B67=K$3,$C67="Weak"),IF(PUF!$X65&gt;0,PUF!$X65,""),"")</f>
        <v>594</v>
      </c>
      <c r="L67" s="167" t="str">
        <f>IF(AND($B67=L$3,$C67="Weak"),IF(PUF!$X65&gt;0,PUF!$X65,""),"")</f>
        <v/>
      </c>
      <c r="N67" s="11">
        <f t="shared" si="11"/>
        <v>2021</v>
      </c>
      <c r="O67" s="57" t="str">
        <f>IF(AND($B67=O$3,$C67="Weak"),IF(PUF!$M65&gt;0,PUF!$M65,""),"")</f>
        <v/>
      </c>
      <c r="P67" s="57" t="str">
        <f>IF(AND($B67=P$3,$C67="Weak"),IF(PUF!$M65&gt;0,PUF!$M65,""),"")</f>
        <v/>
      </c>
      <c r="Q67" s="57" t="str">
        <f>IF(AND($B67=Q$3,$C67="Weak"),IF(PUF!$M65&gt;0,PUF!$M65,""),"")</f>
        <v/>
      </c>
      <c r="R67" s="57" t="str">
        <f>IF(AND($B67=R$3,$C67="Weak"),IF(PUF!$M65&gt;0,PUF!$M65,""),"")</f>
        <v/>
      </c>
      <c r="S67" s="57" t="str">
        <f>IF(AND($B67=S$3,$C67="Weak"),IF(PUF!$M65&gt;0,PUF!$M65,""),"")</f>
        <v/>
      </c>
      <c r="T67" s="57" t="str">
        <f>IF(AND($B67=T$3,$C67="Weak"),IF(PUF!$M65&gt;0,PUF!$M65,""),"")</f>
        <v/>
      </c>
      <c r="U67" s="57">
        <f>IF(AND($B67=U$3,$C67="Weak"),IF(PUF!$M65&gt;0,PUF!$M65,""),"")</f>
        <v>2.7E-2</v>
      </c>
      <c r="V67" s="57" t="str">
        <f>IF(AND($B67=V$3,$C67="Weak"),IF(PUF!$M65&gt;0,PUF!$M65,""),"")</f>
        <v/>
      </c>
      <c r="W67" s="168"/>
      <c r="X67" s="166">
        <f t="shared" si="12"/>
        <v>2021</v>
      </c>
      <c r="Y67" s="57" t="str">
        <f>IF(AND($B67=Y$3,$C67="Weak"),IF(PUF!$S65&gt;0,PUF!$S65,""),"")</f>
        <v/>
      </c>
      <c r="Z67" s="57" t="str">
        <f>IF(AND($B67=Z$3,$C67="Weak"),IF(PUF!$S65&gt;0,PUF!$S65,""),"")</f>
        <v/>
      </c>
      <c r="AA67" s="57" t="str">
        <f>IF(AND($B67=AA$3,$C67="Weak"),IF(PUF!$S65&gt;0,PUF!$S65,""),"")</f>
        <v/>
      </c>
      <c r="AB67" s="57" t="str">
        <f>IF(AND($B67=AB$3,$C67="Weak"),IF(PUF!$S65&gt;0,PUF!$S65,""),"")</f>
        <v/>
      </c>
      <c r="AC67" s="57" t="str">
        <f>IF(AND($B67=AC$3,$C67="Weak"),IF(PUF!$S65&gt;0,PUF!$S65,""),"")</f>
        <v/>
      </c>
      <c r="AD67" s="57" t="str">
        <f>IF(AND($B67=AD$3,$C67="Weak"),IF(PUF!$S65&gt;0,PUF!$S65,""),"")</f>
        <v/>
      </c>
      <c r="AE67" s="57">
        <f>IF(AND($B67=AE$3,$C67="Weak"),IF(PUF!$S65&gt;0,PUF!$S65,""),"")</f>
        <v>1.9E-3</v>
      </c>
      <c r="AF67" s="57" t="str">
        <f>IF(AND($B67=AF$3,$C67="Weak"),IF(PUF!$S65&gt;0,PUF!$S65,""),"")</f>
        <v/>
      </c>
      <c r="AH67" s="210">
        <f t="shared" si="13"/>
        <v>2021</v>
      </c>
      <c r="AI67" s="211" t="str">
        <f>IF(AND($B67=AI$3,$C67="Weak"),IF(PUF!$U65&gt;0,PUF!$U65,""),"")</f>
        <v/>
      </c>
      <c r="AJ67" s="211" t="str">
        <f>IF(AND($B67=AJ$3,$C67="Weak"),IF(PUF!$U65&gt;0,PUF!$U65,""),"")</f>
        <v/>
      </c>
      <c r="AK67" s="211" t="str">
        <f>IF(AND($B67=AK$3,$C67="Weak"),IF(PUF!$U65&gt;0,PUF!$U65,""),"")</f>
        <v/>
      </c>
      <c r="AL67" s="211" t="str">
        <f>IF(AND($B67=AL$3,$C67="Weak"),IF(PUF!$U65&gt;0,PUF!$U65,""),"")</f>
        <v/>
      </c>
      <c r="AM67" s="211" t="str">
        <f>IF(AND($B67=AM$3,$C67="Weak"),IF(PUF!$U65&gt;0,PUF!$U65,""),"")</f>
        <v/>
      </c>
      <c r="AN67" s="211" t="str">
        <f>IF(AND($B67=AN$3,$C67="Weak"),IF(PUF!$U65&gt;0,PUF!$U65,""),"")</f>
        <v/>
      </c>
      <c r="AO67" s="211">
        <f>IF(AND($B67=AO$3,$C67="Weak"),IF(PUF!$U65&gt;0,PUF!$U65,""),"")</f>
        <v>3.9E-2</v>
      </c>
      <c r="AP67" s="211" t="str">
        <f>IF(AND($B67=AP$3,$C67="Weak"),IF(PUF!$U65&gt;0,PUF!$U65,""),"")</f>
        <v/>
      </c>
      <c r="BB67" s="166">
        <f t="shared" si="9"/>
        <v>2021</v>
      </c>
      <c r="BC67" s="57" t="str">
        <f>IF(AND($B67=BC$3,$C67="Strong"),IF(PUF!$X66&gt;0,PUF!$X66,""),"")</f>
        <v/>
      </c>
      <c r="BD67" s="57" t="str">
        <f>IF(AND($B67=BD$3,$C67="Strong"),IF(PUF!$X66&gt;0,PUF!$X66,""),"")</f>
        <v/>
      </c>
      <c r="BE67" s="57" t="str">
        <f>IF(AND($B67=BE$3,$C67="Strong"),IF(PUF!$X66&gt;0,PUF!$X66,""),"")</f>
        <v/>
      </c>
      <c r="BF67" s="57" t="str">
        <f>IF(AND($B67=BF$3,$C67="Strong"),IF(PUF!$X66&gt;0,PUF!$X66,""),"")</f>
        <v/>
      </c>
      <c r="BG67" s="57" t="str">
        <f>IF(AND($B67=BG$3,$C67="Strong"),IF(PUF!$X66&gt;0,PUF!$X66,""),"")</f>
        <v/>
      </c>
      <c r="BH67" s="57" t="str">
        <f>IF(AND($B67=BH$3,$C67="Strong"),IF(PUF!$X66&gt;0,PUF!$X66,""),"")</f>
        <v/>
      </c>
      <c r="BI67" s="57" t="str">
        <f>IF(AND($B67=BI$3,$C67="Strong"),IF(PUF!$X66&gt;0,PUF!$X66,""),"")</f>
        <v/>
      </c>
      <c r="BJ67" s="57" t="str">
        <f>IF(AND($B67=BJ$3,$C67="Strong"),IF(PUF!$X66&gt;0,PUF!$X66,""),"")</f>
        <v/>
      </c>
      <c r="BL67" s="166">
        <f t="shared" si="10"/>
        <v>2021</v>
      </c>
      <c r="BM67" s="57" t="str">
        <f>IF(AND($B67=BM$3,$C67="Strong"),IF(PUF!$M66&gt;0,PUF!$M66,""),"")</f>
        <v/>
      </c>
      <c r="BN67" s="57" t="str">
        <f>IF(AND($B67=BN$3,$C67="Strong"),IF(PUF!$M66&gt;0,PUF!$M66,""),"")</f>
        <v/>
      </c>
      <c r="BO67" s="57" t="str">
        <f>IF(AND($B67=BO$3,$C67="Strong"),IF(PUF!$M66&gt;0,PUF!$M66,""),"")</f>
        <v/>
      </c>
      <c r="BP67" s="57" t="str">
        <f>IF(AND($B67=BP$3,$C67="Strong"),IF(PUF!$M66&gt;0,PUF!$M66,""),"")</f>
        <v/>
      </c>
      <c r="BQ67" s="57" t="str">
        <f>IF(AND($B67=BQ$3,$C67="Strong"),IF(PUF!$M66&gt;0,PUF!$M66,""),"")</f>
        <v/>
      </c>
      <c r="BR67" s="57" t="str">
        <f>IF(AND($B67=BR$3,$C67="Strong"),IF(PUF!$M66&gt;0,PUF!$M66,""),"")</f>
        <v/>
      </c>
      <c r="BS67" s="57" t="str">
        <f>IF(AND($B67=BS$3,$C67="Strong"),IF(PUF!$M66&gt;0,PUF!$M66,""),"")</f>
        <v/>
      </c>
      <c r="BT67" s="57" t="str">
        <f>IF(AND($B67=BT$3,$C67="Strong"),IF(PUF!$M66&gt;0,PUF!$M66,""),"")</f>
        <v/>
      </c>
      <c r="BV67" s="166">
        <f t="shared" si="14"/>
        <v>2021</v>
      </c>
      <c r="BW67" s="57" t="str">
        <f>IF(AND($B67=BW$3,$C67="Strong"),IF(PUF!$S66&gt;0,PUF!$S66,""),"")</f>
        <v/>
      </c>
      <c r="BX67" s="57" t="str">
        <f>IF(AND($B67=BX$3,$C67="Strong"),IF(PUF!$S66&gt;0,PUF!$S66,""),"")</f>
        <v/>
      </c>
      <c r="BY67" s="57" t="str">
        <f>IF(AND($B67=BY$3,$C67="Strong"),IF(PUF!$S66&gt;0,PUF!$S66,""),"")</f>
        <v/>
      </c>
      <c r="BZ67" s="57" t="str">
        <f>IF(AND($B67=BZ$3,$C67="Strong"),IF(PUF!$S66&gt;0,PUF!$S66,""),"")</f>
        <v/>
      </c>
      <c r="CA67" s="57" t="str">
        <f>IF(AND($B67=CA$3,$C67="Strong"),IF(PUF!$S66&gt;0,PUF!$S66,""),"")</f>
        <v/>
      </c>
      <c r="CB67" s="57" t="str">
        <f>IF(AND($B67=CB$3,$C67="Strong"),IF(PUF!$S66&gt;0,PUF!$S66,""),"")</f>
        <v/>
      </c>
      <c r="CC67" s="57" t="str">
        <f>IF(AND($B67=CC$3,$C67="Strong"),IF(PUF!$S66&gt;0,PUF!$S66,""),"")</f>
        <v/>
      </c>
      <c r="CD67" s="57" t="str">
        <f>IF(AND($B67=CD$3,$C67="Strong"),IF(PUF!$S66&gt;0,PUF!$S66,""),"")</f>
        <v/>
      </c>
      <c r="CF67" s="11">
        <f t="shared" si="15"/>
        <v>2021</v>
      </c>
      <c r="CG67" s="57" t="str">
        <f>IF(AND($B67=CG$3,$C67="Strong"),IF(PUF!$U66&gt;0,PUF!$U66,""),"")</f>
        <v/>
      </c>
      <c r="CH67" s="57" t="str">
        <f>IF(AND($B67=CH$3,$C67="Strong"),IF(PUF!$U66&gt;0,PUF!$U66,""),"")</f>
        <v/>
      </c>
      <c r="CI67" s="57" t="str">
        <f>IF(AND($B67=CI$3,$C67="Strong"),IF(PUF!$U66&gt;0,PUF!$U66,""),"")</f>
        <v/>
      </c>
      <c r="CJ67" s="57" t="str">
        <f>IF(AND($B67=CJ$3,$C67="Strong"),IF(PUF!$U66&gt;0,PUF!$U66,""),"")</f>
        <v/>
      </c>
      <c r="CK67" s="57" t="str">
        <f>IF(AND($B67=CK$3,$C67="Strong"),IF(PUF!$U66&gt;0,PUF!$U66,""),"")</f>
        <v/>
      </c>
      <c r="CL67" s="57" t="str">
        <f>IF(AND($B67=CL$3,$C67="Strong"),IF(PUF!$U66&gt;0,PUF!$U66,""),"")</f>
        <v/>
      </c>
      <c r="CM67" s="57" t="str">
        <f>IF(AND($B67=CM$3,$C67="Strong"),IF(PUF!$U66&gt;0,PUF!$U66,""),"")</f>
        <v/>
      </c>
      <c r="CN67" s="57" t="str">
        <f>IF(AND($B67=CN$3,$C67="Strong"),IF(PUF!$U66&gt;0,PUF!$U66,""),"")</f>
        <v/>
      </c>
    </row>
    <row r="68" spans="1:92" x14ac:dyDescent="0.3">
      <c r="A68" s="6">
        <f>PUF!A66</f>
        <v>65</v>
      </c>
      <c r="B68" s="6" t="str">
        <f>PUF!G66</f>
        <v>monostable</v>
      </c>
      <c r="C68" t="str">
        <f>PUF!AL66</f>
        <v>Weak</v>
      </c>
      <c r="D68" s="166">
        <f>PUF!C66</f>
        <v>2021</v>
      </c>
      <c r="E68" s="167" t="str">
        <f>IF(AND($B68=E$3,$C68="Weak"),IF(PUF!$X66&gt;0,PUF!$X66,""),"")</f>
        <v/>
      </c>
      <c r="F68" s="167" t="str">
        <f>IF(AND($B68=F$3,$C68="Weak"),IF(PUF!$X66&gt;0,PUF!$X66,""),"")</f>
        <v/>
      </c>
      <c r="G68" s="167" t="str">
        <f>IF(AND($B68=G$3,$C68="Weak"),IF(PUF!$X66&gt;0,PUF!$X66,""),"")</f>
        <v/>
      </c>
      <c r="H68" s="167" t="str">
        <f>IF(AND($B68=H$3,$C68="Weak"),IF(PUF!$X66&gt;0,PUF!$X66,""),"")</f>
        <v/>
      </c>
      <c r="I68" s="167">
        <f>IF(AND($B68=I$3,$C68="Weak"),IF(PUF!$X66&gt;0,PUF!$X66,""),"")</f>
        <v>594</v>
      </c>
      <c r="J68" s="167" t="str">
        <f>IF(AND($B68=J$3,$C68="Weak"),IF(PUF!$X66&gt;0,PUF!$X66,""),"")</f>
        <v/>
      </c>
      <c r="K68" s="167" t="str">
        <f>IF(AND($B68=K$3,$C68="Weak"),IF(PUF!$X66&gt;0,PUF!$X66,""),"")</f>
        <v/>
      </c>
      <c r="L68" s="167" t="str">
        <f>IF(AND($B68=L$3,$C68="Weak"),IF(PUF!$X66&gt;0,PUF!$X66,""),"")</f>
        <v/>
      </c>
      <c r="N68" s="11">
        <f t="shared" si="11"/>
        <v>2021</v>
      </c>
      <c r="O68" s="57" t="str">
        <f>IF(AND($B68=O$3,$C68="Weak"),IF(PUF!$M66&gt;0,PUF!$M66,""),"")</f>
        <v/>
      </c>
      <c r="P68" s="57" t="str">
        <f>IF(AND($B68=P$3,$C68="Weak"),IF(PUF!$M66&gt;0,PUF!$M66,""),"")</f>
        <v/>
      </c>
      <c r="Q68" s="57" t="str">
        <f>IF(AND($B68=Q$3,$C68="Weak"),IF(PUF!$M66&gt;0,PUF!$M66,""),"")</f>
        <v/>
      </c>
      <c r="R68" s="57" t="str">
        <f>IF(AND($B68=R$3,$C68="Weak"),IF(PUF!$M66&gt;0,PUF!$M66,""),"")</f>
        <v/>
      </c>
      <c r="S68" s="57">
        <f>IF(AND($B68=S$3,$C68="Weak"),IF(PUF!$M66&gt;0,PUF!$M66,""),"")</f>
        <v>0.28999999999999998</v>
      </c>
      <c r="T68" s="57" t="str">
        <f>IF(AND($B68=T$3,$C68="Weak"),IF(PUF!$M66&gt;0,PUF!$M66,""),"")</f>
        <v/>
      </c>
      <c r="U68" s="57" t="str">
        <f>IF(AND($B68=U$3,$C68="Weak"),IF(PUF!$M66&gt;0,PUF!$M66,""),"")</f>
        <v/>
      </c>
      <c r="V68" s="57" t="str">
        <f>IF(AND($B68=V$3,$C68="Weak"),IF(PUF!$M66&gt;0,PUF!$M66,""),"")</f>
        <v/>
      </c>
      <c r="W68" s="168"/>
      <c r="X68" s="166">
        <f t="shared" si="12"/>
        <v>2021</v>
      </c>
      <c r="Y68" s="57" t="str">
        <f>IF(AND($B68=Y$3,$C68="Weak"),IF(PUF!$S66&gt;0,PUF!$S66,""),"")</f>
        <v/>
      </c>
      <c r="Z68" s="57" t="str">
        <f>IF(AND($B68=Z$3,$C68="Weak"),IF(PUF!$S66&gt;0,PUF!$S66,""),"")</f>
        <v/>
      </c>
      <c r="AA68" s="57" t="str">
        <f>IF(AND($B68=AA$3,$C68="Weak"),IF(PUF!$S66&gt;0,PUF!$S66,""),"")</f>
        <v/>
      </c>
      <c r="AB68" s="57" t="str">
        <f>IF(AND($B68=AB$3,$C68="Weak"),IF(PUF!$S66&gt;0,PUF!$S66,""),"")</f>
        <v/>
      </c>
      <c r="AC68" s="57">
        <f>IF(AND($B68=AC$3,$C68="Weak"),IF(PUF!$S66&gt;0,PUF!$S66,""),"")</f>
        <v>3.3400000000000002E-6</v>
      </c>
      <c r="AD68" s="57" t="str">
        <f>IF(AND($B68=AD$3,$C68="Weak"),IF(PUF!$S66&gt;0,PUF!$S66,""),"")</f>
        <v/>
      </c>
      <c r="AE68" s="57" t="str">
        <f>IF(AND($B68=AE$3,$C68="Weak"),IF(PUF!$S66&gt;0,PUF!$S66,""),"")</f>
        <v/>
      </c>
      <c r="AF68" s="57" t="str">
        <f>IF(AND($B68=AF$3,$C68="Weak"),IF(PUF!$S66&gt;0,PUF!$S66,""),"")</f>
        <v/>
      </c>
      <c r="AH68" s="210">
        <f t="shared" si="13"/>
        <v>2021</v>
      </c>
      <c r="AI68" s="211" t="str">
        <f>IF(AND($B68=AI$3,$C68="Weak"),IF(PUF!$U66&gt;0,PUF!$U66,""),"")</f>
        <v/>
      </c>
      <c r="AJ68" s="211" t="str">
        <f>IF(AND($B68=AJ$3,$C68="Weak"),IF(PUF!$U66&gt;0,PUF!$U66,""),"")</f>
        <v/>
      </c>
      <c r="AK68" s="211" t="str">
        <f>IF(AND($B68=AK$3,$C68="Weak"),IF(PUF!$U66&gt;0,PUF!$U66,""),"")</f>
        <v/>
      </c>
      <c r="AL68" s="211" t="str">
        <f>IF(AND($B68=AL$3,$C68="Weak"),IF(PUF!$U66&gt;0,PUF!$U66,""),"")</f>
        <v/>
      </c>
      <c r="AM68" s="211">
        <f>IF(AND($B68=AM$3,$C68="Weak"),IF(PUF!$U66&gt;0,PUF!$U66,""),"")</f>
        <v>6.0000000000000002E-5</v>
      </c>
      <c r="AN68" s="211" t="str">
        <f>IF(AND($B68=AN$3,$C68="Weak"),IF(PUF!$U66&gt;0,PUF!$U66,""),"")</f>
        <v/>
      </c>
      <c r="AO68" s="211" t="str">
        <f>IF(AND($B68=AO$3,$C68="Weak"),IF(PUF!$U66&gt;0,PUF!$U66,""),"")</f>
        <v/>
      </c>
      <c r="AP68" s="211" t="str">
        <f>IF(AND($B68=AP$3,$C68="Weak"),IF(PUF!$U66&gt;0,PUF!$U66,""),"")</f>
        <v/>
      </c>
      <c r="BB68" s="166">
        <f t="shared" ref="BB68:BB78" si="16">D68</f>
        <v>2021</v>
      </c>
      <c r="BC68" s="57" t="str">
        <f>IF(AND($B68=BC$3,$C68="Strong"),IF(PUF!$X67&gt;0,PUF!$X67,""),"")</f>
        <v/>
      </c>
      <c r="BD68" s="57" t="str">
        <f>IF(AND($B68=BD$3,$C68="Strong"),IF(PUF!$X67&gt;0,PUF!$X67,""),"")</f>
        <v/>
      </c>
      <c r="BE68" s="57" t="str">
        <f>IF(AND($B68=BE$3,$C68="Strong"),IF(PUF!$X67&gt;0,PUF!$X67,""),"")</f>
        <v/>
      </c>
      <c r="BF68" s="57" t="str">
        <f>IF(AND($B68=BF$3,$C68="Strong"),IF(PUF!$X67&gt;0,PUF!$X67,""),"")</f>
        <v/>
      </c>
      <c r="BG68" s="57" t="str">
        <f>IF(AND($B68=BG$3,$C68="Strong"),IF(PUF!$X67&gt;0,PUF!$X67,""),"")</f>
        <v/>
      </c>
      <c r="BH68" s="57" t="str">
        <f>IF(AND($B68=BH$3,$C68="Strong"),IF(PUF!$X67&gt;0,PUF!$X67,""),"")</f>
        <v/>
      </c>
      <c r="BI68" s="57" t="str">
        <f>IF(AND($B68=BI$3,$C68="Strong"),IF(PUF!$X67&gt;0,PUF!$X67,""),"")</f>
        <v/>
      </c>
      <c r="BJ68" s="57" t="str">
        <f>IF(AND($B68=BJ$3,$C68="Strong"),IF(PUF!$X67&gt;0,PUF!$X67,""),"")</f>
        <v/>
      </c>
      <c r="BL68" s="166">
        <f t="shared" ref="BL68:BL78" si="17">D68</f>
        <v>2021</v>
      </c>
      <c r="BM68" s="57" t="str">
        <f>IF(AND($B68=BM$3,$C68="Strong"),IF(PUF!$M67&gt;0,PUF!$M67,""),"")</f>
        <v/>
      </c>
      <c r="BN68" s="57" t="str">
        <f>IF(AND($B68=BN$3,$C68="Strong"),IF(PUF!$M67&gt;0,PUF!$M67,""),"")</f>
        <v/>
      </c>
      <c r="BO68" s="57" t="str">
        <f>IF(AND($B68=BO$3,$C68="Strong"),IF(PUF!$M67&gt;0,PUF!$M67,""),"")</f>
        <v/>
      </c>
      <c r="BP68" s="57" t="str">
        <f>IF(AND($B68=BP$3,$C68="Strong"),IF(PUF!$M67&gt;0,PUF!$M67,""),"")</f>
        <v/>
      </c>
      <c r="BQ68" s="57" t="str">
        <f>IF(AND($B68=BQ$3,$C68="Strong"),IF(PUF!$M67&gt;0,PUF!$M67,""),"")</f>
        <v/>
      </c>
      <c r="BR68" s="57" t="str">
        <f>IF(AND($B68=BR$3,$C68="Strong"),IF(PUF!$M67&gt;0,PUF!$M67,""),"")</f>
        <v/>
      </c>
      <c r="BS68" s="57" t="str">
        <f>IF(AND($B68=BS$3,$C68="Strong"),IF(PUF!$M67&gt;0,PUF!$M67,""),"")</f>
        <v/>
      </c>
      <c r="BT68" s="57" t="str">
        <f>IF(AND($B68=BT$3,$C68="Strong"),IF(PUF!$M67&gt;0,PUF!$M67,""),"")</f>
        <v/>
      </c>
      <c r="BV68" s="166">
        <f t="shared" si="14"/>
        <v>2021</v>
      </c>
      <c r="BW68" s="57" t="str">
        <f>IF(AND($B68=BW$3,$C68="Strong"),IF(PUF!$S67&gt;0,PUF!$S67,""),"")</f>
        <v/>
      </c>
      <c r="BX68" s="57" t="str">
        <f>IF(AND($B68=BX$3,$C68="Strong"),IF(PUF!$S67&gt;0,PUF!$S67,""),"")</f>
        <v/>
      </c>
      <c r="BY68" s="57" t="str">
        <f>IF(AND($B68=BY$3,$C68="Strong"),IF(PUF!$S67&gt;0,PUF!$S67,""),"")</f>
        <v/>
      </c>
      <c r="BZ68" s="57" t="str">
        <f>IF(AND($B68=BZ$3,$C68="Strong"),IF(PUF!$S67&gt;0,PUF!$S67,""),"")</f>
        <v/>
      </c>
      <c r="CA68" s="57" t="str">
        <f>IF(AND($B68=CA$3,$C68="Strong"),IF(PUF!$S67&gt;0,PUF!$S67,""),"")</f>
        <v/>
      </c>
      <c r="CB68" s="57" t="str">
        <f>IF(AND($B68=CB$3,$C68="Strong"),IF(PUF!$S67&gt;0,PUF!$S67,""),"")</f>
        <v/>
      </c>
      <c r="CC68" s="57" t="str">
        <f>IF(AND($B68=CC$3,$C68="Strong"),IF(PUF!$S67&gt;0,PUF!$S67,""),"")</f>
        <v/>
      </c>
      <c r="CD68" s="57" t="str">
        <f>IF(AND($B68=CD$3,$C68="Strong"),IF(PUF!$S67&gt;0,PUF!$S67,""),"")</f>
        <v/>
      </c>
      <c r="CF68" s="11">
        <f t="shared" si="15"/>
        <v>2021</v>
      </c>
      <c r="CG68" s="57" t="str">
        <f>IF(AND($B68=CG$3,$C68="Strong"),IF(PUF!$U67&gt;0,PUF!$U67,""),"")</f>
        <v/>
      </c>
      <c r="CH68" s="57" t="str">
        <f>IF(AND($B68=CH$3,$C68="Strong"),IF(PUF!$U67&gt;0,PUF!$U67,""),"")</f>
        <v/>
      </c>
      <c r="CI68" s="57" t="str">
        <f>IF(AND($B68=CI$3,$C68="Strong"),IF(PUF!$U67&gt;0,PUF!$U67,""),"")</f>
        <v/>
      </c>
      <c r="CJ68" s="57" t="str">
        <f>IF(AND($B68=CJ$3,$C68="Strong"),IF(PUF!$U67&gt;0,PUF!$U67,""),"")</f>
        <v/>
      </c>
      <c r="CK68" s="57" t="str">
        <f>IF(AND($B68=CK$3,$C68="Strong"),IF(PUF!$U67&gt;0,PUF!$U67,""),"")</f>
        <v/>
      </c>
      <c r="CL68" s="57" t="str">
        <f>IF(AND($B68=CL$3,$C68="Strong"),IF(PUF!$U67&gt;0,PUF!$U67,""),"")</f>
        <v/>
      </c>
      <c r="CM68" s="57" t="str">
        <f>IF(AND($B68=CM$3,$C68="Strong"),IF(PUF!$U67&gt;0,PUF!$U67,""),"")</f>
        <v/>
      </c>
      <c r="CN68" s="57" t="str">
        <f>IF(AND($B68=CN$3,$C68="Strong"),IF(PUF!$U67&gt;0,PUF!$U67,""),"")</f>
        <v/>
      </c>
    </row>
    <row r="69" spans="1:92" x14ac:dyDescent="0.3">
      <c r="A69" s="6">
        <f>PUF!A67</f>
        <v>66</v>
      </c>
      <c r="B69" s="6" t="str">
        <f>PUF!G67</f>
        <v>memory (non-volatile)</v>
      </c>
      <c r="C69" t="str">
        <f>PUF!AL67</f>
        <v>Strong</v>
      </c>
      <c r="D69" s="166">
        <f>PUF!C67</f>
        <v>2021</v>
      </c>
      <c r="E69" s="167" t="str">
        <f>IF(AND($B69=E$3,$C69="Weak"),IF(PUF!$X67&gt;0,PUF!$X67,""),"")</f>
        <v/>
      </c>
      <c r="F69" s="167" t="str">
        <f>IF(AND($B69=F$3,$C69="Weak"),IF(PUF!$X67&gt;0,PUF!$X67,""),"")</f>
        <v/>
      </c>
      <c r="G69" s="167" t="str">
        <f>IF(AND($B69=G$3,$C69="Weak"),IF(PUF!$X67&gt;0,PUF!$X67,""),"")</f>
        <v/>
      </c>
      <c r="H69" s="167" t="str">
        <f>IF(AND($B69=H$3,$C69="Weak"),IF(PUF!$X67&gt;0,PUF!$X67,""),"")</f>
        <v/>
      </c>
      <c r="I69" s="167" t="str">
        <f>IF(AND($B69=I$3,$C69="Weak"),IF(PUF!$X67&gt;0,PUF!$X67,""),"")</f>
        <v/>
      </c>
      <c r="J69" s="167" t="str">
        <f>IF(AND($B69=J$3,$C69="Weak"),IF(PUF!$X67&gt;0,PUF!$X67,""),"")</f>
        <v/>
      </c>
      <c r="K69" s="167" t="str">
        <f>IF(AND($B69=K$3,$C69="Weak"),IF(PUF!$X67&gt;0,PUF!$X67,""),"")</f>
        <v/>
      </c>
      <c r="L69" s="167" t="str">
        <f>IF(AND($B69=L$3,$C69="Weak"),IF(PUF!$X67&gt;0,PUF!$X67,""),"")</f>
        <v/>
      </c>
      <c r="N69" s="11">
        <f t="shared" si="11"/>
        <v>2021</v>
      </c>
      <c r="O69" s="57" t="str">
        <f>IF(AND($B69=O$3,$C69="Weak"),IF(PUF!$M67&gt;0,PUF!$M67,""),"")</f>
        <v/>
      </c>
      <c r="P69" s="57" t="str">
        <f>IF(AND($B69=P$3,$C69="Weak"),IF(PUF!$M67&gt;0,PUF!$M67,""),"")</f>
        <v/>
      </c>
      <c r="Q69" s="57" t="str">
        <f>IF(AND($B69=Q$3,$C69="Weak"),IF(PUF!$M67&gt;0,PUF!$M67,""),"")</f>
        <v/>
      </c>
      <c r="R69" s="57" t="str">
        <f>IF(AND($B69=R$3,$C69="Weak"),IF(PUF!$M67&gt;0,PUF!$M67,""),"")</f>
        <v/>
      </c>
      <c r="S69" s="57" t="str">
        <f>IF(AND($B69=S$3,$C69="Weak"),IF(PUF!$M67&gt;0,PUF!$M67,""),"")</f>
        <v/>
      </c>
      <c r="T69" s="57" t="str">
        <f>IF(AND($B69=T$3,$C69="Weak"),IF(PUF!$M67&gt;0,PUF!$M67,""),"")</f>
        <v/>
      </c>
      <c r="U69" s="57" t="str">
        <f>IF(AND($B69=U$3,$C69="Weak"),IF(PUF!$M67&gt;0,PUF!$M67,""),"")</f>
        <v/>
      </c>
      <c r="V69" s="57" t="str">
        <f>IF(AND($B69=V$3,$C69="Weak"),IF(PUF!$M67&gt;0,PUF!$M67,""),"")</f>
        <v/>
      </c>
      <c r="W69" s="168"/>
      <c r="X69" s="166">
        <f t="shared" si="12"/>
        <v>2021</v>
      </c>
      <c r="Y69" s="57" t="str">
        <f>IF(AND($B69=Y$3,$C69="Weak"),IF(PUF!$S67&gt;0,PUF!$S67,""),"")</f>
        <v/>
      </c>
      <c r="Z69" s="57" t="str">
        <f>IF(AND($B69=Z$3,$C69="Weak"),IF(PUF!$S67&gt;0,PUF!$S67,""),"")</f>
        <v/>
      </c>
      <c r="AA69" s="57" t="str">
        <f>IF(AND($B69=AA$3,$C69="Weak"),IF(PUF!$S67&gt;0,PUF!$S67,""),"")</f>
        <v/>
      </c>
      <c r="AB69" s="57" t="str">
        <f>IF(AND($B69=AB$3,$C69="Weak"),IF(PUF!$S67&gt;0,PUF!$S67,""),"")</f>
        <v/>
      </c>
      <c r="AC69" s="57" t="str">
        <f>IF(AND($B69=AC$3,$C69="Weak"),IF(PUF!$S67&gt;0,PUF!$S67,""),"")</f>
        <v/>
      </c>
      <c r="AD69" s="57" t="str">
        <f>IF(AND($B69=AD$3,$C69="Weak"),IF(PUF!$S67&gt;0,PUF!$S67,""),"")</f>
        <v/>
      </c>
      <c r="AE69" s="57" t="str">
        <f>IF(AND($B69=AE$3,$C69="Weak"),IF(PUF!$S67&gt;0,PUF!$S67,""),"")</f>
        <v/>
      </c>
      <c r="AF69" s="57" t="str">
        <f>IF(AND($B69=AF$3,$C69="Weak"),IF(PUF!$S67&gt;0,PUF!$S67,""),"")</f>
        <v/>
      </c>
      <c r="AH69" s="210">
        <f t="shared" si="13"/>
        <v>2021</v>
      </c>
      <c r="AI69" s="211" t="str">
        <f>IF(AND($B69=AI$3,$C69="Weak"),IF(PUF!$U67&gt;0,PUF!$U67,""),"")</f>
        <v/>
      </c>
      <c r="AJ69" s="211" t="str">
        <f>IF(AND($B69=AJ$3,$C69="Weak"),IF(PUF!$U67&gt;0,PUF!$U67,""),"")</f>
        <v/>
      </c>
      <c r="AK69" s="211" t="str">
        <f>IF(AND($B69=AK$3,$C69="Weak"),IF(PUF!$U67&gt;0,PUF!$U67,""),"")</f>
        <v/>
      </c>
      <c r="AL69" s="211" t="str">
        <f>IF(AND($B69=AL$3,$C69="Weak"),IF(PUF!$U67&gt;0,PUF!$U67,""),"")</f>
        <v/>
      </c>
      <c r="AM69" s="211" t="str">
        <f>IF(AND($B69=AM$3,$C69="Weak"),IF(PUF!$U67&gt;0,PUF!$U67,""),"")</f>
        <v/>
      </c>
      <c r="AN69" s="211" t="str">
        <f>IF(AND($B69=AN$3,$C69="Weak"),IF(PUF!$U67&gt;0,PUF!$U67,""),"")</f>
        <v/>
      </c>
      <c r="AO69" s="211" t="str">
        <f>IF(AND($B69=AO$3,$C69="Weak"),IF(PUF!$U67&gt;0,PUF!$U67,""),"")</f>
        <v/>
      </c>
      <c r="AP69" s="211" t="str">
        <f>IF(AND($B69=AP$3,$C69="Weak"),IF(PUF!$U67&gt;0,PUF!$U67,""),"")</f>
        <v/>
      </c>
      <c r="BB69" s="166">
        <f t="shared" si="16"/>
        <v>2021</v>
      </c>
      <c r="BC69" s="57" t="str">
        <f>IF(AND($B69=BC$3,$C69="Strong"),IF(PUF!$X68&gt;0,PUF!$X68,""),"")</f>
        <v/>
      </c>
      <c r="BD69" s="57" t="str">
        <f>IF(AND($B69=BD$3,$C69="Strong"),IF(PUF!$X68&gt;0,PUF!$X68,""),"")</f>
        <v/>
      </c>
      <c r="BE69" s="57" t="str">
        <f>IF(AND($B69=BE$3,$C69="Strong"),IF(PUF!$X68&gt;0,PUF!$X68,""),"")</f>
        <v/>
      </c>
      <c r="BF69" s="57" t="str">
        <f>IF(AND($B69=BF$3,$C69="Strong"),IF(PUF!$X68&gt;0,PUF!$X68,""),"")</f>
        <v/>
      </c>
      <c r="BG69" s="57" t="str">
        <f>IF(AND($B69=BG$3,$C69="Strong"),IF(PUF!$X68&gt;0,PUF!$X68,""),"")</f>
        <v/>
      </c>
      <c r="BH69" s="57">
        <f>IF(AND($B69=BH$3,$C69="Strong"),IF(PUF!$X68&gt;0,PUF!$X68,""),"")</f>
        <v>1187</v>
      </c>
      <c r="BI69" s="57" t="str">
        <f>IF(AND($B69=BI$3,$C69="Strong"),IF(PUF!$X68&gt;0,PUF!$X68,""),"")</f>
        <v/>
      </c>
      <c r="BJ69" s="57" t="str">
        <f>IF(AND($B69=BJ$3,$C69="Strong"),IF(PUF!$X68&gt;0,PUF!$X68,""),"")</f>
        <v/>
      </c>
      <c r="BL69" s="166">
        <f t="shared" si="17"/>
        <v>2021</v>
      </c>
      <c r="BM69" s="57" t="str">
        <f>IF(AND($B69=BM$3,$C69="Strong"),IF(PUF!$M68&gt;0,PUF!$M68,""),"")</f>
        <v/>
      </c>
      <c r="BN69" s="57" t="str">
        <f>IF(AND($B69=BN$3,$C69="Strong"),IF(PUF!$M68&gt;0,PUF!$M68,""),"")</f>
        <v/>
      </c>
      <c r="BO69" s="57" t="str">
        <f>IF(AND($B69=BO$3,$C69="Strong"),IF(PUF!$M68&gt;0,PUF!$M68,""),"")</f>
        <v/>
      </c>
      <c r="BP69" s="57" t="str">
        <f>IF(AND($B69=BP$3,$C69="Strong"),IF(PUF!$M68&gt;0,PUF!$M68,""),"")</f>
        <v/>
      </c>
      <c r="BQ69" s="57" t="str">
        <f>IF(AND($B69=BQ$3,$C69="Strong"),IF(PUF!$M68&gt;0,PUF!$M68,""),"")</f>
        <v/>
      </c>
      <c r="BR69" s="57">
        <f>IF(AND($B69=BR$3,$C69="Strong"),IF(PUF!$M68&gt;0,PUF!$M68,""),"")</f>
        <v>0.12</v>
      </c>
      <c r="BS69" s="57" t="str">
        <f>IF(AND($B69=BS$3,$C69="Strong"),IF(PUF!$M68&gt;0,PUF!$M68,""),"")</f>
        <v/>
      </c>
      <c r="BT69" s="57" t="str">
        <f>IF(AND($B69=BT$3,$C69="Strong"),IF(PUF!$M68&gt;0,PUF!$M68,""),"")</f>
        <v/>
      </c>
      <c r="BV69" s="166">
        <f t="shared" si="14"/>
        <v>2021</v>
      </c>
      <c r="BW69" s="57" t="str">
        <f>IF(AND($B69=BW$3,$C69="Strong"),IF(PUF!$S68&gt;0,PUF!$S68,""),"")</f>
        <v/>
      </c>
      <c r="BX69" s="57" t="str">
        <f>IF(AND($B69=BX$3,$C69="Strong"),IF(PUF!$S68&gt;0,PUF!$S68,""),"")</f>
        <v/>
      </c>
      <c r="BY69" s="57" t="str">
        <f>IF(AND($B69=BY$3,$C69="Strong"),IF(PUF!$S68&gt;0,PUF!$S68,""),"")</f>
        <v/>
      </c>
      <c r="BZ69" s="57" t="str">
        <f>IF(AND($B69=BZ$3,$C69="Strong"),IF(PUF!$S68&gt;0,PUF!$S68,""),"")</f>
        <v/>
      </c>
      <c r="CA69" s="57" t="str">
        <f>IF(AND($B69=CA$3,$C69="Strong"),IF(PUF!$S68&gt;0,PUF!$S68,""),"")</f>
        <v/>
      </c>
      <c r="CB69" s="57">
        <f>IF(AND($B69=CB$3,$C69="Strong"),IF(PUF!$S68&gt;0,PUF!$S68,""),"")</f>
        <v>4.0890000000000004</v>
      </c>
      <c r="CC69" s="57" t="str">
        <f>IF(AND($B69=CC$3,$C69="Strong"),IF(PUF!$S68&gt;0,PUF!$S68,""),"")</f>
        <v/>
      </c>
      <c r="CD69" s="57" t="str">
        <f>IF(AND($B69=CD$3,$C69="Strong"),IF(PUF!$S68&gt;0,PUF!$S68,""),"")</f>
        <v/>
      </c>
      <c r="CF69" s="11">
        <f t="shared" si="15"/>
        <v>2021</v>
      </c>
      <c r="CG69" s="57" t="str">
        <f>IF(AND($B69=CG$3,$C69="Strong"),IF(PUF!$U68&gt;0,PUF!$U68,""),"")</f>
        <v/>
      </c>
      <c r="CH69" s="57" t="str">
        <f>IF(AND($B69=CH$3,$C69="Strong"),IF(PUF!$U68&gt;0,PUF!$U68,""),"")</f>
        <v/>
      </c>
      <c r="CI69" s="57" t="str">
        <f>IF(AND($B69=CI$3,$C69="Strong"),IF(PUF!$U68&gt;0,PUF!$U68,""),"")</f>
        <v/>
      </c>
      <c r="CJ69" s="57" t="str">
        <f>IF(AND($B69=CJ$3,$C69="Strong"),IF(PUF!$U68&gt;0,PUF!$U68,""),"")</f>
        <v/>
      </c>
      <c r="CK69" s="57" t="str">
        <f>IF(AND($B69=CK$3,$C69="Strong"),IF(PUF!$U68&gt;0,PUF!$U68,""),"")</f>
        <v/>
      </c>
      <c r="CL69" s="57">
        <f>IF(AND($B69=CL$3,$C69="Strong"),IF(PUF!$U68&gt;0,PUF!$U68,""),"")</f>
        <v>746.5</v>
      </c>
      <c r="CM69" s="57" t="str">
        <f>IF(AND($B69=CM$3,$C69="Strong"),IF(PUF!$U68&gt;0,PUF!$U68,""),"")</f>
        <v/>
      </c>
      <c r="CN69" s="57" t="str">
        <f>IF(AND($B69=CN$3,$C69="Strong"),IF(PUF!$U68&gt;0,PUF!$U68,""),"")</f>
        <v/>
      </c>
    </row>
    <row r="70" spans="1:92" x14ac:dyDescent="0.3">
      <c r="A70" s="6">
        <f>PUF!A68</f>
        <v>67</v>
      </c>
      <c r="B70" s="6" t="str">
        <f>PUF!G68</f>
        <v>others</v>
      </c>
      <c r="C70" t="str">
        <f>PUF!AL68</f>
        <v>Weak</v>
      </c>
      <c r="D70" s="166">
        <f>PUF!C68</f>
        <v>2021</v>
      </c>
      <c r="E70" s="167" t="str">
        <f>IF(AND($B70=E$3,$C70="Weak"),IF(PUF!$X68&gt;0,PUF!$X68,""),"")</f>
        <v/>
      </c>
      <c r="F70" s="167" t="str">
        <f>IF(AND($B70=F$3,$C70="Weak"),IF(PUF!$X68&gt;0,PUF!$X68,""),"")</f>
        <v/>
      </c>
      <c r="G70" s="167" t="str">
        <f>IF(AND($B70=G$3,$C70="Weak"),IF(PUF!$X68&gt;0,PUF!$X68,""),"")</f>
        <v/>
      </c>
      <c r="H70" s="167" t="str">
        <f>IF(AND($B70=H$3,$C70="Weak"),IF(PUF!$X68&gt;0,PUF!$X68,""),"")</f>
        <v/>
      </c>
      <c r="I70" s="167" t="str">
        <f>IF(AND($B70=I$3,$C70="Weak"),IF(PUF!$X68&gt;0,PUF!$X68,""),"")</f>
        <v/>
      </c>
      <c r="J70" s="167" t="str">
        <f>IF(AND($B70=J$3,$C70="Weak"),IF(PUF!$X68&gt;0,PUF!$X68,""),"")</f>
        <v/>
      </c>
      <c r="K70" s="167" t="str">
        <f>IF(AND($B70=K$3,$C70="Weak"),IF(PUF!$X68&gt;0,PUF!$X68,""),"")</f>
        <v/>
      </c>
      <c r="L70" s="167">
        <f>IF(AND($B70=L$3,$C70="Weak"),IF(PUF!$X68&gt;0,PUF!$X68,""),"")</f>
        <v>1187</v>
      </c>
      <c r="N70" s="11">
        <f t="shared" si="11"/>
        <v>2021</v>
      </c>
      <c r="O70" s="57" t="str">
        <f>IF(AND($B70=O$3,$C70="Weak"),IF(PUF!$M68&gt;0,PUF!$M68,""),"")</f>
        <v/>
      </c>
      <c r="P70" s="57" t="str">
        <f>IF(AND($B70=P$3,$C70="Weak"),IF(PUF!$M68&gt;0,PUF!$M68,""),"")</f>
        <v/>
      </c>
      <c r="Q70" s="57" t="str">
        <f>IF(AND($B70=Q$3,$C70="Weak"),IF(PUF!$M68&gt;0,PUF!$M68,""),"")</f>
        <v/>
      </c>
      <c r="R70" s="57" t="str">
        <f>IF(AND($B70=R$3,$C70="Weak"),IF(PUF!$M68&gt;0,PUF!$M68,""),"")</f>
        <v/>
      </c>
      <c r="S70" s="57" t="str">
        <f>IF(AND($B70=S$3,$C70="Weak"),IF(PUF!$M68&gt;0,PUF!$M68,""),"")</f>
        <v/>
      </c>
      <c r="T70" s="57" t="str">
        <f>IF(AND($B70=T$3,$C70="Weak"),IF(PUF!$M68&gt;0,PUF!$M68,""),"")</f>
        <v/>
      </c>
      <c r="U70" s="57" t="str">
        <f>IF(AND($B70=U$3,$C70="Weak"),IF(PUF!$M68&gt;0,PUF!$M68,""),"")</f>
        <v/>
      </c>
      <c r="V70" s="57">
        <f>IF(AND($B70=V$3,$C70="Weak"),IF(PUF!$M68&gt;0,PUF!$M68,""),"")</f>
        <v>0.12</v>
      </c>
      <c r="W70" s="168"/>
      <c r="X70" s="166">
        <f t="shared" si="12"/>
        <v>2021</v>
      </c>
      <c r="Y70" s="57" t="str">
        <f>IF(AND($B70=Y$3,$C70="Weak"),IF(PUF!$S68&gt;0,PUF!$S68,""),"")</f>
        <v/>
      </c>
      <c r="Z70" s="57" t="str">
        <f>IF(AND($B70=Z$3,$C70="Weak"),IF(PUF!$S68&gt;0,PUF!$S68,""),"")</f>
        <v/>
      </c>
      <c r="AA70" s="57" t="str">
        <f>IF(AND($B70=AA$3,$C70="Weak"),IF(PUF!$S68&gt;0,PUF!$S68,""),"")</f>
        <v/>
      </c>
      <c r="AB70" s="57" t="str">
        <f>IF(AND($B70=AB$3,$C70="Weak"),IF(PUF!$S68&gt;0,PUF!$S68,""),"")</f>
        <v/>
      </c>
      <c r="AC70" s="57" t="str">
        <f>IF(AND($B70=AC$3,$C70="Weak"),IF(PUF!$S68&gt;0,PUF!$S68,""),"")</f>
        <v/>
      </c>
      <c r="AD70" s="57" t="str">
        <f>IF(AND($B70=AD$3,$C70="Weak"),IF(PUF!$S68&gt;0,PUF!$S68,""),"")</f>
        <v/>
      </c>
      <c r="AE70" s="57" t="str">
        <f>IF(AND($B70=AE$3,$C70="Weak"),IF(PUF!$S68&gt;0,PUF!$S68,""),"")</f>
        <v/>
      </c>
      <c r="AF70" s="57">
        <f>IF(AND($B70=AF$3,$C70="Weak"),IF(PUF!$S68&gt;0,PUF!$S68,""),"")</f>
        <v>4.0890000000000004</v>
      </c>
      <c r="AH70" s="210">
        <f t="shared" si="13"/>
        <v>2021</v>
      </c>
      <c r="AI70" s="211" t="str">
        <f>IF(AND($B70=AI$3,$C70="Weak"),IF(PUF!$U68&gt;0,PUF!$U68,""),"")</f>
        <v/>
      </c>
      <c r="AJ70" s="211" t="str">
        <f>IF(AND($B70=AJ$3,$C70="Weak"),IF(PUF!$U68&gt;0,PUF!$U68,""),"")</f>
        <v/>
      </c>
      <c r="AK70" s="211" t="str">
        <f>IF(AND($B70=AK$3,$C70="Weak"),IF(PUF!$U68&gt;0,PUF!$U68,""),"")</f>
        <v/>
      </c>
      <c r="AL70" s="211" t="str">
        <f>IF(AND($B70=AL$3,$C70="Weak"),IF(PUF!$U68&gt;0,PUF!$U68,""),"")</f>
        <v/>
      </c>
      <c r="AM70" s="211" t="str">
        <f>IF(AND($B70=AM$3,$C70="Weak"),IF(PUF!$U68&gt;0,PUF!$U68,""),"")</f>
        <v/>
      </c>
      <c r="AN70" s="211" t="str">
        <f>IF(AND($B70=AN$3,$C70="Weak"),IF(PUF!$U68&gt;0,PUF!$U68,""),"")</f>
        <v/>
      </c>
      <c r="AO70" s="211" t="str">
        <f>IF(AND($B70=AO$3,$C70="Weak"),IF(PUF!$U68&gt;0,PUF!$U68,""),"")</f>
        <v/>
      </c>
      <c r="AP70" s="211">
        <f>IF(AND($B70=AP$3,$C70="Weak"),IF(PUF!$U68&gt;0,PUF!$U68,""),"")</f>
        <v>746.5</v>
      </c>
      <c r="BB70" s="166">
        <f t="shared" si="16"/>
        <v>2021</v>
      </c>
      <c r="BC70" s="57" t="str">
        <f>IF(AND($B70=BC$3,$C70="Strong"),IF(PUF!$X69&gt;0,PUF!$X69,""),"")</f>
        <v/>
      </c>
      <c r="BD70" s="57" t="str">
        <f>IF(AND($B70=BD$3,$C70="Strong"),IF(PUF!$X69&gt;0,PUF!$X69,""),"")</f>
        <v/>
      </c>
      <c r="BE70" s="57" t="str">
        <f>IF(AND($B70=BE$3,$C70="Strong"),IF(PUF!$X69&gt;0,PUF!$X69,""),"")</f>
        <v/>
      </c>
      <c r="BF70" s="57" t="str">
        <f>IF(AND($B70=BF$3,$C70="Strong"),IF(PUF!$X69&gt;0,PUF!$X69,""),"")</f>
        <v/>
      </c>
      <c r="BG70" s="57" t="str">
        <f>IF(AND($B70=BG$3,$C70="Strong"),IF(PUF!$X69&gt;0,PUF!$X69,""),"")</f>
        <v/>
      </c>
      <c r="BH70" s="57" t="str">
        <f>IF(AND($B70=BH$3,$C70="Strong"),IF(PUF!$X69&gt;0,PUF!$X69,""),"")</f>
        <v/>
      </c>
      <c r="BI70" s="57" t="str">
        <f>IF(AND($B70=BI$3,$C70="Strong"),IF(PUF!$X69&gt;0,PUF!$X69,""),"")</f>
        <v/>
      </c>
      <c r="BJ70" s="57" t="str">
        <f>IF(AND($B70=BJ$3,$C70="Strong"),IF(PUF!$X69&gt;0,PUF!$X69,""),"")</f>
        <v/>
      </c>
      <c r="BL70" s="166">
        <f t="shared" si="17"/>
        <v>2021</v>
      </c>
      <c r="BM70" s="57" t="str">
        <f>IF(AND($B70=BM$3,$C70="Strong"),IF(PUF!$M69&gt;0,PUF!$M69,""),"")</f>
        <v/>
      </c>
      <c r="BN70" s="57" t="str">
        <f>IF(AND($B70=BN$3,$C70="Strong"),IF(PUF!$M69&gt;0,PUF!$M69,""),"")</f>
        <v/>
      </c>
      <c r="BO70" s="57" t="str">
        <f>IF(AND($B70=BO$3,$C70="Strong"),IF(PUF!$M69&gt;0,PUF!$M69,""),"")</f>
        <v/>
      </c>
      <c r="BP70" s="57" t="str">
        <f>IF(AND($B70=BP$3,$C70="Strong"),IF(PUF!$M69&gt;0,PUF!$M69,""),"")</f>
        <v/>
      </c>
      <c r="BQ70" s="57" t="str">
        <f>IF(AND($B70=BQ$3,$C70="Strong"),IF(PUF!$M69&gt;0,PUF!$M69,""),"")</f>
        <v/>
      </c>
      <c r="BR70" s="57" t="str">
        <f>IF(AND($B70=BR$3,$C70="Strong"),IF(PUF!$M69&gt;0,PUF!$M69,""),"")</f>
        <v/>
      </c>
      <c r="BS70" s="57" t="str">
        <f>IF(AND($B70=BS$3,$C70="Strong"),IF(PUF!$M69&gt;0,PUF!$M69,""),"")</f>
        <v/>
      </c>
      <c r="BT70" s="57" t="str">
        <f>IF(AND($B70=BT$3,$C70="Strong"),IF(PUF!$M69&gt;0,PUF!$M69,""),"")</f>
        <v/>
      </c>
      <c r="BV70" s="166">
        <f t="shared" si="14"/>
        <v>2021</v>
      </c>
      <c r="BW70" s="57" t="str">
        <f>IF(AND($B70=BW$3,$C70="Strong"),IF(PUF!$S69&gt;0,PUF!$S69,""),"")</f>
        <v/>
      </c>
      <c r="BX70" s="57" t="str">
        <f>IF(AND($B70=BX$3,$C70="Strong"),IF(PUF!$S69&gt;0,PUF!$S69,""),"")</f>
        <v/>
      </c>
      <c r="BY70" s="57" t="str">
        <f>IF(AND($B70=BY$3,$C70="Strong"),IF(PUF!$S69&gt;0,PUF!$S69,""),"")</f>
        <v/>
      </c>
      <c r="BZ70" s="57" t="str">
        <f>IF(AND($B70=BZ$3,$C70="Strong"),IF(PUF!$S69&gt;0,PUF!$S69,""),"")</f>
        <v/>
      </c>
      <c r="CA70" s="57" t="str">
        <f>IF(AND($B70=CA$3,$C70="Strong"),IF(PUF!$S69&gt;0,PUF!$S69,""),"")</f>
        <v/>
      </c>
      <c r="CB70" s="57" t="str">
        <f>IF(AND($B70=CB$3,$C70="Strong"),IF(PUF!$S69&gt;0,PUF!$S69,""),"")</f>
        <v/>
      </c>
      <c r="CC70" s="57" t="str">
        <f>IF(AND($B70=CC$3,$C70="Strong"),IF(PUF!$S69&gt;0,PUF!$S69,""),"")</f>
        <v/>
      </c>
      <c r="CD70" s="57" t="str">
        <f>IF(AND($B70=CD$3,$C70="Strong"),IF(PUF!$S69&gt;0,PUF!$S69,""),"")</f>
        <v/>
      </c>
      <c r="CF70" s="11">
        <f t="shared" si="15"/>
        <v>2021</v>
      </c>
      <c r="CG70" s="57" t="str">
        <f>IF(AND($B70=CG$3,$C70="Strong"),IF(PUF!$U69&gt;0,PUF!$U69,""),"")</f>
        <v/>
      </c>
      <c r="CH70" s="57" t="str">
        <f>IF(AND($B70=CH$3,$C70="Strong"),IF(PUF!$U69&gt;0,PUF!$U69,""),"")</f>
        <v/>
      </c>
      <c r="CI70" s="57" t="str">
        <f>IF(AND($B70=CI$3,$C70="Strong"),IF(PUF!$U69&gt;0,PUF!$U69,""),"")</f>
        <v/>
      </c>
      <c r="CJ70" s="57" t="str">
        <f>IF(AND($B70=CJ$3,$C70="Strong"),IF(PUF!$U69&gt;0,PUF!$U69,""),"")</f>
        <v/>
      </c>
      <c r="CK70" s="57" t="str">
        <f>IF(AND($B70=CK$3,$C70="Strong"),IF(PUF!$U69&gt;0,PUF!$U69,""),"")</f>
        <v/>
      </c>
      <c r="CL70" s="57" t="str">
        <f>IF(AND($B70=CL$3,$C70="Strong"),IF(PUF!$U69&gt;0,PUF!$U69,""),"")</f>
        <v/>
      </c>
      <c r="CM70" s="57" t="str">
        <f>IF(AND($B70=CM$3,$C70="Strong"),IF(PUF!$U69&gt;0,PUF!$U69,""),"")</f>
        <v/>
      </c>
      <c r="CN70" s="57" t="str">
        <f>IF(AND($B70=CN$3,$C70="Strong"),IF(PUF!$U69&gt;0,PUF!$U69,""),"")</f>
        <v/>
      </c>
    </row>
    <row r="71" spans="1:92" x14ac:dyDescent="0.3">
      <c r="A71" s="6">
        <f>PUF!A69</f>
        <v>68</v>
      </c>
      <c r="B71" s="6" t="str">
        <f>PUF!G69</f>
        <v>memory</v>
      </c>
      <c r="C71" t="str">
        <f>PUF!AL69</f>
        <v>Strong</v>
      </c>
      <c r="D71" s="166">
        <f>PUF!C69</f>
        <v>2021</v>
      </c>
      <c r="E71" s="167" t="str">
        <f>IF(AND($B71=E$3,$C71="Weak"),IF(PUF!$X69&gt;0,PUF!$X69,""),"")</f>
        <v/>
      </c>
      <c r="F71" s="167" t="str">
        <f>IF(AND($B71=F$3,$C71="Weak"),IF(PUF!$X69&gt;0,PUF!$X69,""),"")</f>
        <v/>
      </c>
      <c r="G71" s="167" t="str">
        <f>IF(AND($B71=G$3,$C71="Weak"),IF(PUF!$X69&gt;0,PUF!$X69,""),"")</f>
        <v/>
      </c>
      <c r="H71" s="167" t="str">
        <f>IF(AND($B71=H$3,$C71="Weak"),IF(PUF!$X69&gt;0,PUF!$X69,""),"")</f>
        <v/>
      </c>
      <c r="I71" s="167" t="str">
        <f>IF(AND($B71=I$3,$C71="Weak"),IF(PUF!$X69&gt;0,PUF!$X69,""),"")</f>
        <v/>
      </c>
      <c r="J71" s="167" t="str">
        <f>IF(AND($B71=J$3,$C71="Weak"),IF(PUF!$X69&gt;0,PUF!$X69,""),"")</f>
        <v/>
      </c>
      <c r="K71" s="167" t="str">
        <f>IF(AND($B71=K$3,$C71="Weak"),IF(PUF!$X69&gt;0,PUF!$X69,""),"")</f>
        <v/>
      </c>
      <c r="L71" s="167" t="str">
        <f>IF(AND($B71=L$3,$C71="Weak"),IF(PUF!$X69&gt;0,PUF!$X69,""),"")</f>
        <v/>
      </c>
      <c r="N71" s="11">
        <f t="shared" si="11"/>
        <v>2021</v>
      </c>
      <c r="O71" s="57" t="str">
        <f>IF(AND($B71=O$3,$C71="Weak"),IF(PUF!$M69&gt;0,PUF!$M69,""),"")</f>
        <v/>
      </c>
      <c r="P71" s="57" t="str">
        <f>IF(AND($B71=P$3,$C71="Weak"),IF(PUF!$M69&gt;0,PUF!$M69,""),"")</f>
        <v/>
      </c>
      <c r="Q71" s="57" t="str">
        <f>IF(AND($B71=Q$3,$C71="Weak"),IF(PUF!$M69&gt;0,PUF!$M69,""),"")</f>
        <v/>
      </c>
      <c r="R71" s="57" t="str">
        <f>IF(AND($B71=R$3,$C71="Weak"),IF(PUF!$M69&gt;0,PUF!$M69,""),"")</f>
        <v/>
      </c>
      <c r="S71" s="57" t="str">
        <f>IF(AND($B71=S$3,$C71="Weak"),IF(PUF!$M69&gt;0,PUF!$M69,""),"")</f>
        <v/>
      </c>
      <c r="T71" s="57" t="str">
        <f>IF(AND($B71=T$3,$C71="Weak"),IF(PUF!$M69&gt;0,PUF!$M69,""),"")</f>
        <v/>
      </c>
      <c r="U71" s="57" t="str">
        <f>IF(AND($B71=U$3,$C71="Weak"),IF(PUF!$M69&gt;0,PUF!$M69,""),"")</f>
        <v/>
      </c>
      <c r="V71" s="57" t="str">
        <f>IF(AND($B71=V$3,$C71="Weak"),IF(PUF!$M69&gt;0,PUF!$M69,""),"")</f>
        <v/>
      </c>
      <c r="W71" s="168"/>
      <c r="X71" s="166">
        <f t="shared" si="12"/>
        <v>2021</v>
      </c>
      <c r="Y71" s="57" t="str">
        <f>IF(AND($B71=Y$3,$C71="Weak"),IF(PUF!$S69&gt;0,PUF!$S69,""),"")</f>
        <v/>
      </c>
      <c r="Z71" s="57" t="str">
        <f>IF(AND($B71=Z$3,$C71="Weak"),IF(PUF!$S69&gt;0,PUF!$S69,""),"")</f>
        <v/>
      </c>
      <c r="AA71" s="57" t="str">
        <f>IF(AND($B71=AA$3,$C71="Weak"),IF(PUF!$S69&gt;0,PUF!$S69,""),"")</f>
        <v/>
      </c>
      <c r="AB71" s="57" t="str">
        <f>IF(AND($B71=AB$3,$C71="Weak"),IF(PUF!$S69&gt;0,PUF!$S69,""),"")</f>
        <v/>
      </c>
      <c r="AC71" s="57" t="str">
        <f>IF(AND($B71=AC$3,$C71="Weak"),IF(PUF!$S69&gt;0,PUF!$S69,""),"")</f>
        <v/>
      </c>
      <c r="AD71" s="57" t="str">
        <f>IF(AND($B71=AD$3,$C71="Weak"),IF(PUF!$S69&gt;0,PUF!$S69,""),"")</f>
        <v/>
      </c>
      <c r="AE71" s="57" t="str">
        <f>IF(AND($B71=AE$3,$C71="Weak"),IF(PUF!$S69&gt;0,PUF!$S69,""),"")</f>
        <v/>
      </c>
      <c r="AF71" s="57" t="str">
        <f>IF(AND($B71=AF$3,$C71="Weak"),IF(PUF!$S69&gt;0,PUF!$S69,""),"")</f>
        <v/>
      </c>
      <c r="AH71" s="210">
        <f t="shared" si="13"/>
        <v>2021</v>
      </c>
      <c r="AI71" s="211" t="str">
        <f>IF(AND($B71=AI$3,$C71="Weak"),IF(PUF!$U69&gt;0,PUF!$U69,""),"")</f>
        <v/>
      </c>
      <c r="AJ71" s="211" t="str">
        <f>IF(AND($B71=AJ$3,$C71="Weak"),IF(PUF!$U69&gt;0,PUF!$U69,""),"")</f>
        <v/>
      </c>
      <c r="AK71" s="211" t="str">
        <f>IF(AND($B71=AK$3,$C71="Weak"),IF(PUF!$U69&gt;0,PUF!$U69,""),"")</f>
        <v/>
      </c>
      <c r="AL71" s="211" t="str">
        <f>IF(AND($B71=AL$3,$C71="Weak"),IF(PUF!$U69&gt;0,PUF!$U69,""),"")</f>
        <v/>
      </c>
      <c r="AM71" s="211" t="str">
        <f>IF(AND($B71=AM$3,$C71="Weak"),IF(PUF!$U69&gt;0,PUF!$U69,""),"")</f>
        <v/>
      </c>
      <c r="AN71" s="211" t="str">
        <f>IF(AND($B71=AN$3,$C71="Weak"),IF(PUF!$U69&gt;0,PUF!$U69,""),"")</f>
        <v/>
      </c>
      <c r="AO71" s="211" t="str">
        <f>IF(AND($B71=AO$3,$C71="Weak"),IF(PUF!$U69&gt;0,PUF!$U69,""),"")</f>
        <v/>
      </c>
      <c r="AP71" s="211" t="str">
        <f>IF(AND($B71=AP$3,$C71="Weak"),IF(PUF!$U69&gt;0,PUF!$U69,""),"")</f>
        <v/>
      </c>
      <c r="BB71" s="166">
        <f t="shared" si="16"/>
        <v>2021</v>
      </c>
      <c r="BC71" s="57" t="str">
        <f>IF(AND($B71=BC$3,$C71="Strong"),IF(PUF!$X70&gt;0,PUF!$X70,""),"")</f>
        <v/>
      </c>
      <c r="BD71" s="57" t="str">
        <f>IF(AND($B71=BD$3,$C71="Strong"),IF(PUF!$X70&gt;0,PUF!$X70,""),"")</f>
        <v/>
      </c>
      <c r="BE71" s="57" t="str">
        <f>IF(AND($B71=BE$3,$C71="Strong"),IF(PUF!$X70&gt;0,PUF!$X70,""),"")</f>
        <v/>
      </c>
      <c r="BF71" s="57" t="str">
        <f>IF(AND($B71=BF$3,$C71="Strong"),IF(PUF!$X70&gt;0,PUF!$X70,""),"")</f>
        <v/>
      </c>
      <c r="BG71" s="57" t="str">
        <f>IF(AND($B71=BG$3,$C71="Strong"),IF(PUF!$X70&gt;0,PUF!$X70,""),"")</f>
        <v/>
      </c>
      <c r="BH71" s="57" t="str">
        <f>IF(AND($B71=BH$3,$C71="Strong"),IF(PUF!$X70&gt;0,PUF!$X70,""),"")</f>
        <v/>
      </c>
      <c r="BI71" s="57" t="str">
        <f>IF(AND($B71=BI$3,$C71="Strong"),IF(PUF!$X70&gt;0,PUF!$X70,""),"")</f>
        <v/>
      </c>
      <c r="BJ71" s="57" t="str">
        <f>IF(AND($B71=BJ$3,$C71="Strong"),IF(PUF!$X70&gt;0,PUF!$X70,""),"")</f>
        <v/>
      </c>
      <c r="BL71" s="166">
        <f t="shared" si="17"/>
        <v>2021</v>
      </c>
      <c r="BM71" s="57" t="str">
        <f>IF(AND($B71=BM$3,$C71="Strong"),IF(PUF!$M70&gt;0,PUF!$M70,""),"")</f>
        <v/>
      </c>
      <c r="BN71" s="57" t="str">
        <f>IF(AND($B71=BN$3,$C71="Strong"),IF(PUF!$M70&gt;0,PUF!$M70,""),"")</f>
        <v/>
      </c>
      <c r="BO71" s="57" t="str">
        <f>IF(AND($B71=BO$3,$C71="Strong"),IF(PUF!$M70&gt;0,PUF!$M70,""),"")</f>
        <v/>
      </c>
      <c r="BP71" s="57" t="str">
        <f>IF(AND($B71=BP$3,$C71="Strong"),IF(PUF!$M70&gt;0,PUF!$M70,""),"")</f>
        <v/>
      </c>
      <c r="BQ71" s="57" t="str">
        <f>IF(AND($B71=BQ$3,$C71="Strong"),IF(PUF!$M70&gt;0,PUF!$M70,""),"")</f>
        <v/>
      </c>
      <c r="BR71" s="57" t="str">
        <f>IF(AND($B71=BR$3,$C71="Strong"),IF(PUF!$M70&gt;0,PUF!$M70,""),"")</f>
        <v/>
      </c>
      <c r="BS71" s="57" t="str">
        <f>IF(AND($B71=BS$3,$C71="Strong"),IF(PUF!$M70&gt;0,PUF!$M70,""),"")</f>
        <v/>
      </c>
      <c r="BT71" s="57" t="str">
        <f>IF(AND($B71=BT$3,$C71="Strong"),IF(PUF!$M70&gt;0,PUF!$M70,""),"")</f>
        <v/>
      </c>
      <c r="BV71" s="166">
        <f t="shared" si="14"/>
        <v>2021</v>
      </c>
      <c r="BW71" s="57" t="str">
        <f>IF(AND($B71=BW$3,$C71="Strong"),IF(PUF!$S70&gt;0,PUF!$S70,""),"")</f>
        <v/>
      </c>
      <c r="BX71" s="57" t="str">
        <f>IF(AND($B71=BX$3,$C71="Strong"),IF(PUF!$S70&gt;0,PUF!$S70,""),"")</f>
        <v/>
      </c>
      <c r="BY71" s="57" t="str">
        <f>IF(AND($B71=BY$3,$C71="Strong"),IF(PUF!$S70&gt;0,PUF!$S70,""),"")</f>
        <v/>
      </c>
      <c r="BZ71" s="57" t="str">
        <f>IF(AND($B71=BZ$3,$C71="Strong"),IF(PUF!$S70&gt;0,PUF!$S70,""),"")</f>
        <v/>
      </c>
      <c r="CA71" s="57" t="str">
        <f>IF(AND($B71=CA$3,$C71="Strong"),IF(PUF!$S70&gt;0,PUF!$S70,""),"")</f>
        <v/>
      </c>
      <c r="CB71" s="57" t="str">
        <f>IF(AND($B71=CB$3,$C71="Strong"),IF(PUF!$S70&gt;0,PUF!$S70,""),"")</f>
        <v/>
      </c>
      <c r="CC71" s="57" t="str">
        <f>IF(AND($B71=CC$3,$C71="Strong"),IF(PUF!$S70&gt;0,PUF!$S70,""),"")</f>
        <v/>
      </c>
      <c r="CD71" s="57" t="str">
        <f>IF(AND($B71=CD$3,$C71="Strong"),IF(PUF!$S70&gt;0,PUF!$S70,""),"")</f>
        <v/>
      </c>
      <c r="CF71" s="11">
        <f t="shared" si="15"/>
        <v>2021</v>
      </c>
      <c r="CG71" s="57" t="str">
        <f>IF(AND($B71=CG$3,$C71="Strong"),IF(PUF!$U70&gt;0,PUF!$U70,""),"")</f>
        <v/>
      </c>
      <c r="CH71" s="57" t="str">
        <f>IF(AND($B71=CH$3,$C71="Strong"),IF(PUF!$U70&gt;0,PUF!$U70,""),"")</f>
        <v/>
      </c>
      <c r="CI71" s="57" t="str">
        <f>IF(AND($B71=CI$3,$C71="Strong"),IF(PUF!$U70&gt;0,PUF!$U70,""),"")</f>
        <v/>
      </c>
      <c r="CJ71" s="57" t="str">
        <f>IF(AND($B71=CJ$3,$C71="Strong"),IF(PUF!$U70&gt;0,PUF!$U70,""),"")</f>
        <v/>
      </c>
      <c r="CK71" s="57" t="str">
        <f>IF(AND($B71=CK$3,$C71="Strong"),IF(PUF!$U70&gt;0,PUF!$U70,""),"")</f>
        <v/>
      </c>
      <c r="CL71" s="57" t="str">
        <f>IF(AND($B71=CL$3,$C71="Strong"),IF(PUF!$U70&gt;0,PUF!$U70,""),"")</f>
        <v/>
      </c>
      <c r="CM71" s="57" t="str">
        <f>IF(AND($B71=CM$3,$C71="Strong"),IF(PUF!$U70&gt;0,PUF!$U70,""),"")</f>
        <v/>
      </c>
      <c r="CN71" s="57" t="str">
        <f>IF(AND($B71=CN$3,$C71="Strong"),IF(PUF!$U70&gt;0,PUF!$U70,""),"")</f>
        <v/>
      </c>
    </row>
    <row r="72" spans="1:92" x14ac:dyDescent="0.3">
      <c r="A72" s="6">
        <f>PUF!A70</f>
        <v>69</v>
      </c>
      <c r="B72" s="6" t="str">
        <f>PUF!G70</f>
        <v>metastability</v>
      </c>
      <c r="C72" t="str">
        <f>PUF!AL70</f>
        <v>Strong</v>
      </c>
      <c r="D72" s="166">
        <f>PUF!C70</f>
        <v>2021</v>
      </c>
      <c r="E72" s="167" t="str">
        <f>IF(AND($B72=E$3,$C72="Weak"),IF(PUF!$X70&gt;0,PUF!$X70,""),"")</f>
        <v/>
      </c>
      <c r="F72" s="167" t="str">
        <f>IF(AND($B72=F$3,$C72="Weak"),IF(PUF!$X70&gt;0,PUF!$X70,""),"")</f>
        <v/>
      </c>
      <c r="G72" s="167" t="str">
        <f>IF(AND($B72=G$3,$C72="Weak"),IF(PUF!$X70&gt;0,PUF!$X70,""),"")</f>
        <v/>
      </c>
      <c r="H72" s="167" t="str">
        <f>IF(AND($B72=H$3,$C72="Weak"),IF(PUF!$X70&gt;0,PUF!$X70,""),"")</f>
        <v/>
      </c>
      <c r="I72" s="167" t="str">
        <f>IF(AND($B72=I$3,$C72="Weak"),IF(PUF!$X70&gt;0,PUF!$X70,""),"")</f>
        <v/>
      </c>
      <c r="J72" s="167" t="str">
        <f>IF(AND($B72=J$3,$C72="Weak"),IF(PUF!$X70&gt;0,PUF!$X70,""),"")</f>
        <v/>
      </c>
      <c r="K72" s="167" t="str">
        <f>IF(AND($B72=K$3,$C72="Weak"),IF(PUF!$X70&gt;0,PUF!$X70,""),"")</f>
        <v/>
      </c>
      <c r="L72" s="167" t="str">
        <f>IF(AND($B72=L$3,$C72="Weak"),IF(PUF!$X70&gt;0,PUF!$X70,""),"")</f>
        <v/>
      </c>
      <c r="N72" s="11">
        <f t="shared" si="11"/>
        <v>2021</v>
      </c>
      <c r="O72" s="57" t="str">
        <f>IF(AND($B72=O$3,$C72="Weak"),IF(PUF!$M70&gt;0,PUF!$M70,""),"")</f>
        <v/>
      </c>
      <c r="P72" s="57" t="str">
        <f>IF(AND($B72=P$3,$C72="Weak"),IF(PUF!$M70&gt;0,PUF!$M70,""),"")</f>
        <v/>
      </c>
      <c r="Q72" s="57" t="str">
        <f>IF(AND($B72=Q$3,$C72="Weak"),IF(PUF!$M70&gt;0,PUF!$M70,""),"")</f>
        <v/>
      </c>
      <c r="R72" s="57" t="str">
        <f>IF(AND($B72=R$3,$C72="Weak"),IF(PUF!$M70&gt;0,PUF!$M70,""),"")</f>
        <v/>
      </c>
      <c r="S72" s="57" t="str">
        <f>IF(AND($B72=S$3,$C72="Weak"),IF(PUF!$M70&gt;0,PUF!$M70,""),"")</f>
        <v/>
      </c>
      <c r="T72" s="57" t="str">
        <f>IF(AND($B72=T$3,$C72="Weak"),IF(PUF!$M70&gt;0,PUF!$M70,""),"")</f>
        <v/>
      </c>
      <c r="U72" s="57" t="str">
        <f>IF(AND($B72=U$3,$C72="Weak"),IF(PUF!$M70&gt;0,PUF!$M70,""),"")</f>
        <v/>
      </c>
      <c r="V72" s="57" t="str">
        <f>IF(AND($B72=V$3,$C72="Weak"),IF(PUF!$M70&gt;0,PUF!$M70,""),"")</f>
        <v/>
      </c>
      <c r="W72" s="168"/>
      <c r="X72" s="166">
        <f t="shared" si="12"/>
        <v>2021</v>
      </c>
      <c r="Y72" s="57" t="str">
        <f>IF(AND($B72=Y$3,$C72="Weak"),IF(PUF!$S70&gt;0,PUF!$S70,""),"")</f>
        <v/>
      </c>
      <c r="Z72" s="57" t="str">
        <f>IF(AND($B72=Z$3,$C72="Weak"),IF(PUF!$S70&gt;0,PUF!$S70,""),"")</f>
        <v/>
      </c>
      <c r="AA72" s="57" t="str">
        <f>IF(AND($B72=AA$3,$C72="Weak"),IF(PUF!$S70&gt;0,PUF!$S70,""),"")</f>
        <v/>
      </c>
      <c r="AB72" s="57" t="str">
        <f>IF(AND($B72=AB$3,$C72="Weak"),IF(PUF!$S70&gt;0,PUF!$S70,""),"")</f>
        <v/>
      </c>
      <c r="AC72" s="57" t="str">
        <f>IF(AND($B72=AC$3,$C72="Weak"),IF(PUF!$S70&gt;0,PUF!$S70,""),"")</f>
        <v/>
      </c>
      <c r="AD72" s="57" t="str">
        <f>IF(AND($B72=AD$3,$C72="Weak"),IF(PUF!$S70&gt;0,PUF!$S70,""),"")</f>
        <v/>
      </c>
      <c r="AE72" s="57" t="str">
        <f>IF(AND($B72=AE$3,$C72="Weak"),IF(PUF!$S70&gt;0,PUF!$S70,""),"")</f>
        <v/>
      </c>
      <c r="AF72" s="57" t="str">
        <f>IF(AND($B72=AF$3,$C72="Weak"),IF(PUF!$S70&gt;0,PUF!$S70,""),"")</f>
        <v/>
      </c>
      <c r="AH72" s="210">
        <f t="shared" si="13"/>
        <v>2021</v>
      </c>
      <c r="AI72" s="211" t="str">
        <f>IF(AND($B72=AI$3,$C72="Weak"),IF(PUF!$U70&gt;0,PUF!$U70,""),"")</f>
        <v/>
      </c>
      <c r="AJ72" s="211" t="str">
        <f>IF(AND($B72=AJ$3,$C72="Weak"),IF(PUF!$U70&gt;0,PUF!$U70,""),"")</f>
        <v/>
      </c>
      <c r="AK72" s="211" t="str">
        <f>IF(AND($B72=AK$3,$C72="Weak"),IF(PUF!$U70&gt;0,PUF!$U70,""),"")</f>
        <v/>
      </c>
      <c r="AL72" s="211" t="str">
        <f>IF(AND($B72=AL$3,$C72="Weak"),IF(PUF!$U70&gt;0,PUF!$U70,""),"")</f>
        <v/>
      </c>
      <c r="AM72" s="211" t="str">
        <f>IF(AND($B72=AM$3,$C72="Weak"),IF(PUF!$U70&gt;0,PUF!$U70,""),"")</f>
        <v/>
      </c>
      <c r="AN72" s="211" t="str">
        <f>IF(AND($B72=AN$3,$C72="Weak"),IF(PUF!$U70&gt;0,PUF!$U70,""),"")</f>
        <v/>
      </c>
      <c r="AO72" s="211" t="str">
        <f>IF(AND($B72=AO$3,$C72="Weak"),IF(PUF!$U70&gt;0,PUF!$U70,""),"")</f>
        <v/>
      </c>
      <c r="AP72" s="211" t="str">
        <f>IF(AND($B72=AP$3,$C72="Weak"),IF(PUF!$U70&gt;0,PUF!$U70,""),"")</f>
        <v/>
      </c>
      <c r="BB72" s="166">
        <f t="shared" si="16"/>
        <v>2021</v>
      </c>
      <c r="BC72" s="57" t="str">
        <f>IF(AND($B72=BC$3,$C72="Strong"),IF(PUF!$X71&gt;0,PUF!$X71,""),"")</f>
        <v/>
      </c>
      <c r="BD72" s="57" t="str">
        <f>IF(AND($B72=BD$3,$C72="Strong"),IF(PUF!$X71&gt;0,PUF!$X71,""),"")</f>
        <v/>
      </c>
      <c r="BE72" s="57" t="str">
        <f>IF(AND($B72=BE$3,$C72="Strong"),IF(PUF!$X71&gt;0,PUF!$X71,""),"")</f>
        <v/>
      </c>
      <c r="BF72" s="57">
        <f>IF(AND($B72=BF$3,$C72="Strong"),IF(PUF!$X71&gt;0,PUF!$X71,""),"")</f>
        <v>4052625</v>
      </c>
      <c r="BG72" s="57" t="str">
        <f>IF(AND($B72=BG$3,$C72="Strong"),IF(PUF!$X71&gt;0,PUF!$X71,""),"")</f>
        <v/>
      </c>
      <c r="BH72" s="57" t="str">
        <f>IF(AND($B72=BH$3,$C72="Strong"),IF(PUF!$X71&gt;0,PUF!$X71,""),"")</f>
        <v/>
      </c>
      <c r="BI72" s="57" t="str">
        <f>IF(AND($B72=BI$3,$C72="Strong"),IF(PUF!$X71&gt;0,PUF!$X71,""),"")</f>
        <v/>
      </c>
      <c r="BJ72" s="57" t="str">
        <f>IF(AND($B72=BJ$3,$C72="Strong"),IF(PUF!$X71&gt;0,PUF!$X71,""),"")</f>
        <v/>
      </c>
      <c r="BL72" s="166">
        <f t="shared" si="17"/>
        <v>2021</v>
      </c>
      <c r="BM72" s="57" t="str">
        <f>IF(AND($B72=BM$3,$C72="Strong"),IF(PUF!$M71&gt;0,PUF!$M71,""),"")</f>
        <v/>
      </c>
      <c r="BN72" s="57" t="str">
        <f>IF(AND($B72=BN$3,$C72="Strong"),IF(PUF!$M71&gt;0,PUF!$M71,""),"")</f>
        <v/>
      </c>
      <c r="BO72" s="57" t="str">
        <f>IF(AND($B72=BO$3,$C72="Strong"),IF(PUF!$M71&gt;0,PUF!$M71,""),"")</f>
        <v/>
      </c>
      <c r="BP72" s="57" t="str">
        <f>IF(AND($B72=BP$3,$C72="Strong"),IF(PUF!$M71&gt;0,PUF!$M71,""),"")</f>
        <v/>
      </c>
      <c r="BQ72" s="57" t="str">
        <f>IF(AND($B72=BQ$3,$C72="Strong"),IF(PUF!$M71&gt;0,PUF!$M71,""),"")</f>
        <v/>
      </c>
      <c r="BR72" s="57" t="str">
        <f>IF(AND($B72=BR$3,$C72="Strong"),IF(PUF!$M71&gt;0,PUF!$M71,""),"")</f>
        <v/>
      </c>
      <c r="BS72" s="57" t="str">
        <f>IF(AND($B72=BS$3,$C72="Strong"),IF(PUF!$M71&gt;0,PUF!$M71,""),"")</f>
        <v/>
      </c>
      <c r="BT72" s="57" t="str">
        <f>IF(AND($B72=BT$3,$C72="Strong"),IF(PUF!$M71&gt;0,PUF!$M71,""),"")</f>
        <v/>
      </c>
      <c r="BV72" s="166">
        <f t="shared" si="14"/>
        <v>2021</v>
      </c>
      <c r="BW72" s="57" t="str">
        <f>IF(AND($B72=BW$3,$C72="Strong"),IF(PUF!$S71&gt;0,PUF!$S71,""),"")</f>
        <v/>
      </c>
      <c r="BX72" s="57" t="str">
        <f>IF(AND($B72=BX$3,$C72="Strong"),IF(PUF!$S71&gt;0,PUF!$S71,""),"")</f>
        <v/>
      </c>
      <c r="BY72" s="57" t="str">
        <f>IF(AND($B72=BY$3,$C72="Strong"),IF(PUF!$S71&gt;0,PUF!$S71,""),"")</f>
        <v/>
      </c>
      <c r="BZ72" s="57">
        <f>IF(AND($B72=BZ$3,$C72="Strong"),IF(PUF!$S71&gt;0,PUF!$S71,""),"")</f>
        <v>2.4</v>
      </c>
      <c r="CA72" s="57" t="str">
        <f>IF(AND($B72=CA$3,$C72="Strong"),IF(PUF!$S71&gt;0,PUF!$S71,""),"")</f>
        <v/>
      </c>
      <c r="CB72" s="57" t="str">
        <f>IF(AND($B72=CB$3,$C72="Strong"),IF(PUF!$S71&gt;0,PUF!$S71,""),"")</f>
        <v/>
      </c>
      <c r="CC72" s="57" t="str">
        <f>IF(AND($B72=CC$3,$C72="Strong"),IF(PUF!$S71&gt;0,PUF!$S71,""),"")</f>
        <v/>
      </c>
      <c r="CD72" s="57" t="str">
        <f>IF(AND($B72=CD$3,$C72="Strong"),IF(PUF!$S71&gt;0,PUF!$S71,""),"")</f>
        <v/>
      </c>
      <c r="CF72" s="11">
        <f t="shared" si="15"/>
        <v>2021</v>
      </c>
      <c r="CG72" s="57" t="str">
        <f>IF(AND($B72=CG$3,$C72="Strong"),IF(PUF!$U71&gt;0,PUF!$U71,""),"")</f>
        <v/>
      </c>
      <c r="CH72" s="57" t="str">
        <f>IF(AND($B72=CH$3,$C72="Strong"),IF(PUF!$U71&gt;0,PUF!$U71,""),"")</f>
        <v/>
      </c>
      <c r="CI72" s="57" t="str">
        <f>IF(AND($B72=CI$3,$C72="Strong"),IF(PUF!$U71&gt;0,PUF!$U71,""),"")</f>
        <v/>
      </c>
      <c r="CJ72" s="57">
        <f>IF(AND($B72=CJ$3,$C72="Strong"),IF(PUF!$U71&gt;0,PUF!$U71,""),"")</f>
        <v>0.127</v>
      </c>
      <c r="CK72" s="57" t="str">
        <f>IF(AND($B72=CK$3,$C72="Strong"),IF(PUF!$U71&gt;0,PUF!$U71,""),"")</f>
        <v/>
      </c>
      <c r="CL72" s="57" t="str">
        <f>IF(AND($B72=CL$3,$C72="Strong"),IF(PUF!$U71&gt;0,PUF!$U71,""),"")</f>
        <v/>
      </c>
      <c r="CM72" s="57" t="str">
        <f>IF(AND($B72=CM$3,$C72="Strong"),IF(PUF!$U71&gt;0,PUF!$U71,""),"")</f>
        <v/>
      </c>
      <c r="CN72" s="57" t="str">
        <f>IF(AND($B72=CN$3,$C72="Strong"),IF(PUF!$U71&gt;0,PUF!$U71,""),"")</f>
        <v/>
      </c>
    </row>
    <row r="73" spans="1:92" x14ac:dyDescent="0.3">
      <c r="A73" s="6">
        <f>PUF!A71</f>
        <v>70</v>
      </c>
      <c r="B73" s="6" t="str">
        <f>PUF!G71</f>
        <v>memory (volatile)</v>
      </c>
      <c r="C73" t="str">
        <f>PUF!AL71</f>
        <v>Strong</v>
      </c>
      <c r="D73" s="166">
        <f>PUF!C71</f>
        <v>2021</v>
      </c>
      <c r="E73" s="167" t="str">
        <f>IF(AND($B73=E$3,$C73="Weak"),IF(PUF!$X71&gt;0,PUF!$X71,""),"")</f>
        <v/>
      </c>
      <c r="F73" s="167" t="str">
        <f>IF(AND($B73=F$3,$C73="Weak"),IF(PUF!$X71&gt;0,PUF!$X71,""),"")</f>
        <v/>
      </c>
      <c r="G73" s="167" t="str">
        <f>IF(AND($B73=G$3,$C73="Weak"),IF(PUF!$X71&gt;0,PUF!$X71,""),"")</f>
        <v/>
      </c>
      <c r="H73" s="167" t="str">
        <f>IF(AND($B73=H$3,$C73="Weak"),IF(PUF!$X71&gt;0,PUF!$X71,""),"")</f>
        <v/>
      </c>
      <c r="I73" s="167" t="str">
        <f>IF(AND($B73=I$3,$C73="Weak"),IF(PUF!$X71&gt;0,PUF!$X71,""),"")</f>
        <v/>
      </c>
      <c r="J73" s="167" t="str">
        <f>IF(AND($B73=J$3,$C73="Weak"),IF(PUF!$X71&gt;0,PUF!$X71,""),"")</f>
        <v/>
      </c>
      <c r="K73" s="167" t="str">
        <f>IF(AND($B73=K$3,$C73="Weak"),IF(PUF!$X71&gt;0,PUF!$X71,""),"")</f>
        <v/>
      </c>
      <c r="L73" s="167" t="str">
        <f>IF(AND($B73=L$3,$C73="Weak"),IF(PUF!$X71&gt;0,PUF!$X71,""),"")</f>
        <v/>
      </c>
      <c r="N73" s="11">
        <f t="shared" si="11"/>
        <v>2021</v>
      </c>
      <c r="O73" s="57" t="str">
        <f>IF(AND($B73=O$3,$C73="Weak"),IF(PUF!$M71&gt;0,PUF!$M71,""),"")</f>
        <v/>
      </c>
      <c r="P73" s="57" t="str">
        <f>IF(AND($B73=P$3,$C73="Weak"),IF(PUF!$M71&gt;0,PUF!$M71,""),"")</f>
        <v/>
      </c>
      <c r="Q73" s="57" t="str">
        <f>IF(AND($B73=Q$3,$C73="Weak"),IF(PUF!$M71&gt;0,PUF!$M71,""),"")</f>
        <v/>
      </c>
      <c r="R73" s="57" t="str">
        <f>IF(AND($B73=R$3,$C73="Weak"),IF(PUF!$M71&gt;0,PUF!$M71,""),"")</f>
        <v/>
      </c>
      <c r="S73" s="57" t="str">
        <f>IF(AND($B73=S$3,$C73="Weak"),IF(PUF!$M71&gt;0,PUF!$M71,""),"")</f>
        <v/>
      </c>
      <c r="T73" s="57" t="str">
        <f>IF(AND($B73=T$3,$C73="Weak"),IF(PUF!$M71&gt;0,PUF!$M71,""),"")</f>
        <v/>
      </c>
      <c r="U73" s="57" t="str">
        <f>IF(AND($B73=U$3,$C73="Weak"),IF(PUF!$M71&gt;0,PUF!$M71,""),"")</f>
        <v/>
      </c>
      <c r="V73" s="57" t="str">
        <f>IF(AND($B73=V$3,$C73="Weak"),IF(PUF!$M71&gt;0,PUF!$M71,""),"")</f>
        <v/>
      </c>
      <c r="W73" s="168"/>
      <c r="X73" s="166">
        <f t="shared" si="12"/>
        <v>2021</v>
      </c>
      <c r="Y73" s="57" t="str">
        <f>IF(AND($B73=Y$3,$C73="Weak"),IF(PUF!$S71&gt;0,PUF!$S71,""),"")</f>
        <v/>
      </c>
      <c r="Z73" s="57" t="str">
        <f>IF(AND($B73=Z$3,$C73="Weak"),IF(PUF!$S71&gt;0,PUF!$S71,""),"")</f>
        <v/>
      </c>
      <c r="AA73" s="57" t="str">
        <f>IF(AND($B73=AA$3,$C73="Weak"),IF(PUF!$S71&gt;0,PUF!$S71,""),"")</f>
        <v/>
      </c>
      <c r="AB73" s="57" t="str">
        <f>IF(AND($B73=AB$3,$C73="Weak"),IF(PUF!$S71&gt;0,PUF!$S71,""),"")</f>
        <v/>
      </c>
      <c r="AC73" s="57" t="str">
        <f>IF(AND($B73=AC$3,$C73="Weak"),IF(PUF!$S71&gt;0,PUF!$S71,""),"")</f>
        <v/>
      </c>
      <c r="AD73" s="57" t="str">
        <f>IF(AND($B73=AD$3,$C73="Weak"),IF(PUF!$S71&gt;0,PUF!$S71,""),"")</f>
        <v/>
      </c>
      <c r="AE73" s="57" t="str">
        <f>IF(AND($B73=AE$3,$C73="Weak"),IF(PUF!$S71&gt;0,PUF!$S71,""),"")</f>
        <v/>
      </c>
      <c r="AF73" s="57" t="str">
        <f>IF(AND($B73=AF$3,$C73="Weak"),IF(PUF!$S71&gt;0,PUF!$S71,""),"")</f>
        <v/>
      </c>
      <c r="AH73" s="210">
        <f t="shared" si="13"/>
        <v>2021</v>
      </c>
      <c r="AI73" s="211" t="str">
        <f>IF(AND($B73=AI$3,$C73="Weak"),IF(PUF!$U71&gt;0,PUF!$U71,""),"")</f>
        <v/>
      </c>
      <c r="AJ73" s="211" t="str">
        <f>IF(AND($B73=AJ$3,$C73="Weak"),IF(PUF!$U71&gt;0,PUF!$U71,""),"")</f>
        <v/>
      </c>
      <c r="AK73" s="211" t="str">
        <f>IF(AND($B73=AK$3,$C73="Weak"),IF(PUF!$U71&gt;0,PUF!$U71,""),"")</f>
        <v/>
      </c>
      <c r="AL73" s="211" t="str">
        <f>IF(AND($B73=AL$3,$C73="Weak"),IF(PUF!$U71&gt;0,PUF!$U71,""),"")</f>
        <v/>
      </c>
      <c r="AM73" s="211" t="str">
        <f>IF(AND($B73=AM$3,$C73="Weak"),IF(PUF!$U71&gt;0,PUF!$U71,""),"")</f>
        <v/>
      </c>
      <c r="AN73" s="211" t="str">
        <f>IF(AND($B73=AN$3,$C73="Weak"),IF(PUF!$U71&gt;0,PUF!$U71,""),"")</f>
        <v/>
      </c>
      <c r="AO73" s="211" t="str">
        <f>IF(AND($B73=AO$3,$C73="Weak"),IF(PUF!$U71&gt;0,PUF!$U71,""),"")</f>
        <v/>
      </c>
      <c r="AP73" s="211" t="str">
        <f>IF(AND($B73=AP$3,$C73="Weak"),IF(PUF!$U71&gt;0,PUF!$U71,""),"")</f>
        <v/>
      </c>
      <c r="BB73" s="166">
        <f t="shared" si="16"/>
        <v>2021</v>
      </c>
      <c r="BC73" s="57" t="str">
        <f>IF(AND($B73=BC$3,$C73="Strong"),IF(PUF!$X72&gt;0,PUF!$X72,""),"")</f>
        <v/>
      </c>
      <c r="BD73" s="57" t="str">
        <f>IF(AND($B73=BD$3,$C73="Strong"),IF(PUF!$X72&gt;0,PUF!$X72,""),"")</f>
        <v/>
      </c>
      <c r="BE73" s="57">
        <f>IF(AND($B73=BE$3,$C73="Strong"),IF(PUF!$X72&gt;0,PUF!$X72,""),"")</f>
        <v>2</v>
      </c>
      <c r="BF73" s="57" t="str">
        <f>IF(AND($B73=BF$3,$C73="Strong"),IF(PUF!$X72&gt;0,PUF!$X72,""),"")</f>
        <v/>
      </c>
      <c r="BG73" s="57" t="str">
        <f>IF(AND($B73=BG$3,$C73="Strong"),IF(PUF!$X72&gt;0,PUF!$X72,""),"")</f>
        <v/>
      </c>
      <c r="BH73" s="57" t="str">
        <f>IF(AND($B73=BH$3,$C73="Strong"),IF(PUF!$X72&gt;0,PUF!$X72,""),"")</f>
        <v/>
      </c>
      <c r="BI73" s="57" t="str">
        <f>IF(AND($B73=BI$3,$C73="Strong"),IF(PUF!$X72&gt;0,PUF!$X72,""),"")</f>
        <v/>
      </c>
      <c r="BJ73" s="57" t="str">
        <f>IF(AND($B73=BJ$3,$C73="Strong"),IF(PUF!$X72&gt;0,PUF!$X72,""),"")</f>
        <v/>
      </c>
      <c r="BL73" s="166">
        <f t="shared" si="17"/>
        <v>2021</v>
      </c>
      <c r="BM73" s="57" t="str">
        <f>IF(AND($B73=BM$3,$C73="Strong"),IF(PUF!$M72&gt;0,PUF!$M72,""),"")</f>
        <v/>
      </c>
      <c r="BN73" s="57" t="str">
        <f>IF(AND($B73=BN$3,$C73="Strong"),IF(PUF!$M72&gt;0,PUF!$M72,""),"")</f>
        <v/>
      </c>
      <c r="BO73" s="57">
        <f>IF(AND($B73=BO$3,$C73="Strong"),IF(PUF!$M72&gt;0,PUF!$M72,""),"")</f>
        <v>1.65</v>
      </c>
      <c r="BP73" s="57" t="str">
        <f>IF(AND($B73=BP$3,$C73="Strong"),IF(PUF!$M72&gt;0,PUF!$M72,""),"")</f>
        <v/>
      </c>
      <c r="BQ73" s="57" t="str">
        <f>IF(AND($B73=BQ$3,$C73="Strong"),IF(PUF!$M72&gt;0,PUF!$M72,""),"")</f>
        <v/>
      </c>
      <c r="BR73" s="57" t="str">
        <f>IF(AND($B73=BR$3,$C73="Strong"),IF(PUF!$M72&gt;0,PUF!$M72,""),"")</f>
        <v/>
      </c>
      <c r="BS73" s="57" t="str">
        <f>IF(AND($B73=BS$3,$C73="Strong"),IF(PUF!$M72&gt;0,PUF!$M72,""),"")</f>
        <v/>
      </c>
      <c r="BT73" s="57" t="str">
        <f>IF(AND($B73=BT$3,$C73="Strong"),IF(PUF!$M72&gt;0,PUF!$M72,""),"")</f>
        <v/>
      </c>
      <c r="BV73" s="166">
        <f t="shared" si="14"/>
        <v>2021</v>
      </c>
      <c r="BW73" s="57" t="str">
        <f>IF(AND($B73=BW$3,$C73="Strong"),IF(PUF!$S72&gt;0,PUF!$S72,""),"")</f>
        <v/>
      </c>
      <c r="BX73" s="57" t="str">
        <f>IF(AND($B73=BX$3,$C73="Strong"),IF(PUF!$S72&gt;0,PUF!$S72,""),"")</f>
        <v/>
      </c>
      <c r="BY73" s="57">
        <f>IF(AND($B73=BY$3,$C73="Strong"),IF(PUF!$S72&gt;0,PUF!$S72,""),"")</f>
        <v>4.5999999999999999E-2</v>
      </c>
      <c r="BZ73" s="57" t="str">
        <f>IF(AND($B73=BZ$3,$C73="Strong"),IF(PUF!$S72&gt;0,PUF!$S72,""),"")</f>
        <v/>
      </c>
      <c r="CA73" s="57" t="str">
        <f>IF(AND($B73=CA$3,$C73="Strong"),IF(PUF!$S72&gt;0,PUF!$S72,""),"")</f>
        <v/>
      </c>
      <c r="CB73" s="57" t="str">
        <f>IF(AND($B73=CB$3,$C73="Strong"),IF(PUF!$S72&gt;0,PUF!$S72,""),"")</f>
        <v/>
      </c>
      <c r="CC73" s="57" t="str">
        <f>IF(AND($B73=CC$3,$C73="Strong"),IF(PUF!$S72&gt;0,PUF!$S72,""),"")</f>
        <v/>
      </c>
      <c r="CD73" s="57" t="str">
        <f>IF(AND($B73=CD$3,$C73="Strong"),IF(PUF!$S72&gt;0,PUF!$S72,""),"")</f>
        <v/>
      </c>
      <c r="CF73" s="11">
        <f t="shared" si="15"/>
        <v>2021</v>
      </c>
      <c r="CG73" s="57" t="str">
        <f>IF(AND($B73=CG$3,$C73="Strong"),IF(PUF!$U72&gt;0,PUF!$U72,""),"")</f>
        <v/>
      </c>
      <c r="CH73" s="57" t="str">
        <f>IF(AND($B73=CH$3,$C73="Strong"),IF(PUF!$U72&gt;0,PUF!$U72,""),"")</f>
        <v/>
      </c>
      <c r="CI73" s="57" t="str">
        <f>IF(AND($B73=CI$3,$C73="Strong"),IF(PUF!$U72&gt;0,PUF!$U72,""),"")</f>
        <v/>
      </c>
      <c r="CJ73" s="57" t="str">
        <f>IF(AND($B73=CJ$3,$C73="Strong"),IF(PUF!$U72&gt;0,PUF!$U72,""),"")</f>
        <v/>
      </c>
      <c r="CK73" s="57" t="str">
        <f>IF(AND($B73=CK$3,$C73="Strong"),IF(PUF!$U72&gt;0,PUF!$U72,""),"")</f>
        <v/>
      </c>
      <c r="CL73" s="57" t="str">
        <f>IF(AND($B73=CL$3,$C73="Strong"),IF(PUF!$U72&gt;0,PUF!$U72,""),"")</f>
        <v/>
      </c>
      <c r="CM73" s="57" t="str">
        <f>IF(AND($B73=CM$3,$C73="Strong"),IF(PUF!$U72&gt;0,PUF!$U72,""),"")</f>
        <v/>
      </c>
      <c r="CN73" s="57" t="str">
        <f>IF(AND($B73=CN$3,$C73="Strong"),IF(PUF!$U72&gt;0,PUF!$U72,""),"")</f>
        <v/>
      </c>
    </row>
    <row r="74" spans="1:92" x14ac:dyDescent="0.3">
      <c r="A74" s="6">
        <f>PUF!A72</f>
        <v>71</v>
      </c>
      <c r="B74" s="6" t="str">
        <f>PUF!G72</f>
        <v>others</v>
      </c>
      <c r="C74" t="str">
        <f>PUF!AL72</f>
        <v>Strong</v>
      </c>
      <c r="D74" s="166">
        <f>PUF!C72</f>
        <v>2021</v>
      </c>
      <c r="E74" s="167" t="str">
        <f>IF(AND($B74=E$3,$C74="Weak"),IF(PUF!$X72&gt;0,PUF!$X72,""),"")</f>
        <v/>
      </c>
      <c r="F74" s="167" t="str">
        <f>IF(AND($B74=F$3,$C74="Weak"),IF(PUF!$X72&gt;0,PUF!$X72,""),"")</f>
        <v/>
      </c>
      <c r="G74" s="167" t="str">
        <f>IF(AND($B74=G$3,$C74="Weak"),IF(PUF!$X72&gt;0,PUF!$X72,""),"")</f>
        <v/>
      </c>
      <c r="H74" s="167" t="str">
        <f>IF(AND($B74=H$3,$C74="Weak"),IF(PUF!$X72&gt;0,PUF!$X72,""),"")</f>
        <v/>
      </c>
      <c r="I74" s="167" t="str">
        <f>IF(AND($B74=I$3,$C74="Weak"),IF(PUF!$X72&gt;0,PUF!$X72,""),"")</f>
        <v/>
      </c>
      <c r="J74" s="167" t="str">
        <f>IF(AND($B74=J$3,$C74="Weak"),IF(PUF!$X72&gt;0,PUF!$X72,""),"")</f>
        <v/>
      </c>
      <c r="K74" s="167" t="str">
        <f>IF(AND($B74=K$3,$C74="Weak"),IF(PUF!$X72&gt;0,PUF!$X72,""),"")</f>
        <v/>
      </c>
      <c r="L74" s="167" t="str">
        <f>IF(AND($B74=L$3,$C74="Weak"),IF(PUF!$X72&gt;0,PUF!$X72,""),"")</f>
        <v/>
      </c>
      <c r="N74" s="11">
        <f t="shared" si="11"/>
        <v>2021</v>
      </c>
      <c r="O74" s="57" t="str">
        <f>IF(AND($B74=O$3,$C74="Weak"),IF(PUF!$M72&gt;0,PUF!$M72,""),"")</f>
        <v/>
      </c>
      <c r="P74" s="57" t="str">
        <f>IF(AND($B74=P$3,$C74="Weak"),IF(PUF!$M72&gt;0,PUF!$M72,""),"")</f>
        <v/>
      </c>
      <c r="Q74" s="57" t="str">
        <f>IF(AND($B74=Q$3,$C74="Weak"),IF(PUF!$M72&gt;0,PUF!$M72,""),"")</f>
        <v/>
      </c>
      <c r="R74" s="57" t="str">
        <f>IF(AND($B74=R$3,$C74="Weak"),IF(PUF!$M72&gt;0,PUF!$M72,""),"")</f>
        <v/>
      </c>
      <c r="S74" s="57" t="str">
        <f>IF(AND($B74=S$3,$C74="Weak"),IF(PUF!$M72&gt;0,PUF!$M72,""),"")</f>
        <v/>
      </c>
      <c r="T74" s="57" t="str">
        <f>IF(AND($B74=T$3,$C74="Weak"),IF(PUF!$M72&gt;0,PUF!$M72,""),"")</f>
        <v/>
      </c>
      <c r="U74" s="57" t="str">
        <f>IF(AND($B74=U$3,$C74="Weak"),IF(PUF!$M72&gt;0,PUF!$M72,""),"")</f>
        <v/>
      </c>
      <c r="V74" s="57" t="str">
        <f>IF(AND($B74=V$3,$C74="Weak"),IF(PUF!$M72&gt;0,PUF!$M72,""),"")</f>
        <v/>
      </c>
      <c r="W74" s="168"/>
      <c r="X74" s="166">
        <f t="shared" si="12"/>
        <v>2021</v>
      </c>
      <c r="Y74" s="57" t="str">
        <f>IF(AND($B74=Y$3,$C74="Weak"),IF(PUF!$S72&gt;0,PUF!$S72,""),"")</f>
        <v/>
      </c>
      <c r="Z74" s="57" t="str">
        <f>IF(AND($B74=Z$3,$C74="Weak"),IF(PUF!$S72&gt;0,PUF!$S72,""),"")</f>
        <v/>
      </c>
      <c r="AA74" s="57" t="str">
        <f>IF(AND($B74=AA$3,$C74="Weak"),IF(PUF!$S72&gt;0,PUF!$S72,""),"")</f>
        <v/>
      </c>
      <c r="AB74" s="57" t="str">
        <f>IF(AND($B74=AB$3,$C74="Weak"),IF(PUF!$S72&gt;0,PUF!$S72,""),"")</f>
        <v/>
      </c>
      <c r="AC74" s="57" t="str">
        <f>IF(AND($B74=AC$3,$C74="Weak"),IF(PUF!$S72&gt;0,PUF!$S72,""),"")</f>
        <v/>
      </c>
      <c r="AD74" s="57" t="str">
        <f>IF(AND($B74=AD$3,$C74="Weak"),IF(PUF!$S72&gt;0,PUF!$S72,""),"")</f>
        <v/>
      </c>
      <c r="AE74" s="57" t="str">
        <f>IF(AND($B74=AE$3,$C74="Weak"),IF(PUF!$S72&gt;0,PUF!$S72,""),"")</f>
        <v/>
      </c>
      <c r="AF74" s="57" t="str">
        <f>IF(AND($B74=AF$3,$C74="Weak"),IF(PUF!$S72&gt;0,PUF!$S72,""),"")</f>
        <v/>
      </c>
      <c r="AH74" s="210">
        <f t="shared" si="13"/>
        <v>2021</v>
      </c>
      <c r="AI74" s="211" t="str">
        <f>IF(AND($B74=AI$3,$C74="Weak"),IF(PUF!$U72&gt;0,PUF!$U72,""),"")</f>
        <v/>
      </c>
      <c r="AJ74" s="211" t="str">
        <f>IF(AND($B74=AJ$3,$C74="Weak"),IF(PUF!$U72&gt;0,PUF!$U72,""),"")</f>
        <v/>
      </c>
      <c r="AK74" s="211" t="str">
        <f>IF(AND($B74=AK$3,$C74="Weak"),IF(PUF!$U72&gt;0,PUF!$U72,""),"")</f>
        <v/>
      </c>
      <c r="AL74" s="211" t="str">
        <f>IF(AND($B74=AL$3,$C74="Weak"),IF(PUF!$U72&gt;0,PUF!$U72,""),"")</f>
        <v/>
      </c>
      <c r="AM74" s="211" t="str">
        <f>IF(AND($B74=AM$3,$C74="Weak"),IF(PUF!$U72&gt;0,PUF!$U72,""),"")</f>
        <v/>
      </c>
      <c r="AN74" s="211" t="str">
        <f>IF(AND($B74=AN$3,$C74="Weak"),IF(PUF!$U72&gt;0,PUF!$U72,""),"")</f>
        <v/>
      </c>
      <c r="AO74" s="211" t="str">
        <f>IF(AND($B74=AO$3,$C74="Weak"),IF(PUF!$U72&gt;0,PUF!$U72,""),"")</f>
        <v/>
      </c>
      <c r="AP74" s="211" t="str">
        <f>IF(AND($B74=AP$3,$C74="Weak"),IF(PUF!$U72&gt;0,PUF!$U72,""),"")</f>
        <v/>
      </c>
      <c r="BB74" s="166">
        <f t="shared" si="16"/>
        <v>2021</v>
      </c>
      <c r="BC74" s="57" t="str">
        <f>IF(AND($B74=BC$3,$C74="Strong"),IF(PUF!$X73&gt;0,PUF!$X73,""),"")</f>
        <v/>
      </c>
      <c r="BD74" s="57" t="str">
        <f>IF(AND($B74=BD$3,$C74="Strong"),IF(PUF!$X73&gt;0,PUF!$X73,""),"")</f>
        <v/>
      </c>
      <c r="BE74" s="57" t="str">
        <f>IF(AND($B74=BE$3,$C74="Strong"),IF(PUF!$X73&gt;0,PUF!$X73,""),"")</f>
        <v/>
      </c>
      <c r="BF74" s="57" t="str">
        <f>IF(AND($B74=BF$3,$C74="Strong"),IF(PUF!$X73&gt;0,PUF!$X73,""),"")</f>
        <v/>
      </c>
      <c r="BG74" s="57" t="str">
        <f>IF(AND($B74=BG$3,$C74="Strong"),IF(PUF!$X73&gt;0,PUF!$X73,""),"")</f>
        <v/>
      </c>
      <c r="BH74" s="57" t="str">
        <f>IF(AND($B74=BH$3,$C74="Strong"),IF(PUF!$X73&gt;0,PUF!$X73,""),"")</f>
        <v/>
      </c>
      <c r="BI74" s="57" t="str">
        <f>IF(AND($B74=BI$3,$C74="Strong"),IF(PUF!$X73&gt;0,PUF!$X73,""),"")</f>
        <v/>
      </c>
      <c r="BJ74" s="57">
        <f>IF(AND($B74=BJ$3,$C74="Strong"),IF(PUF!$X73&gt;0,PUF!$X73,""),"")</f>
        <v>239857</v>
      </c>
      <c r="BL74" s="166">
        <f t="shared" si="17"/>
        <v>2021</v>
      </c>
      <c r="BM74" s="57" t="str">
        <f>IF(AND($B74=BM$3,$C74="Strong"),IF(PUF!$M73&gt;0,PUF!$M73,""),"")</f>
        <v/>
      </c>
      <c r="BN74" s="57" t="str">
        <f>IF(AND($B74=BN$3,$C74="Strong"),IF(PUF!$M73&gt;0,PUF!$M73,""),"")</f>
        <v/>
      </c>
      <c r="BO74" s="57" t="str">
        <f>IF(AND($B74=BO$3,$C74="Strong"),IF(PUF!$M73&gt;0,PUF!$M73,""),"")</f>
        <v/>
      </c>
      <c r="BP74" s="57" t="str">
        <f>IF(AND($B74=BP$3,$C74="Strong"),IF(PUF!$M73&gt;0,PUF!$M73,""),"")</f>
        <v/>
      </c>
      <c r="BQ74" s="57" t="str">
        <f>IF(AND($B74=BQ$3,$C74="Strong"),IF(PUF!$M73&gt;0,PUF!$M73,""),"")</f>
        <v/>
      </c>
      <c r="BR74" s="57" t="str">
        <f>IF(AND($B74=BR$3,$C74="Strong"),IF(PUF!$M73&gt;0,PUF!$M73,""),"")</f>
        <v/>
      </c>
      <c r="BS74" s="57" t="str">
        <f>IF(AND($B74=BS$3,$C74="Strong"),IF(PUF!$M73&gt;0,PUF!$M73,""),"")</f>
        <v/>
      </c>
      <c r="BT74" s="57" t="str">
        <f>IF(AND($B74=BT$3,$C74="Strong"),IF(PUF!$M73&gt;0,PUF!$M73,""),"")</f>
        <v/>
      </c>
      <c r="BV74" s="166">
        <f t="shared" si="14"/>
        <v>2021</v>
      </c>
      <c r="BW74" s="57" t="str">
        <f>IF(AND($B74=BW$3,$C74="Strong"),IF(PUF!$S73&gt;0,PUF!$S73,""),"")</f>
        <v/>
      </c>
      <c r="BX74" s="57" t="str">
        <f>IF(AND($B74=BX$3,$C74="Strong"),IF(PUF!$S73&gt;0,PUF!$S73,""),"")</f>
        <v/>
      </c>
      <c r="BY74" s="57" t="str">
        <f>IF(AND($B74=BY$3,$C74="Strong"),IF(PUF!$S73&gt;0,PUF!$S73,""),"")</f>
        <v/>
      </c>
      <c r="BZ74" s="57" t="str">
        <f>IF(AND($B74=BZ$3,$C74="Strong"),IF(PUF!$S73&gt;0,PUF!$S73,""),"")</f>
        <v/>
      </c>
      <c r="CA74" s="57" t="str">
        <f>IF(AND($B74=CA$3,$C74="Strong"),IF(PUF!$S73&gt;0,PUF!$S73,""),"")</f>
        <v/>
      </c>
      <c r="CB74" s="57" t="str">
        <f>IF(AND($B74=CB$3,$C74="Strong"),IF(PUF!$S73&gt;0,PUF!$S73,""),"")</f>
        <v/>
      </c>
      <c r="CC74" s="57" t="str">
        <f>IF(AND($B74=CC$3,$C74="Strong"),IF(PUF!$S73&gt;0,PUF!$S73,""),"")</f>
        <v/>
      </c>
      <c r="CD74" s="57" t="str">
        <f>IF(AND($B74=CD$3,$C74="Strong"),IF(PUF!$S73&gt;0,PUF!$S73,""),"")</f>
        <v/>
      </c>
      <c r="CF74" s="11">
        <f t="shared" si="15"/>
        <v>2021</v>
      </c>
      <c r="CG74" s="57" t="str">
        <f>IF(AND($B74=CG$3,$C74="Strong"),IF(PUF!$U73&gt;0,PUF!$U73,""),"")</f>
        <v/>
      </c>
      <c r="CH74" s="57" t="str">
        <f>IF(AND($B74=CH$3,$C74="Strong"),IF(PUF!$U73&gt;0,PUF!$U73,""),"")</f>
        <v/>
      </c>
      <c r="CI74" s="57" t="str">
        <f>IF(AND($B74=CI$3,$C74="Strong"),IF(PUF!$U73&gt;0,PUF!$U73,""),"")</f>
        <v/>
      </c>
      <c r="CJ74" s="57" t="str">
        <f>IF(AND($B74=CJ$3,$C74="Strong"),IF(PUF!$U73&gt;0,PUF!$U73,""),"")</f>
        <v/>
      </c>
      <c r="CK74" s="57" t="str">
        <f>IF(AND($B74=CK$3,$C74="Strong"),IF(PUF!$U73&gt;0,PUF!$U73,""),"")</f>
        <v/>
      </c>
      <c r="CL74" s="57" t="str">
        <f>IF(AND($B74=CL$3,$C74="Strong"),IF(PUF!$U73&gt;0,PUF!$U73,""),"")</f>
        <v/>
      </c>
      <c r="CM74" s="57" t="str">
        <f>IF(AND($B74=CM$3,$C74="Strong"),IF(PUF!$U73&gt;0,PUF!$U73,""),"")</f>
        <v/>
      </c>
      <c r="CN74" s="57">
        <f>IF(AND($B74=CN$3,$C74="Strong"),IF(PUF!$U73&gt;0,PUF!$U73,""),"")</f>
        <v>0.22</v>
      </c>
    </row>
    <row r="75" spans="1:92" x14ac:dyDescent="0.3">
      <c r="A75" s="6">
        <f>PUF!A73</f>
        <v>72</v>
      </c>
      <c r="B75" s="6" t="str">
        <f>PUF!G73</f>
        <v>monostable</v>
      </c>
      <c r="C75" t="str">
        <f>PUF!AL73</f>
        <v>Strong</v>
      </c>
      <c r="D75" s="166">
        <f>PUF!C73</f>
        <v>2022</v>
      </c>
      <c r="E75" s="167" t="str">
        <f>IF(AND($B75=E$3,$C75="Weak"),IF(PUF!$X73&gt;0,PUF!$X73,""),"")</f>
        <v/>
      </c>
      <c r="F75" s="167" t="str">
        <f>IF(AND($B75=F$3,$C75="Weak"),IF(PUF!$X73&gt;0,PUF!$X73,""),"")</f>
        <v/>
      </c>
      <c r="G75" s="167" t="str">
        <f>IF(AND($B75=G$3,$C75="Weak"),IF(PUF!$X73&gt;0,PUF!$X73,""),"")</f>
        <v/>
      </c>
      <c r="H75" s="167" t="str">
        <f>IF(AND($B75=H$3,$C75="Weak"),IF(PUF!$X73&gt;0,PUF!$X73,""),"")</f>
        <v/>
      </c>
      <c r="I75" s="167" t="str">
        <f>IF(AND($B75=I$3,$C75="Weak"),IF(PUF!$X73&gt;0,PUF!$X73,""),"")</f>
        <v/>
      </c>
      <c r="J75" s="167" t="str">
        <f>IF(AND($B75=J$3,$C75="Weak"),IF(PUF!$X73&gt;0,PUF!$X73,""),"")</f>
        <v/>
      </c>
      <c r="K75" s="167" t="str">
        <f>IF(AND($B75=K$3,$C75="Weak"),IF(PUF!$X73&gt;0,PUF!$X73,""),"")</f>
        <v/>
      </c>
      <c r="L75" s="167" t="str">
        <f>IF(AND($B75=L$3,$C75="Weak"),IF(PUF!$X73&gt;0,PUF!$X73,""),"")</f>
        <v/>
      </c>
      <c r="N75" s="11">
        <f t="shared" si="11"/>
        <v>2022</v>
      </c>
      <c r="O75" s="57" t="str">
        <f>IF(AND($B75=O$3,$C75="Weak"),IF(PUF!$M73&gt;0,PUF!$M73,""),"")</f>
        <v/>
      </c>
      <c r="P75" s="57" t="str">
        <f>IF(AND($B75=P$3,$C75="Weak"),IF(PUF!$M73&gt;0,PUF!$M73,""),"")</f>
        <v/>
      </c>
      <c r="Q75" s="57" t="str">
        <f>IF(AND($B75=Q$3,$C75="Weak"),IF(PUF!$M73&gt;0,PUF!$M73,""),"")</f>
        <v/>
      </c>
      <c r="R75" s="57" t="str">
        <f>IF(AND($B75=R$3,$C75="Weak"),IF(PUF!$M73&gt;0,PUF!$M73,""),"")</f>
        <v/>
      </c>
      <c r="S75" s="57" t="str">
        <f>IF(AND($B75=S$3,$C75="Weak"),IF(PUF!$M73&gt;0,PUF!$M73,""),"")</f>
        <v/>
      </c>
      <c r="T75" s="57" t="str">
        <f>IF(AND($B75=T$3,$C75="Weak"),IF(PUF!$M73&gt;0,PUF!$M73,""),"")</f>
        <v/>
      </c>
      <c r="U75" s="57" t="str">
        <f>IF(AND($B75=U$3,$C75="Weak"),IF(PUF!$M73&gt;0,PUF!$M73,""),"")</f>
        <v/>
      </c>
      <c r="V75" s="57" t="str">
        <f>IF(AND($B75=V$3,$C75="Weak"),IF(PUF!$M73&gt;0,PUF!$M73,""),"")</f>
        <v/>
      </c>
      <c r="W75" s="168"/>
      <c r="X75" s="166">
        <f t="shared" si="12"/>
        <v>2022</v>
      </c>
      <c r="Y75" s="57" t="str">
        <f>IF(AND($B75=Y$3,$C75="Weak"),IF(PUF!$S73&gt;0,PUF!$S73,""),"")</f>
        <v/>
      </c>
      <c r="Z75" s="57" t="str">
        <f>IF(AND($B75=Z$3,$C75="Weak"),IF(PUF!$S73&gt;0,PUF!$S73,""),"")</f>
        <v/>
      </c>
      <c r="AA75" s="57" t="str">
        <f>IF(AND($B75=AA$3,$C75="Weak"),IF(PUF!$S73&gt;0,PUF!$S73,""),"")</f>
        <v/>
      </c>
      <c r="AB75" s="57" t="str">
        <f>IF(AND($B75=AB$3,$C75="Weak"),IF(PUF!$S73&gt;0,PUF!$S73,""),"")</f>
        <v/>
      </c>
      <c r="AC75" s="57" t="str">
        <f>IF(AND($B75=AC$3,$C75="Weak"),IF(PUF!$S73&gt;0,PUF!$S73,""),"")</f>
        <v/>
      </c>
      <c r="AD75" s="57" t="str">
        <f>IF(AND($B75=AD$3,$C75="Weak"),IF(PUF!$S73&gt;0,PUF!$S73,""),"")</f>
        <v/>
      </c>
      <c r="AE75" s="57" t="str">
        <f>IF(AND($B75=AE$3,$C75="Weak"),IF(PUF!$S73&gt;0,PUF!$S73,""),"")</f>
        <v/>
      </c>
      <c r="AF75" s="57" t="str">
        <f>IF(AND($B75=AF$3,$C75="Weak"),IF(PUF!$S73&gt;0,PUF!$S73,""),"")</f>
        <v/>
      </c>
      <c r="AH75" s="210">
        <f t="shared" si="13"/>
        <v>2022</v>
      </c>
      <c r="AI75" s="211" t="str">
        <f>IF(AND($B75=AI$3,$C75="Weak"),IF(PUF!$U73&gt;0,PUF!$U73,""),"")</f>
        <v/>
      </c>
      <c r="AJ75" s="211" t="str">
        <f>IF(AND($B75=AJ$3,$C75="Weak"),IF(PUF!$U73&gt;0,PUF!$U73,""),"")</f>
        <v/>
      </c>
      <c r="AK75" s="211" t="str">
        <f>IF(AND($B75=AK$3,$C75="Weak"),IF(PUF!$U73&gt;0,PUF!$U73,""),"")</f>
        <v/>
      </c>
      <c r="AL75" s="211" t="str">
        <f>IF(AND($B75=AL$3,$C75="Weak"),IF(PUF!$U73&gt;0,PUF!$U73,""),"")</f>
        <v/>
      </c>
      <c r="AM75" s="211" t="str">
        <f>IF(AND($B75=AM$3,$C75="Weak"),IF(PUF!$U73&gt;0,PUF!$U73,""),"")</f>
        <v/>
      </c>
      <c r="AN75" s="211" t="str">
        <f>IF(AND($B75=AN$3,$C75="Weak"),IF(PUF!$U73&gt;0,PUF!$U73,""),"")</f>
        <v/>
      </c>
      <c r="AO75" s="211" t="str">
        <f>IF(AND($B75=AO$3,$C75="Weak"),IF(PUF!$U73&gt;0,PUF!$U73,""),"")</f>
        <v/>
      </c>
      <c r="AP75" s="211" t="str">
        <f>IF(AND($B75=AP$3,$C75="Weak"),IF(PUF!$U73&gt;0,PUF!$U73,""),"")</f>
        <v/>
      </c>
      <c r="BB75" s="166">
        <f t="shared" si="16"/>
        <v>2022</v>
      </c>
      <c r="BC75" s="57" t="str">
        <f>IF(AND($B75=BC$3,$C75="Strong"),IF(PUF!$X74&gt;0,PUF!$X74,""),"")</f>
        <v/>
      </c>
      <c r="BD75" s="57" t="str">
        <f>IF(AND($B75=BD$3,$C75="Strong"),IF(PUF!$X74&gt;0,PUF!$X74,""),"")</f>
        <v/>
      </c>
      <c r="BE75" s="57" t="str">
        <f>IF(AND($B75=BE$3,$C75="Strong"),IF(PUF!$X74&gt;0,PUF!$X74,""),"")</f>
        <v/>
      </c>
      <c r="BF75" s="57" t="str">
        <f>IF(AND($B75=BF$3,$C75="Strong"),IF(PUF!$X74&gt;0,PUF!$X74,""),"")</f>
        <v/>
      </c>
      <c r="BG75" s="57" t="str">
        <f>IF(AND($B75=BG$3,$C75="Strong"),IF(PUF!$X74&gt;0,PUF!$X74,""),"")</f>
        <v/>
      </c>
      <c r="BH75" s="57" t="str">
        <f>IF(AND($B75=BH$3,$C75="Strong"),IF(PUF!$X74&gt;0,PUF!$X74,""),"")</f>
        <v/>
      </c>
      <c r="BI75" s="57" t="str">
        <f>IF(AND($B75=BI$3,$C75="Strong"),IF(PUF!$X74&gt;0,PUF!$X74,""),"")</f>
        <v/>
      </c>
      <c r="BJ75" s="57" t="str">
        <f>IF(AND($B75=BJ$3,$C75="Strong"),IF(PUF!$X74&gt;0,PUF!$X74,""),"")</f>
        <v/>
      </c>
      <c r="BL75" s="166">
        <f t="shared" si="17"/>
        <v>2022</v>
      </c>
      <c r="BM75" s="57" t="str">
        <f>IF(AND($B75=BM$3,$C75="Strong"),IF(PUF!$M74&gt;0,PUF!$M74,""),"")</f>
        <v/>
      </c>
      <c r="BN75" s="57" t="str">
        <f>IF(AND($B75=BN$3,$C75="Strong"),IF(PUF!$M74&gt;0,PUF!$M74,""),"")</f>
        <v/>
      </c>
      <c r="BO75" s="57" t="str">
        <f>IF(AND($B75=BO$3,$C75="Strong"),IF(PUF!$M74&gt;0,PUF!$M74,""),"")</f>
        <v/>
      </c>
      <c r="BP75" s="57" t="str">
        <f>IF(AND($B75=BP$3,$C75="Strong"),IF(PUF!$M74&gt;0,PUF!$M74,""),"")</f>
        <v/>
      </c>
      <c r="BQ75" s="57">
        <f>IF(AND($B75=BQ$3,$C75="Strong"),IF(PUF!$M74&gt;0,PUF!$M74,""),"")</f>
        <v>9.7599999999999998E-4</v>
      </c>
      <c r="BR75" s="57" t="str">
        <f>IF(AND($B75=BR$3,$C75="Strong"),IF(PUF!$M74&gt;0,PUF!$M74,""),"")</f>
        <v/>
      </c>
      <c r="BS75" s="57" t="str">
        <f>IF(AND($B75=BS$3,$C75="Strong"),IF(PUF!$M74&gt;0,PUF!$M74,""),"")</f>
        <v/>
      </c>
      <c r="BT75" s="57" t="str">
        <f>IF(AND($B75=BT$3,$C75="Strong"),IF(PUF!$M74&gt;0,PUF!$M74,""),"")</f>
        <v/>
      </c>
      <c r="BV75" s="166">
        <f>N75</f>
        <v>2022</v>
      </c>
      <c r="BW75" s="57" t="str">
        <f>IF(AND($B75=BW$3,$C75="Strong"),IF(PUF!$S74&gt;0,PUF!$S74,""),"")</f>
        <v/>
      </c>
      <c r="BX75" s="57" t="str">
        <f>IF(AND($B75=BX$3,$C75="Strong"),IF(PUF!$S74&gt;0,PUF!$S74,""),"")</f>
        <v/>
      </c>
      <c r="BY75" s="57" t="str">
        <f>IF(AND($B75=BY$3,$C75="Strong"),IF(PUF!$S74&gt;0,PUF!$S74,""),"")</f>
        <v/>
      </c>
      <c r="BZ75" s="57" t="str">
        <f>IF(AND($B75=BZ$3,$C75="Strong"),IF(PUF!$S74&gt;0,PUF!$S74,""),"")</f>
        <v/>
      </c>
      <c r="CA75" s="57">
        <f>IF(AND($B75=CA$3,$C75="Strong"),IF(PUF!$S74&gt;0,PUF!$S74,""),"")</f>
        <v>9.765625E-4</v>
      </c>
      <c r="CB75" s="57" t="str">
        <f>IF(AND($B75=CB$3,$C75="Strong"),IF(PUF!$S74&gt;0,PUF!$S74,""),"")</f>
        <v/>
      </c>
      <c r="CC75" s="57" t="str">
        <f>IF(AND($B75=CC$3,$C75="Strong"),IF(PUF!$S74&gt;0,PUF!$S74,""),"")</f>
        <v/>
      </c>
      <c r="CD75" s="57" t="str">
        <f>IF(AND($B75=CD$3,$C75="Strong"),IF(PUF!$S74&gt;0,PUF!$S74,""),"")</f>
        <v/>
      </c>
      <c r="CF75" s="11">
        <f>D75</f>
        <v>2022</v>
      </c>
      <c r="CG75" s="57" t="str">
        <f>IF(AND($B75=CG$3,$C75="Strong"),IF(PUF!$U74&gt;0,PUF!$U74,""),"")</f>
        <v/>
      </c>
      <c r="CH75" s="57" t="str">
        <f>IF(AND($B75=CH$3,$C75="Strong"),IF(PUF!$U74&gt;0,PUF!$U74,""),"")</f>
        <v/>
      </c>
      <c r="CI75" s="57" t="str">
        <f>IF(AND($B75=CI$3,$C75="Strong"),IF(PUF!$U74&gt;0,PUF!$U74,""),"")</f>
        <v/>
      </c>
      <c r="CJ75" s="57" t="str">
        <f>IF(AND($B75=CJ$3,$C75="Strong"),IF(PUF!$U74&gt;0,PUF!$U74,""),"")</f>
        <v/>
      </c>
      <c r="CK75" s="57" t="str">
        <f>IF(AND($B75=CK$3,$C75="Strong"),IF(PUF!$U74&gt;0,PUF!$U74,""),"")</f>
        <v/>
      </c>
      <c r="CL75" s="57" t="str">
        <f>IF(AND($B75=CL$3,$C75="Strong"),IF(PUF!$U74&gt;0,PUF!$U74,""),"")</f>
        <v/>
      </c>
      <c r="CM75" s="57" t="str">
        <f>IF(AND($B75=CM$3,$C75="Strong"),IF(PUF!$U74&gt;0,PUF!$U74,""),"")</f>
        <v/>
      </c>
      <c r="CN75" s="57" t="str">
        <f>IF(AND($B75=CN$3,$C75="Strong"),IF(PUF!$U74&gt;0,PUF!$U74,""),"")</f>
        <v/>
      </c>
    </row>
    <row r="76" spans="1:92" x14ac:dyDescent="0.3">
      <c r="A76" s="6">
        <f>PUF!A74</f>
        <v>73</v>
      </c>
      <c r="B76" s="6" t="str">
        <f>PUF!G74</f>
        <v>memory (non-volatile)</v>
      </c>
      <c r="C76" t="str">
        <f>PUF!AL74</f>
        <v>Weak</v>
      </c>
      <c r="D76" s="166">
        <f>PUF!C74</f>
        <v>2022</v>
      </c>
      <c r="E76" s="167" t="str">
        <f>IF(AND($B76=E$3,$C76="Weak"),IF(PUF!$X74&gt;0,PUF!$X74,""),"")</f>
        <v/>
      </c>
      <c r="F76" s="167" t="str">
        <f>IF(AND($B76=F$3,$C76="Weak"),IF(PUF!$X74&gt;0,PUF!$X74,""),"")</f>
        <v/>
      </c>
      <c r="G76" s="167" t="str">
        <f>IF(AND($B76=G$3,$C76="Weak"),IF(PUF!$X74&gt;0,PUF!$X74,""),"")</f>
        <v/>
      </c>
      <c r="H76" s="167" t="str">
        <f>IF(AND($B76=H$3,$C76="Weak"),IF(PUF!$X74&gt;0,PUF!$X74,""),"")</f>
        <v/>
      </c>
      <c r="I76" s="167" t="str">
        <f>IF(AND($B76=I$3,$C76="Weak"),IF(PUF!$X74&gt;0,PUF!$X74,""),"")</f>
        <v/>
      </c>
      <c r="J76" s="167" t="str">
        <f>IF(AND($B76=J$3,$C76="Weak"),IF(PUF!$X74&gt;0,PUF!$X74,""),"")</f>
        <v/>
      </c>
      <c r="K76" s="167" t="str">
        <f>IF(AND($B76=K$3,$C76="Weak"),IF(PUF!$X74&gt;0,PUF!$X74,""),"")</f>
        <v/>
      </c>
      <c r="L76" s="167" t="str">
        <f>IF(AND($B76=L$3,$C76="Weak"),IF(PUF!$X74&gt;0,PUF!$X74,""),"")</f>
        <v/>
      </c>
      <c r="N76" s="11">
        <f t="shared" si="11"/>
        <v>2022</v>
      </c>
      <c r="O76" s="57" t="str">
        <f>IF(AND($B76=O$3,$C76="Weak"),IF(PUF!$M74&gt;0,PUF!$M74,""),"")</f>
        <v/>
      </c>
      <c r="P76" s="57" t="str">
        <f>IF(AND($B76=P$3,$C76="Weak"),IF(PUF!$M74&gt;0,PUF!$M74,""),"")</f>
        <v/>
      </c>
      <c r="Q76" s="57" t="str">
        <f>IF(AND($B76=Q$3,$C76="Weak"),IF(PUF!$M74&gt;0,PUF!$M74,""),"")</f>
        <v/>
      </c>
      <c r="R76" s="57" t="str">
        <f>IF(AND($B76=R$3,$C76="Weak"),IF(PUF!$M74&gt;0,PUF!$M74,""),"")</f>
        <v/>
      </c>
      <c r="S76" s="57" t="str">
        <f>IF(AND($B76=S$3,$C76="Weak"),IF(PUF!$M74&gt;0,PUF!$M74,""),"")</f>
        <v/>
      </c>
      <c r="T76" s="57">
        <f>IF(AND($B76=T$3,$C76="Weak"),IF(PUF!$M74&gt;0,PUF!$M74,""),"")</f>
        <v>9.7599999999999998E-4</v>
      </c>
      <c r="U76" s="57" t="str">
        <f>IF(AND($B76=U$3,$C76="Weak"),IF(PUF!$M74&gt;0,PUF!$M74,""),"")</f>
        <v/>
      </c>
      <c r="V76" s="57" t="str">
        <f>IF(AND($B76=V$3,$C76="Weak"),IF(PUF!$M74&gt;0,PUF!$M74,""),"")</f>
        <v/>
      </c>
      <c r="W76" s="168"/>
      <c r="X76" s="166">
        <f t="shared" si="12"/>
        <v>2022</v>
      </c>
      <c r="Y76" s="57" t="str">
        <f>IF(AND($B76=Y$3,$C76="Weak"),IF(PUF!$S74&gt;0,PUF!$S74,""),"")</f>
        <v/>
      </c>
      <c r="Z76" s="57" t="str">
        <f>IF(AND($B76=Z$3,$C76="Weak"),IF(PUF!$S74&gt;0,PUF!$S74,""),"")</f>
        <v/>
      </c>
      <c r="AA76" s="57" t="str">
        <f>IF(AND($B76=AA$3,$C76="Weak"),IF(PUF!$S74&gt;0,PUF!$S74,""),"")</f>
        <v/>
      </c>
      <c r="AB76" s="57" t="str">
        <f>IF(AND($B76=AB$3,$C76="Weak"),IF(PUF!$S74&gt;0,PUF!$S74,""),"")</f>
        <v/>
      </c>
      <c r="AC76" s="57" t="str">
        <f>IF(AND($B76=AC$3,$C76="Weak"),IF(PUF!$S74&gt;0,PUF!$S74,""),"")</f>
        <v/>
      </c>
      <c r="AD76" s="57">
        <f>IF(AND($B76=AD$3,$C76="Weak"),IF(PUF!$S74&gt;0,PUF!$S74,""),"")</f>
        <v>9.765625E-4</v>
      </c>
      <c r="AE76" s="57" t="str">
        <f>IF(AND($B76=AE$3,$C76="Weak"),IF(PUF!$S74&gt;0,PUF!$S74,""),"")</f>
        <v/>
      </c>
      <c r="AF76" s="57" t="str">
        <f>IF(AND($B76=AF$3,$C76="Weak"),IF(PUF!$S74&gt;0,PUF!$S74,""),"")</f>
        <v/>
      </c>
      <c r="AH76" s="210">
        <f t="shared" si="13"/>
        <v>2022</v>
      </c>
      <c r="AI76" s="211" t="str">
        <f>IF(AND($B76=AI$3,$C76="Weak"),IF(PUF!$U74&gt;0,PUF!$U74,""),"")</f>
        <v/>
      </c>
      <c r="AJ76" s="211" t="str">
        <f>IF(AND($B76=AJ$3,$C76="Weak"),IF(PUF!$U74&gt;0,PUF!$U74,""),"")</f>
        <v/>
      </c>
      <c r="AK76" s="211" t="str">
        <f>IF(AND($B76=AK$3,$C76="Weak"),IF(PUF!$U74&gt;0,PUF!$U74,""),"")</f>
        <v/>
      </c>
      <c r="AL76" s="211" t="str">
        <f>IF(AND($B76=AL$3,$C76="Weak"),IF(PUF!$U74&gt;0,PUF!$U74,""),"")</f>
        <v/>
      </c>
      <c r="AM76" s="211" t="str">
        <f>IF(AND($B76=AM$3,$C76="Weak"),IF(PUF!$U74&gt;0,PUF!$U74,""),"")</f>
        <v/>
      </c>
      <c r="AN76" s="211" t="str">
        <f>IF(AND($B76=AN$3,$C76="Weak"),IF(PUF!$U74&gt;0,PUF!$U74,""),"")</f>
        <v/>
      </c>
      <c r="AO76" s="211" t="str">
        <f>IF(AND($B76=AO$3,$C76="Weak"),IF(PUF!$U74&gt;0,PUF!$U74,""),"")</f>
        <v/>
      </c>
      <c r="AP76" s="211" t="str">
        <f>IF(AND($B76=AP$3,$C76="Weak"),IF(PUF!$U74&gt;0,PUF!$U74,""),"")</f>
        <v/>
      </c>
      <c r="BB76" s="166">
        <f t="shared" si="16"/>
        <v>2022</v>
      </c>
      <c r="BC76" s="57" t="str">
        <f>IF(AND($B76=BC$3,$C76="Strong"),IF(PUF!$X75&gt;0,PUF!$X75,""),"")</f>
        <v/>
      </c>
      <c r="BD76" s="57" t="str">
        <f>IF(AND($B76=BD$3,$C76="Strong"),IF(PUF!$X75&gt;0,PUF!$X75,""),"")</f>
        <v/>
      </c>
      <c r="BE76" s="57" t="str">
        <f>IF(AND($B76=BE$3,$C76="Strong"),IF(PUF!$X75&gt;0,PUF!$X75,""),"")</f>
        <v/>
      </c>
      <c r="BF76" s="57" t="str">
        <f>IF(AND($B76=BF$3,$C76="Strong"),IF(PUF!$X75&gt;0,PUF!$X75,""),"")</f>
        <v/>
      </c>
      <c r="BG76" s="57" t="str">
        <f>IF(AND($B76=BG$3,$C76="Strong"),IF(PUF!$X75&gt;0,PUF!$X75,""),"")</f>
        <v/>
      </c>
      <c r="BH76" s="57" t="str">
        <f>IF(AND($B76=BH$3,$C76="Strong"),IF(PUF!$X75&gt;0,PUF!$X75,""),"")</f>
        <v/>
      </c>
      <c r="BI76" s="57" t="str">
        <f>IF(AND($B76=BI$3,$C76="Strong"),IF(PUF!$X75&gt;0,PUF!$X75,""),"")</f>
        <v/>
      </c>
      <c r="BJ76" s="57" t="str">
        <f>IF(AND($B76=BJ$3,$C76="Strong"),IF(PUF!$X75&gt;0,PUF!$X75,""),"")</f>
        <v/>
      </c>
      <c r="BL76" s="166">
        <f t="shared" si="17"/>
        <v>2022</v>
      </c>
      <c r="BM76" s="57" t="str">
        <f>IF(AND($B76=BM$3,$C76="Strong"),IF(PUF!$M75&gt;0,PUF!$M75,""),"")</f>
        <v/>
      </c>
      <c r="BN76" s="57" t="str">
        <f>IF(AND($B76=BN$3,$C76="Strong"),IF(PUF!$M75&gt;0,PUF!$M75,""),"")</f>
        <v/>
      </c>
      <c r="BO76" s="57" t="str">
        <f>IF(AND($B76=BO$3,$C76="Strong"),IF(PUF!$M75&gt;0,PUF!$M75,""),"")</f>
        <v/>
      </c>
      <c r="BP76" s="57" t="str">
        <f>IF(AND($B76=BP$3,$C76="Strong"),IF(PUF!$M75&gt;0,PUF!$M75,""),"")</f>
        <v/>
      </c>
      <c r="BQ76" s="57" t="str">
        <f>IF(AND($B76=BQ$3,$C76="Strong"),IF(PUF!$M75&gt;0,PUF!$M75,""),"")</f>
        <v/>
      </c>
      <c r="BR76" s="57" t="str">
        <f>IF(AND($B76=BR$3,$C76="Strong"),IF(PUF!$M75&gt;0,PUF!$M75,""),"")</f>
        <v/>
      </c>
      <c r="BS76" s="57" t="str">
        <f>IF(AND($B76=BS$3,$C76="Strong"),IF(PUF!$M75&gt;0,PUF!$M75,""),"")</f>
        <v/>
      </c>
      <c r="BT76" s="57" t="str">
        <f>IF(AND($B76=BT$3,$C76="Strong"),IF(PUF!$M75&gt;0,PUF!$M75,""),"")</f>
        <v/>
      </c>
      <c r="BV76" s="166">
        <f t="shared" ref="BV76:BV78" si="18">N76</f>
        <v>2022</v>
      </c>
      <c r="BW76" s="57" t="str">
        <f>IF(AND($B76=BW$3,$C76="Strong"),IF(PUF!$S75&gt;0,PUF!$S75,""),"")</f>
        <v/>
      </c>
      <c r="BX76" s="57" t="str">
        <f>IF(AND($B76=BX$3,$C76="Strong"),IF(PUF!$S75&gt;0,PUF!$S75,""),"")</f>
        <v/>
      </c>
      <c r="BY76" s="57" t="str">
        <f>IF(AND($B76=BY$3,$C76="Strong"),IF(PUF!$S75&gt;0,PUF!$S75,""),"")</f>
        <v/>
      </c>
      <c r="BZ76" s="57" t="str">
        <f>IF(AND($B76=BZ$3,$C76="Strong"),IF(PUF!$S75&gt;0,PUF!$S75,""),"")</f>
        <v/>
      </c>
      <c r="CA76" s="57" t="str">
        <f>IF(AND($B76=CA$3,$C76="Strong"),IF(PUF!$S75&gt;0,PUF!$S75,""),"")</f>
        <v/>
      </c>
      <c r="CB76" s="57" t="str">
        <f>IF(AND($B76=CB$3,$C76="Strong"),IF(PUF!$S75&gt;0,PUF!$S75,""),"")</f>
        <v/>
      </c>
      <c r="CC76" s="57" t="str">
        <f>IF(AND($B76=CC$3,$C76="Strong"),IF(PUF!$S75&gt;0,PUF!$S75,""),"")</f>
        <v/>
      </c>
      <c r="CD76" s="57" t="str">
        <f>IF(AND($B76=CD$3,$C76="Strong"),IF(PUF!$S75&gt;0,PUF!$S75,""),"")</f>
        <v/>
      </c>
      <c r="CF76" s="11">
        <f t="shared" ref="CF76:CF78" si="19">D76</f>
        <v>2022</v>
      </c>
      <c r="CG76" s="57" t="str">
        <f>IF(AND($B76=CG$3,$C76="Strong"),IF(PUF!$U75&gt;0,PUF!$U75,""),"")</f>
        <v/>
      </c>
      <c r="CH76" s="57" t="str">
        <f>IF(AND($B76=CH$3,$C76="Strong"),IF(PUF!$U75&gt;0,PUF!$U75,""),"")</f>
        <v/>
      </c>
      <c r="CI76" s="57" t="str">
        <f>IF(AND($B76=CI$3,$C76="Strong"),IF(PUF!$U75&gt;0,PUF!$U75,""),"")</f>
        <v/>
      </c>
      <c r="CJ76" s="57" t="str">
        <f>IF(AND($B76=CJ$3,$C76="Strong"),IF(PUF!$U75&gt;0,PUF!$U75,""),"")</f>
        <v/>
      </c>
      <c r="CK76" s="57" t="str">
        <f>IF(AND($B76=CK$3,$C76="Strong"),IF(PUF!$U75&gt;0,PUF!$U75,""),"")</f>
        <v/>
      </c>
      <c r="CL76" s="57" t="str">
        <f>IF(AND($B76=CL$3,$C76="Strong"),IF(PUF!$U75&gt;0,PUF!$U75,""),"")</f>
        <v/>
      </c>
      <c r="CM76" s="57" t="str">
        <f>IF(AND($B76=CM$3,$C76="Strong"),IF(PUF!$U75&gt;0,PUF!$U75,""),"")</f>
        <v/>
      </c>
      <c r="CN76" s="57" t="str">
        <f>IF(AND($B76=CN$3,$C76="Strong"),IF(PUF!$U75&gt;0,PUF!$U75,""),"")</f>
        <v/>
      </c>
    </row>
    <row r="77" spans="1:92" x14ac:dyDescent="0.3">
      <c r="A77" s="6">
        <f>PUF!A75</f>
        <v>74</v>
      </c>
      <c r="B77" s="6" t="str">
        <f>PUF!G75</f>
        <v>monostable</v>
      </c>
      <c r="C77" t="str">
        <f>PUF!AL75</f>
        <v>Weak</v>
      </c>
      <c r="D77" s="166">
        <f>PUF!C75</f>
        <v>2022</v>
      </c>
      <c r="E77" s="167" t="str">
        <f>IF(AND($B77=E$3,$C77="Weak"),IF(PUF!$X75&gt;0,PUF!$X75,""),"")</f>
        <v/>
      </c>
      <c r="F77" s="167" t="str">
        <f>IF(AND($B77=F$3,$C77="Weak"),IF(PUF!$X75&gt;0,PUF!$X75,""),"")</f>
        <v/>
      </c>
      <c r="G77" s="167" t="str">
        <f>IF(AND($B77=G$3,$C77="Weak"),IF(PUF!$X75&gt;0,PUF!$X75,""),"")</f>
        <v/>
      </c>
      <c r="H77" s="167" t="str">
        <f>IF(AND($B77=H$3,$C77="Weak"),IF(PUF!$X75&gt;0,PUF!$X75,""),"")</f>
        <v/>
      </c>
      <c r="I77" s="167">
        <f>IF(AND($B77=I$3,$C77="Weak"),IF(PUF!$X75&gt;0,PUF!$X75,""),"")</f>
        <v>7200</v>
      </c>
      <c r="J77" s="167" t="str">
        <f>IF(AND($B77=J$3,$C77="Weak"),IF(PUF!$X75&gt;0,PUF!$X75,""),"")</f>
        <v/>
      </c>
      <c r="K77" s="167" t="str">
        <f>IF(AND($B77=K$3,$C77="Weak"),IF(PUF!$X75&gt;0,PUF!$X75,""),"")</f>
        <v/>
      </c>
      <c r="L77" s="167" t="str">
        <f>IF(AND($B77=L$3,$C77="Weak"),IF(PUF!$X75&gt;0,PUF!$X75,""),"")</f>
        <v/>
      </c>
      <c r="N77" s="11">
        <f t="shared" si="11"/>
        <v>2022</v>
      </c>
      <c r="O77" s="57" t="str">
        <f>IF(AND($B77=O$3,$C77="Weak"),IF(PUF!$M75&gt;0,PUF!$M75,""),"")</f>
        <v/>
      </c>
      <c r="P77" s="57" t="str">
        <f>IF(AND($B77=P$3,$C77="Weak"),IF(PUF!$M75&gt;0,PUF!$M75,""),"")</f>
        <v/>
      </c>
      <c r="Q77" s="57" t="str">
        <f>IF(AND($B77=Q$3,$C77="Weak"),IF(PUF!$M75&gt;0,PUF!$M75,""),"")</f>
        <v/>
      </c>
      <c r="R77" s="57" t="str">
        <f>IF(AND($B77=R$3,$C77="Weak"),IF(PUF!$M75&gt;0,PUF!$M75,""),"")</f>
        <v/>
      </c>
      <c r="S77" s="57">
        <f>IF(AND($B77=S$3,$C77="Weak"),IF(PUF!$M75&gt;0,PUF!$M75,""),"")</f>
        <v>0.13</v>
      </c>
      <c r="T77" s="57" t="str">
        <f>IF(AND($B77=T$3,$C77="Weak"),IF(PUF!$M75&gt;0,PUF!$M75,""),"")</f>
        <v/>
      </c>
      <c r="U77" s="57" t="str">
        <f>IF(AND($B77=U$3,$C77="Weak"),IF(PUF!$M75&gt;0,PUF!$M75,""),"")</f>
        <v/>
      </c>
      <c r="V77" s="57" t="str">
        <f>IF(AND($B77=V$3,$C77="Weak"),IF(PUF!$M75&gt;0,PUF!$M75,""),"")</f>
        <v/>
      </c>
      <c r="W77" s="168"/>
      <c r="X77" s="166">
        <f t="shared" si="12"/>
        <v>2022</v>
      </c>
      <c r="Y77" s="57" t="str">
        <f>IF(AND($B77=Y$3,$C77="Weak"),IF(PUF!$S75&gt;0,PUF!$S75,""),"")</f>
        <v/>
      </c>
      <c r="Z77" s="57" t="str">
        <f>IF(AND($B77=Z$3,$C77="Weak"),IF(PUF!$S75&gt;0,PUF!$S75,""),"")</f>
        <v/>
      </c>
      <c r="AA77" s="57" t="str">
        <f>IF(AND($B77=AA$3,$C77="Weak"),IF(PUF!$S75&gt;0,PUF!$S75,""),"")</f>
        <v/>
      </c>
      <c r="AB77" s="57" t="str">
        <f>IF(AND($B77=AB$3,$C77="Weak"),IF(PUF!$S75&gt;0,PUF!$S75,""),"")</f>
        <v/>
      </c>
      <c r="AC77" s="57">
        <f>IF(AND($B77=AC$3,$C77="Weak"),IF(PUF!$S75&gt;0,PUF!$S75,""),"")</f>
        <v>1.1000000000000001</v>
      </c>
      <c r="AD77" s="57" t="str">
        <f>IF(AND($B77=AD$3,$C77="Weak"),IF(PUF!$S75&gt;0,PUF!$S75,""),"")</f>
        <v/>
      </c>
      <c r="AE77" s="57" t="str">
        <f>IF(AND($B77=AE$3,$C77="Weak"),IF(PUF!$S75&gt;0,PUF!$S75,""),"")</f>
        <v/>
      </c>
      <c r="AF77" s="57" t="str">
        <f>IF(AND($B77=AF$3,$C77="Weak"),IF(PUF!$S75&gt;0,PUF!$S75,""),"")</f>
        <v/>
      </c>
      <c r="AH77" s="210">
        <f t="shared" si="13"/>
        <v>2022</v>
      </c>
      <c r="AI77" s="211" t="str">
        <f>IF(AND($B77=AI$3,$C77="Weak"),IF(PUF!$U75&gt;0,PUF!$U75,""),"")</f>
        <v/>
      </c>
      <c r="AJ77" s="211" t="str">
        <f>IF(AND($B77=AJ$3,$C77="Weak"),IF(PUF!$U75&gt;0,PUF!$U75,""),"")</f>
        <v/>
      </c>
      <c r="AK77" s="211" t="str">
        <f>IF(AND($B77=AK$3,$C77="Weak"),IF(PUF!$U75&gt;0,PUF!$U75,""),"")</f>
        <v/>
      </c>
      <c r="AL77" s="211" t="str">
        <f>IF(AND($B77=AL$3,$C77="Weak"),IF(PUF!$U75&gt;0,PUF!$U75,""),"")</f>
        <v/>
      </c>
      <c r="AM77" s="211" t="str">
        <f>IF(AND($B77=AM$3,$C77="Weak"),IF(PUF!$U75&gt;0,PUF!$U75,""),"")</f>
        <v/>
      </c>
      <c r="AN77" s="211" t="str">
        <f>IF(AND($B77=AN$3,$C77="Weak"),IF(PUF!$U75&gt;0,PUF!$U75,""),"")</f>
        <v/>
      </c>
      <c r="AO77" s="211" t="str">
        <f>IF(AND($B77=AO$3,$C77="Weak"),IF(PUF!$U75&gt;0,PUF!$U75,""),"")</f>
        <v/>
      </c>
      <c r="AP77" s="211" t="str">
        <f>IF(AND($B77=AP$3,$C77="Weak"),IF(PUF!$U75&gt;0,PUF!$U75,""),"")</f>
        <v/>
      </c>
      <c r="BB77" s="166">
        <f t="shared" si="16"/>
        <v>2022</v>
      </c>
      <c r="BC77" s="57" t="str">
        <f>IF(AND($B77=BC$3,$C77="Strong"),IF(PUF!$X76&gt;0,PUF!$X76,""),"")</f>
        <v/>
      </c>
      <c r="BD77" s="57" t="str">
        <f>IF(AND($B77=BD$3,$C77="Strong"),IF(PUF!$X76&gt;0,PUF!$X76,""),"")</f>
        <v/>
      </c>
      <c r="BE77" s="57" t="str">
        <f>IF(AND($B77=BE$3,$C77="Strong"),IF(PUF!$X76&gt;0,PUF!$X76,""),"")</f>
        <v/>
      </c>
      <c r="BF77" s="57" t="str">
        <f>IF(AND($B77=BF$3,$C77="Strong"),IF(PUF!$X76&gt;0,PUF!$X76,""),"")</f>
        <v/>
      </c>
      <c r="BG77" s="57" t="str">
        <f>IF(AND($B77=BG$3,$C77="Strong"),IF(PUF!$X76&gt;0,PUF!$X76,""),"")</f>
        <v/>
      </c>
      <c r="BH77" s="57" t="str">
        <f>IF(AND($B77=BH$3,$C77="Strong"),IF(PUF!$X76&gt;0,PUF!$X76,""),"")</f>
        <v/>
      </c>
      <c r="BI77" s="57" t="str">
        <f>IF(AND($B77=BI$3,$C77="Strong"),IF(PUF!$X76&gt;0,PUF!$X76,""),"")</f>
        <v/>
      </c>
      <c r="BJ77" s="57" t="str">
        <f>IF(AND($B77=BJ$3,$C77="Strong"),IF(PUF!$X76&gt;0,PUF!$X76,""),"")</f>
        <v/>
      </c>
      <c r="BL77" s="166">
        <f t="shared" si="17"/>
        <v>2022</v>
      </c>
      <c r="BM77" s="57" t="str">
        <f>IF(AND($B77=BM$3,$C77="Strong"),IF(PUF!$M76&gt;0,PUF!$M76,""),"")</f>
        <v/>
      </c>
      <c r="BN77" s="57" t="str">
        <f>IF(AND($B77=BN$3,$C77="Strong"),IF(PUF!$M76&gt;0,PUF!$M76,""),"")</f>
        <v/>
      </c>
      <c r="BO77" s="57" t="str">
        <f>IF(AND($B77=BO$3,$C77="Strong"),IF(PUF!$M76&gt;0,PUF!$M76,""),"")</f>
        <v/>
      </c>
      <c r="BP77" s="57" t="str">
        <f>IF(AND($B77=BP$3,$C77="Strong"),IF(PUF!$M76&gt;0,PUF!$M76,""),"")</f>
        <v/>
      </c>
      <c r="BQ77" s="57" t="str">
        <f>IF(AND($B77=BQ$3,$C77="Strong"),IF(PUF!$M76&gt;0,PUF!$M76,""),"")</f>
        <v/>
      </c>
      <c r="BR77" s="57" t="str">
        <f>IF(AND($B77=BR$3,$C77="Strong"),IF(PUF!$M76&gt;0,PUF!$M76,""),"")</f>
        <v/>
      </c>
      <c r="BS77" s="57" t="str">
        <f>IF(AND($B77=BS$3,$C77="Strong"),IF(PUF!$M76&gt;0,PUF!$M76,""),"")</f>
        <v/>
      </c>
      <c r="BT77" s="57" t="str">
        <f>IF(AND($B77=BT$3,$C77="Strong"),IF(PUF!$M76&gt;0,PUF!$M76,""),"")</f>
        <v/>
      </c>
      <c r="BV77" s="166">
        <f t="shared" si="18"/>
        <v>2022</v>
      </c>
      <c r="BW77" s="57" t="str">
        <f>IF(AND($B77=BW$3,$C77="Strong"),IF(PUF!$S76&gt;0,PUF!$S76,""),"")</f>
        <v/>
      </c>
      <c r="BX77" s="57" t="str">
        <f>IF(AND($B77=BX$3,$C77="Strong"),IF(PUF!$S76&gt;0,PUF!$S76,""),"")</f>
        <v/>
      </c>
      <c r="BY77" s="57" t="str">
        <f>IF(AND($B77=BY$3,$C77="Strong"),IF(PUF!$S76&gt;0,PUF!$S76,""),"")</f>
        <v/>
      </c>
      <c r="BZ77" s="57" t="str">
        <f>IF(AND($B77=BZ$3,$C77="Strong"),IF(PUF!$S76&gt;0,PUF!$S76,""),"")</f>
        <v/>
      </c>
      <c r="CA77" s="57" t="str">
        <f>IF(AND($B77=CA$3,$C77="Strong"),IF(PUF!$S76&gt;0,PUF!$S76,""),"")</f>
        <v/>
      </c>
      <c r="CB77" s="57" t="str">
        <f>IF(AND($B77=CB$3,$C77="Strong"),IF(PUF!$S76&gt;0,PUF!$S76,""),"")</f>
        <v/>
      </c>
      <c r="CC77" s="57" t="str">
        <f>IF(AND($B77=CC$3,$C77="Strong"),IF(PUF!$S76&gt;0,PUF!$S76,""),"")</f>
        <v/>
      </c>
      <c r="CD77" s="57" t="str">
        <f>IF(AND($B77=CD$3,$C77="Strong"),IF(PUF!$S76&gt;0,PUF!$S76,""),"")</f>
        <v/>
      </c>
      <c r="CF77" s="11">
        <f t="shared" si="19"/>
        <v>2022</v>
      </c>
      <c r="CG77" s="57" t="str">
        <f>IF(AND($B77=CG$3,$C77="Strong"),IF(PUF!$U76&gt;0,PUF!$U76,""),"")</f>
        <v/>
      </c>
      <c r="CH77" s="57" t="str">
        <f>IF(AND($B77=CH$3,$C77="Strong"),IF(PUF!$U76&gt;0,PUF!$U76,""),"")</f>
        <v/>
      </c>
      <c r="CI77" s="57" t="str">
        <f>IF(AND($B77=CI$3,$C77="Strong"),IF(PUF!$U76&gt;0,PUF!$U76,""),"")</f>
        <v/>
      </c>
      <c r="CJ77" s="57" t="str">
        <f>IF(AND($B77=CJ$3,$C77="Strong"),IF(PUF!$U76&gt;0,PUF!$U76,""),"")</f>
        <v/>
      </c>
      <c r="CK77" s="57" t="str">
        <f>IF(AND($B77=CK$3,$C77="Strong"),IF(PUF!$U76&gt;0,PUF!$U76,""),"")</f>
        <v/>
      </c>
      <c r="CL77" s="57" t="str">
        <f>IF(AND($B77=CL$3,$C77="Strong"),IF(PUF!$U76&gt;0,PUF!$U76,""),"")</f>
        <v/>
      </c>
      <c r="CM77" s="57" t="str">
        <f>IF(AND($B77=CM$3,$C77="Strong"),IF(PUF!$U76&gt;0,PUF!$U76,""),"")</f>
        <v/>
      </c>
      <c r="CN77" s="57" t="str">
        <f>IF(AND($B77=CN$3,$C77="Strong"),IF(PUF!$U76&gt;0,PUF!$U76,""),"")</f>
        <v/>
      </c>
    </row>
    <row r="78" spans="1:92" x14ac:dyDescent="0.3">
      <c r="A78" s="6">
        <f>PUF!A76</f>
        <v>75</v>
      </c>
      <c r="B78" s="6" t="str">
        <f>PUF!G76</f>
        <v>memory (volatile)</v>
      </c>
      <c r="C78" t="str">
        <f>PUF!AL76</f>
        <v>Weak</v>
      </c>
      <c r="D78" s="166">
        <f>PUF!C76</f>
        <v>2022</v>
      </c>
      <c r="E78" s="167" t="str">
        <f>IF(AND($B78=E$3,$C78="Weak"),IF(PUF!$X76&gt;0,PUF!$X76,""),"")</f>
        <v/>
      </c>
      <c r="F78" s="167" t="str">
        <f>IF(AND($B78=F$3,$C78="Weak"),IF(PUF!$X76&gt;0,PUF!$X76,""),"")</f>
        <v/>
      </c>
      <c r="G78" s="167">
        <f>IF(AND($B78=G$3,$C78="Weak"),IF(PUF!$X76&gt;0,PUF!$X76,""),"")</f>
        <v>394</v>
      </c>
      <c r="H78" s="167" t="str">
        <f>IF(AND($B78=H$3,$C78="Weak"),IF(PUF!$X76&gt;0,PUF!$X76,""),"")</f>
        <v/>
      </c>
      <c r="I78" s="167" t="str">
        <f>IF(AND($B78=I$3,$C78="Weak"),IF(PUF!$X76&gt;0,PUF!$X76,""),"")</f>
        <v/>
      </c>
      <c r="J78" s="167" t="str">
        <f>IF(AND($B78=J$3,$C78="Weak"),IF(PUF!$X76&gt;0,PUF!$X76,""),"")</f>
        <v/>
      </c>
      <c r="K78" s="167" t="str">
        <f>IF(AND($B78=K$3,$C78="Weak"),IF(PUF!$X76&gt;0,PUF!$X76,""),"")</f>
        <v/>
      </c>
      <c r="L78" s="167" t="str">
        <f>IF(AND($B78=L$3,$C78="Weak"),IF(PUF!$X76&gt;0,PUF!$X76,""),"")</f>
        <v/>
      </c>
      <c r="N78" s="11">
        <f t="shared" si="11"/>
        <v>2022</v>
      </c>
      <c r="O78" s="57" t="str">
        <f>IF(AND($B78=O$3,$C78="Weak"),IF(PUF!$M76&gt;0,PUF!$M76,""),"")</f>
        <v/>
      </c>
      <c r="P78" s="57" t="str">
        <f>IF(AND($B78=P$3,$C78="Weak"),IF(PUF!$M76&gt;0,PUF!$M76,""),"")</f>
        <v/>
      </c>
      <c r="Q78" s="57">
        <f>IF(AND($B78=Q$3,$C78="Weak"),IF(PUF!$M76&gt;0,PUF!$M76,""),"")</f>
        <v>1.1000000000000001</v>
      </c>
      <c r="R78" s="57" t="str">
        <f>IF(AND($B78=R$3,$C78="Weak"),IF(PUF!$M76&gt;0,PUF!$M76,""),"")</f>
        <v/>
      </c>
      <c r="S78" s="57" t="str">
        <f>IF(AND($B78=S$3,$C78="Weak"),IF(PUF!$M76&gt;0,PUF!$M76,""),"")</f>
        <v/>
      </c>
      <c r="T78" s="57" t="str">
        <f>IF(AND($B78=T$3,$C78="Weak"),IF(PUF!$M76&gt;0,PUF!$M76,""),"")</f>
        <v/>
      </c>
      <c r="U78" s="57" t="str">
        <f>IF(AND($B78=U$3,$C78="Weak"),IF(PUF!$M76&gt;0,PUF!$M76,""),"")</f>
        <v/>
      </c>
      <c r="V78" s="57" t="str">
        <f>IF(AND($B78=V$3,$C78="Weak"),IF(PUF!$M76&gt;0,PUF!$M76,""),"")</f>
        <v/>
      </c>
      <c r="W78" s="168"/>
      <c r="X78" s="166">
        <f t="shared" si="12"/>
        <v>2022</v>
      </c>
      <c r="Y78" s="57" t="str">
        <f>IF(AND($B78=Y$3,$C78="Weak"),IF(PUF!$S76&gt;0,PUF!$S76,""),"")</f>
        <v/>
      </c>
      <c r="Z78" s="57" t="str">
        <f>IF(AND($B78=Z$3,$C78="Weak"),IF(PUF!$S76&gt;0,PUF!$S76,""),"")</f>
        <v/>
      </c>
      <c r="AA78" s="57">
        <f>IF(AND($B78=AA$3,$C78="Weak"),IF(PUF!$S76&gt;0,PUF!$S76,""),"")</f>
        <v>2.9999999999999997E-6</v>
      </c>
      <c r="AB78" s="57" t="str">
        <f>IF(AND($B78=AB$3,$C78="Weak"),IF(PUF!$S76&gt;0,PUF!$S76,""),"")</f>
        <v/>
      </c>
      <c r="AC78" s="57" t="str">
        <f>IF(AND($B78=AC$3,$C78="Weak"),IF(PUF!$S76&gt;0,PUF!$S76,""),"")</f>
        <v/>
      </c>
      <c r="AD78" s="57" t="str">
        <f>IF(AND($B78=AD$3,$C78="Weak"),IF(PUF!$S76&gt;0,PUF!$S76,""),"")</f>
        <v/>
      </c>
      <c r="AE78" s="57" t="str">
        <f>IF(AND($B78=AE$3,$C78="Weak"),IF(PUF!$S76&gt;0,PUF!$S76,""),"")</f>
        <v/>
      </c>
      <c r="AF78" s="57" t="str">
        <f>IF(AND($B78=AF$3,$C78="Weak"),IF(PUF!$S76&gt;0,PUF!$S76,""),"")</f>
        <v/>
      </c>
      <c r="AH78" s="210">
        <f t="shared" si="13"/>
        <v>2022</v>
      </c>
      <c r="AI78" s="211" t="str">
        <f>IF(AND($B78=AI$3,$C78="Weak"),IF(PUF!$U76&gt;0,PUF!$U76,""),"")</f>
        <v/>
      </c>
      <c r="AJ78" s="211" t="str">
        <f>IF(AND($B78=AJ$3,$C78="Weak"),IF(PUF!$U76&gt;0,PUF!$U76,""),"")</f>
        <v/>
      </c>
      <c r="AK78" s="211">
        <f>IF(AND($B78=AK$3,$C78="Weak"),IF(PUF!$U76&gt;0,PUF!$U76,""),"")</f>
        <v>1.67</v>
      </c>
      <c r="AL78" s="211" t="str">
        <f>IF(AND($B78=AL$3,$C78="Weak"),IF(PUF!$U76&gt;0,PUF!$U76,""),"")</f>
        <v/>
      </c>
      <c r="AM78" s="211" t="str">
        <f>IF(AND($B78=AM$3,$C78="Weak"),IF(PUF!$U76&gt;0,PUF!$U76,""),"")</f>
        <v/>
      </c>
      <c r="AN78" s="211" t="str">
        <f>IF(AND($B78=AN$3,$C78="Weak"),IF(PUF!$U76&gt;0,PUF!$U76,""),"")</f>
        <v/>
      </c>
      <c r="AO78" s="211" t="str">
        <f>IF(AND($B78=AO$3,$C78="Weak"),IF(PUF!$U76&gt;0,PUF!$U76,""),"")</f>
        <v/>
      </c>
      <c r="AP78" s="211" t="str">
        <f>IF(AND($B78=AP$3,$C78="Weak"),IF(PUF!$U76&gt;0,PUF!$U76,""),"")</f>
        <v/>
      </c>
      <c r="BB78" s="166">
        <f t="shared" si="16"/>
        <v>2022</v>
      </c>
      <c r="BC78" s="57" t="str">
        <f>IF(AND($B78=BC$3,$C78="Strong"),IF(PUF!$X77&gt;0,PUF!$X77,""),"")</f>
        <v/>
      </c>
      <c r="BD78" s="57" t="str">
        <f>IF(AND($B78=BD$3,$C78="Strong"),IF(PUF!$X77&gt;0,PUF!$X77,""),"")</f>
        <v/>
      </c>
      <c r="BE78" s="57" t="str">
        <f>IF(AND($B78=BE$3,$C78="Strong"),IF(PUF!$X77&gt;0,PUF!$X77,""),"")</f>
        <v/>
      </c>
      <c r="BF78" s="57" t="str">
        <f>IF(AND($B78=BF$3,$C78="Strong"),IF(PUF!$X77&gt;0,PUF!$X77,""),"")</f>
        <v/>
      </c>
      <c r="BG78" s="57" t="str">
        <f>IF(AND($B78=BG$3,$C78="Strong"),IF(PUF!$X77&gt;0,PUF!$X77,""),"")</f>
        <v/>
      </c>
      <c r="BH78" s="57" t="str">
        <f>IF(AND($B78=BH$3,$C78="Strong"),IF(PUF!$X77&gt;0,PUF!$X77,""),"")</f>
        <v/>
      </c>
      <c r="BI78" s="57" t="str">
        <f>IF(AND($B78=BI$3,$C78="Strong"),IF(PUF!$X77&gt;0,PUF!$X77,""),"")</f>
        <v/>
      </c>
      <c r="BJ78" s="57" t="str">
        <f>IF(AND($B78=BJ$3,$C78="Strong"),IF(PUF!$X77&gt;0,PUF!$X77,""),"")</f>
        <v/>
      </c>
      <c r="BL78" s="166">
        <f t="shared" si="17"/>
        <v>2022</v>
      </c>
      <c r="BM78" s="57" t="str">
        <f>IF(AND($B78=BM$3,$C78="Strong"),IF(PUF!$M77&gt;0,PUF!$M77,""),"")</f>
        <v/>
      </c>
      <c r="BN78" s="57" t="str">
        <f>IF(AND($B78=BN$3,$C78="Strong"),IF(PUF!$M77&gt;0,PUF!$M77,""),"")</f>
        <v/>
      </c>
      <c r="BO78" s="57" t="str">
        <f>IF(AND($B78=BO$3,$C78="Strong"),IF(PUF!$M77&gt;0,PUF!$M77,""),"")</f>
        <v/>
      </c>
      <c r="BP78" s="57" t="str">
        <f>IF(AND($B78=BP$3,$C78="Strong"),IF(PUF!$M77&gt;0,PUF!$M77,""),"")</f>
        <v/>
      </c>
      <c r="BQ78" s="57" t="str">
        <f>IF(AND($B78=BQ$3,$C78="Strong"),IF(PUF!$M77&gt;0,PUF!$M77,""),"")</f>
        <v/>
      </c>
      <c r="BR78" s="57" t="str">
        <f>IF(AND($B78=BR$3,$C78="Strong"),IF(PUF!$M77&gt;0,PUF!$M77,""),"")</f>
        <v/>
      </c>
      <c r="BS78" s="57" t="str">
        <f>IF(AND($B78=BS$3,$C78="Strong"),IF(PUF!$M77&gt;0,PUF!$M77,""),"")</f>
        <v/>
      </c>
      <c r="BT78" s="57" t="str">
        <f>IF(AND($B78=BT$3,$C78="Strong"),IF(PUF!$M77&gt;0,PUF!$M77,""),"")</f>
        <v/>
      </c>
      <c r="BV78" s="166">
        <f t="shared" si="18"/>
        <v>2022</v>
      </c>
      <c r="BW78" s="57" t="str">
        <f>IF(AND($B78=BW$3,$C78="Strong"),IF(PUF!$S77&gt;0,PUF!$S77,""),"")</f>
        <v/>
      </c>
      <c r="BX78" s="57" t="str">
        <f>IF(AND($B78=BX$3,$C78="Strong"),IF(PUF!$S77&gt;0,PUF!$S77,""),"")</f>
        <v/>
      </c>
      <c r="BY78" s="57" t="str">
        <f>IF(AND($B78=BY$3,$C78="Strong"),IF(PUF!$S77&gt;0,PUF!$S77,""),"")</f>
        <v/>
      </c>
      <c r="BZ78" s="57" t="str">
        <f>IF(AND($B78=BZ$3,$C78="Strong"),IF(PUF!$S77&gt;0,PUF!$S77,""),"")</f>
        <v/>
      </c>
      <c r="CA78" s="57" t="str">
        <f>IF(AND($B78=CA$3,$C78="Strong"),IF(PUF!$S77&gt;0,PUF!$S77,""),"")</f>
        <v/>
      </c>
      <c r="CB78" s="57" t="str">
        <f>IF(AND($B78=CB$3,$C78="Strong"),IF(PUF!$S77&gt;0,PUF!$S77,""),"")</f>
        <v/>
      </c>
      <c r="CC78" s="57" t="str">
        <f>IF(AND($B78=CC$3,$C78="Strong"),IF(PUF!$S77&gt;0,PUF!$S77,""),"")</f>
        <v/>
      </c>
      <c r="CD78" s="57" t="str">
        <f>IF(AND($B78=CD$3,$C78="Strong"),IF(PUF!$S77&gt;0,PUF!$S77,""),"")</f>
        <v/>
      </c>
      <c r="CF78" s="11">
        <f t="shared" si="19"/>
        <v>2022</v>
      </c>
      <c r="CG78" s="57" t="str">
        <f>IF(AND($B78=CG$3,$C78="Strong"),IF(PUF!$U77&gt;0,PUF!$U77,""),"")</f>
        <v/>
      </c>
      <c r="CH78" s="57" t="str">
        <f>IF(AND($B78=CH$3,$C78="Strong"),IF(PUF!$U77&gt;0,PUF!$U77,""),"")</f>
        <v/>
      </c>
      <c r="CI78" s="57" t="str">
        <f>IF(AND($B78=CI$3,$C78="Strong"),IF(PUF!$U77&gt;0,PUF!$U77,""),"")</f>
        <v/>
      </c>
      <c r="CJ78" s="57" t="str">
        <f>IF(AND($B78=CJ$3,$C78="Strong"),IF(PUF!$U77&gt;0,PUF!$U77,""),"")</f>
        <v/>
      </c>
      <c r="CK78" s="57" t="str">
        <f>IF(AND($B78=CK$3,$C78="Strong"),IF(PUF!$U77&gt;0,PUF!$U77,""),"")</f>
        <v/>
      </c>
      <c r="CL78" s="57" t="str">
        <f>IF(AND($B78=CL$3,$C78="Strong"),IF(PUF!$U77&gt;0,PUF!$U77,""),"")</f>
        <v/>
      </c>
      <c r="CM78" s="57" t="str">
        <f>IF(AND($B78=CM$3,$C78="Strong"),IF(PUF!$U77&gt;0,PUF!$U77,""),"")</f>
        <v/>
      </c>
      <c r="CN78" s="57" t="str">
        <f>IF(AND($B78=CN$3,$C78="Strong"),IF(PUF!$U77&gt;0,PUF!$U77,""),"")</f>
        <v/>
      </c>
    </row>
    <row r="79" spans="1:92" x14ac:dyDescent="0.3">
      <c r="A79" s="6">
        <f>PUF!A77</f>
        <v>76</v>
      </c>
      <c r="B79" s="6" t="str">
        <f>PUF!G77</f>
        <v>monostable</v>
      </c>
      <c r="C79" t="str">
        <f>PUF!AL77</f>
        <v>Strong</v>
      </c>
      <c r="D79" s="166">
        <f>PUF!C77</f>
        <v>2022</v>
      </c>
      <c r="E79" s="167" t="str">
        <f>IF(AND($B79=E$3,$C79="Weak"),IF(PUF!$X77&gt;0,PUF!$X77,""),"")</f>
        <v/>
      </c>
      <c r="F79" s="167" t="str">
        <f>IF(AND($B79=F$3,$C79="Weak"),IF(PUF!$X77&gt;0,PUF!$X77,""),"")</f>
        <v/>
      </c>
      <c r="G79" s="167" t="str">
        <f>IF(AND($B79=G$3,$C79="Weak"),IF(PUF!$X77&gt;0,PUF!$X77,""),"")</f>
        <v/>
      </c>
      <c r="H79" s="167" t="str">
        <f>IF(AND($B79=H$3,$C79="Weak"),IF(PUF!$X77&gt;0,PUF!$X77,""),"")</f>
        <v/>
      </c>
      <c r="I79" s="167" t="str">
        <f>IF(AND($B79=I$3,$C79="Weak"),IF(PUF!$X77&gt;0,PUF!$X77,""),"")</f>
        <v/>
      </c>
      <c r="J79" s="167" t="str">
        <f>IF(AND($B79=J$3,$C79="Weak"),IF(PUF!$X77&gt;0,PUF!$X77,""),"")</f>
        <v/>
      </c>
      <c r="K79" s="167" t="str">
        <f>IF(AND($B79=K$3,$C79="Weak"),IF(PUF!$X77&gt;0,PUF!$X77,""),"")</f>
        <v/>
      </c>
      <c r="L79" s="167" t="str">
        <f>IF(AND($B79=L$3,$C79="Weak"),IF(PUF!$X77&gt;0,PUF!$X77,""),"")</f>
        <v/>
      </c>
      <c r="N79" s="11">
        <f t="shared" si="11"/>
        <v>2022</v>
      </c>
      <c r="O79" s="57" t="str">
        <f>IF(AND($B79=O$3,$C79="Weak"),IF(PUF!$M77&gt;0,PUF!$M77,""),"")</f>
        <v/>
      </c>
      <c r="P79" s="57" t="str">
        <f>IF(AND($B79=P$3,$C79="Weak"),IF(PUF!$M77&gt;0,PUF!$M77,""),"")</f>
        <v/>
      </c>
      <c r="Q79" s="57" t="str">
        <f>IF(AND($B79=Q$3,$C79="Weak"),IF(PUF!$M77&gt;0,PUF!$M77,""),"")</f>
        <v/>
      </c>
      <c r="R79" s="57" t="str">
        <f>IF(AND($B79=R$3,$C79="Weak"),IF(PUF!$M77&gt;0,PUF!$M77,""),"")</f>
        <v/>
      </c>
      <c r="S79" s="57" t="str">
        <f>IF(AND($B79=S$3,$C79="Weak"),IF(PUF!$M77&gt;0,PUF!$M77,""),"")</f>
        <v/>
      </c>
      <c r="T79" s="57" t="str">
        <f>IF(AND($B79=T$3,$C79="Weak"),IF(PUF!$M77&gt;0,PUF!$M77,""),"")</f>
        <v/>
      </c>
      <c r="U79" s="57" t="str">
        <f>IF(AND($B79=U$3,$C79="Weak"),IF(PUF!$M77&gt;0,PUF!$M77,""),"")</f>
        <v/>
      </c>
      <c r="V79" s="57" t="str">
        <f>IF(AND($B79=V$3,$C79="Weak"),IF(PUF!$M77&gt;0,PUF!$M77,""),"")</f>
        <v/>
      </c>
      <c r="W79" s="168"/>
      <c r="X79" s="166">
        <f t="shared" si="12"/>
        <v>2022</v>
      </c>
      <c r="Y79" s="57" t="str">
        <f>IF(AND($B79=Y$3,$C79="Weak"),IF(PUF!$S77&gt;0,PUF!$S77,""),"")</f>
        <v/>
      </c>
      <c r="Z79" s="57" t="str">
        <f>IF(AND($B79=Z$3,$C79="Weak"),IF(PUF!$S77&gt;0,PUF!$S77,""),"")</f>
        <v/>
      </c>
      <c r="AA79" s="57" t="str">
        <f>IF(AND($B79=AA$3,$C79="Weak"),IF(PUF!$S77&gt;0,PUF!$S77,""),"")</f>
        <v/>
      </c>
      <c r="AB79" s="57" t="str">
        <f>IF(AND($B79=AB$3,$C79="Weak"),IF(PUF!$S77&gt;0,PUF!$S77,""),"")</f>
        <v/>
      </c>
      <c r="AC79" s="57" t="str">
        <f>IF(AND($B79=AC$3,$C79="Weak"),IF(PUF!$S77&gt;0,PUF!$S77,""),"")</f>
        <v/>
      </c>
      <c r="AD79" s="57" t="str">
        <f>IF(AND($B79=AD$3,$C79="Weak"),IF(PUF!$S77&gt;0,PUF!$S77,""),"")</f>
        <v/>
      </c>
      <c r="AE79" s="57" t="str">
        <f>IF(AND($B79=AE$3,$C79="Weak"),IF(PUF!$S77&gt;0,PUF!$S77,""),"")</f>
        <v/>
      </c>
      <c r="AF79" s="57" t="str">
        <f>IF(AND($B79=AF$3,$C79="Weak"),IF(PUF!$S77&gt;0,PUF!$S77,""),"")</f>
        <v/>
      </c>
      <c r="AH79" s="210">
        <f t="shared" si="13"/>
        <v>2022</v>
      </c>
      <c r="AI79" s="211" t="str">
        <f>IF(AND($B79=AI$3,$C79="Weak"),IF(PUF!$U77&gt;0,PUF!$U77,""),"")</f>
        <v/>
      </c>
      <c r="AJ79" s="211" t="str">
        <f>IF(AND($B79=AJ$3,$C79="Weak"),IF(PUF!$U77&gt;0,PUF!$U77,""),"")</f>
        <v/>
      </c>
      <c r="AK79" s="211" t="str">
        <f>IF(AND($B79=AK$3,$C79="Weak"),IF(PUF!$U77&gt;0,PUF!$U77,""),"")</f>
        <v/>
      </c>
      <c r="AL79" s="211" t="str">
        <f>IF(AND($B79=AL$3,$C79="Weak"),IF(PUF!$U77&gt;0,PUF!$U77,""),"")</f>
        <v/>
      </c>
      <c r="AM79" s="211" t="str">
        <f>IF(AND($B79=AM$3,$C79="Weak"),IF(PUF!$U77&gt;0,PUF!$U77,""),"")</f>
        <v/>
      </c>
      <c r="AN79" s="211" t="str">
        <f>IF(AND($B79=AN$3,$C79="Weak"),IF(PUF!$U77&gt;0,PUF!$U77,""),"")</f>
        <v/>
      </c>
      <c r="AO79" s="211" t="str">
        <f>IF(AND($B79=AO$3,$C79="Weak"),IF(PUF!$U77&gt;0,PUF!$U77,""),"")</f>
        <v/>
      </c>
      <c r="AP79" s="211" t="str">
        <f>IF(AND($B79=AP$3,$C79="Weak"),IF(PUF!$U77&gt;0,PUF!$U77,""),"")</f>
        <v/>
      </c>
      <c r="BB79" s="166">
        <f t="shared" ref="BB79:BB87" si="20">D79</f>
        <v>2022</v>
      </c>
      <c r="BC79" s="57" t="str">
        <f>IF(AND($B79=BC$3,$C79="Strong"),IF(PUF!$X78&gt;0,PUF!$X78,""),"")</f>
        <v/>
      </c>
      <c r="BD79" s="57" t="str">
        <f>IF(AND($B79=BD$3,$C79="Strong"),IF(PUF!$X78&gt;0,PUF!$X78,""),"")</f>
        <v/>
      </c>
      <c r="BE79" s="57" t="str">
        <f>IF(AND($B79=BE$3,$C79="Strong"),IF(PUF!$X78&gt;0,PUF!$X78,""),"")</f>
        <v/>
      </c>
      <c r="BF79" s="57" t="str">
        <f>IF(AND($B79=BF$3,$C79="Strong"),IF(PUF!$X78&gt;0,PUF!$X78,""),"")</f>
        <v/>
      </c>
      <c r="BG79" s="57">
        <f>IF(AND($B79=BG$3,$C79="Strong"),IF(PUF!$X78&gt;0,PUF!$X78,""),"")</f>
        <v>16700000</v>
      </c>
      <c r="BH79" s="57" t="str">
        <f>IF(AND($B79=BH$3,$C79="Strong"),IF(PUF!$X78&gt;0,PUF!$X78,""),"")</f>
        <v/>
      </c>
      <c r="BI79" s="57" t="str">
        <f>IF(AND($B79=BI$3,$C79="Strong"),IF(PUF!$X78&gt;0,PUF!$X78,""),"")</f>
        <v/>
      </c>
      <c r="BJ79" s="57" t="str">
        <f>IF(AND($B79=BJ$3,$C79="Strong"),IF(PUF!$X78&gt;0,PUF!$X78,""),"")</f>
        <v/>
      </c>
      <c r="BL79" s="166">
        <f t="shared" ref="BL79:BL87" si="21">D79</f>
        <v>2022</v>
      </c>
      <c r="BM79" s="57" t="str">
        <f>IF(AND($B79=BM$3,$C79="Strong"),IF(PUF!$M78&gt;0,PUF!$M78,""),"")</f>
        <v/>
      </c>
      <c r="BN79" s="57" t="str">
        <f>IF(AND($B79=BN$3,$C79="Strong"),IF(PUF!$M78&gt;0,PUF!$M78,""),"")</f>
        <v/>
      </c>
      <c r="BO79" s="57" t="str">
        <f>IF(AND($B79=BO$3,$C79="Strong"),IF(PUF!$M78&gt;0,PUF!$M78,""),"")</f>
        <v/>
      </c>
      <c r="BP79" s="57" t="str">
        <f>IF(AND($B79=BP$3,$C79="Strong"),IF(PUF!$M78&gt;0,PUF!$M78,""),"")</f>
        <v/>
      </c>
      <c r="BQ79" s="57">
        <f>IF(AND($B79=BQ$3,$C79="Strong"),IF(PUF!$M78&gt;0,PUF!$M78,""),"")</f>
        <v>0.5</v>
      </c>
      <c r="BR79" s="57" t="str">
        <f>IF(AND($B79=BR$3,$C79="Strong"),IF(PUF!$M78&gt;0,PUF!$M78,""),"")</f>
        <v/>
      </c>
      <c r="BS79" s="57" t="str">
        <f>IF(AND($B79=BS$3,$C79="Strong"),IF(PUF!$M78&gt;0,PUF!$M78,""),"")</f>
        <v/>
      </c>
      <c r="BT79" s="57" t="str">
        <f>IF(AND($B79=BT$3,$C79="Strong"),IF(PUF!$M78&gt;0,PUF!$M78,""),"")</f>
        <v/>
      </c>
      <c r="BV79" s="166">
        <f t="shared" ref="BV79:BV87" si="22">N79</f>
        <v>2022</v>
      </c>
      <c r="BW79" s="57" t="str">
        <f>IF(AND($B79=BW$3,$C79="Strong"),IF(PUF!$S78&gt;0,PUF!$S78,""),"")</f>
        <v/>
      </c>
      <c r="BX79" s="57" t="str">
        <f>IF(AND($B79=BX$3,$C79="Strong"),IF(PUF!$S78&gt;0,PUF!$S78,""),"")</f>
        <v/>
      </c>
      <c r="BY79" s="57" t="str">
        <f>IF(AND($B79=BY$3,$C79="Strong"),IF(PUF!$S78&gt;0,PUF!$S78,""),"")</f>
        <v/>
      </c>
      <c r="BZ79" s="57" t="str">
        <f>IF(AND($B79=BZ$3,$C79="Strong"),IF(PUF!$S78&gt;0,PUF!$S78,""),"")</f>
        <v/>
      </c>
      <c r="CA79" s="57" t="str">
        <f>IF(AND($B79=CA$3,$C79="Strong"),IF(PUF!$S78&gt;0,PUF!$S78,""),"")</f>
        <v>8E−7</v>
      </c>
      <c r="CB79" s="57" t="str">
        <f>IF(AND($B79=CB$3,$C79="Strong"),IF(PUF!$S78&gt;0,PUF!$S78,""),"")</f>
        <v/>
      </c>
      <c r="CC79" s="57" t="str">
        <f>IF(AND($B79=CC$3,$C79="Strong"),IF(PUF!$S78&gt;0,PUF!$S78,""),"")</f>
        <v/>
      </c>
      <c r="CD79" s="57" t="str">
        <f>IF(AND($B79=CD$3,$C79="Strong"),IF(PUF!$S78&gt;0,PUF!$S78,""),"")</f>
        <v/>
      </c>
      <c r="CF79" s="11">
        <f t="shared" ref="CF79:CF87" si="23">D79</f>
        <v>2022</v>
      </c>
      <c r="CG79" s="57" t="str">
        <f>IF(AND($B79=CG$3,$C79="Strong"),IF(PUF!$U78&gt;0,PUF!$U78,""),"")</f>
        <v/>
      </c>
      <c r="CH79" s="57" t="str">
        <f>IF(AND($B79=CH$3,$C79="Strong"),IF(PUF!$U78&gt;0,PUF!$U78,""),"")</f>
        <v/>
      </c>
      <c r="CI79" s="57" t="str">
        <f>IF(AND($B79=CI$3,$C79="Strong"),IF(PUF!$U78&gt;0,PUF!$U78,""),"")</f>
        <v/>
      </c>
      <c r="CJ79" s="57" t="str">
        <f>IF(AND($B79=CJ$3,$C79="Strong"),IF(PUF!$U78&gt;0,PUF!$U78,""),"")</f>
        <v/>
      </c>
      <c r="CK79" s="57">
        <f>IF(AND($B79=CK$3,$C79="Strong"),IF(PUF!$U78&gt;0,PUF!$U78,""),"")</f>
        <v>2.17</v>
      </c>
      <c r="CL79" s="57" t="str">
        <f>IF(AND($B79=CL$3,$C79="Strong"),IF(PUF!$U78&gt;0,PUF!$U78,""),"")</f>
        <v/>
      </c>
      <c r="CM79" s="57" t="str">
        <f>IF(AND($B79=CM$3,$C79="Strong"),IF(PUF!$U78&gt;0,PUF!$U78,""),"")</f>
        <v/>
      </c>
      <c r="CN79" s="57" t="str">
        <f>IF(AND($B79=CN$3,$C79="Strong"),IF(PUF!$U78&gt;0,PUF!$U78,""),"")</f>
        <v/>
      </c>
    </row>
    <row r="80" spans="1:92" x14ac:dyDescent="0.3">
      <c r="A80" s="6">
        <f>PUF!A78</f>
        <v>77</v>
      </c>
      <c r="B80" s="6" t="str">
        <f>PUF!G78</f>
        <v>hybrid</v>
      </c>
      <c r="C80" t="str">
        <f>PUF!AL78</f>
        <v>Strong</v>
      </c>
      <c r="D80" s="166">
        <f>PUF!C78</f>
        <v>2022</v>
      </c>
      <c r="E80" s="167" t="str">
        <f>IF(AND($B80=E$3,$C80="Weak"),IF(PUF!$X78&gt;0,PUF!$X78,""),"")</f>
        <v/>
      </c>
      <c r="F80" s="167" t="str">
        <f>IF(AND($B80=F$3,$C80="Weak"),IF(PUF!$X78&gt;0,PUF!$X78,""),"")</f>
        <v/>
      </c>
      <c r="G80" s="167" t="str">
        <f>IF(AND($B80=G$3,$C80="Weak"),IF(PUF!$X78&gt;0,PUF!$X78,""),"")</f>
        <v/>
      </c>
      <c r="H80" s="167" t="str">
        <f>IF(AND($B80=H$3,$C80="Weak"),IF(PUF!$X78&gt;0,PUF!$X78,""),"")</f>
        <v/>
      </c>
      <c r="I80" s="167" t="str">
        <f>IF(AND($B80=I$3,$C80="Weak"),IF(PUF!$X78&gt;0,PUF!$X78,""),"")</f>
        <v/>
      </c>
      <c r="J80" s="167" t="str">
        <f>IF(AND($B80=J$3,$C80="Weak"),IF(PUF!$X78&gt;0,PUF!$X78,""),"")</f>
        <v/>
      </c>
      <c r="K80" s="167" t="str">
        <f>IF(AND($B80=K$3,$C80="Weak"),IF(PUF!$X78&gt;0,PUF!$X78,""),"")</f>
        <v/>
      </c>
      <c r="L80" s="167" t="str">
        <f>IF(AND($B80=L$3,$C80="Weak"),IF(PUF!$X78&gt;0,PUF!$X78,""),"")</f>
        <v/>
      </c>
      <c r="N80" s="11">
        <f t="shared" ref="N80:N88" si="24">D80</f>
        <v>2022</v>
      </c>
      <c r="O80" s="57" t="str">
        <f>IF(AND($B80=O$3,$C80="Weak"),IF(PUF!$M78&gt;0,PUF!$M78,""),"")</f>
        <v/>
      </c>
      <c r="P80" s="57" t="str">
        <f>IF(AND($B80=P$3,$C80="Weak"),IF(PUF!$M78&gt;0,PUF!$M78,""),"")</f>
        <v/>
      </c>
      <c r="Q80" s="57" t="str">
        <f>IF(AND($B80=Q$3,$C80="Weak"),IF(PUF!$M78&gt;0,PUF!$M78,""),"")</f>
        <v/>
      </c>
      <c r="R80" s="57" t="str">
        <f>IF(AND($B80=R$3,$C80="Weak"),IF(PUF!$M78&gt;0,PUF!$M78,""),"")</f>
        <v/>
      </c>
      <c r="S80" s="57" t="str">
        <f>IF(AND($B80=S$3,$C80="Weak"),IF(PUF!$M78&gt;0,PUF!$M78,""),"")</f>
        <v/>
      </c>
      <c r="T80" s="57" t="str">
        <f>IF(AND($B80=T$3,$C80="Weak"),IF(PUF!$M78&gt;0,PUF!$M78,""),"")</f>
        <v/>
      </c>
      <c r="U80" s="57" t="str">
        <f>IF(AND($B80=U$3,$C80="Weak"),IF(PUF!$M78&gt;0,PUF!$M78,""),"")</f>
        <v/>
      </c>
      <c r="V80" s="57" t="str">
        <f>IF(AND($B80=V$3,$C80="Weak"),IF(PUF!$M78&gt;0,PUF!$M78,""),"")</f>
        <v/>
      </c>
      <c r="W80" s="168"/>
      <c r="X80" s="166">
        <f t="shared" ref="X80:X88" si="25">N80</f>
        <v>2022</v>
      </c>
      <c r="Y80" s="57" t="str">
        <f>IF(AND($B80=Y$3,$C80="Weak"),IF(PUF!$S78&gt;0,PUF!$S78,""),"")</f>
        <v/>
      </c>
      <c r="Z80" s="57" t="str">
        <f>IF(AND($B80=Z$3,$C80="Weak"),IF(PUF!$S78&gt;0,PUF!$S78,""),"")</f>
        <v/>
      </c>
      <c r="AA80" s="57" t="str">
        <f>IF(AND($B80=AA$3,$C80="Weak"),IF(PUF!$S78&gt;0,PUF!$S78,""),"")</f>
        <v/>
      </c>
      <c r="AB80" s="57" t="str">
        <f>IF(AND($B80=AB$3,$C80="Weak"),IF(PUF!$S78&gt;0,PUF!$S78,""),"")</f>
        <v/>
      </c>
      <c r="AC80" s="57" t="str">
        <f>IF(AND($B80=AC$3,$C80="Weak"),IF(PUF!$S78&gt;0,PUF!$S78,""),"")</f>
        <v/>
      </c>
      <c r="AD80" s="57" t="str">
        <f>IF(AND($B80=AD$3,$C80="Weak"),IF(PUF!$S78&gt;0,PUF!$S78,""),"")</f>
        <v/>
      </c>
      <c r="AE80" s="57" t="str">
        <f>IF(AND($B80=AE$3,$C80="Weak"),IF(PUF!$S78&gt;0,PUF!$S78,""),"")</f>
        <v/>
      </c>
      <c r="AF80" s="57" t="str">
        <f>IF(AND($B80=AF$3,$C80="Weak"),IF(PUF!$S78&gt;0,PUF!$S78,""),"")</f>
        <v/>
      </c>
      <c r="AH80" s="210">
        <f t="shared" ref="AH80:AH88" si="26">D80</f>
        <v>2022</v>
      </c>
      <c r="AI80" s="211" t="str">
        <f>IF(AND($B80=AI$3,$C80="Weak"),IF(PUF!$U78&gt;0,PUF!$U78,""),"")</f>
        <v/>
      </c>
      <c r="AJ80" s="211" t="str">
        <f>IF(AND($B80=AJ$3,$C80="Weak"),IF(PUF!$U78&gt;0,PUF!$U78,""),"")</f>
        <v/>
      </c>
      <c r="AK80" s="211" t="str">
        <f>IF(AND($B80=AK$3,$C80="Weak"),IF(PUF!$U78&gt;0,PUF!$U78,""),"")</f>
        <v/>
      </c>
      <c r="AL80" s="211" t="str">
        <f>IF(AND($B80=AL$3,$C80="Weak"),IF(PUF!$U78&gt;0,PUF!$U78,""),"")</f>
        <v/>
      </c>
      <c r="AM80" s="211" t="str">
        <f>IF(AND($B80=AM$3,$C80="Weak"),IF(PUF!$U78&gt;0,PUF!$U78,""),"")</f>
        <v/>
      </c>
      <c r="AN80" s="211" t="str">
        <f>IF(AND($B80=AN$3,$C80="Weak"),IF(PUF!$U78&gt;0,PUF!$U78,""),"")</f>
        <v/>
      </c>
      <c r="AO80" s="211" t="str">
        <f>IF(AND($B80=AO$3,$C80="Weak"),IF(PUF!$U78&gt;0,PUF!$U78,""),"")</f>
        <v/>
      </c>
      <c r="AP80" s="211" t="str">
        <f>IF(AND($B80=AP$3,$C80="Weak"),IF(PUF!$U78&gt;0,PUF!$U78,""),"")</f>
        <v/>
      </c>
      <c r="BB80" s="166">
        <f t="shared" si="20"/>
        <v>2022</v>
      </c>
      <c r="BC80" s="57" t="str">
        <f>IF(AND($B80=BC$3,$C80="Strong"),IF(PUF!$X79&gt;0,PUF!$X79,""),"")</f>
        <v/>
      </c>
      <c r="BD80" s="57" t="str">
        <f>IF(AND($B80=BD$3,$C80="Strong"),IF(PUF!$X79&gt;0,PUF!$X79,""),"")</f>
        <v/>
      </c>
      <c r="BE80" s="57" t="str">
        <f>IF(AND($B80=BE$3,$C80="Strong"),IF(PUF!$X79&gt;0,PUF!$X79,""),"")</f>
        <v/>
      </c>
      <c r="BF80" s="57" t="str">
        <f>IF(AND($B80=BF$3,$C80="Strong"),IF(PUF!$X79&gt;0,PUF!$X79,""),"")</f>
        <v/>
      </c>
      <c r="BG80" s="57" t="str">
        <f>IF(AND($B80=BG$3,$C80="Strong"),IF(PUF!$X79&gt;0,PUF!$X79,""),"")</f>
        <v/>
      </c>
      <c r="BH80" s="57" t="str">
        <f>IF(AND($B80=BH$3,$C80="Strong"),IF(PUF!$X79&gt;0,PUF!$X79,""),"")</f>
        <v/>
      </c>
      <c r="BI80" s="57">
        <f>IF(AND($B80=BI$3,$C80="Strong"),IF(PUF!$X79&gt;0,PUF!$X79,""),"")</f>
        <v>950</v>
      </c>
      <c r="BJ80" s="57" t="str">
        <f>IF(AND($B80=BJ$3,$C80="Strong"),IF(PUF!$X79&gt;0,PUF!$X79,""),"")</f>
        <v/>
      </c>
      <c r="BL80" s="166">
        <f t="shared" si="21"/>
        <v>2022</v>
      </c>
      <c r="BM80" s="57" t="str">
        <f>IF(AND($B80=BM$3,$C80="Strong"),IF(PUF!$M79&gt;0,PUF!$M79,""),"")</f>
        <v/>
      </c>
      <c r="BN80" s="57" t="str">
        <f>IF(AND($B80=BN$3,$C80="Strong"),IF(PUF!$M79&gt;0,PUF!$M79,""),"")</f>
        <v/>
      </c>
      <c r="BO80" s="57" t="str">
        <f>IF(AND($B80=BO$3,$C80="Strong"),IF(PUF!$M79&gt;0,PUF!$M79,""),"")</f>
        <v/>
      </c>
      <c r="BP80" s="57" t="str">
        <f>IF(AND($B80=BP$3,$C80="Strong"),IF(PUF!$M79&gt;0,PUF!$M79,""),"")</f>
        <v/>
      </c>
      <c r="BQ80" s="57" t="str">
        <f>IF(AND($B80=BQ$3,$C80="Strong"),IF(PUF!$M79&gt;0,PUF!$M79,""),"")</f>
        <v/>
      </c>
      <c r="BR80" s="57" t="str">
        <f>IF(AND($B80=BR$3,$C80="Strong"),IF(PUF!$M79&gt;0,PUF!$M79,""),"")</f>
        <v/>
      </c>
      <c r="BS80" s="57">
        <f>IF(AND($B80=BS$3,$C80="Strong"),IF(PUF!$M79&gt;0,PUF!$M79,""),"")</f>
        <v>0.77</v>
      </c>
      <c r="BT80" s="57" t="str">
        <f>IF(AND($B80=BT$3,$C80="Strong"),IF(PUF!$M79&gt;0,PUF!$M79,""),"")</f>
        <v/>
      </c>
      <c r="BV80" s="166">
        <f t="shared" si="22"/>
        <v>2022</v>
      </c>
      <c r="BW80" s="57" t="str">
        <f>IF(AND($B80=BW$3,$C80="Strong"),IF(PUF!$S79&gt;0,PUF!$S79,""),"")</f>
        <v/>
      </c>
      <c r="BX80" s="57" t="str">
        <f>IF(AND($B80=BX$3,$C80="Strong"),IF(PUF!$S79&gt;0,PUF!$S79,""),"")</f>
        <v/>
      </c>
      <c r="BY80" s="57" t="str">
        <f>IF(AND($B80=BY$3,$C80="Strong"),IF(PUF!$S79&gt;0,PUF!$S79,""),"")</f>
        <v/>
      </c>
      <c r="BZ80" s="57" t="str">
        <f>IF(AND($B80=BZ$3,$C80="Strong"),IF(PUF!$S79&gt;0,PUF!$S79,""),"")</f>
        <v/>
      </c>
      <c r="CA80" s="57" t="str">
        <f>IF(AND($B80=CA$3,$C80="Strong"),IF(PUF!$S79&gt;0,PUF!$S79,""),"")</f>
        <v/>
      </c>
      <c r="CB80" s="57" t="str">
        <f>IF(AND($B80=CB$3,$C80="Strong"),IF(PUF!$S79&gt;0,PUF!$S79,""),"")</f>
        <v/>
      </c>
      <c r="CC80" s="57" t="str">
        <f>IF(AND($B80=CC$3,$C80="Strong"),IF(PUF!$S79&gt;0,PUF!$S79,""),"")</f>
        <v/>
      </c>
      <c r="CD80" s="57" t="str">
        <f>IF(AND($B80=CD$3,$C80="Strong"),IF(PUF!$S79&gt;0,PUF!$S79,""),"")</f>
        <v/>
      </c>
      <c r="CF80" s="11">
        <f t="shared" si="23"/>
        <v>2022</v>
      </c>
      <c r="CG80" s="57" t="str">
        <f>IF(AND($B80=CG$3,$C80="Strong"),IF(PUF!$U79&gt;0,PUF!$U79,""),"")</f>
        <v/>
      </c>
      <c r="CH80" s="57" t="str">
        <f>IF(AND($B80=CH$3,$C80="Strong"),IF(PUF!$U79&gt;0,PUF!$U79,""),"")</f>
        <v/>
      </c>
      <c r="CI80" s="57" t="str">
        <f>IF(AND($B80=CI$3,$C80="Strong"),IF(PUF!$U79&gt;0,PUF!$U79,""),"")</f>
        <v/>
      </c>
      <c r="CJ80" s="57" t="str">
        <f>IF(AND($B80=CJ$3,$C80="Strong"),IF(PUF!$U79&gt;0,PUF!$U79,""),"")</f>
        <v/>
      </c>
      <c r="CK80" s="57" t="str">
        <f>IF(AND($B80=CK$3,$C80="Strong"),IF(PUF!$U79&gt;0,PUF!$U79,""),"")</f>
        <v/>
      </c>
      <c r="CL80" s="57" t="str">
        <f>IF(AND($B80=CL$3,$C80="Strong"),IF(PUF!$U79&gt;0,PUF!$U79,""),"")</f>
        <v/>
      </c>
      <c r="CM80" s="57">
        <f>IF(AND($B80=CM$3,$C80="Strong"),IF(PUF!$U79&gt;0,PUF!$U79,""),"")</f>
        <v>1.4E-5</v>
      </c>
      <c r="CN80" s="57" t="str">
        <f>IF(AND($B80=CN$3,$C80="Strong"),IF(PUF!$U79&gt;0,PUF!$U79,""),"")</f>
        <v/>
      </c>
    </row>
    <row r="81" spans="1:92" x14ac:dyDescent="0.3">
      <c r="A81" s="6">
        <f>PUF!A79</f>
        <v>78</v>
      </c>
      <c r="B81" s="6" t="str">
        <f>PUF!G79</f>
        <v>analog</v>
      </c>
      <c r="C81" t="str">
        <f>PUF!AL79</f>
        <v>Weak</v>
      </c>
      <c r="D81" s="166">
        <f>PUF!C79</f>
        <v>2022</v>
      </c>
      <c r="E81" s="167">
        <f>IF(AND($B81=E$3,$C81="Weak"),IF(PUF!$X79&gt;0,PUF!$X79,""),"")</f>
        <v>950</v>
      </c>
      <c r="F81" s="167" t="str">
        <f>IF(AND($B81=F$3,$C81="Weak"),IF(PUF!$X79&gt;0,PUF!$X79,""),"")</f>
        <v/>
      </c>
      <c r="G81" s="167" t="str">
        <f>IF(AND($B81=G$3,$C81="Weak"),IF(PUF!$X79&gt;0,PUF!$X79,""),"")</f>
        <v/>
      </c>
      <c r="H81" s="167" t="str">
        <f>IF(AND($B81=H$3,$C81="Weak"),IF(PUF!$X79&gt;0,PUF!$X79,""),"")</f>
        <v/>
      </c>
      <c r="I81" s="167" t="str">
        <f>IF(AND($B81=I$3,$C81="Weak"),IF(PUF!$X79&gt;0,PUF!$X79,""),"")</f>
        <v/>
      </c>
      <c r="J81" s="167" t="str">
        <f>IF(AND($B81=J$3,$C81="Weak"),IF(PUF!$X79&gt;0,PUF!$X79,""),"")</f>
        <v/>
      </c>
      <c r="K81" s="167" t="str">
        <f>IF(AND($B81=K$3,$C81="Weak"),IF(PUF!$X79&gt;0,PUF!$X79,""),"")</f>
        <v/>
      </c>
      <c r="L81" s="167" t="str">
        <f>IF(AND($B81=L$3,$C81="Weak"),IF(PUF!$X79&gt;0,PUF!$X79,""),"")</f>
        <v/>
      </c>
      <c r="N81" s="11">
        <f t="shared" si="24"/>
        <v>2022</v>
      </c>
      <c r="O81" s="57">
        <f>IF(AND($B81=O$3,$C81="Weak"),IF(PUF!$M79&gt;0,PUF!$M79,""),"")</f>
        <v>0.77</v>
      </c>
      <c r="P81" s="57" t="str">
        <f>IF(AND($B81=P$3,$C81="Weak"),IF(PUF!$M79&gt;0,PUF!$M79,""),"")</f>
        <v/>
      </c>
      <c r="Q81" s="57" t="str">
        <f>IF(AND($B81=Q$3,$C81="Weak"),IF(PUF!$M79&gt;0,PUF!$M79,""),"")</f>
        <v/>
      </c>
      <c r="R81" s="57" t="str">
        <f>IF(AND($B81=R$3,$C81="Weak"),IF(PUF!$M79&gt;0,PUF!$M79,""),"")</f>
        <v/>
      </c>
      <c r="S81" s="57" t="str">
        <f>IF(AND($B81=S$3,$C81="Weak"),IF(PUF!$M79&gt;0,PUF!$M79,""),"")</f>
        <v/>
      </c>
      <c r="T81" s="57" t="str">
        <f>IF(AND($B81=T$3,$C81="Weak"),IF(PUF!$M79&gt;0,PUF!$M79,""),"")</f>
        <v/>
      </c>
      <c r="U81" s="57" t="str">
        <f>IF(AND($B81=U$3,$C81="Weak"),IF(PUF!$M79&gt;0,PUF!$M79,""),"")</f>
        <v/>
      </c>
      <c r="V81" s="57" t="str">
        <f>IF(AND($B81=V$3,$C81="Weak"),IF(PUF!$M79&gt;0,PUF!$M79,""),"")</f>
        <v/>
      </c>
      <c r="W81" s="168"/>
      <c r="X81" s="166">
        <f t="shared" si="25"/>
        <v>2022</v>
      </c>
      <c r="Y81" s="57" t="str">
        <f>IF(AND($B81=Y$3,$C81="Weak"),IF(PUF!$S79&gt;0,PUF!$S79,""),"")</f>
        <v/>
      </c>
      <c r="Z81" s="57" t="str">
        <f>IF(AND($B81=Z$3,$C81="Weak"),IF(PUF!$S79&gt;0,PUF!$S79,""),"")</f>
        <v/>
      </c>
      <c r="AA81" s="57" t="str">
        <f>IF(AND($B81=AA$3,$C81="Weak"),IF(PUF!$S79&gt;0,PUF!$S79,""),"")</f>
        <v/>
      </c>
      <c r="AB81" s="57" t="str">
        <f>IF(AND($B81=AB$3,$C81="Weak"),IF(PUF!$S79&gt;0,PUF!$S79,""),"")</f>
        <v/>
      </c>
      <c r="AC81" s="57" t="str">
        <f>IF(AND($B81=AC$3,$C81="Weak"),IF(PUF!$S79&gt;0,PUF!$S79,""),"")</f>
        <v/>
      </c>
      <c r="AD81" s="57" t="str">
        <f>IF(AND($B81=AD$3,$C81="Weak"),IF(PUF!$S79&gt;0,PUF!$S79,""),"")</f>
        <v/>
      </c>
      <c r="AE81" s="57" t="str">
        <f>IF(AND($B81=AE$3,$C81="Weak"),IF(PUF!$S79&gt;0,PUF!$S79,""),"")</f>
        <v/>
      </c>
      <c r="AF81" s="57" t="str">
        <f>IF(AND($B81=AF$3,$C81="Weak"),IF(PUF!$S79&gt;0,PUF!$S79,""),"")</f>
        <v/>
      </c>
      <c r="AH81" s="210">
        <f t="shared" si="26"/>
        <v>2022</v>
      </c>
      <c r="AI81" s="211">
        <f>IF(AND($B81=AI$3,$C81="Weak"),IF(PUF!$U79&gt;0,PUF!$U79,""),"")</f>
        <v>1.4E-5</v>
      </c>
      <c r="AJ81" s="211" t="str">
        <f>IF(AND($B81=AJ$3,$C81="Weak"),IF(PUF!$U79&gt;0,PUF!$U79,""),"")</f>
        <v/>
      </c>
      <c r="AK81" s="211" t="str">
        <f>IF(AND($B81=AK$3,$C81="Weak"),IF(PUF!$U79&gt;0,PUF!$U79,""),"")</f>
        <v/>
      </c>
      <c r="AL81" s="211" t="str">
        <f>IF(AND($B81=AL$3,$C81="Weak"),IF(PUF!$U79&gt;0,PUF!$U79,""),"")</f>
        <v/>
      </c>
      <c r="AM81" s="211" t="str">
        <f>IF(AND($B81=AM$3,$C81="Weak"),IF(PUF!$U79&gt;0,PUF!$U79,""),"")</f>
        <v/>
      </c>
      <c r="AN81" s="211" t="str">
        <f>IF(AND($B81=AN$3,$C81="Weak"),IF(PUF!$U79&gt;0,PUF!$U79,""),"")</f>
        <v/>
      </c>
      <c r="AO81" s="211" t="str">
        <f>IF(AND($B81=AO$3,$C81="Weak"),IF(PUF!$U79&gt;0,PUF!$U79,""),"")</f>
        <v/>
      </c>
      <c r="AP81" s="211" t="str">
        <f>IF(AND($B81=AP$3,$C81="Weak"),IF(PUF!$U79&gt;0,PUF!$U79,""),"")</f>
        <v/>
      </c>
      <c r="BB81" s="166">
        <f t="shared" si="20"/>
        <v>2022</v>
      </c>
      <c r="BC81" s="57" t="str">
        <f>IF(AND($B81=BC$3,$C81="Strong"),IF(PUF!$X80&gt;0,PUF!$X80,""),"")</f>
        <v/>
      </c>
      <c r="BD81" s="57" t="str">
        <f>IF(AND($B81=BD$3,$C81="Strong"),IF(PUF!$X80&gt;0,PUF!$X80,""),"")</f>
        <v/>
      </c>
      <c r="BE81" s="57" t="str">
        <f>IF(AND($B81=BE$3,$C81="Strong"),IF(PUF!$X80&gt;0,PUF!$X80,""),"")</f>
        <v/>
      </c>
      <c r="BF81" s="57" t="str">
        <f>IF(AND($B81=BF$3,$C81="Strong"),IF(PUF!$X80&gt;0,PUF!$X80,""),"")</f>
        <v/>
      </c>
      <c r="BG81" s="57" t="str">
        <f>IF(AND($B81=BG$3,$C81="Strong"),IF(PUF!$X80&gt;0,PUF!$X80,""),"")</f>
        <v/>
      </c>
      <c r="BH81" s="57" t="str">
        <f>IF(AND($B81=BH$3,$C81="Strong"),IF(PUF!$X80&gt;0,PUF!$X80,""),"")</f>
        <v/>
      </c>
      <c r="BI81" s="57" t="str">
        <f>IF(AND($B81=BI$3,$C81="Strong"),IF(PUF!$X80&gt;0,PUF!$X80,""),"")</f>
        <v/>
      </c>
      <c r="BJ81" s="57" t="str">
        <f>IF(AND($B81=BJ$3,$C81="Strong"),IF(PUF!$X80&gt;0,PUF!$X80,""),"")</f>
        <v/>
      </c>
      <c r="BL81" s="166">
        <f t="shared" si="21"/>
        <v>2022</v>
      </c>
      <c r="BM81" s="57" t="str">
        <f>IF(AND($B81=BM$3,$C81="Strong"),IF(PUF!$M80&gt;0,PUF!$M80,""),"")</f>
        <v/>
      </c>
      <c r="BN81" s="57" t="str">
        <f>IF(AND($B81=BN$3,$C81="Strong"),IF(PUF!$M80&gt;0,PUF!$M80,""),"")</f>
        <v/>
      </c>
      <c r="BO81" s="57" t="str">
        <f>IF(AND($B81=BO$3,$C81="Strong"),IF(PUF!$M80&gt;0,PUF!$M80,""),"")</f>
        <v/>
      </c>
      <c r="BP81" s="57" t="str">
        <f>IF(AND($B81=BP$3,$C81="Strong"),IF(PUF!$M80&gt;0,PUF!$M80,""),"")</f>
        <v/>
      </c>
      <c r="BQ81" s="57" t="str">
        <f>IF(AND($B81=BQ$3,$C81="Strong"),IF(PUF!$M80&gt;0,PUF!$M80,""),"")</f>
        <v/>
      </c>
      <c r="BR81" s="57" t="str">
        <f>IF(AND($B81=BR$3,$C81="Strong"),IF(PUF!$M80&gt;0,PUF!$M80,""),"")</f>
        <v/>
      </c>
      <c r="BS81" s="57" t="str">
        <f>IF(AND($B81=BS$3,$C81="Strong"),IF(PUF!$M80&gt;0,PUF!$M80,""),"")</f>
        <v/>
      </c>
      <c r="BT81" s="57" t="str">
        <f>IF(AND($B81=BT$3,$C81="Strong"),IF(PUF!$M80&gt;0,PUF!$M80,""),"")</f>
        <v/>
      </c>
      <c r="BV81" s="166">
        <f t="shared" si="22"/>
        <v>2022</v>
      </c>
      <c r="BW81" s="57" t="str">
        <f>IF(AND($B81=BW$3,$C81="Strong"),IF(PUF!$S80&gt;0,PUF!$S80,""),"")</f>
        <v/>
      </c>
      <c r="BX81" s="57" t="str">
        <f>IF(AND($B81=BX$3,$C81="Strong"),IF(PUF!$S80&gt;0,PUF!$S80,""),"")</f>
        <v/>
      </c>
      <c r="BY81" s="57" t="str">
        <f>IF(AND($B81=BY$3,$C81="Strong"),IF(PUF!$S80&gt;0,PUF!$S80,""),"")</f>
        <v/>
      </c>
      <c r="BZ81" s="57" t="str">
        <f>IF(AND($B81=BZ$3,$C81="Strong"),IF(PUF!$S80&gt;0,PUF!$S80,""),"")</f>
        <v/>
      </c>
      <c r="CA81" s="57" t="str">
        <f>IF(AND($B81=CA$3,$C81="Strong"),IF(PUF!$S80&gt;0,PUF!$S80,""),"")</f>
        <v/>
      </c>
      <c r="CB81" s="57" t="str">
        <f>IF(AND($B81=CB$3,$C81="Strong"),IF(PUF!$S80&gt;0,PUF!$S80,""),"")</f>
        <v/>
      </c>
      <c r="CC81" s="57" t="str">
        <f>IF(AND($B81=CC$3,$C81="Strong"),IF(PUF!$S80&gt;0,PUF!$S80,""),"")</f>
        <v/>
      </c>
      <c r="CD81" s="57" t="str">
        <f>IF(AND($B81=CD$3,$C81="Strong"),IF(PUF!$S80&gt;0,PUF!$S80,""),"")</f>
        <v/>
      </c>
      <c r="CF81" s="11">
        <f t="shared" si="23"/>
        <v>2022</v>
      </c>
      <c r="CG81" s="57" t="str">
        <f>IF(AND($B81=CG$3,$C81="Strong"),IF(PUF!$U80&gt;0,PUF!$U80,""),"")</f>
        <v/>
      </c>
      <c r="CH81" s="57" t="str">
        <f>IF(AND($B81=CH$3,$C81="Strong"),IF(PUF!$U80&gt;0,PUF!$U80,""),"")</f>
        <v/>
      </c>
      <c r="CI81" s="57" t="str">
        <f>IF(AND($B81=CI$3,$C81="Strong"),IF(PUF!$U80&gt;0,PUF!$U80,""),"")</f>
        <v/>
      </c>
      <c r="CJ81" s="57" t="str">
        <f>IF(AND($B81=CJ$3,$C81="Strong"),IF(PUF!$U80&gt;0,PUF!$U80,""),"")</f>
        <v/>
      </c>
      <c r="CK81" s="57" t="str">
        <f>IF(AND($B81=CK$3,$C81="Strong"),IF(PUF!$U80&gt;0,PUF!$U80,""),"")</f>
        <v/>
      </c>
      <c r="CL81" s="57" t="str">
        <f>IF(AND($B81=CL$3,$C81="Strong"),IF(PUF!$U80&gt;0,PUF!$U80,""),"")</f>
        <v/>
      </c>
      <c r="CM81" s="57" t="str">
        <f>IF(AND($B81=CM$3,$C81="Strong"),IF(PUF!$U80&gt;0,PUF!$U80,""),"")</f>
        <v/>
      </c>
      <c r="CN81" s="57" t="str">
        <f>IF(AND($B81=CN$3,$C81="Strong"),IF(PUF!$U80&gt;0,PUF!$U80,""),"")</f>
        <v/>
      </c>
    </row>
    <row r="82" spans="1:92" x14ac:dyDescent="0.3">
      <c r="A82" s="6">
        <f>PUF!A80</f>
        <v>79</v>
      </c>
      <c r="B82" s="6" t="str">
        <f>PUF!G80</f>
        <v>memory (volatile)</v>
      </c>
      <c r="C82" t="str">
        <f>PUF!AL80</f>
        <v>Strong</v>
      </c>
      <c r="D82" s="166">
        <f>PUF!C80</f>
        <v>2022</v>
      </c>
      <c r="E82" s="167" t="str">
        <f>IF(AND($B82=E$3,$C82="Weak"),IF(PUF!$X80&gt;0,PUF!$X80,""),"")</f>
        <v/>
      </c>
      <c r="F82" s="167" t="str">
        <f>IF(AND($B82=F$3,$C82="Weak"),IF(PUF!$X80&gt;0,PUF!$X80,""),"")</f>
        <v/>
      </c>
      <c r="G82" s="167" t="str">
        <f>IF(AND($B82=G$3,$C82="Weak"),IF(PUF!$X80&gt;0,PUF!$X80,""),"")</f>
        <v/>
      </c>
      <c r="H82" s="167" t="str">
        <f>IF(AND($B82=H$3,$C82="Weak"),IF(PUF!$X80&gt;0,PUF!$X80,""),"")</f>
        <v/>
      </c>
      <c r="I82" s="167" t="str">
        <f>IF(AND($B82=I$3,$C82="Weak"),IF(PUF!$X80&gt;0,PUF!$X80,""),"")</f>
        <v/>
      </c>
      <c r="J82" s="167" t="str">
        <f>IF(AND($B82=J$3,$C82="Weak"),IF(PUF!$X80&gt;0,PUF!$X80,""),"")</f>
        <v/>
      </c>
      <c r="K82" s="167" t="str">
        <f>IF(AND($B82=K$3,$C82="Weak"),IF(PUF!$X80&gt;0,PUF!$X80,""),"")</f>
        <v/>
      </c>
      <c r="L82" s="167" t="str">
        <f>IF(AND($B82=L$3,$C82="Weak"),IF(PUF!$X80&gt;0,PUF!$X80,""),"")</f>
        <v/>
      </c>
      <c r="N82" s="11">
        <f t="shared" si="24"/>
        <v>2022</v>
      </c>
      <c r="O82" s="57" t="str">
        <f>IF(AND($B82=O$3,$C82="Weak"),IF(PUF!$M80&gt;0,PUF!$M80,""),"")</f>
        <v/>
      </c>
      <c r="P82" s="57" t="str">
        <f>IF(AND($B82=P$3,$C82="Weak"),IF(PUF!$M80&gt;0,PUF!$M80,""),"")</f>
        <v/>
      </c>
      <c r="Q82" s="57" t="str">
        <f>IF(AND($B82=Q$3,$C82="Weak"),IF(PUF!$M80&gt;0,PUF!$M80,""),"")</f>
        <v/>
      </c>
      <c r="R82" s="57" t="str">
        <f>IF(AND($B82=R$3,$C82="Weak"),IF(PUF!$M80&gt;0,PUF!$M80,""),"")</f>
        <v/>
      </c>
      <c r="S82" s="57" t="str">
        <f>IF(AND($B82=S$3,$C82="Weak"),IF(PUF!$M80&gt;0,PUF!$M80,""),"")</f>
        <v/>
      </c>
      <c r="T82" s="57" t="str">
        <f>IF(AND($B82=T$3,$C82="Weak"),IF(PUF!$M80&gt;0,PUF!$M80,""),"")</f>
        <v/>
      </c>
      <c r="U82" s="57" t="str">
        <f>IF(AND($B82=U$3,$C82="Weak"),IF(PUF!$M80&gt;0,PUF!$M80,""),"")</f>
        <v/>
      </c>
      <c r="V82" s="57" t="str">
        <f>IF(AND($B82=V$3,$C82="Weak"),IF(PUF!$M80&gt;0,PUF!$M80,""),"")</f>
        <v/>
      </c>
      <c r="W82" s="168"/>
      <c r="X82" s="166">
        <f t="shared" si="25"/>
        <v>2022</v>
      </c>
      <c r="Y82" s="57" t="str">
        <f>IF(AND($B82=Y$3,$C82="Weak"),IF(PUF!$S80&gt;0,PUF!$S80,""),"")</f>
        <v/>
      </c>
      <c r="Z82" s="57" t="str">
        <f>IF(AND($B82=Z$3,$C82="Weak"),IF(PUF!$S80&gt;0,PUF!$S80,""),"")</f>
        <v/>
      </c>
      <c r="AA82" s="57" t="str">
        <f>IF(AND($B82=AA$3,$C82="Weak"),IF(PUF!$S80&gt;0,PUF!$S80,""),"")</f>
        <v/>
      </c>
      <c r="AB82" s="57" t="str">
        <f>IF(AND($B82=AB$3,$C82="Weak"),IF(PUF!$S80&gt;0,PUF!$S80,""),"")</f>
        <v/>
      </c>
      <c r="AC82" s="57" t="str">
        <f>IF(AND($B82=AC$3,$C82="Weak"),IF(PUF!$S80&gt;0,PUF!$S80,""),"")</f>
        <v/>
      </c>
      <c r="AD82" s="57" t="str">
        <f>IF(AND($B82=AD$3,$C82="Weak"),IF(PUF!$S80&gt;0,PUF!$S80,""),"")</f>
        <v/>
      </c>
      <c r="AE82" s="57" t="str">
        <f>IF(AND($B82=AE$3,$C82="Weak"),IF(PUF!$S80&gt;0,PUF!$S80,""),"")</f>
        <v/>
      </c>
      <c r="AF82" s="57" t="str">
        <f>IF(AND($B82=AF$3,$C82="Weak"),IF(PUF!$S80&gt;0,PUF!$S80,""),"")</f>
        <v/>
      </c>
      <c r="AH82" s="210">
        <f t="shared" si="26"/>
        <v>2022</v>
      </c>
      <c r="AI82" s="211" t="str">
        <f>IF(AND($B82=AI$3,$C82="Weak"),IF(PUF!$U80&gt;0,PUF!$U80,""),"")</f>
        <v/>
      </c>
      <c r="AJ82" s="211" t="str">
        <f>IF(AND($B82=AJ$3,$C82="Weak"),IF(PUF!$U80&gt;0,PUF!$U80,""),"")</f>
        <v/>
      </c>
      <c r="AK82" s="211" t="str">
        <f>IF(AND($B82=AK$3,$C82="Weak"),IF(PUF!$U80&gt;0,PUF!$U80,""),"")</f>
        <v/>
      </c>
      <c r="AL82" s="211" t="str">
        <f>IF(AND($B82=AL$3,$C82="Weak"),IF(PUF!$U80&gt;0,PUF!$U80,""),"")</f>
        <v/>
      </c>
      <c r="AM82" s="211" t="str">
        <f>IF(AND($B82=AM$3,$C82="Weak"),IF(PUF!$U80&gt;0,PUF!$U80,""),"")</f>
        <v/>
      </c>
      <c r="AN82" s="211" t="str">
        <f>IF(AND($B82=AN$3,$C82="Weak"),IF(PUF!$U80&gt;0,PUF!$U80,""),"")</f>
        <v/>
      </c>
      <c r="AO82" s="211" t="str">
        <f>IF(AND($B82=AO$3,$C82="Weak"),IF(PUF!$U80&gt;0,PUF!$U80,""),"")</f>
        <v/>
      </c>
      <c r="AP82" s="211" t="str">
        <f>IF(AND($B82=AP$3,$C82="Weak"),IF(PUF!$U80&gt;0,PUF!$U80,""),"")</f>
        <v/>
      </c>
      <c r="BB82" s="166">
        <f t="shared" si="20"/>
        <v>2022</v>
      </c>
      <c r="BC82" s="57" t="str">
        <f>IF(AND($B82=BC$3,$C82="Strong"),IF(PUF!$X81&gt;0,PUF!$X81,""),"")</f>
        <v/>
      </c>
      <c r="BD82" s="57" t="str">
        <f>IF(AND($B82=BD$3,$C82="Strong"),IF(PUF!$X81&gt;0,PUF!$X81,""),"")</f>
        <v/>
      </c>
      <c r="BE82" s="57">
        <f>IF(AND($B82=BE$3,$C82="Strong"),IF(PUF!$X81&gt;0,PUF!$X81,""),"")</f>
        <v>20</v>
      </c>
      <c r="BF82" s="57" t="str">
        <f>IF(AND($B82=BF$3,$C82="Strong"),IF(PUF!$X81&gt;0,PUF!$X81,""),"")</f>
        <v/>
      </c>
      <c r="BG82" s="57" t="str">
        <f>IF(AND($B82=BG$3,$C82="Strong"),IF(PUF!$X81&gt;0,PUF!$X81,""),"")</f>
        <v/>
      </c>
      <c r="BH82" s="57" t="str">
        <f>IF(AND($B82=BH$3,$C82="Strong"),IF(PUF!$X81&gt;0,PUF!$X81,""),"")</f>
        <v/>
      </c>
      <c r="BI82" s="57" t="str">
        <f>IF(AND($B82=BI$3,$C82="Strong"),IF(PUF!$X81&gt;0,PUF!$X81,""),"")</f>
        <v/>
      </c>
      <c r="BJ82" s="57" t="str">
        <f>IF(AND($B82=BJ$3,$C82="Strong"),IF(PUF!$X81&gt;0,PUF!$X81,""),"")</f>
        <v/>
      </c>
      <c r="BL82" s="166">
        <f t="shared" si="21"/>
        <v>2022</v>
      </c>
      <c r="BM82" s="57" t="str">
        <f>IF(AND($B82=BM$3,$C82="Strong"),IF(PUF!$M81&gt;0,PUF!$M81,""),"")</f>
        <v/>
      </c>
      <c r="BN82" s="57" t="str">
        <f>IF(AND($B82=BN$3,$C82="Strong"),IF(PUF!$M81&gt;0,PUF!$M81,""),"")</f>
        <v/>
      </c>
      <c r="BO82" s="57">
        <f>IF(AND($B82=BO$3,$C82="Strong"),IF(PUF!$M81&gt;0,PUF!$M81,""),"")</f>
        <v>0.79800000000000004</v>
      </c>
      <c r="BP82" s="57" t="str">
        <f>IF(AND($B82=BP$3,$C82="Strong"),IF(PUF!$M81&gt;0,PUF!$M81,""),"")</f>
        <v/>
      </c>
      <c r="BQ82" s="57" t="str">
        <f>IF(AND($B82=BQ$3,$C82="Strong"),IF(PUF!$M81&gt;0,PUF!$M81,""),"")</f>
        <v/>
      </c>
      <c r="BR82" s="57" t="str">
        <f>IF(AND($B82=BR$3,$C82="Strong"),IF(PUF!$M81&gt;0,PUF!$M81,""),"")</f>
        <v/>
      </c>
      <c r="BS82" s="57" t="str">
        <f>IF(AND($B82=BS$3,$C82="Strong"),IF(PUF!$M81&gt;0,PUF!$M81,""),"")</f>
        <v/>
      </c>
      <c r="BT82" s="57" t="str">
        <f>IF(AND($B82=BT$3,$C82="Strong"),IF(PUF!$M81&gt;0,PUF!$M81,""),"")</f>
        <v/>
      </c>
      <c r="BV82" s="166">
        <f t="shared" si="22"/>
        <v>2022</v>
      </c>
      <c r="BW82" s="57" t="str">
        <f>IF(AND($B82=BW$3,$C82="Strong"),IF(PUF!$S81&gt;0,PUF!$S81,""),"")</f>
        <v/>
      </c>
      <c r="BX82" s="57" t="str">
        <f>IF(AND($B82=BX$3,$C82="Strong"),IF(PUF!$S81&gt;0,PUF!$S81,""),"")</f>
        <v/>
      </c>
      <c r="BY82" s="57">
        <f>IF(AND($B82=BY$3,$C82="Strong"),IF(PUF!$S81&gt;0,PUF!$S81,""),"")</f>
        <v>1.391</v>
      </c>
      <c r="BZ82" s="57" t="str">
        <f>IF(AND($B82=BZ$3,$C82="Strong"),IF(PUF!$S81&gt;0,PUF!$S81,""),"")</f>
        <v/>
      </c>
      <c r="CA82" s="57" t="str">
        <f>IF(AND($B82=CA$3,$C82="Strong"),IF(PUF!$S81&gt;0,PUF!$S81,""),"")</f>
        <v/>
      </c>
      <c r="CB82" s="57" t="str">
        <f>IF(AND($B82=CB$3,$C82="Strong"),IF(PUF!$S81&gt;0,PUF!$S81,""),"")</f>
        <v/>
      </c>
      <c r="CC82" s="57" t="str">
        <f>IF(AND($B82=CC$3,$C82="Strong"),IF(PUF!$S81&gt;0,PUF!$S81,""),"")</f>
        <v/>
      </c>
      <c r="CD82" s="57" t="str">
        <f>IF(AND($B82=CD$3,$C82="Strong"),IF(PUF!$S81&gt;0,PUF!$S81,""),"")</f>
        <v/>
      </c>
      <c r="CF82" s="11">
        <f t="shared" si="23"/>
        <v>2022</v>
      </c>
      <c r="CG82" s="57" t="str">
        <f>IF(AND($B82=CG$3,$C82="Strong"),IF(PUF!$U81&gt;0,PUF!$U81,""),"")</f>
        <v/>
      </c>
      <c r="CH82" s="57" t="str">
        <f>IF(AND($B82=CH$3,$C82="Strong"),IF(PUF!$U81&gt;0,PUF!$U81,""),"")</f>
        <v/>
      </c>
      <c r="CI82" s="57">
        <f>IF(AND($B82=CI$3,$C82="Strong"),IF(PUF!$U81&gt;0,PUF!$U81,""),"")</f>
        <v>168</v>
      </c>
      <c r="CJ82" s="57" t="str">
        <f>IF(AND($B82=CJ$3,$C82="Strong"),IF(PUF!$U81&gt;0,PUF!$U81,""),"")</f>
        <v/>
      </c>
      <c r="CK82" s="57" t="str">
        <f>IF(AND($B82=CK$3,$C82="Strong"),IF(PUF!$U81&gt;0,PUF!$U81,""),"")</f>
        <v/>
      </c>
      <c r="CL82" s="57" t="str">
        <f>IF(AND($B82=CL$3,$C82="Strong"),IF(PUF!$U81&gt;0,PUF!$U81,""),"")</f>
        <v/>
      </c>
      <c r="CM82" s="57" t="str">
        <f>IF(AND($B82=CM$3,$C82="Strong"),IF(PUF!$U81&gt;0,PUF!$U81,""),"")</f>
        <v/>
      </c>
      <c r="CN82" s="57" t="str">
        <f>IF(AND($B82=CN$3,$C82="Strong"),IF(PUF!$U81&gt;0,PUF!$U81,""),"")</f>
        <v/>
      </c>
    </row>
    <row r="83" spans="1:92" x14ac:dyDescent="0.3">
      <c r="A83" s="6">
        <f>PUF!A81</f>
        <v>80</v>
      </c>
      <c r="B83" s="6" t="str">
        <f>PUF!G81</f>
        <v>analog</v>
      </c>
      <c r="C83" t="str">
        <f>PUF!AL81</f>
        <v>Weak</v>
      </c>
      <c r="D83" s="166">
        <f>PUF!C81</f>
        <v>2022</v>
      </c>
      <c r="E83" s="167">
        <f>IF(AND($B83=E$3,$C83="Weak"),IF(PUF!$X81&gt;0,PUF!$X81,""),"")</f>
        <v>20</v>
      </c>
      <c r="F83" s="167" t="str">
        <f>IF(AND($B83=F$3,$C83="Weak"),IF(PUF!$X81&gt;0,PUF!$X81,""),"")</f>
        <v/>
      </c>
      <c r="G83" s="167" t="str">
        <f>IF(AND($B83=G$3,$C83="Weak"),IF(PUF!$X81&gt;0,PUF!$X81,""),"")</f>
        <v/>
      </c>
      <c r="H83" s="167" t="str">
        <f>IF(AND($B83=H$3,$C83="Weak"),IF(PUF!$X81&gt;0,PUF!$X81,""),"")</f>
        <v/>
      </c>
      <c r="I83" s="167" t="str">
        <f>IF(AND($B83=I$3,$C83="Weak"),IF(PUF!$X81&gt;0,PUF!$X81,""),"")</f>
        <v/>
      </c>
      <c r="J83" s="167" t="str">
        <f>IF(AND($B83=J$3,$C83="Weak"),IF(PUF!$X81&gt;0,PUF!$X81,""),"")</f>
        <v/>
      </c>
      <c r="K83" s="167" t="str">
        <f>IF(AND($B83=K$3,$C83="Weak"),IF(PUF!$X81&gt;0,PUF!$X81,""),"")</f>
        <v/>
      </c>
      <c r="L83" s="167" t="str">
        <f>IF(AND($B83=L$3,$C83="Weak"),IF(PUF!$X81&gt;0,PUF!$X81,""),"")</f>
        <v/>
      </c>
      <c r="N83" s="11">
        <f t="shared" si="24"/>
        <v>2022</v>
      </c>
      <c r="O83" s="57">
        <f>IF(AND($B83=O$3,$C83="Weak"),IF(PUF!$M81&gt;0,PUF!$M81,""),"")</f>
        <v>0.79800000000000004</v>
      </c>
      <c r="P83" s="57" t="str">
        <f>IF(AND($B83=P$3,$C83="Weak"),IF(PUF!$M81&gt;0,PUF!$M81,""),"")</f>
        <v/>
      </c>
      <c r="Q83" s="57" t="str">
        <f>IF(AND($B83=Q$3,$C83="Weak"),IF(PUF!$M81&gt;0,PUF!$M81,""),"")</f>
        <v/>
      </c>
      <c r="R83" s="57" t="str">
        <f>IF(AND($B83=R$3,$C83="Weak"),IF(PUF!$M81&gt;0,PUF!$M81,""),"")</f>
        <v/>
      </c>
      <c r="S83" s="57" t="str">
        <f>IF(AND($B83=S$3,$C83="Weak"),IF(PUF!$M81&gt;0,PUF!$M81,""),"")</f>
        <v/>
      </c>
      <c r="T83" s="57" t="str">
        <f>IF(AND($B83=T$3,$C83="Weak"),IF(PUF!$M81&gt;0,PUF!$M81,""),"")</f>
        <v/>
      </c>
      <c r="U83" s="57" t="str">
        <f>IF(AND($B83=U$3,$C83="Weak"),IF(PUF!$M81&gt;0,PUF!$M81,""),"")</f>
        <v/>
      </c>
      <c r="V83" s="57" t="str">
        <f>IF(AND($B83=V$3,$C83="Weak"),IF(PUF!$M81&gt;0,PUF!$M81,""),"")</f>
        <v/>
      </c>
      <c r="W83" s="168"/>
      <c r="X83" s="166">
        <f t="shared" si="25"/>
        <v>2022</v>
      </c>
      <c r="Y83" s="57">
        <f>IF(AND($B83=Y$3,$C83="Weak"),IF(PUF!$S81&gt;0,PUF!$S81,""),"")</f>
        <v>1.391</v>
      </c>
      <c r="Z83" s="57" t="str">
        <f>IF(AND($B83=Z$3,$C83="Weak"),IF(PUF!$S81&gt;0,PUF!$S81,""),"")</f>
        <v/>
      </c>
      <c r="AA83" s="57" t="str">
        <f>IF(AND($B83=AA$3,$C83="Weak"),IF(PUF!$S81&gt;0,PUF!$S81,""),"")</f>
        <v/>
      </c>
      <c r="AB83" s="57" t="str">
        <f>IF(AND($B83=AB$3,$C83="Weak"),IF(PUF!$S81&gt;0,PUF!$S81,""),"")</f>
        <v/>
      </c>
      <c r="AC83" s="57" t="str">
        <f>IF(AND($B83=AC$3,$C83="Weak"),IF(PUF!$S81&gt;0,PUF!$S81,""),"")</f>
        <v/>
      </c>
      <c r="AD83" s="57" t="str">
        <f>IF(AND($B83=AD$3,$C83="Weak"),IF(PUF!$S81&gt;0,PUF!$S81,""),"")</f>
        <v/>
      </c>
      <c r="AE83" s="57" t="str">
        <f>IF(AND($B83=AE$3,$C83="Weak"),IF(PUF!$S81&gt;0,PUF!$S81,""),"")</f>
        <v/>
      </c>
      <c r="AF83" s="57" t="str">
        <f>IF(AND($B83=AF$3,$C83="Weak"),IF(PUF!$S81&gt;0,PUF!$S81,""),"")</f>
        <v/>
      </c>
      <c r="AH83" s="210">
        <f t="shared" si="26"/>
        <v>2022</v>
      </c>
      <c r="AI83" s="211">
        <f>IF(AND($B83=AI$3,$C83="Weak"),IF(PUF!$U81&gt;0,PUF!$U81,""),"")</f>
        <v>168</v>
      </c>
      <c r="AJ83" s="211" t="str">
        <f>IF(AND($B83=AJ$3,$C83="Weak"),IF(PUF!$U81&gt;0,PUF!$U81,""),"")</f>
        <v/>
      </c>
      <c r="AK83" s="211" t="str">
        <f>IF(AND($B83=AK$3,$C83="Weak"),IF(PUF!$U81&gt;0,PUF!$U81,""),"")</f>
        <v/>
      </c>
      <c r="AL83" s="211" t="str">
        <f>IF(AND($B83=AL$3,$C83="Weak"),IF(PUF!$U81&gt;0,PUF!$U81,""),"")</f>
        <v/>
      </c>
      <c r="AM83" s="211" t="str">
        <f>IF(AND($B83=AM$3,$C83="Weak"),IF(PUF!$U81&gt;0,PUF!$U81,""),"")</f>
        <v/>
      </c>
      <c r="AN83" s="211" t="str">
        <f>IF(AND($B83=AN$3,$C83="Weak"),IF(PUF!$U81&gt;0,PUF!$U81,""),"")</f>
        <v/>
      </c>
      <c r="AO83" s="211" t="str">
        <f>IF(AND($B83=AO$3,$C83="Weak"),IF(PUF!$U81&gt;0,PUF!$U81,""),"")</f>
        <v/>
      </c>
      <c r="AP83" s="211" t="str">
        <f>IF(AND($B83=AP$3,$C83="Weak"),IF(PUF!$U81&gt;0,PUF!$U81,""),"")</f>
        <v/>
      </c>
      <c r="BB83" s="166">
        <f t="shared" si="20"/>
        <v>2022</v>
      </c>
      <c r="BC83" s="57" t="str">
        <f>IF(AND($B83=BC$3,$C83="Strong"),IF(PUF!$X82&gt;0,PUF!$X82,""),"")</f>
        <v/>
      </c>
      <c r="BD83" s="57" t="str">
        <f>IF(AND($B83=BD$3,$C83="Strong"),IF(PUF!$X82&gt;0,PUF!$X82,""),"")</f>
        <v/>
      </c>
      <c r="BE83" s="57" t="str">
        <f>IF(AND($B83=BE$3,$C83="Strong"),IF(PUF!$X82&gt;0,PUF!$X82,""),"")</f>
        <v/>
      </c>
      <c r="BF83" s="57" t="str">
        <f>IF(AND($B83=BF$3,$C83="Strong"),IF(PUF!$X82&gt;0,PUF!$X82,""),"")</f>
        <v/>
      </c>
      <c r="BG83" s="57" t="str">
        <f>IF(AND($B83=BG$3,$C83="Strong"),IF(PUF!$X82&gt;0,PUF!$X82,""),"")</f>
        <v/>
      </c>
      <c r="BH83" s="57" t="str">
        <f>IF(AND($B83=BH$3,$C83="Strong"),IF(PUF!$X82&gt;0,PUF!$X82,""),"")</f>
        <v/>
      </c>
      <c r="BI83" s="57" t="str">
        <f>IF(AND($B83=BI$3,$C83="Strong"),IF(PUF!$X82&gt;0,PUF!$X82,""),"")</f>
        <v/>
      </c>
      <c r="BJ83" s="57" t="str">
        <f>IF(AND($B83=BJ$3,$C83="Strong"),IF(PUF!$X82&gt;0,PUF!$X82,""),"")</f>
        <v/>
      </c>
      <c r="BL83" s="166">
        <f t="shared" si="21"/>
        <v>2022</v>
      </c>
      <c r="BM83" s="57" t="str">
        <f>IF(AND($B83=BM$3,$C83="Strong"),IF(PUF!$M82&gt;0,PUF!$M82,""),"")</f>
        <v/>
      </c>
      <c r="BN83" s="57" t="str">
        <f>IF(AND($B83=BN$3,$C83="Strong"),IF(PUF!$M82&gt;0,PUF!$M82,""),"")</f>
        <v/>
      </c>
      <c r="BO83" s="57" t="str">
        <f>IF(AND($B83=BO$3,$C83="Strong"),IF(PUF!$M82&gt;0,PUF!$M82,""),"")</f>
        <v/>
      </c>
      <c r="BP83" s="57" t="str">
        <f>IF(AND($B83=BP$3,$C83="Strong"),IF(PUF!$M82&gt;0,PUF!$M82,""),"")</f>
        <v/>
      </c>
      <c r="BQ83" s="57" t="str">
        <f>IF(AND($B83=BQ$3,$C83="Strong"),IF(PUF!$M82&gt;0,PUF!$M82,""),"")</f>
        <v/>
      </c>
      <c r="BR83" s="57" t="str">
        <f>IF(AND($B83=BR$3,$C83="Strong"),IF(PUF!$M82&gt;0,PUF!$M82,""),"")</f>
        <v/>
      </c>
      <c r="BS83" s="57" t="str">
        <f>IF(AND($B83=BS$3,$C83="Strong"),IF(PUF!$M82&gt;0,PUF!$M82,""),"")</f>
        <v/>
      </c>
      <c r="BT83" s="57" t="str">
        <f>IF(AND($B83=BT$3,$C83="Strong"),IF(PUF!$M82&gt;0,PUF!$M82,""),"")</f>
        <v/>
      </c>
      <c r="BV83" s="166">
        <f t="shared" si="22"/>
        <v>2022</v>
      </c>
      <c r="BW83" s="57" t="str">
        <f>IF(AND($B83=BW$3,$C83="Strong"),IF(PUF!$S82&gt;0,PUF!$S82,""),"")</f>
        <v/>
      </c>
      <c r="BX83" s="57" t="str">
        <f>IF(AND($B83=BX$3,$C83="Strong"),IF(PUF!$S82&gt;0,PUF!$S82,""),"")</f>
        <v/>
      </c>
      <c r="BY83" s="57" t="str">
        <f>IF(AND($B83=BY$3,$C83="Strong"),IF(PUF!$S82&gt;0,PUF!$S82,""),"")</f>
        <v/>
      </c>
      <c r="BZ83" s="57" t="str">
        <f>IF(AND($B83=BZ$3,$C83="Strong"),IF(PUF!$S82&gt;0,PUF!$S82,""),"")</f>
        <v/>
      </c>
      <c r="CA83" s="57" t="str">
        <f>IF(AND($B83=CA$3,$C83="Strong"),IF(PUF!$S82&gt;0,PUF!$S82,""),"")</f>
        <v/>
      </c>
      <c r="CB83" s="57" t="str">
        <f>IF(AND($B83=CB$3,$C83="Strong"),IF(PUF!$S82&gt;0,PUF!$S82,""),"")</f>
        <v/>
      </c>
      <c r="CC83" s="57" t="str">
        <f>IF(AND($B83=CC$3,$C83="Strong"),IF(PUF!$S82&gt;0,PUF!$S82,""),"")</f>
        <v/>
      </c>
      <c r="CD83" s="57" t="str">
        <f>IF(AND($B83=CD$3,$C83="Strong"),IF(PUF!$S82&gt;0,PUF!$S82,""),"")</f>
        <v/>
      </c>
      <c r="CF83" s="11">
        <f t="shared" si="23"/>
        <v>2022</v>
      </c>
      <c r="CG83" s="57" t="str">
        <f>IF(AND($B83=CG$3,$C83="Strong"),IF(PUF!$U82&gt;0,PUF!$U82,""),"")</f>
        <v/>
      </c>
      <c r="CH83" s="57" t="str">
        <f>IF(AND($B83=CH$3,$C83="Strong"),IF(PUF!$U82&gt;0,PUF!$U82,""),"")</f>
        <v/>
      </c>
      <c r="CI83" s="57" t="str">
        <f>IF(AND($B83=CI$3,$C83="Strong"),IF(PUF!$U82&gt;0,PUF!$U82,""),"")</f>
        <v/>
      </c>
      <c r="CJ83" s="57" t="str">
        <f>IF(AND($B83=CJ$3,$C83="Strong"),IF(PUF!$U82&gt;0,PUF!$U82,""),"")</f>
        <v/>
      </c>
      <c r="CK83" s="57" t="str">
        <f>IF(AND($B83=CK$3,$C83="Strong"),IF(PUF!$U82&gt;0,PUF!$U82,""),"")</f>
        <v/>
      </c>
      <c r="CL83" s="57" t="str">
        <f>IF(AND($B83=CL$3,$C83="Strong"),IF(PUF!$U82&gt;0,PUF!$U82,""),"")</f>
        <v/>
      </c>
      <c r="CM83" s="57" t="str">
        <f>IF(AND($B83=CM$3,$C83="Strong"),IF(PUF!$U82&gt;0,PUF!$U82,""),"")</f>
        <v/>
      </c>
      <c r="CN83" s="57" t="str">
        <f>IF(AND($B83=CN$3,$C83="Strong"),IF(PUF!$U82&gt;0,PUF!$U82,""),"")</f>
        <v/>
      </c>
    </row>
    <row r="84" spans="1:92" x14ac:dyDescent="0.3">
      <c r="A84" s="6">
        <f>PUF!A82</f>
        <v>81</v>
      </c>
      <c r="B84" s="6" t="str">
        <f>PUF!G82</f>
        <v>hybrid</v>
      </c>
      <c r="C84" t="str">
        <f>PUF!AL82</f>
        <v>Weak/Strong</v>
      </c>
      <c r="D84" s="166">
        <f>PUF!C82</f>
        <v>2022</v>
      </c>
      <c r="E84" s="167" t="str">
        <f>IF(AND($B84=E$3,$C84="Weak"),IF(PUF!$X82&gt;0,PUF!$X82,""),"")</f>
        <v/>
      </c>
      <c r="F84" s="167" t="str">
        <f>IF(AND($B84=F$3,$C84="Weak"),IF(PUF!$X82&gt;0,PUF!$X82,""),"")</f>
        <v/>
      </c>
      <c r="G84" s="167" t="str">
        <f>IF(AND($B84=G$3,$C84="Weak"),IF(PUF!$X82&gt;0,PUF!$X82,""),"")</f>
        <v/>
      </c>
      <c r="H84" s="167" t="str">
        <f>IF(AND($B84=H$3,$C84="Weak"),IF(PUF!$X82&gt;0,PUF!$X82,""),"")</f>
        <v/>
      </c>
      <c r="I84" s="167" t="str">
        <f>IF(AND($B84=I$3,$C84="Weak"),IF(PUF!$X82&gt;0,PUF!$X82,""),"")</f>
        <v/>
      </c>
      <c r="J84" s="167" t="str">
        <f>IF(AND($B84=J$3,$C84="Weak"),IF(PUF!$X82&gt;0,PUF!$X82,""),"")</f>
        <v/>
      </c>
      <c r="K84" s="167" t="str">
        <f>IF(AND($B84=K$3,$C84="Weak"),IF(PUF!$X82&gt;0,PUF!$X82,""),"")</f>
        <v/>
      </c>
      <c r="L84" s="167" t="str">
        <f>IF(AND($B84=L$3,$C84="Weak"),IF(PUF!$X82&gt;0,PUF!$X82,""),"")</f>
        <v/>
      </c>
      <c r="N84" s="11">
        <f t="shared" si="24"/>
        <v>2022</v>
      </c>
      <c r="O84" s="57" t="str">
        <f>IF(AND($B84=O$3,$C84="Weak"),IF(PUF!$M82&gt;0,PUF!$M82,""),"")</f>
        <v/>
      </c>
      <c r="P84" s="57" t="str">
        <f>IF(AND($B84=P$3,$C84="Weak"),IF(PUF!$M82&gt;0,PUF!$M82,""),"")</f>
        <v/>
      </c>
      <c r="Q84" s="57" t="str">
        <f>IF(AND($B84=Q$3,$C84="Weak"),IF(PUF!$M82&gt;0,PUF!$M82,""),"")</f>
        <v/>
      </c>
      <c r="R84" s="57" t="str">
        <f>IF(AND($B84=R$3,$C84="Weak"),IF(PUF!$M82&gt;0,PUF!$M82,""),"")</f>
        <v/>
      </c>
      <c r="S84" s="57" t="str">
        <f>IF(AND($B84=S$3,$C84="Weak"),IF(PUF!$M82&gt;0,PUF!$M82,""),"")</f>
        <v/>
      </c>
      <c r="T84" s="57" t="str">
        <f>IF(AND($B84=T$3,$C84="Weak"),IF(PUF!$M82&gt;0,PUF!$M82,""),"")</f>
        <v/>
      </c>
      <c r="U84" s="57" t="str">
        <f>IF(AND($B84=U$3,$C84="Weak"),IF(PUF!$M82&gt;0,PUF!$M82,""),"")</f>
        <v/>
      </c>
      <c r="V84" s="57" t="str">
        <f>IF(AND($B84=V$3,$C84="Weak"),IF(PUF!$M82&gt;0,PUF!$M82,""),"")</f>
        <v/>
      </c>
      <c r="W84" s="168"/>
      <c r="X84" s="166">
        <f t="shared" si="25"/>
        <v>2022</v>
      </c>
      <c r="Y84" s="57" t="str">
        <f>IF(AND($B84=Y$3,$C84="Weak"),IF(PUF!$S82&gt;0,PUF!$S82,""),"")</f>
        <v/>
      </c>
      <c r="Z84" s="57" t="str">
        <f>IF(AND($B84=Z$3,$C84="Weak"),IF(PUF!$S82&gt;0,PUF!$S82,""),"")</f>
        <v/>
      </c>
      <c r="AA84" s="57" t="str">
        <f>IF(AND($B84=AA$3,$C84="Weak"),IF(PUF!$S82&gt;0,PUF!$S82,""),"")</f>
        <v/>
      </c>
      <c r="AB84" s="57" t="str">
        <f>IF(AND($B84=AB$3,$C84="Weak"),IF(PUF!$S82&gt;0,PUF!$S82,""),"")</f>
        <v/>
      </c>
      <c r="AC84" s="57" t="str">
        <f>IF(AND($B84=AC$3,$C84="Weak"),IF(PUF!$S82&gt;0,PUF!$S82,""),"")</f>
        <v/>
      </c>
      <c r="AD84" s="57" t="str">
        <f>IF(AND($B84=AD$3,$C84="Weak"),IF(PUF!$S82&gt;0,PUF!$S82,""),"")</f>
        <v/>
      </c>
      <c r="AE84" s="57" t="str">
        <f>IF(AND($B84=AE$3,$C84="Weak"),IF(PUF!$S82&gt;0,PUF!$S82,""),"")</f>
        <v/>
      </c>
      <c r="AF84" s="57" t="str">
        <f>IF(AND($B84=AF$3,$C84="Weak"),IF(PUF!$S82&gt;0,PUF!$S82,""),"")</f>
        <v/>
      </c>
      <c r="AH84" s="210">
        <f t="shared" si="26"/>
        <v>2022</v>
      </c>
      <c r="AI84" s="211" t="str">
        <f>IF(AND($B84=AI$3,$C84="Weak"),IF(PUF!$U82&gt;0,PUF!$U82,""),"")</f>
        <v/>
      </c>
      <c r="AJ84" s="211" t="str">
        <f>IF(AND($B84=AJ$3,$C84="Weak"),IF(PUF!$U82&gt;0,PUF!$U82,""),"")</f>
        <v/>
      </c>
      <c r="AK84" s="211" t="str">
        <f>IF(AND($B84=AK$3,$C84="Weak"),IF(PUF!$U82&gt;0,PUF!$U82,""),"")</f>
        <v/>
      </c>
      <c r="AL84" s="211" t="str">
        <f>IF(AND($B84=AL$3,$C84="Weak"),IF(PUF!$U82&gt;0,PUF!$U82,""),"")</f>
        <v/>
      </c>
      <c r="AM84" s="211" t="str">
        <f>IF(AND($B84=AM$3,$C84="Weak"),IF(PUF!$U82&gt;0,PUF!$U82,""),"")</f>
        <v/>
      </c>
      <c r="AN84" s="211" t="str">
        <f>IF(AND($B84=AN$3,$C84="Weak"),IF(PUF!$U82&gt;0,PUF!$U82,""),"")</f>
        <v/>
      </c>
      <c r="AO84" s="211" t="str">
        <f>IF(AND($B84=AO$3,$C84="Weak"),IF(PUF!$U82&gt;0,PUF!$U82,""),"")</f>
        <v/>
      </c>
      <c r="AP84" s="211" t="str">
        <f>IF(AND($B84=AP$3,$C84="Weak"),IF(PUF!$U82&gt;0,PUF!$U82,""),"")</f>
        <v/>
      </c>
      <c r="BB84" s="166">
        <f t="shared" si="20"/>
        <v>2022</v>
      </c>
      <c r="BC84" s="57" t="str">
        <f>IF(AND($B84=BC$3,$C84="Strong"),IF(PUF!$X83&gt;0,PUF!$X83,""),"")</f>
        <v/>
      </c>
      <c r="BD84" s="57" t="str">
        <f>IF(AND($B84=BD$3,$C84="Strong"),IF(PUF!$X83&gt;0,PUF!$X83,""),"")</f>
        <v/>
      </c>
      <c r="BE84" s="57" t="str">
        <f>IF(AND($B84=BE$3,$C84="Strong"),IF(PUF!$X83&gt;0,PUF!$X83,""),"")</f>
        <v/>
      </c>
      <c r="BF84" s="57" t="str">
        <f>IF(AND($B84=BF$3,$C84="Strong"),IF(PUF!$X83&gt;0,PUF!$X83,""),"")</f>
        <v/>
      </c>
      <c r="BG84" s="57" t="str">
        <f>IF(AND($B84=BG$3,$C84="Strong"),IF(PUF!$X83&gt;0,PUF!$X83,""),"")</f>
        <v/>
      </c>
      <c r="BH84" s="57" t="str">
        <f>IF(AND($B84=BH$3,$C84="Strong"),IF(PUF!$X83&gt;0,PUF!$X83,""),"")</f>
        <v/>
      </c>
      <c r="BI84" s="57" t="str">
        <f>IF(AND($B84=BI$3,$C84="Strong"),IF(PUF!$X83&gt;0,PUF!$X83,""),"")</f>
        <v/>
      </c>
      <c r="BJ84" s="57" t="str">
        <f>IF(AND($B84=BJ$3,$C84="Strong"),IF(PUF!$X83&gt;0,PUF!$X83,""),"")</f>
        <v/>
      </c>
      <c r="BL84" s="166">
        <f t="shared" si="21"/>
        <v>2022</v>
      </c>
      <c r="BM84" s="57" t="str">
        <f>IF(AND($B84=BM$3,$C84="Strong"),IF(PUF!$M83&gt;0,PUF!$M83,""),"")</f>
        <v/>
      </c>
      <c r="BN84" s="57" t="str">
        <f>IF(AND($B84=BN$3,$C84="Strong"),IF(PUF!$M83&gt;0,PUF!$M83,""),"")</f>
        <v/>
      </c>
      <c r="BO84" s="57" t="str">
        <f>IF(AND($B84=BO$3,$C84="Strong"),IF(PUF!$M83&gt;0,PUF!$M83,""),"")</f>
        <v/>
      </c>
      <c r="BP84" s="57" t="str">
        <f>IF(AND($B84=BP$3,$C84="Strong"),IF(PUF!$M83&gt;0,PUF!$M83,""),"")</f>
        <v/>
      </c>
      <c r="BQ84" s="57" t="str">
        <f>IF(AND($B84=BQ$3,$C84="Strong"),IF(PUF!$M83&gt;0,PUF!$M83,""),"")</f>
        <v/>
      </c>
      <c r="BR84" s="57" t="str">
        <f>IF(AND($B84=BR$3,$C84="Strong"),IF(PUF!$M83&gt;0,PUF!$M83,""),"")</f>
        <v/>
      </c>
      <c r="BS84" s="57" t="str">
        <f>IF(AND($B84=BS$3,$C84="Strong"),IF(PUF!$M83&gt;0,PUF!$M83,""),"")</f>
        <v/>
      </c>
      <c r="BT84" s="57" t="str">
        <f>IF(AND($B84=BT$3,$C84="Strong"),IF(PUF!$M83&gt;0,PUF!$M83,""),"")</f>
        <v/>
      </c>
      <c r="BV84" s="166">
        <f t="shared" si="22"/>
        <v>2022</v>
      </c>
      <c r="BW84" s="57" t="str">
        <f>IF(AND($B84=BW$3,$C84="Strong"),IF(PUF!$S83&gt;0,PUF!$S83,""),"")</f>
        <v/>
      </c>
      <c r="BX84" s="57" t="str">
        <f>IF(AND($B84=BX$3,$C84="Strong"),IF(PUF!$S83&gt;0,PUF!$S83,""),"")</f>
        <v/>
      </c>
      <c r="BY84" s="57" t="str">
        <f>IF(AND($B84=BY$3,$C84="Strong"),IF(PUF!$S83&gt;0,PUF!$S83,""),"")</f>
        <v/>
      </c>
      <c r="BZ84" s="57" t="str">
        <f>IF(AND($B84=BZ$3,$C84="Strong"),IF(PUF!$S83&gt;0,PUF!$S83,""),"")</f>
        <v/>
      </c>
      <c r="CA84" s="57" t="str">
        <f>IF(AND($B84=CA$3,$C84="Strong"),IF(PUF!$S83&gt;0,PUF!$S83,""),"")</f>
        <v/>
      </c>
      <c r="CB84" s="57" t="str">
        <f>IF(AND($B84=CB$3,$C84="Strong"),IF(PUF!$S83&gt;0,PUF!$S83,""),"")</f>
        <v/>
      </c>
      <c r="CC84" s="57" t="str">
        <f>IF(AND($B84=CC$3,$C84="Strong"),IF(PUF!$S83&gt;0,PUF!$S83,""),"")</f>
        <v/>
      </c>
      <c r="CD84" s="57" t="str">
        <f>IF(AND($B84=CD$3,$C84="Strong"),IF(PUF!$S83&gt;0,PUF!$S83,""),"")</f>
        <v/>
      </c>
      <c r="CF84" s="11">
        <f t="shared" si="23"/>
        <v>2022</v>
      </c>
      <c r="CG84" s="57" t="str">
        <f>IF(AND($B84=CG$3,$C84="Strong"),IF(PUF!$U83&gt;0,PUF!$U83,""),"")</f>
        <v/>
      </c>
      <c r="CH84" s="57" t="str">
        <f>IF(AND($B84=CH$3,$C84="Strong"),IF(PUF!$U83&gt;0,PUF!$U83,""),"")</f>
        <v/>
      </c>
      <c r="CI84" s="57" t="str">
        <f>IF(AND($B84=CI$3,$C84="Strong"),IF(PUF!$U83&gt;0,PUF!$U83,""),"")</f>
        <v/>
      </c>
      <c r="CJ84" s="57" t="str">
        <f>IF(AND($B84=CJ$3,$C84="Strong"),IF(PUF!$U83&gt;0,PUF!$U83,""),"")</f>
        <v/>
      </c>
      <c r="CK84" s="57" t="str">
        <f>IF(AND($B84=CK$3,$C84="Strong"),IF(PUF!$U83&gt;0,PUF!$U83,""),"")</f>
        <v/>
      </c>
      <c r="CL84" s="57" t="str">
        <f>IF(AND($B84=CL$3,$C84="Strong"),IF(PUF!$U83&gt;0,PUF!$U83,""),"")</f>
        <v/>
      </c>
      <c r="CM84" s="57" t="str">
        <f>IF(AND($B84=CM$3,$C84="Strong"),IF(PUF!$U83&gt;0,PUF!$U83,""),"")</f>
        <v/>
      </c>
      <c r="CN84" s="57" t="str">
        <f>IF(AND($B84=CN$3,$C84="Strong"),IF(PUF!$U83&gt;0,PUF!$U83,""),"")</f>
        <v/>
      </c>
    </row>
    <row r="85" spans="1:92" x14ac:dyDescent="0.3">
      <c r="A85" s="6">
        <f>PUF!A83</f>
        <v>82</v>
      </c>
      <c r="B85" s="6" t="str">
        <f>PUF!G83</f>
        <v>monostable</v>
      </c>
      <c r="C85" t="str">
        <f>PUF!AL83</f>
        <v>Strong</v>
      </c>
      <c r="D85" s="166">
        <f>PUF!C83</f>
        <v>2022</v>
      </c>
      <c r="E85" s="167" t="str">
        <f>IF(AND($B85=E$3,$C85="Weak"),IF(PUF!$X83&gt;0,PUF!$X83,""),"")</f>
        <v/>
      </c>
      <c r="F85" s="167" t="str">
        <f>IF(AND($B85=F$3,$C85="Weak"),IF(PUF!$X83&gt;0,PUF!$X83,""),"")</f>
        <v/>
      </c>
      <c r="G85" s="167" t="str">
        <f>IF(AND($B85=G$3,$C85="Weak"),IF(PUF!$X83&gt;0,PUF!$X83,""),"")</f>
        <v/>
      </c>
      <c r="H85" s="167" t="str">
        <f>IF(AND($B85=H$3,$C85="Weak"),IF(PUF!$X83&gt;0,PUF!$X83,""),"")</f>
        <v/>
      </c>
      <c r="I85" s="167" t="str">
        <f>IF(AND($B85=I$3,$C85="Weak"),IF(PUF!$X83&gt;0,PUF!$X83,""),"")</f>
        <v/>
      </c>
      <c r="J85" s="167" t="str">
        <f>IF(AND($B85=J$3,$C85="Weak"),IF(PUF!$X83&gt;0,PUF!$X83,""),"")</f>
        <v/>
      </c>
      <c r="K85" s="167" t="str">
        <f>IF(AND($B85=K$3,$C85="Weak"),IF(PUF!$X83&gt;0,PUF!$X83,""),"")</f>
        <v/>
      </c>
      <c r="L85" s="167" t="str">
        <f>IF(AND($B85=L$3,$C85="Weak"),IF(PUF!$X83&gt;0,PUF!$X83,""),"")</f>
        <v/>
      </c>
      <c r="N85" s="11">
        <f t="shared" si="24"/>
        <v>2022</v>
      </c>
      <c r="O85" s="57" t="str">
        <f>IF(AND($B85=O$3,$C85="Weak"),IF(PUF!$M83&gt;0,PUF!$M83,""),"")</f>
        <v/>
      </c>
      <c r="P85" s="57" t="str">
        <f>IF(AND($B85=P$3,$C85="Weak"),IF(PUF!$M83&gt;0,PUF!$M83,""),"")</f>
        <v/>
      </c>
      <c r="Q85" s="57" t="str">
        <f>IF(AND($B85=Q$3,$C85="Weak"),IF(PUF!$M83&gt;0,PUF!$M83,""),"")</f>
        <v/>
      </c>
      <c r="R85" s="57" t="str">
        <f>IF(AND($B85=R$3,$C85="Weak"),IF(PUF!$M83&gt;0,PUF!$M83,""),"")</f>
        <v/>
      </c>
      <c r="S85" s="57" t="str">
        <f>IF(AND($B85=S$3,$C85="Weak"),IF(PUF!$M83&gt;0,PUF!$M83,""),"")</f>
        <v/>
      </c>
      <c r="T85" s="57" t="str">
        <f>IF(AND($B85=T$3,$C85="Weak"),IF(PUF!$M83&gt;0,PUF!$M83,""),"")</f>
        <v/>
      </c>
      <c r="U85" s="57" t="str">
        <f>IF(AND($B85=U$3,$C85="Weak"),IF(PUF!$M83&gt;0,PUF!$M83,""),"")</f>
        <v/>
      </c>
      <c r="V85" s="57" t="str">
        <f>IF(AND($B85=V$3,$C85="Weak"),IF(PUF!$M83&gt;0,PUF!$M83,""),"")</f>
        <v/>
      </c>
      <c r="W85" s="168"/>
      <c r="X85" s="166">
        <f t="shared" si="25"/>
        <v>2022</v>
      </c>
      <c r="Y85" s="57" t="str">
        <f>IF(AND($B85=Y$3,$C85="Weak"),IF(PUF!$S83&gt;0,PUF!$S83,""),"")</f>
        <v/>
      </c>
      <c r="Z85" s="57" t="str">
        <f>IF(AND($B85=Z$3,$C85="Weak"),IF(PUF!$S83&gt;0,PUF!$S83,""),"")</f>
        <v/>
      </c>
      <c r="AA85" s="57" t="str">
        <f>IF(AND($B85=AA$3,$C85="Weak"),IF(PUF!$S83&gt;0,PUF!$S83,""),"")</f>
        <v/>
      </c>
      <c r="AB85" s="57" t="str">
        <f>IF(AND($B85=AB$3,$C85="Weak"),IF(PUF!$S83&gt;0,PUF!$S83,""),"")</f>
        <v/>
      </c>
      <c r="AC85" s="57" t="str">
        <f>IF(AND($B85=AC$3,$C85="Weak"),IF(PUF!$S83&gt;0,PUF!$S83,""),"")</f>
        <v/>
      </c>
      <c r="AD85" s="57" t="str">
        <f>IF(AND($B85=AD$3,$C85="Weak"),IF(PUF!$S83&gt;0,PUF!$S83,""),"")</f>
        <v/>
      </c>
      <c r="AE85" s="57" t="str">
        <f>IF(AND($B85=AE$3,$C85="Weak"),IF(PUF!$S83&gt;0,PUF!$S83,""),"")</f>
        <v/>
      </c>
      <c r="AF85" s="57" t="str">
        <f>IF(AND($B85=AF$3,$C85="Weak"),IF(PUF!$S83&gt;0,PUF!$S83,""),"")</f>
        <v/>
      </c>
      <c r="AH85" s="210">
        <f t="shared" si="26"/>
        <v>2022</v>
      </c>
      <c r="AI85" s="211" t="str">
        <f>IF(AND($B85=AI$3,$C85="Weak"),IF(PUF!$U83&gt;0,PUF!$U83,""),"")</f>
        <v/>
      </c>
      <c r="AJ85" s="211" t="str">
        <f>IF(AND($B85=AJ$3,$C85="Weak"),IF(PUF!$U83&gt;0,PUF!$U83,""),"")</f>
        <v/>
      </c>
      <c r="AK85" s="211" t="str">
        <f>IF(AND($B85=AK$3,$C85="Weak"),IF(PUF!$U83&gt;0,PUF!$U83,""),"")</f>
        <v/>
      </c>
      <c r="AL85" s="211" t="str">
        <f>IF(AND($B85=AL$3,$C85="Weak"),IF(PUF!$U83&gt;0,PUF!$U83,""),"")</f>
        <v/>
      </c>
      <c r="AM85" s="211" t="str">
        <f>IF(AND($B85=AM$3,$C85="Weak"),IF(PUF!$U83&gt;0,PUF!$U83,""),"")</f>
        <v/>
      </c>
      <c r="AN85" s="211" t="str">
        <f>IF(AND($B85=AN$3,$C85="Weak"),IF(PUF!$U83&gt;0,PUF!$U83,""),"")</f>
        <v/>
      </c>
      <c r="AO85" s="211" t="str">
        <f>IF(AND($B85=AO$3,$C85="Weak"),IF(PUF!$U83&gt;0,PUF!$U83,""),"")</f>
        <v/>
      </c>
      <c r="AP85" s="211" t="str">
        <f>IF(AND($B85=AP$3,$C85="Weak"),IF(PUF!$U83&gt;0,PUF!$U83,""),"")</f>
        <v/>
      </c>
      <c r="BB85" s="166">
        <f t="shared" si="20"/>
        <v>2022</v>
      </c>
      <c r="BC85" s="57" t="str">
        <f>IF(AND($B85=BC$3,$C85="Strong"),IF(PUF!$X84&gt;0,PUF!$X84,""),"")</f>
        <v/>
      </c>
      <c r="BD85" s="57" t="str">
        <f>IF(AND($B85=BD$3,$C85="Strong"),IF(PUF!$X84&gt;0,PUF!$X84,""),"")</f>
        <v/>
      </c>
      <c r="BE85" s="57" t="str">
        <f>IF(AND($B85=BE$3,$C85="Strong"),IF(PUF!$X84&gt;0,PUF!$X84,""),"")</f>
        <v/>
      </c>
      <c r="BF85" s="57" t="str">
        <f>IF(AND($B85=BF$3,$C85="Strong"),IF(PUF!$X84&gt;0,PUF!$X84,""),"")</f>
        <v/>
      </c>
      <c r="BG85" s="57">
        <f>IF(AND($B85=BG$3,$C85="Strong"),IF(PUF!$X84&gt;0,PUF!$X84,""),"")</f>
        <v>5143</v>
      </c>
      <c r="BH85" s="57" t="str">
        <f>IF(AND($B85=BH$3,$C85="Strong"),IF(PUF!$X84&gt;0,PUF!$X84,""),"")</f>
        <v/>
      </c>
      <c r="BI85" s="57" t="str">
        <f>IF(AND($B85=BI$3,$C85="Strong"),IF(PUF!$X84&gt;0,PUF!$X84,""),"")</f>
        <v/>
      </c>
      <c r="BJ85" s="57" t="str">
        <f>IF(AND($B85=BJ$3,$C85="Strong"),IF(PUF!$X84&gt;0,PUF!$X84,""),"")</f>
        <v/>
      </c>
      <c r="BL85" s="166">
        <f t="shared" si="21"/>
        <v>2022</v>
      </c>
      <c r="BM85" s="57" t="str">
        <f>IF(AND($B85=BM$3,$C85="Strong"),IF(PUF!$M84&gt;0,PUF!$M84,""),"")</f>
        <v/>
      </c>
      <c r="BN85" s="57" t="str">
        <f>IF(AND($B85=BN$3,$C85="Strong"),IF(PUF!$M84&gt;0,PUF!$M84,""),"")</f>
        <v/>
      </c>
      <c r="BO85" s="57" t="str">
        <f>IF(AND($B85=BO$3,$C85="Strong"),IF(PUF!$M84&gt;0,PUF!$M84,""),"")</f>
        <v/>
      </c>
      <c r="BP85" s="57" t="str">
        <f>IF(AND($B85=BP$3,$C85="Strong"),IF(PUF!$M84&gt;0,PUF!$M84,""),"")</f>
        <v/>
      </c>
      <c r="BQ85" s="57">
        <f>IF(AND($B85=BQ$3,$C85="Strong"),IF(PUF!$M84&gt;0,PUF!$M84,""),"")</f>
        <v>1.6000000000000001E-3</v>
      </c>
      <c r="BR85" s="57" t="str">
        <f>IF(AND($B85=BR$3,$C85="Strong"),IF(PUF!$M84&gt;0,PUF!$M84,""),"")</f>
        <v/>
      </c>
      <c r="BS85" s="57" t="str">
        <f>IF(AND($B85=BS$3,$C85="Strong"),IF(PUF!$M84&gt;0,PUF!$M84,""),"")</f>
        <v/>
      </c>
      <c r="BT85" s="57" t="str">
        <f>IF(AND($B85=BT$3,$C85="Strong"),IF(PUF!$M84&gt;0,PUF!$M84,""),"")</f>
        <v/>
      </c>
      <c r="BV85" s="166">
        <f t="shared" si="22"/>
        <v>2022</v>
      </c>
      <c r="BW85" s="57" t="str">
        <f>IF(AND($B85=BW$3,$C85="Strong"),IF(PUF!$S84&gt;0,PUF!$S84,""),"")</f>
        <v/>
      </c>
      <c r="BX85" s="57" t="str">
        <f>IF(AND($B85=BX$3,$C85="Strong"),IF(PUF!$S84&gt;0,PUF!$S84,""),"")</f>
        <v/>
      </c>
      <c r="BY85" s="57" t="str">
        <f>IF(AND($B85=BY$3,$C85="Strong"),IF(PUF!$S84&gt;0,PUF!$S84,""),"")</f>
        <v/>
      </c>
      <c r="BZ85" s="57" t="str">
        <f>IF(AND($B85=BZ$3,$C85="Strong"),IF(PUF!$S84&gt;0,PUF!$S84,""),"")</f>
        <v/>
      </c>
      <c r="CA85" s="57">
        <f>IF(AND($B85=CA$3,$C85="Strong"),IF(PUF!$S84&gt;0,PUF!$S84,""),"")</f>
        <v>0.16</v>
      </c>
      <c r="CB85" s="57" t="str">
        <f>IF(AND($B85=CB$3,$C85="Strong"),IF(PUF!$S84&gt;0,PUF!$S84,""),"")</f>
        <v/>
      </c>
      <c r="CC85" s="57" t="str">
        <f>IF(AND($B85=CC$3,$C85="Strong"),IF(PUF!$S84&gt;0,PUF!$S84,""),"")</f>
        <v/>
      </c>
      <c r="CD85" s="57" t="str">
        <f>IF(AND($B85=CD$3,$C85="Strong"),IF(PUF!$S84&gt;0,PUF!$S84,""),"")</f>
        <v/>
      </c>
      <c r="CF85" s="11">
        <f t="shared" si="23"/>
        <v>2022</v>
      </c>
      <c r="CG85" s="57" t="str">
        <f>IF(AND($B85=CG$3,$C85="Strong"),IF(PUF!$U84&gt;0,PUF!$U84,""),"")</f>
        <v/>
      </c>
      <c r="CH85" s="57" t="str">
        <f>IF(AND($B85=CH$3,$C85="Strong"),IF(PUF!$U84&gt;0,PUF!$U84,""),"")</f>
        <v/>
      </c>
      <c r="CI85" s="57" t="str">
        <f>IF(AND($B85=CI$3,$C85="Strong"),IF(PUF!$U84&gt;0,PUF!$U84,""),"")</f>
        <v/>
      </c>
      <c r="CJ85" s="57" t="str">
        <f>IF(AND($B85=CJ$3,$C85="Strong"),IF(PUF!$U84&gt;0,PUF!$U84,""),"")</f>
        <v/>
      </c>
      <c r="CK85" s="57">
        <f>IF(AND($B85=CK$3,$C85="Strong"),IF(PUF!$U84&gt;0,PUF!$U84,""),"")</f>
        <v>1.29E-2</v>
      </c>
      <c r="CL85" s="57" t="str">
        <f>IF(AND($B85=CL$3,$C85="Strong"),IF(PUF!$U84&gt;0,PUF!$U84,""),"")</f>
        <v/>
      </c>
      <c r="CM85" s="57" t="str">
        <f>IF(AND($B85=CM$3,$C85="Strong"),IF(PUF!$U84&gt;0,PUF!$U84,""),"")</f>
        <v/>
      </c>
      <c r="CN85" s="57" t="str">
        <f>IF(AND($B85=CN$3,$C85="Strong"),IF(PUF!$U84&gt;0,PUF!$U84,""),"")</f>
        <v/>
      </c>
    </row>
    <row r="86" spans="1:92" x14ac:dyDescent="0.3">
      <c r="A86" s="6">
        <f>PUF!A84</f>
        <v>83</v>
      </c>
      <c r="B86" s="6" t="str">
        <f>PUF!G84</f>
        <v>delay</v>
      </c>
      <c r="C86" t="str">
        <f>PUF!AL84</f>
        <v>Weak</v>
      </c>
      <c r="D86" s="166">
        <f>PUF!C84</f>
        <v>2023</v>
      </c>
      <c r="E86" s="167" t="str">
        <f>IF(AND($B86=E$3,$C86="Weak"),IF(PUF!$X84&gt;0,PUF!$X84,""),"")</f>
        <v/>
      </c>
      <c r="F86" s="167">
        <f>IF(AND($B86=F$3,$C86="Weak"),IF(PUF!$X84&gt;0,PUF!$X84,""),"")</f>
        <v>5143</v>
      </c>
      <c r="G86" s="167" t="str">
        <f>IF(AND($B86=G$3,$C86="Weak"),IF(PUF!$X84&gt;0,PUF!$X84,""),"")</f>
        <v/>
      </c>
      <c r="H86" s="167" t="str">
        <f>IF(AND($B86=H$3,$C86="Weak"),IF(PUF!$X84&gt;0,PUF!$X84,""),"")</f>
        <v/>
      </c>
      <c r="I86" s="167" t="str">
        <f>IF(AND($B86=I$3,$C86="Weak"),IF(PUF!$X84&gt;0,PUF!$X84,""),"")</f>
        <v/>
      </c>
      <c r="J86" s="167" t="str">
        <f>IF(AND($B86=J$3,$C86="Weak"),IF(PUF!$X84&gt;0,PUF!$X84,""),"")</f>
        <v/>
      </c>
      <c r="K86" s="167" t="str">
        <f>IF(AND($B86=K$3,$C86="Weak"),IF(PUF!$X84&gt;0,PUF!$X84,""),"")</f>
        <v/>
      </c>
      <c r="L86" s="167" t="str">
        <f>IF(AND($B86=L$3,$C86="Weak"),IF(PUF!$X84&gt;0,PUF!$X84,""),"")</f>
        <v/>
      </c>
      <c r="N86" s="11">
        <f t="shared" si="24"/>
        <v>2023</v>
      </c>
      <c r="O86" s="57" t="str">
        <f>IF(AND($B86=O$3,$C86="Weak"),IF(PUF!$M84&gt;0,PUF!$M84,""),"")</f>
        <v/>
      </c>
      <c r="P86" s="57">
        <f>IF(AND($B86=P$3,$C86="Weak"),IF(PUF!$M84&gt;0,PUF!$M84,""),"")</f>
        <v>1.6000000000000001E-3</v>
      </c>
      <c r="Q86" s="57" t="str">
        <f>IF(AND($B86=Q$3,$C86="Weak"),IF(PUF!$M84&gt;0,PUF!$M84,""),"")</f>
        <v/>
      </c>
      <c r="R86" s="57" t="str">
        <f>IF(AND($B86=R$3,$C86="Weak"),IF(PUF!$M84&gt;0,PUF!$M84,""),"")</f>
        <v/>
      </c>
      <c r="S86" s="57" t="str">
        <f>IF(AND($B86=S$3,$C86="Weak"),IF(PUF!$M84&gt;0,PUF!$M84,""),"")</f>
        <v/>
      </c>
      <c r="T86" s="57" t="str">
        <f>IF(AND($B86=T$3,$C86="Weak"),IF(PUF!$M84&gt;0,PUF!$M84,""),"")</f>
        <v/>
      </c>
      <c r="U86" s="57" t="str">
        <f>IF(AND($B86=U$3,$C86="Weak"),IF(PUF!$M84&gt;0,PUF!$M84,""),"")</f>
        <v/>
      </c>
      <c r="V86" s="57" t="str">
        <f>IF(AND($B86=V$3,$C86="Weak"),IF(PUF!$M84&gt;0,PUF!$M84,""),"")</f>
        <v/>
      </c>
      <c r="W86" s="168"/>
      <c r="X86" s="166">
        <f t="shared" si="25"/>
        <v>2023</v>
      </c>
      <c r="Y86" s="57" t="str">
        <f>IF(AND($B86=Y$3,$C86="Weak"),IF(PUF!$S84&gt;0,PUF!$S84,""),"")</f>
        <v/>
      </c>
      <c r="Z86" s="57">
        <f>IF(AND($B86=Z$3,$C86="Weak"),IF(PUF!$S84&gt;0,PUF!$S84,""),"")</f>
        <v>0.16</v>
      </c>
      <c r="AA86" s="57" t="str">
        <f>IF(AND($B86=AA$3,$C86="Weak"),IF(PUF!$S84&gt;0,PUF!$S84,""),"")</f>
        <v/>
      </c>
      <c r="AB86" s="57" t="str">
        <f>IF(AND($B86=AB$3,$C86="Weak"),IF(PUF!$S84&gt;0,PUF!$S84,""),"")</f>
        <v/>
      </c>
      <c r="AC86" s="57" t="str">
        <f>IF(AND($B86=AC$3,$C86="Weak"),IF(PUF!$S84&gt;0,PUF!$S84,""),"")</f>
        <v/>
      </c>
      <c r="AD86" s="57" t="str">
        <f>IF(AND($B86=AD$3,$C86="Weak"),IF(PUF!$S84&gt;0,PUF!$S84,""),"")</f>
        <v/>
      </c>
      <c r="AE86" s="57" t="str">
        <f>IF(AND($B86=AE$3,$C86="Weak"),IF(PUF!$S84&gt;0,PUF!$S84,""),"")</f>
        <v/>
      </c>
      <c r="AF86" s="57" t="str">
        <f>IF(AND($B86=AF$3,$C86="Weak"),IF(PUF!$S84&gt;0,PUF!$S84,""),"")</f>
        <v/>
      </c>
      <c r="AH86" s="210">
        <f t="shared" si="26"/>
        <v>2023</v>
      </c>
      <c r="AI86" s="211" t="str">
        <f>IF(AND($B86=AI$3,$C86="Weak"),IF(PUF!$U84&gt;0,PUF!$U84,""),"")</f>
        <v/>
      </c>
      <c r="AJ86" s="211">
        <f>IF(AND($B86=AJ$3,$C86="Weak"),IF(PUF!$U84&gt;0,PUF!$U84,""),"")</f>
        <v>1.29E-2</v>
      </c>
      <c r="AK86" s="211" t="str">
        <f>IF(AND($B86=AK$3,$C86="Weak"),IF(PUF!$U84&gt;0,PUF!$U84,""),"")</f>
        <v/>
      </c>
      <c r="AL86" s="211" t="str">
        <f>IF(AND($B86=AL$3,$C86="Weak"),IF(PUF!$U84&gt;0,PUF!$U84,""),"")</f>
        <v/>
      </c>
      <c r="AM86" s="211" t="str">
        <f>IF(AND($B86=AM$3,$C86="Weak"),IF(PUF!$U84&gt;0,PUF!$U84,""),"")</f>
        <v/>
      </c>
      <c r="AN86" s="211" t="str">
        <f>IF(AND($B86=AN$3,$C86="Weak"),IF(PUF!$U84&gt;0,PUF!$U84,""),"")</f>
        <v/>
      </c>
      <c r="AO86" s="211" t="str">
        <f>IF(AND($B86=AO$3,$C86="Weak"),IF(PUF!$U84&gt;0,PUF!$U84,""),"")</f>
        <v/>
      </c>
      <c r="AP86" s="211" t="str">
        <f>IF(AND($B86=AP$3,$C86="Weak"),IF(PUF!$U84&gt;0,PUF!$U84,""),"")</f>
        <v/>
      </c>
      <c r="BB86" s="166">
        <f t="shared" si="20"/>
        <v>2023</v>
      </c>
      <c r="BC86" s="57" t="str">
        <f>IF(AND($B86=BC$3,$C86="Strong"),IF(PUF!$X85&gt;0,PUF!$X85,""),"")</f>
        <v/>
      </c>
      <c r="BD86" s="57" t="str">
        <f>IF(AND($B86=BD$3,$C86="Strong"),IF(PUF!$X85&gt;0,PUF!$X85,""),"")</f>
        <v/>
      </c>
      <c r="BE86" s="57" t="str">
        <f>IF(AND($B86=BE$3,$C86="Strong"),IF(PUF!$X85&gt;0,PUF!$X85,""),"")</f>
        <v/>
      </c>
      <c r="BF86" s="57" t="str">
        <f>IF(AND($B86=BF$3,$C86="Strong"),IF(PUF!$X85&gt;0,PUF!$X85,""),"")</f>
        <v/>
      </c>
      <c r="BG86" s="57" t="str">
        <f>IF(AND($B86=BG$3,$C86="Strong"),IF(PUF!$X85&gt;0,PUF!$X85,""),"")</f>
        <v/>
      </c>
      <c r="BH86" s="57" t="str">
        <f>IF(AND($B86=BH$3,$C86="Strong"),IF(PUF!$X85&gt;0,PUF!$X85,""),"")</f>
        <v/>
      </c>
      <c r="BI86" s="57" t="str">
        <f>IF(AND($B86=BI$3,$C86="Strong"),IF(PUF!$X85&gt;0,PUF!$X85,""),"")</f>
        <v/>
      </c>
      <c r="BJ86" s="57" t="str">
        <f>IF(AND($B86=BJ$3,$C86="Strong"),IF(PUF!$X85&gt;0,PUF!$X85,""),"")</f>
        <v/>
      </c>
      <c r="BL86" s="166">
        <f t="shared" si="21"/>
        <v>2023</v>
      </c>
      <c r="BM86" s="57" t="str">
        <f>IF(AND($B86=BM$3,$C86="Strong"),IF(PUF!$M85&gt;0,PUF!$M85,""),"")</f>
        <v/>
      </c>
      <c r="BN86" s="57" t="str">
        <f>IF(AND($B86=BN$3,$C86="Strong"),IF(PUF!$M85&gt;0,PUF!$M85,""),"")</f>
        <v/>
      </c>
      <c r="BO86" s="57" t="str">
        <f>IF(AND($B86=BO$3,$C86="Strong"),IF(PUF!$M85&gt;0,PUF!$M85,""),"")</f>
        <v/>
      </c>
      <c r="BP86" s="57" t="str">
        <f>IF(AND($B86=BP$3,$C86="Strong"),IF(PUF!$M85&gt;0,PUF!$M85,""),"")</f>
        <v/>
      </c>
      <c r="BQ86" s="57" t="str">
        <f>IF(AND($B86=BQ$3,$C86="Strong"),IF(PUF!$M85&gt;0,PUF!$M85,""),"")</f>
        <v/>
      </c>
      <c r="BR86" s="57" t="str">
        <f>IF(AND($B86=BR$3,$C86="Strong"),IF(PUF!$M85&gt;0,PUF!$M85,""),"")</f>
        <v/>
      </c>
      <c r="BS86" s="57" t="str">
        <f>IF(AND($B86=BS$3,$C86="Strong"),IF(PUF!$M85&gt;0,PUF!$M85,""),"")</f>
        <v/>
      </c>
      <c r="BT86" s="57" t="str">
        <f>IF(AND($B86=BT$3,$C86="Strong"),IF(PUF!$M85&gt;0,PUF!$M85,""),"")</f>
        <v/>
      </c>
      <c r="BV86" s="166">
        <f t="shared" si="22"/>
        <v>2023</v>
      </c>
      <c r="BW86" s="57" t="str">
        <f>IF(AND($B86=BW$3,$C86="Strong"),IF(PUF!$S85&gt;0,PUF!$S85,""),"")</f>
        <v/>
      </c>
      <c r="BX86" s="57" t="str">
        <f>IF(AND($B86=BX$3,$C86="Strong"),IF(PUF!$S85&gt;0,PUF!$S85,""),"")</f>
        <v/>
      </c>
      <c r="BY86" s="57" t="str">
        <f>IF(AND($B86=BY$3,$C86="Strong"),IF(PUF!$S85&gt;0,PUF!$S85,""),"")</f>
        <v/>
      </c>
      <c r="BZ86" s="57" t="str">
        <f>IF(AND($B86=BZ$3,$C86="Strong"),IF(PUF!$S85&gt;0,PUF!$S85,""),"")</f>
        <v/>
      </c>
      <c r="CA86" s="57" t="str">
        <f>IF(AND($B86=CA$3,$C86="Strong"),IF(PUF!$S85&gt;0,PUF!$S85,""),"")</f>
        <v/>
      </c>
      <c r="CB86" s="57" t="str">
        <f>IF(AND($B86=CB$3,$C86="Strong"),IF(PUF!$S85&gt;0,PUF!$S85,""),"")</f>
        <v/>
      </c>
      <c r="CC86" s="57" t="str">
        <f>IF(AND($B86=CC$3,$C86="Strong"),IF(PUF!$S85&gt;0,PUF!$S85,""),"")</f>
        <v/>
      </c>
      <c r="CD86" s="57" t="str">
        <f>IF(AND($B86=CD$3,$C86="Strong"),IF(PUF!$S85&gt;0,PUF!$S85,""),"")</f>
        <v/>
      </c>
      <c r="CF86" s="11">
        <f t="shared" si="23"/>
        <v>2023</v>
      </c>
      <c r="CG86" s="57" t="str">
        <f>IF(AND($B86=CG$3,$C86="Strong"),IF(PUF!$U85&gt;0,PUF!$U85,""),"")</f>
        <v/>
      </c>
      <c r="CH86" s="57" t="str">
        <f>IF(AND($B86=CH$3,$C86="Strong"),IF(PUF!$U85&gt;0,PUF!$U85,""),"")</f>
        <v/>
      </c>
      <c r="CI86" s="57" t="str">
        <f>IF(AND($B86=CI$3,$C86="Strong"),IF(PUF!$U85&gt;0,PUF!$U85,""),"")</f>
        <v/>
      </c>
      <c r="CJ86" s="57" t="str">
        <f>IF(AND($B86=CJ$3,$C86="Strong"),IF(PUF!$U85&gt;0,PUF!$U85,""),"")</f>
        <v/>
      </c>
      <c r="CK86" s="57" t="str">
        <f>IF(AND($B86=CK$3,$C86="Strong"),IF(PUF!$U85&gt;0,PUF!$U85,""),"")</f>
        <v/>
      </c>
      <c r="CL86" s="57" t="str">
        <f>IF(AND($B86=CL$3,$C86="Strong"),IF(PUF!$U85&gt;0,PUF!$U85,""),"")</f>
        <v/>
      </c>
      <c r="CM86" s="57" t="str">
        <f>IF(AND($B86=CM$3,$C86="Strong"),IF(PUF!$U85&gt;0,PUF!$U85,""),"")</f>
        <v/>
      </c>
      <c r="CN86" s="57" t="str">
        <f>IF(AND($B86=CN$3,$C86="Strong"),IF(PUF!$U85&gt;0,PUF!$U85,""),"")</f>
        <v/>
      </c>
    </row>
    <row r="87" spans="1:92" x14ac:dyDescent="0.3">
      <c r="A87" s="6">
        <f>PUF!A85</f>
        <v>84</v>
      </c>
      <c r="B87" s="6" t="str">
        <f>PUF!G85</f>
        <v>SRAM</v>
      </c>
      <c r="C87" t="str">
        <f>PUF!AL85</f>
        <v>Weak</v>
      </c>
      <c r="D87" s="166">
        <f>PUF!C85</f>
        <v>2023</v>
      </c>
      <c r="E87" s="167" t="str">
        <f>IF(AND($B87=E$3,$C87="Weak"),IF(PUF!$X85&gt;0,PUF!$X85,""),"")</f>
        <v/>
      </c>
      <c r="F87" s="167" t="str">
        <f>IF(AND($B87=F$3,$C87="Weak"),IF(PUF!$X85&gt;0,PUF!$X85,""),"")</f>
        <v/>
      </c>
      <c r="G87" s="167" t="str">
        <f>IF(AND($B87=G$3,$C87="Weak"),IF(PUF!$X85&gt;0,PUF!$X85,""),"")</f>
        <v/>
      </c>
      <c r="H87" s="167" t="str">
        <f>IF(AND($B87=H$3,$C87="Weak"),IF(PUF!$X85&gt;0,PUF!$X85,""),"")</f>
        <v/>
      </c>
      <c r="I87" s="167" t="str">
        <f>IF(AND($B87=I$3,$C87="Weak"),IF(PUF!$X85&gt;0,PUF!$X85,""),"")</f>
        <v/>
      </c>
      <c r="J87" s="167" t="str">
        <f>IF(AND($B87=J$3,$C87="Weak"),IF(PUF!$X85&gt;0,PUF!$X85,""),"")</f>
        <v/>
      </c>
      <c r="K87" s="167" t="str">
        <f>IF(AND($B87=K$3,$C87="Weak"),IF(PUF!$X85&gt;0,PUF!$X85,""),"")</f>
        <v/>
      </c>
      <c r="L87" s="167" t="str">
        <f>IF(AND($B87=L$3,$C87="Weak"),IF(PUF!$X85&gt;0,PUF!$X85,""),"")</f>
        <v/>
      </c>
      <c r="N87" s="11">
        <f t="shared" si="24"/>
        <v>2023</v>
      </c>
      <c r="O87" s="57" t="str">
        <f>IF(AND($B87=O$3,$C87="Weak"),IF(PUF!$M85&gt;0,PUF!$M85,""),"")</f>
        <v/>
      </c>
      <c r="P87" s="57" t="str">
        <f>IF(AND($B87=P$3,$C87="Weak"),IF(PUF!$M85&gt;0,PUF!$M85,""),"")</f>
        <v/>
      </c>
      <c r="Q87" s="57" t="str">
        <f>IF(AND($B87=Q$3,$C87="Weak"),IF(PUF!$M85&gt;0,PUF!$M85,""),"")</f>
        <v/>
      </c>
      <c r="R87" s="57" t="str">
        <f>IF(AND($B87=R$3,$C87="Weak"),IF(PUF!$M85&gt;0,PUF!$M85,""),"")</f>
        <v/>
      </c>
      <c r="S87" s="57" t="str">
        <f>IF(AND($B87=S$3,$C87="Weak"),IF(PUF!$M85&gt;0,PUF!$M85,""),"")</f>
        <v/>
      </c>
      <c r="T87" s="57" t="str">
        <f>IF(AND($B87=T$3,$C87="Weak"),IF(PUF!$M85&gt;0,PUF!$M85,""),"")</f>
        <v/>
      </c>
      <c r="U87" s="57" t="str">
        <f>IF(AND($B87=U$3,$C87="Weak"),IF(PUF!$M85&gt;0,PUF!$M85,""),"")</f>
        <v/>
      </c>
      <c r="V87" s="57" t="str">
        <f>IF(AND($B87=V$3,$C87="Weak"),IF(PUF!$M85&gt;0,PUF!$M85,""),"")</f>
        <v/>
      </c>
      <c r="W87" s="168"/>
      <c r="X87" s="166">
        <f t="shared" si="25"/>
        <v>2023</v>
      </c>
      <c r="Y87" s="57" t="str">
        <f>IF(AND($B87=Y$3,$C87="Weak"),IF(PUF!$S85&gt;0,PUF!$S85,""),"")</f>
        <v/>
      </c>
      <c r="Z87" s="57" t="str">
        <f>IF(AND($B87=Z$3,$C87="Weak"),IF(PUF!$S85&gt;0,PUF!$S85,""),"")</f>
        <v/>
      </c>
      <c r="AA87" s="57" t="str">
        <f>IF(AND($B87=AA$3,$C87="Weak"),IF(PUF!$S85&gt;0,PUF!$S85,""),"")</f>
        <v/>
      </c>
      <c r="AB87" s="57" t="str">
        <f>IF(AND($B87=AB$3,$C87="Weak"),IF(PUF!$S85&gt;0,PUF!$S85,""),"")</f>
        <v/>
      </c>
      <c r="AC87" s="57" t="str">
        <f>IF(AND($B87=AC$3,$C87="Weak"),IF(PUF!$S85&gt;0,PUF!$S85,""),"")</f>
        <v/>
      </c>
      <c r="AD87" s="57" t="str">
        <f>IF(AND($B87=AD$3,$C87="Weak"),IF(PUF!$S85&gt;0,PUF!$S85,""),"")</f>
        <v/>
      </c>
      <c r="AE87" s="57" t="str">
        <f>IF(AND($B87=AE$3,$C87="Weak"),IF(PUF!$S85&gt;0,PUF!$S85,""),"")</f>
        <v/>
      </c>
      <c r="AF87" s="57" t="str">
        <f>IF(AND($B87=AF$3,$C87="Weak"),IF(PUF!$S85&gt;0,PUF!$S85,""),"")</f>
        <v/>
      </c>
      <c r="AH87" s="210">
        <f t="shared" si="26"/>
        <v>2023</v>
      </c>
      <c r="AI87" s="211" t="str">
        <f>IF(AND($B87=AI$3,$C87="Weak"),IF(PUF!$U85&gt;0,PUF!$U85,""),"")</f>
        <v/>
      </c>
      <c r="AJ87" s="211" t="str">
        <f>IF(AND($B87=AJ$3,$C87="Weak"),IF(PUF!$U85&gt;0,PUF!$U85,""),"")</f>
        <v/>
      </c>
      <c r="AK87" s="211" t="str">
        <f>IF(AND($B87=AK$3,$C87="Weak"),IF(PUF!$U85&gt;0,PUF!$U85,""),"")</f>
        <v/>
      </c>
      <c r="AL87" s="211" t="str">
        <f>IF(AND($B87=AL$3,$C87="Weak"),IF(PUF!$U85&gt;0,PUF!$U85,""),"")</f>
        <v/>
      </c>
      <c r="AM87" s="211" t="str">
        <f>IF(AND($B87=AM$3,$C87="Weak"),IF(PUF!$U85&gt;0,PUF!$U85,""),"")</f>
        <v/>
      </c>
      <c r="AN87" s="211" t="str">
        <f>IF(AND($B87=AN$3,$C87="Weak"),IF(PUF!$U85&gt;0,PUF!$U85,""),"")</f>
        <v/>
      </c>
      <c r="AO87" s="211" t="str">
        <f>IF(AND($B87=AO$3,$C87="Weak"),IF(PUF!$U85&gt;0,PUF!$U85,""),"")</f>
        <v/>
      </c>
      <c r="AP87" s="211" t="str">
        <f>IF(AND($B87=AP$3,$C87="Weak"),IF(PUF!$U85&gt;0,PUF!$U85,""),"")</f>
        <v/>
      </c>
      <c r="BB87" s="166">
        <f t="shared" si="20"/>
        <v>2023</v>
      </c>
      <c r="BC87" s="57" t="str">
        <f>IF(AND($B87=BC$3,$C87="Strong"),IF(PUF!$X86&gt;0,PUF!$X86,""),"")</f>
        <v/>
      </c>
      <c r="BD87" s="57" t="str">
        <f>IF(AND($B87=BD$3,$C87="Strong"),IF(PUF!$X86&gt;0,PUF!$X86,""),"")</f>
        <v/>
      </c>
      <c r="BE87" s="57" t="str">
        <f>IF(AND($B87=BE$3,$C87="Strong"),IF(PUF!$X86&gt;0,PUF!$X86,""),"")</f>
        <v/>
      </c>
      <c r="BF87" s="57" t="str">
        <f>IF(AND($B87=BF$3,$C87="Strong"),IF(PUF!$X86&gt;0,PUF!$X86,""),"")</f>
        <v/>
      </c>
      <c r="BG87" s="57" t="str">
        <f>IF(AND($B87=BG$3,$C87="Strong"),IF(PUF!$X86&gt;0,PUF!$X86,""),"")</f>
        <v/>
      </c>
      <c r="BH87" s="57" t="str">
        <f>IF(AND($B87=BH$3,$C87="Strong"),IF(PUF!$X86&gt;0,PUF!$X86,""),"")</f>
        <v/>
      </c>
      <c r="BI87" s="57" t="str">
        <f>IF(AND($B87=BI$3,$C87="Strong"),IF(PUF!$X86&gt;0,PUF!$X86,""),"")</f>
        <v/>
      </c>
      <c r="BJ87" s="57" t="str">
        <f>IF(AND($B87=BJ$3,$C87="Strong"),IF(PUF!$X86&gt;0,PUF!$X86,""),"")</f>
        <v/>
      </c>
      <c r="BL87" s="166">
        <f t="shared" si="21"/>
        <v>2023</v>
      </c>
      <c r="BM87" s="57" t="str">
        <f>IF(AND($B87=BM$3,$C87="Strong"),IF(PUF!$M86&gt;0,PUF!$M86,""),"")</f>
        <v/>
      </c>
      <c r="BN87" s="57" t="str">
        <f>IF(AND($B87=BN$3,$C87="Strong"),IF(PUF!$M86&gt;0,PUF!$M86,""),"")</f>
        <v/>
      </c>
      <c r="BO87" s="57" t="str">
        <f>IF(AND($B87=BO$3,$C87="Strong"),IF(PUF!$M86&gt;0,PUF!$M86,""),"")</f>
        <v/>
      </c>
      <c r="BP87" s="57" t="str">
        <f>IF(AND($B87=BP$3,$C87="Strong"),IF(PUF!$M86&gt;0,PUF!$M86,""),"")</f>
        <v/>
      </c>
      <c r="BQ87" s="57" t="str">
        <f>IF(AND($B87=BQ$3,$C87="Strong"),IF(PUF!$M86&gt;0,PUF!$M86,""),"")</f>
        <v/>
      </c>
      <c r="BR87" s="57" t="str">
        <f>IF(AND($B87=BR$3,$C87="Strong"),IF(PUF!$M86&gt;0,PUF!$M86,""),"")</f>
        <v/>
      </c>
      <c r="BS87" s="57" t="str">
        <f>IF(AND($B87=BS$3,$C87="Strong"),IF(PUF!$M86&gt;0,PUF!$M86,""),"")</f>
        <v/>
      </c>
      <c r="BT87" s="57" t="str">
        <f>IF(AND($B87=BT$3,$C87="Strong"),IF(PUF!$M86&gt;0,PUF!$M86,""),"")</f>
        <v/>
      </c>
      <c r="BV87" s="166">
        <f t="shared" si="22"/>
        <v>2023</v>
      </c>
      <c r="BW87" s="57" t="str">
        <f>IF(AND($B87=BW$3,$C87="Strong"),IF(PUF!$S86&gt;0,PUF!$S86,""),"")</f>
        <v/>
      </c>
      <c r="BX87" s="57" t="str">
        <f>IF(AND($B87=BX$3,$C87="Strong"),IF(PUF!$S86&gt;0,PUF!$S86,""),"")</f>
        <v/>
      </c>
      <c r="BY87" s="57" t="str">
        <f>IF(AND($B87=BY$3,$C87="Strong"),IF(PUF!$S86&gt;0,PUF!$S86,""),"")</f>
        <v/>
      </c>
      <c r="BZ87" s="57" t="str">
        <f>IF(AND($B87=BZ$3,$C87="Strong"),IF(PUF!$S86&gt;0,PUF!$S86,""),"")</f>
        <v/>
      </c>
      <c r="CA87" s="57" t="str">
        <f>IF(AND($B87=CA$3,$C87="Strong"),IF(PUF!$S86&gt;0,PUF!$S86,""),"")</f>
        <v/>
      </c>
      <c r="CB87" s="57" t="str">
        <f>IF(AND($B87=CB$3,$C87="Strong"),IF(PUF!$S86&gt;0,PUF!$S86,""),"")</f>
        <v/>
      </c>
      <c r="CC87" s="57" t="str">
        <f>IF(AND($B87=CC$3,$C87="Strong"),IF(PUF!$S86&gt;0,PUF!$S86,""),"")</f>
        <v/>
      </c>
      <c r="CD87" s="57" t="str">
        <f>IF(AND($B87=CD$3,$C87="Strong"),IF(PUF!$S86&gt;0,PUF!$S86,""),"")</f>
        <v/>
      </c>
      <c r="CF87" s="11">
        <f t="shared" si="23"/>
        <v>2023</v>
      </c>
      <c r="CG87" s="57" t="str">
        <f>IF(AND($B87=CG$3,$C87="Strong"),IF(PUF!$U86&gt;0,PUF!$U86,""),"")</f>
        <v/>
      </c>
      <c r="CH87" s="57" t="str">
        <f>IF(AND($B87=CH$3,$C87="Strong"),IF(PUF!$U86&gt;0,PUF!$U86,""),"")</f>
        <v/>
      </c>
      <c r="CI87" s="57" t="str">
        <f>IF(AND($B87=CI$3,$C87="Strong"),IF(PUF!$U86&gt;0,PUF!$U86,""),"")</f>
        <v/>
      </c>
      <c r="CJ87" s="57" t="str">
        <f>IF(AND($B87=CJ$3,$C87="Strong"),IF(PUF!$U86&gt;0,PUF!$U86,""),"")</f>
        <v/>
      </c>
      <c r="CK87" s="57" t="str">
        <f>IF(AND($B87=CK$3,$C87="Strong"),IF(PUF!$U86&gt;0,PUF!$U86,""),"")</f>
        <v/>
      </c>
      <c r="CL87" s="57" t="str">
        <f>IF(AND($B87=CL$3,$C87="Strong"),IF(PUF!$U86&gt;0,PUF!$U86,""),"")</f>
        <v/>
      </c>
      <c r="CM87" s="57" t="str">
        <f>IF(AND($B87=CM$3,$C87="Strong"),IF(PUF!$U86&gt;0,PUF!$U86,""),"")</f>
        <v/>
      </c>
      <c r="CN87" s="57" t="str">
        <f>IF(AND($B87=CN$3,$C87="Strong"),IF(PUF!$U86&gt;0,PUF!$U86,""),"")</f>
        <v/>
      </c>
    </row>
    <row r="88" spans="1:92" x14ac:dyDescent="0.3">
      <c r="A88" s="6">
        <f>PUF!A86</f>
        <v>85</v>
      </c>
      <c r="B88" s="6" t="str">
        <f>PUF!G86</f>
        <v>monostable</v>
      </c>
      <c r="C88" t="str">
        <f>PUF!AL86</f>
        <v>Weak</v>
      </c>
      <c r="D88" s="166">
        <f>PUF!C86</f>
        <v>2023</v>
      </c>
      <c r="E88" s="167" t="str">
        <f>IF(AND($B88=E$3,$C88="Weak"),IF(PUF!$X86&gt;0,PUF!$X86,""),"")</f>
        <v/>
      </c>
      <c r="F88" s="167" t="str">
        <f>IF(AND($B88=F$3,$C88="Weak"),IF(PUF!$X86&gt;0,PUF!$X86,""),"")</f>
        <v/>
      </c>
      <c r="G88" s="167" t="str">
        <f>IF(AND($B88=G$3,$C88="Weak"),IF(PUF!$X86&gt;0,PUF!$X86,""),"")</f>
        <v/>
      </c>
      <c r="H88" s="167" t="str">
        <f>IF(AND($B88=H$3,$C88="Weak"),IF(PUF!$X86&gt;0,PUF!$X86,""),"")</f>
        <v/>
      </c>
      <c r="I88" s="167">
        <f>IF(AND($B88=I$3,$C88="Weak"),IF(PUF!$X86&gt;0,PUF!$X86,""),"")</f>
        <v>1040</v>
      </c>
      <c r="J88" s="167" t="str">
        <f>IF(AND($B88=J$3,$C88="Weak"),IF(PUF!$X86&gt;0,PUF!$X86,""),"")</f>
        <v/>
      </c>
      <c r="K88" s="167" t="str">
        <f>IF(AND($B88=K$3,$C88="Weak"),IF(PUF!$X86&gt;0,PUF!$X86,""),"")</f>
        <v/>
      </c>
      <c r="L88" s="167" t="str">
        <f>IF(AND($B88=L$3,$C88="Weak"),IF(PUF!$X86&gt;0,PUF!$X86,""),"")</f>
        <v/>
      </c>
      <c r="N88" s="11">
        <f t="shared" si="24"/>
        <v>2023</v>
      </c>
      <c r="O88" s="57" t="str">
        <f>IF(AND($B88=O$3,$C88="Weak"),IF(PUF!$M86&gt;0,PUF!$M86,""),"")</f>
        <v/>
      </c>
      <c r="P88" s="57" t="str">
        <f>IF(AND($B88=P$3,$C88="Weak"),IF(PUF!$M86&gt;0,PUF!$M86,""),"")</f>
        <v/>
      </c>
      <c r="Q88" s="57" t="str">
        <f>IF(AND($B88=Q$3,$C88="Weak"),IF(PUF!$M86&gt;0,PUF!$M86,""),"")</f>
        <v/>
      </c>
      <c r="R88" s="57" t="str">
        <f>IF(AND($B88=R$3,$C88="Weak"),IF(PUF!$M86&gt;0,PUF!$M86,""),"")</f>
        <v/>
      </c>
      <c r="S88" s="57">
        <f>IF(AND($B88=S$3,$C88="Weak"),IF(PUF!$M86&gt;0,PUF!$M86,""),"")</f>
        <v>2.8999999999999998E-3</v>
      </c>
      <c r="T88" s="57" t="str">
        <f>IF(AND($B88=T$3,$C88="Weak"),IF(PUF!$M86&gt;0,PUF!$M86,""),"")</f>
        <v/>
      </c>
      <c r="U88" s="57" t="str">
        <f>IF(AND($B88=U$3,$C88="Weak"),IF(PUF!$M86&gt;0,PUF!$M86,""),"")</f>
        <v/>
      </c>
      <c r="V88" s="57" t="str">
        <f>IF(AND($B88=V$3,$C88="Weak"),IF(PUF!$M86&gt;0,PUF!$M86,""),"")</f>
        <v/>
      </c>
      <c r="W88" s="168"/>
      <c r="X88" s="166">
        <f t="shared" si="25"/>
        <v>2023</v>
      </c>
      <c r="Y88" s="57" t="str">
        <f>IF(AND($B88=Y$3,$C88="Weak"),IF(PUF!$S86&gt;0,PUF!$S86,""),"")</f>
        <v/>
      </c>
      <c r="Z88" s="57" t="str">
        <f>IF(AND($B88=Z$3,$C88="Weak"),IF(PUF!$S86&gt;0,PUF!$S86,""),"")</f>
        <v/>
      </c>
      <c r="AA88" s="57" t="str">
        <f>IF(AND($B88=AA$3,$C88="Weak"),IF(PUF!$S86&gt;0,PUF!$S86,""),"")</f>
        <v/>
      </c>
      <c r="AB88" s="57" t="str">
        <f>IF(AND($B88=AB$3,$C88="Weak"),IF(PUF!$S86&gt;0,PUF!$S86,""),"")</f>
        <v/>
      </c>
      <c r="AC88" s="57" t="str">
        <f>IF(AND($B88=AC$3,$C88="Weak"),IF(PUF!$S86&gt;0,PUF!$S86,""),"")</f>
        <v>1.77E−9</v>
      </c>
      <c r="AD88" s="57" t="str">
        <f>IF(AND($B88=AD$3,$C88="Weak"),IF(PUF!$S86&gt;0,PUF!$S86,""),"")</f>
        <v/>
      </c>
      <c r="AE88" s="57" t="str">
        <f>IF(AND($B88=AE$3,$C88="Weak"),IF(PUF!$S86&gt;0,PUF!$S86,""),"")</f>
        <v/>
      </c>
      <c r="AF88" s="57" t="str">
        <f>IF(AND($B88=AF$3,$C88="Weak"),IF(PUF!$S86&gt;0,PUF!$S86,""),"")</f>
        <v/>
      </c>
      <c r="AH88" s="210">
        <f t="shared" si="26"/>
        <v>2023</v>
      </c>
      <c r="AI88" s="211" t="str">
        <f>IF(AND($B88=AI$3,$C88="Weak"),IF(PUF!$U86&gt;0,PUF!$U86,""),"")</f>
        <v/>
      </c>
      <c r="AJ88" s="211" t="str">
        <f>IF(AND($B88=AJ$3,$C88="Weak"),IF(PUF!$U86&gt;0,PUF!$U86,""),"")</f>
        <v/>
      </c>
      <c r="AK88" s="211" t="str">
        <f>IF(AND($B88=AK$3,$C88="Weak"),IF(PUF!$U86&gt;0,PUF!$U86,""),"")</f>
        <v/>
      </c>
      <c r="AL88" s="211" t="str">
        <f>IF(AND($B88=AL$3,$C88="Weak"),IF(PUF!$U86&gt;0,PUF!$U86,""),"")</f>
        <v/>
      </c>
      <c r="AM88" s="211">
        <f>IF(AND($B88=AM$3,$C88="Weak"),IF(PUF!$U86&gt;0,PUF!$U86,""),"")</f>
        <v>5.5999999999999999E-5</v>
      </c>
      <c r="AN88" s="211" t="str">
        <f>IF(AND($B88=AN$3,$C88="Weak"),IF(PUF!$U86&gt;0,PUF!$U86,""),"")</f>
        <v/>
      </c>
      <c r="AO88" s="211" t="str">
        <f>IF(AND($B88=AO$3,$C88="Weak"),IF(PUF!$U86&gt;0,PUF!$U86,""),"")</f>
        <v/>
      </c>
      <c r="AP88" s="211" t="str">
        <f>IF(AND($B88=AP$3,$C88="Weak"),IF(PUF!$U86&gt;0,PUF!$U86,""),"")</f>
        <v/>
      </c>
      <c r="BB88" s="166">
        <f t="shared" ref="BB88:BB89" si="27">D88</f>
        <v>2023</v>
      </c>
      <c r="BC88" s="57" t="str">
        <f>IF(AND($B88=BC$3,$C88="Strong"),IF(PUF!$X87&gt;0,PUF!$X87,""),"")</f>
        <v/>
      </c>
      <c r="BD88" s="57" t="str">
        <f>IF(AND($B88=BD$3,$C88="Strong"),IF(PUF!$X87&gt;0,PUF!$X87,""),"")</f>
        <v/>
      </c>
      <c r="BE88" s="57" t="str">
        <f>IF(AND($B88=BE$3,$C88="Strong"),IF(PUF!$X87&gt;0,PUF!$X87,""),"")</f>
        <v/>
      </c>
      <c r="BF88" s="57" t="str">
        <f>IF(AND($B88=BF$3,$C88="Strong"),IF(PUF!$X87&gt;0,PUF!$X87,""),"")</f>
        <v/>
      </c>
      <c r="BG88" s="57" t="str">
        <f>IF(AND($B88=BG$3,$C88="Strong"),IF(PUF!$X87&gt;0,PUF!$X87,""),"")</f>
        <v/>
      </c>
      <c r="BH88" s="57" t="str">
        <f>IF(AND($B88=BH$3,$C88="Strong"),IF(PUF!$X87&gt;0,PUF!$X87,""),"")</f>
        <v/>
      </c>
      <c r="BI88" s="57" t="str">
        <f>IF(AND($B88=BI$3,$C88="Strong"),IF(PUF!$X87&gt;0,PUF!$X87,""),"")</f>
        <v/>
      </c>
      <c r="BJ88" s="57" t="str">
        <f>IF(AND($B88=BJ$3,$C88="Strong"),IF(PUF!$X87&gt;0,PUF!$X87,""),"")</f>
        <v/>
      </c>
      <c r="BL88" s="166">
        <f t="shared" ref="BL88:BL89" si="28">D88</f>
        <v>2023</v>
      </c>
      <c r="BM88" s="57" t="str">
        <f>IF(AND($B88=BM$3,$C88="Strong"),IF(PUF!$M87&gt;0,PUF!$M87,""),"")</f>
        <v/>
      </c>
      <c r="BN88" s="57" t="str">
        <f>IF(AND($B88=BN$3,$C88="Strong"),IF(PUF!$M87&gt;0,PUF!$M87,""),"")</f>
        <v/>
      </c>
      <c r="BO88" s="57" t="str">
        <f>IF(AND($B88=BO$3,$C88="Strong"),IF(PUF!$M87&gt;0,PUF!$M87,""),"")</f>
        <v/>
      </c>
      <c r="BP88" s="57" t="str">
        <f>IF(AND($B88=BP$3,$C88="Strong"),IF(PUF!$M87&gt;0,PUF!$M87,""),"")</f>
        <v/>
      </c>
      <c r="BQ88" s="57" t="str">
        <f>IF(AND($B88=BQ$3,$C88="Strong"),IF(PUF!$M87&gt;0,PUF!$M87,""),"")</f>
        <v/>
      </c>
      <c r="BR88" s="57" t="str">
        <f>IF(AND($B88=BR$3,$C88="Strong"),IF(PUF!$M87&gt;0,PUF!$M87,""),"")</f>
        <v/>
      </c>
      <c r="BS88" s="57" t="str">
        <f>IF(AND($B88=BS$3,$C88="Strong"),IF(PUF!$M87&gt;0,PUF!$M87,""),"")</f>
        <v/>
      </c>
      <c r="BT88" s="57" t="str">
        <f>IF(AND($B88=BT$3,$C88="Strong"),IF(PUF!$M87&gt;0,PUF!$M87,""),"")</f>
        <v/>
      </c>
      <c r="BV88" s="166">
        <f t="shared" ref="BV88:BV89" si="29">N88</f>
        <v>2023</v>
      </c>
      <c r="BW88" s="57" t="str">
        <f>IF(AND($B88=BW$3,$C88="Strong"),IF(PUF!$S87&gt;0,PUF!$S87,""),"")</f>
        <v/>
      </c>
      <c r="BX88" s="57" t="str">
        <f>IF(AND($B88=BX$3,$C88="Strong"),IF(PUF!$S87&gt;0,PUF!$S87,""),"")</f>
        <v/>
      </c>
      <c r="BY88" s="57" t="str">
        <f>IF(AND($B88=BY$3,$C88="Strong"),IF(PUF!$S87&gt;0,PUF!$S87,""),"")</f>
        <v/>
      </c>
      <c r="BZ88" s="57" t="str">
        <f>IF(AND($B88=BZ$3,$C88="Strong"),IF(PUF!$S87&gt;0,PUF!$S87,""),"")</f>
        <v/>
      </c>
      <c r="CA88" s="57" t="str">
        <f>IF(AND($B88=CA$3,$C88="Strong"),IF(PUF!$S87&gt;0,PUF!$S87,""),"")</f>
        <v/>
      </c>
      <c r="CB88" s="57" t="str">
        <f>IF(AND($B88=CB$3,$C88="Strong"),IF(PUF!$S87&gt;0,PUF!$S87,""),"")</f>
        <v/>
      </c>
      <c r="CC88" s="57" t="str">
        <f>IF(AND($B88=CC$3,$C88="Strong"),IF(PUF!$S87&gt;0,PUF!$S87,""),"")</f>
        <v/>
      </c>
      <c r="CD88" s="57" t="str">
        <f>IF(AND($B88=CD$3,$C88="Strong"),IF(PUF!$S87&gt;0,PUF!$S87,""),"")</f>
        <v/>
      </c>
      <c r="CF88" s="11">
        <f t="shared" ref="CF88:CF89" si="30">D88</f>
        <v>2023</v>
      </c>
      <c r="CG88" s="57" t="str">
        <f>IF(AND($B88=CG$3,$C88="Strong"),IF(PUF!$U87&gt;0,PUF!$U87,""),"")</f>
        <v/>
      </c>
      <c r="CH88" s="57" t="str">
        <f>IF(AND($B88=CH$3,$C88="Strong"),IF(PUF!$U87&gt;0,PUF!$U87,""),"")</f>
        <v/>
      </c>
      <c r="CI88" s="57" t="str">
        <f>IF(AND($B88=CI$3,$C88="Strong"),IF(PUF!$U87&gt;0,PUF!$U87,""),"")</f>
        <v/>
      </c>
      <c r="CJ88" s="57" t="str">
        <f>IF(AND($B88=CJ$3,$C88="Strong"),IF(PUF!$U87&gt;0,PUF!$U87,""),"")</f>
        <v/>
      </c>
      <c r="CK88" s="57" t="str">
        <f>IF(AND($B88=CK$3,$C88="Strong"),IF(PUF!$U87&gt;0,PUF!$U87,""),"")</f>
        <v/>
      </c>
      <c r="CL88" s="57" t="str">
        <f>IF(AND($B88=CL$3,$C88="Strong"),IF(PUF!$U87&gt;0,PUF!$U87,""),"")</f>
        <v/>
      </c>
      <c r="CM88" s="57" t="str">
        <f>IF(AND($B88=CM$3,$C88="Strong"),IF(PUF!$U87&gt;0,PUF!$U87,""),"")</f>
        <v/>
      </c>
      <c r="CN88" s="57" t="str">
        <f>IF(AND($B88=CN$3,$C88="Strong"),IF(PUF!$U87&gt;0,PUF!$U87,""),"")</f>
        <v/>
      </c>
    </row>
    <row r="89" spans="1:92" x14ac:dyDescent="0.3">
      <c r="A89" s="6">
        <f>PUF!A87</f>
        <v>86</v>
      </c>
      <c r="B89" s="6" t="str">
        <f>PUF!G87</f>
        <v>others</v>
      </c>
      <c r="C89" t="str">
        <f>PUF!AL87</f>
        <v>Weak</v>
      </c>
      <c r="D89" s="166">
        <f>PUF!C87</f>
        <v>2023</v>
      </c>
      <c r="E89" s="167" t="str">
        <f>IF(AND($B89=E$3,$C89="Weak"),IF(PUF!$X87&gt;0,PUF!$X87,""),"")</f>
        <v/>
      </c>
      <c r="F89" s="167" t="str">
        <f>IF(AND($B89=F$3,$C89="Weak"),IF(PUF!$X87&gt;0,PUF!$X87,""),"")</f>
        <v/>
      </c>
      <c r="G89" s="167" t="str">
        <f>IF(AND($B89=G$3,$C89="Weak"),IF(PUF!$X87&gt;0,PUF!$X87,""),"")</f>
        <v/>
      </c>
      <c r="H89" s="167" t="str">
        <f>IF(AND($B89=H$3,$C89="Weak"),IF(PUF!$X87&gt;0,PUF!$X87,""),"")</f>
        <v/>
      </c>
      <c r="I89" s="167" t="str">
        <f>IF(AND($B89=I$3,$C89="Weak"),IF(PUF!$X87&gt;0,PUF!$X87,""),"")</f>
        <v/>
      </c>
      <c r="J89" s="167" t="str">
        <f>IF(AND($B89=J$3,$C89="Weak"),IF(PUF!$X87&gt;0,PUF!$X87,""),"")</f>
        <v/>
      </c>
      <c r="K89" s="167" t="str">
        <f>IF(AND($B89=K$3,$C89="Weak"),IF(PUF!$X87&gt;0,PUF!$X87,""),"")</f>
        <v/>
      </c>
      <c r="L89" s="167">
        <f>IF(AND($B89=L$3,$C89="Weak"),IF(PUF!$X87&gt;0,PUF!$X87,""),"")</f>
        <v>325</v>
      </c>
      <c r="N89" s="11">
        <f t="shared" ref="N89" si="31">D89</f>
        <v>2023</v>
      </c>
      <c r="O89" s="57" t="str">
        <f>IF(AND($B89=O$3,$C89="Weak"),IF(PUF!$M87&gt;0,PUF!$M87,""),"")</f>
        <v/>
      </c>
      <c r="P89" s="57" t="str">
        <f>IF(AND($B89=P$3,$C89="Weak"),IF(PUF!$M87&gt;0,PUF!$M87,""),"")</f>
        <v/>
      </c>
      <c r="Q89" s="57" t="str">
        <f>IF(AND($B89=Q$3,$C89="Weak"),IF(PUF!$M87&gt;0,PUF!$M87,""),"")</f>
        <v/>
      </c>
      <c r="R89" s="57" t="str">
        <f>IF(AND($B89=R$3,$C89="Weak"),IF(PUF!$M87&gt;0,PUF!$M87,""),"")</f>
        <v/>
      </c>
      <c r="S89" s="57" t="str">
        <f>IF(AND($B89=S$3,$C89="Weak"),IF(PUF!$M87&gt;0,PUF!$M87,""),"")</f>
        <v/>
      </c>
      <c r="T89" s="57" t="str">
        <f>IF(AND($B89=T$3,$C89="Weak"),IF(PUF!$M87&gt;0,PUF!$M87,""),"")</f>
        <v/>
      </c>
      <c r="U89" s="57" t="str">
        <f>IF(AND($B89=U$3,$C89="Weak"),IF(PUF!$M87&gt;0,PUF!$M87,""),"")</f>
        <v/>
      </c>
      <c r="V89" s="57" t="str">
        <f>IF(AND($B89=V$3,$C89="Weak"),IF(PUF!$M87&gt;0,PUF!$M87,""),"")</f>
        <v>−</v>
      </c>
      <c r="W89" s="168"/>
      <c r="X89" s="166">
        <f t="shared" ref="X89" si="32">N89</f>
        <v>2023</v>
      </c>
      <c r="Y89" s="57" t="str">
        <f>IF(AND($B89=Y$3,$C89="Weak"),IF(PUF!$S87&gt;0,PUF!$S87,""),"")</f>
        <v/>
      </c>
      <c r="Z89" s="57" t="str">
        <f>IF(AND($B89=Z$3,$C89="Weak"),IF(PUF!$S87&gt;0,PUF!$S87,""),"")</f>
        <v/>
      </c>
      <c r="AA89" s="57" t="str">
        <f>IF(AND($B89=AA$3,$C89="Weak"),IF(PUF!$S87&gt;0,PUF!$S87,""),"")</f>
        <v/>
      </c>
      <c r="AB89" s="57" t="str">
        <f>IF(AND($B89=AB$3,$C89="Weak"),IF(PUF!$S87&gt;0,PUF!$S87,""),"")</f>
        <v/>
      </c>
      <c r="AC89" s="57" t="str">
        <f>IF(AND($B89=AC$3,$C89="Weak"),IF(PUF!$S87&gt;0,PUF!$S87,""),"")</f>
        <v/>
      </c>
      <c r="AD89" s="57" t="str">
        <f>IF(AND($B89=AD$3,$C89="Weak"),IF(PUF!$S87&gt;0,PUF!$S87,""),"")</f>
        <v/>
      </c>
      <c r="AE89" s="57" t="str">
        <f>IF(AND($B89=AE$3,$C89="Weak"),IF(PUF!$S87&gt;0,PUF!$S87,""),"")</f>
        <v/>
      </c>
      <c r="AF89" s="57">
        <f>IF(AND($B89=AF$3,$C89="Weak"),IF(PUF!$S87&gt;0,PUF!$S87,""),"")</f>
        <v>4.3000000000000001E-7</v>
      </c>
      <c r="AH89" s="210">
        <f t="shared" ref="AH89" si="33">D89</f>
        <v>2023</v>
      </c>
      <c r="AI89" s="211" t="str">
        <f>IF(AND($B89=AI$3,$C89="Weak"),IF(PUF!$U87&gt;0,PUF!$U87,""),"")</f>
        <v/>
      </c>
      <c r="AJ89" s="211" t="str">
        <f>IF(AND($B89=AJ$3,$C89="Weak"),IF(PUF!$U87&gt;0,PUF!$U87,""),"")</f>
        <v/>
      </c>
      <c r="AK89" s="211" t="str">
        <f>IF(AND($B89=AK$3,$C89="Weak"),IF(PUF!$U87&gt;0,PUF!$U87,""),"")</f>
        <v/>
      </c>
      <c r="AL89" s="211" t="str">
        <f>IF(AND($B89=AL$3,$C89="Weak"),IF(PUF!$U87&gt;0,PUF!$U87,""),"")</f>
        <v/>
      </c>
      <c r="AM89" s="211" t="str">
        <f>IF(AND($B89=AM$3,$C89="Weak"),IF(PUF!$U87&gt;0,PUF!$U87,""),"")</f>
        <v/>
      </c>
      <c r="AN89" s="211" t="str">
        <f>IF(AND($B89=AN$3,$C89="Weak"),IF(PUF!$U87&gt;0,PUF!$U87,""),"")</f>
        <v/>
      </c>
      <c r="AO89" s="211" t="str">
        <f>IF(AND($B89=AO$3,$C89="Weak"),IF(PUF!$U87&gt;0,PUF!$U87,""),"")</f>
        <v/>
      </c>
      <c r="AP89" s="211">
        <f>IF(AND($B89=AP$3,$C89="Weak"),IF(PUF!$U87&gt;0,PUF!$U87,""),"")</f>
        <v>5.0599999999999999E-2</v>
      </c>
      <c r="BB89" s="166">
        <f t="shared" si="27"/>
        <v>2023</v>
      </c>
      <c r="BC89" s="57" t="str">
        <f>IF(AND($B89=BC$3,$C89="Strong"),IF(PUF!$X88&gt;0,PUF!$X88,""),"")</f>
        <v/>
      </c>
      <c r="BD89" s="57" t="str">
        <f>IF(AND($B89=BD$3,$C89="Strong"),IF(PUF!$X88&gt;0,PUF!$X88,""),"")</f>
        <v/>
      </c>
      <c r="BE89" s="57" t="str">
        <f>IF(AND($B89=BE$3,$C89="Strong"),IF(PUF!$X88&gt;0,PUF!$X88,""),"")</f>
        <v/>
      </c>
      <c r="BF89" s="57" t="str">
        <f>IF(AND($B89=BF$3,$C89="Strong"),IF(PUF!$X88&gt;0,PUF!$X88,""),"")</f>
        <v/>
      </c>
      <c r="BG89" s="57" t="str">
        <f>IF(AND($B89=BG$3,$C89="Strong"),IF(PUF!$X88&gt;0,PUF!$X88,""),"")</f>
        <v/>
      </c>
      <c r="BH89" s="57" t="str">
        <f>IF(AND($B89=BH$3,$C89="Strong"),IF(PUF!$X88&gt;0,PUF!$X88,""),"")</f>
        <v/>
      </c>
      <c r="BI89" s="57" t="str">
        <f>IF(AND($B89=BI$3,$C89="Strong"),IF(PUF!$X88&gt;0,PUF!$X88,""),"")</f>
        <v/>
      </c>
      <c r="BJ89" s="57" t="str">
        <f>IF(AND($B89=BJ$3,$C89="Strong"),IF(PUF!$X88&gt;0,PUF!$X88,""),"")</f>
        <v/>
      </c>
      <c r="BL89" s="166">
        <f t="shared" si="28"/>
        <v>2023</v>
      </c>
      <c r="BM89" s="57" t="str">
        <f>IF(AND($B89=BM$3,$C89="Strong"),IF(PUF!$M88&gt;0,PUF!$M88,""),"")</f>
        <v/>
      </c>
      <c r="BN89" s="57" t="str">
        <f>IF(AND($B89=BN$3,$C89="Strong"),IF(PUF!$M88&gt;0,PUF!$M88,""),"")</f>
        <v/>
      </c>
      <c r="BO89" s="57" t="str">
        <f>IF(AND($B89=BO$3,$C89="Strong"),IF(PUF!$M88&gt;0,PUF!$M88,""),"")</f>
        <v/>
      </c>
      <c r="BP89" s="57" t="str">
        <f>IF(AND($B89=BP$3,$C89="Strong"),IF(PUF!$M88&gt;0,PUF!$M88,""),"")</f>
        <v/>
      </c>
      <c r="BQ89" s="57" t="str">
        <f>IF(AND($B89=BQ$3,$C89="Strong"),IF(PUF!$M88&gt;0,PUF!$M88,""),"")</f>
        <v/>
      </c>
      <c r="BR89" s="57" t="str">
        <f>IF(AND($B89=BR$3,$C89="Strong"),IF(PUF!$M88&gt;0,PUF!$M88,""),"")</f>
        <v/>
      </c>
      <c r="BS89" s="57" t="str">
        <f>IF(AND($B89=BS$3,$C89="Strong"),IF(PUF!$M88&gt;0,PUF!$M88,""),"")</f>
        <v/>
      </c>
      <c r="BT89" s="57" t="str">
        <f>IF(AND($B89=BT$3,$C89="Strong"),IF(PUF!$M88&gt;0,PUF!$M88,""),"")</f>
        <v/>
      </c>
      <c r="BV89" s="166">
        <f t="shared" si="29"/>
        <v>2023</v>
      </c>
      <c r="BW89" s="57" t="str">
        <f>IF(AND($B89=BW$3,$C89="Strong"),IF(PUF!$S88&gt;0,PUF!$S88,""),"")</f>
        <v/>
      </c>
      <c r="BX89" s="57" t="str">
        <f>IF(AND($B89=BX$3,$C89="Strong"),IF(PUF!$S88&gt;0,PUF!$S88,""),"")</f>
        <v/>
      </c>
      <c r="BY89" s="57" t="str">
        <f>IF(AND($B89=BY$3,$C89="Strong"),IF(PUF!$S88&gt;0,PUF!$S88,""),"")</f>
        <v/>
      </c>
      <c r="BZ89" s="57" t="str">
        <f>IF(AND($B89=BZ$3,$C89="Strong"),IF(PUF!$S88&gt;0,PUF!$S88,""),"")</f>
        <v/>
      </c>
      <c r="CA89" s="57" t="str">
        <f>IF(AND($B89=CA$3,$C89="Strong"),IF(PUF!$S88&gt;0,PUF!$S88,""),"")</f>
        <v/>
      </c>
      <c r="CB89" s="57" t="str">
        <f>IF(AND($B89=CB$3,$C89="Strong"),IF(PUF!$S88&gt;0,PUF!$S88,""),"")</f>
        <v/>
      </c>
      <c r="CC89" s="57" t="str">
        <f>IF(AND($B89=CC$3,$C89="Strong"),IF(PUF!$S88&gt;0,PUF!$S88,""),"")</f>
        <v/>
      </c>
      <c r="CD89" s="57" t="str">
        <f>IF(AND($B89=CD$3,$C89="Strong"),IF(PUF!$S88&gt;0,PUF!$S88,""),"")</f>
        <v/>
      </c>
      <c r="CF89" s="11">
        <f t="shared" si="30"/>
        <v>2023</v>
      </c>
      <c r="CG89" s="57" t="str">
        <f>IF(AND($B89=CG$3,$C89="Strong"),IF(PUF!$U88&gt;0,PUF!$U88,""),"")</f>
        <v/>
      </c>
      <c r="CH89" s="57" t="str">
        <f>IF(AND($B89=CH$3,$C89="Strong"),IF(PUF!$U88&gt;0,PUF!$U88,""),"")</f>
        <v/>
      </c>
      <c r="CI89" s="57" t="str">
        <f>IF(AND($B89=CI$3,$C89="Strong"),IF(PUF!$U88&gt;0,PUF!$U88,""),"")</f>
        <v/>
      </c>
      <c r="CJ89" s="57" t="str">
        <f>IF(AND($B89=CJ$3,$C89="Strong"),IF(PUF!$U88&gt;0,PUF!$U88,""),"")</f>
        <v/>
      </c>
      <c r="CK89" s="57" t="str">
        <f>IF(AND($B89=CK$3,$C89="Strong"),IF(PUF!$U88&gt;0,PUF!$U88,""),"")</f>
        <v/>
      </c>
      <c r="CL89" s="57" t="str">
        <f>IF(AND($B89=CL$3,$C89="Strong"),IF(PUF!$U88&gt;0,PUF!$U88,""),"")</f>
        <v/>
      </c>
      <c r="CM89" s="57" t="str">
        <f>IF(AND($B89=CM$3,$C89="Strong"),IF(PUF!$U88&gt;0,PUF!$U88,""),"")</f>
        <v/>
      </c>
      <c r="CN89" s="57" t="str">
        <f>IF(AND($B89=CN$3,$C89="Strong"),IF(PUF!$U88&gt;0,PUF!$U88,""),"")</f>
        <v/>
      </c>
    </row>
  </sheetData>
  <sheetProtection algorithmName="SHA-512" hashValue="VHQHXnyBEpZDOY1/PP/X8Vaz9YBoMJ/NoHb45WF6xOoiQnxjiSzD+cL9d/9bWvBOKqJd7voZpDCx2hHbZLLCKw==" saltValue="6FYDkMGAudHsAgGfaYjQuQ==" spinCount="100000" sheet="1" formatCells="0" formatColumns="0" formatRows="0" insertColumns="0" insertRows="0" insertHyperlinks="0" deleteColumns="0" deleteRows="0" sort="0" autoFilter="0" pivotTables="0"/>
  <conditionalFormatting sqref="A1:XFD1048576">
    <cfRule type="expression" dxfId="0" priority="1">
      <formula>SEARCH("Strong", $C1)&gt;0</formula>
    </cfRule>
  </conditionalFormatting>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1:CY82"/>
  <sheetViews>
    <sheetView topLeftCell="C1" workbookViewId="0">
      <pane ySplit="1" topLeftCell="A2" activePane="bottomLeft" state="frozen"/>
      <selection activeCell="O84" sqref="O84"/>
      <selection pane="bottomLeft" activeCell="M67" sqref="M67"/>
    </sheetView>
  </sheetViews>
  <sheetFormatPr defaultRowHeight="14.4" x14ac:dyDescent="0.3"/>
  <cols>
    <col min="1" max="1" width="7.109375" customWidth="1"/>
    <col min="2" max="3" width="16.109375" customWidth="1"/>
    <col min="4" max="4" width="12.6640625" customWidth="1"/>
    <col min="5" max="5" width="12.21875" customWidth="1"/>
    <col min="6" max="6" width="12" customWidth="1"/>
    <col min="7" max="8" width="11.33203125" customWidth="1"/>
    <col min="9" max="9" width="15" customWidth="1"/>
    <col min="10" max="10" width="11.88671875" customWidth="1"/>
    <col min="11" max="11" width="11.109375" customWidth="1"/>
    <col min="12" max="12" width="10" customWidth="1"/>
    <col min="13" max="13" width="11.33203125" customWidth="1"/>
    <col min="14" max="15" width="10.77734375" customWidth="1"/>
    <col min="16" max="16" width="14.5546875" customWidth="1"/>
    <col min="17" max="17" width="11.44140625" customWidth="1"/>
    <col min="18" max="18" width="10.6640625" customWidth="1"/>
    <col min="19" max="19" width="10.5546875" customWidth="1"/>
    <col min="20" max="20" width="11.88671875" customWidth="1"/>
    <col min="21" max="22" width="10.6640625" customWidth="1"/>
    <col min="23" max="23" width="14.6640625" customWidth="1"/>
    <col min="24" max="24" width="10.88671875" customWidth="1"/>
    <col min="25" max="25" width="10.44140625" customWidth="1"/>
    <col min="26" max="26" width="9.6640625" customWidth="1"/>
    <col min="27" max="27" width="11.109375" customWidth="1"/>
    <col min="28" max="29" width="10.6640625" customWidth="1"/>
    <col min="30" max="30" width="15" customWidth="1"/>
    <col min="33" max="33" width="9.44140625" bestFit="1" customWidth="1"/>
    <col min="34" max="34" width="11" customWidth="1"/>
    <col min="35" max="36" width="9.44140625" bestFit="1" customWidth="1"/>
    <col min="37" max="37" width="9.5546875" customWidth="1"/>
    <col min="38" max="39" width="9.88671875" customWidth="1"/>
    <col min="40" max="40" width="9.5546875" customWidth="1"/>
    <col min="41" max="41" width="9.77734375" customWidth="1"/>
    <col min="42" max="42" width="9.44140625" customWidth="1"/>
    <col min="43" max="43" width="9.33203125" customWidth="1"/>
    <col min="44" max="44" width="9.33203125" bestFit="1" customWidth="1"/>
    <col min="46" max="47" width="9.6640625" customWidth="1"/>
    <col min="48" max="49" width="9.33203125" bestFit="1" customWidth="1"/>
    <col min="50" max="50" width="9.77734375" customWidth="1"/>
    <col min="51" max="51" width="10" customWidth="1"/>
    <col min="52" max="52" width="9.77734375" customWidth="1"/>
    <col min="53" max="53" width="9.88671875" customWidth="1"/>
    <col min="54" max="54" width="10.21875" customWidth="1"/>
    <col min="55" max="55" width="9.77734375" customWidth="1"/>
    <col min="56" max="56" width="9.88671875" customWidth="1"/>
    <col min="59" max="59" width="9.33203125" bestFit="1" customWidth="1"/>
    <col min="60" max="60" width="9.44140625" customWidth="1"/>
    <col min="61" max="62" width="9.33203125" bestFit="1" customWidth="1"/>
    <col min="63" max="64" width="9.6640625" customWidth="1"/>
    <col min="65" max="65" width="9.77734375" customWidth="1"/>
    <col min="66" max="66" width="9.5546875" customWidth="1"/>
    <col min="67" max="67" width="9.33203125" customWidth="1"/>
    <col min="68" max="68" width="9.44140625" customWidth="1"/>
    <col min="69" max="69" width="9.21875" customWidth="1"/>
    <col min="70" max="70" width="9.77734375" customWidth="1"/>
    <col min="72" max="72" width="9.77734375" customWidth="1"/>
    <col min="73" max="73" width="9.5546875" customWidth="1"/>
    <col min="74" max="75" width="9.33203125" bestFit="1" customWidth="1"/>
    <col min="76" max="76" width="9.77734375" customWidth="1"/>
    <col min="77" max="77" width="9.21875" customWidth="1"/>
    <col min="78" max="78" width="9.5546875" customWidth="1"/>
    <col min="79" max="79" width="9.88671875" customWidth="1"/>
    <col min="80" max="80" width="9.5546875" customWidth="1"/>
    <col min="81" max="82" width="9.44140625" customWidth="1"/>
    <col min="83" max="83" width="10.21875" customWidth="1"/>
    <col min="85" max="85" width="9.6640625" customWidth="1"/>
    <col min="86" max="86" width="9.21875" customWidth="1"/>
    <col min="87" max="88" width="9.33203125" bestFit="1" customWidth="1"/>
    <col min="89" max="90" width="9.21875" customWidth="1"/>
    <col min="91" max="91" width="9.33203125" customWidth="1"/>
    <col min="92" max="92" width="9.21875" customWidth="1"/>
    <col min="93" max="93" width="9.5546875" customWidth="1"/>
    <col min="94" max="94" width="9.33203125" customWidth="1"/>
    <col min="95" max="96" width="9.21875" customWidth="1"/>
    <col min="98" max="98" width="10.6640625" customWidth="1"/>
  </cols>
  <sheetData>
    <row r="1" spans="1:103" x14ac:dyDescent="0.3">
      <c r="AG1" s="4" t="s">
        <v>583</v>
      </c>
    </row>
    <row r="2" spans="1:103" ht="16.2" x14ac:dyDescent="0.3">
      <c r="C2" s="6"/>
      <c r="D2" s="65" t="s">
        <v>546</v>
      </c>
      <c r="E2" s="6"/>
      <c r="F2" s="6"/>
      <c r="G2" s="6"/>
      <c r="H2" s="6"/>
      <c r="I2" s="6"/>
      <c r="J2" s="6"/>
      <c r="K2" s="65" t="s">
        <v>581</v>
      </c>
      <c r="L2" s="6"/>
      <c r="M2" s="6"/>
      <c r="N2" s="6"/>
      <c r="O2" s="6"/>
      <c r="P2" s="6"/>
      <c r="R2" s="65" t="s">
        <v>547</v>
      </c>
      <c r="S2" s="6"/>
      <c r="T2" s="6"/>
      <c r="U2" s="6"/>
      <c r="V2" s="6"/>
      <c r="W2" s="6"/>
      <c r="Y2" s="65" t="s">
        <v>545</v>
      </c>
      <c r="Z2" s="6"/>
      <c r="AA2" s="6"/>
      <c r="AB2" s="6"/>
      <c r="AC2" s="6"/>
      <c r="AD2" s="6"/>
      <c r="AG2" s="65" t="s">
        <v>577</v>
      </c>
      <c r="AH2" s="6"/>
      <c r="AI2" s="6"/>
      <c r="AJ2" s="6"/>
      <c r="AK2" s="6"/>
      <c r="AL2" s="6"/>
      <c r="AT2" s="65" t="s">
        <v>578</v>
      </c>
      <c r="AU2" s="6"/>
      <c r="AV2" s="6"/>
      <c r="AW2" s="6"/>
      <c r="AX2" s="6"/>
      <c r="AY2" s="6"/>
      <c r="BG2" s="65" t="s">
        <v>579</v>
      </c>
      <c r="BH2" s="6"/>
      <c r="BI2" s="6"/>
      <c r="BJ2" s="6"/>
      <c r="BK2" s="6"/>
      <c r="BL2" s="6"/>
      <c r="BT2" s="65" t="s">
        <v>580</v>
      </c>
      <c r="BU2" s="6"/>
      <c r="BV2" s="6"/>
      <c r="BW2" s="6"/>
      <c r="BX2" s="6"/>
      <c r="BY2" s="6"/>
      <c r="CG2" s="65" t="s">
        <v>582</v>
      </c>
      <c r="CH2" s="6"/>
      <c r="CI2" s="6"/>
      <c r="CJ2" s="6"/>
      <c r="CK2" s="6"/>
      <c r="CL2" s="6"/>
    </row>
    <row r="3" spans="1:103" x14ac:dyDescent="0.3">
      <c r="A3" s="6" t="s">
        <v>81</v>
      </c>
      <c r="B3" s="6" t="s">
        <v>355</v>
      </c>
      <c r="C3" t="s">
        <v>55</v>
      </c>
      <c r="D3" s="11" t="s">
        <v>329</v>
      </c>
      <c r="E3" s="12" t="s">
        <v>66</v>
      </c>
      <c r="F3" s="12" t="s">
        <v>58</v>
      </c>
      <c r="G3" s="11" t="s">
        <v>330</v>
      </c>
      <c r="H3" s="11" t="s">
        <v>496</v>
      </c>
      <c r="I3" s="11" t="s">
        <v>345</v>
      </c>
      <c r="J3" s="6"/>
      <c r="K3" s="11" t="s">
        <v>329</v>
      </c>
      <c r="L3" s="12" t="s">
        <v>66</v>
      </c>
      <c r="M3" s="12" t="s">
        <v>58</v>
      </c>
      <c r="N3" s="11" t="s">
        <v>330</v>
      </c>
      <c r="O3" s="11" t="s">
        <v>496</v>
      </c>
      <c r="P3" s="11" t="s">
        <v>345</v>
      </c>
      <c r="R3" s="11" t="s">
        <v>329</v>
      </c>
      <c r="S3" s="12" t="s">
        <v>66</v>
      </c>
      <c r="T3" s="12" t="s">
        <v>58</v>
      </c>
      <c r="U3" s="11" t="s">
        <v>330</v>
      </c>
      <c r="V3" s="11" t="s">
        <v>496</v>
      </c>
      <c r="W3" s="11" t="s">
        <v>345</v>
      </c>
      <c r="Y3" s="11" t="s">
        <v>329</v>
      </c>
      <c r="Z3" s="12" t="s">
        <v>66</v>
      </c>
      <c r="AA3" s="12" t="s">
        <v>58</v>
      </c>
      <c r="AB3" s="11" t="s">
        <v>330</v>
      </c>
      <c r="AC3" s="11" t="s">
        <v>496</v>
      </c>
      <c r="AD3" s="11" t="s">
        <v>345</v>
      </c>
      <c r="AG3" s="200" t="s">
        <v>329</v>
      </c>
      <c r="AH3" s="201"/>
      <c r="AI3" s="201" t="s">
        <v>66</v>
      </c>
      <c r="AJ3" s="201"/>
      <c r="AK3" s="201" t="s">
        <v>58</v>
      </c>
      <c r="AL3" s="200"/>
      <c r="AM3" s="200" t="s">
        <v>330</v>
      </c>
      <c r="AN3" s="200"/>
      <c r="AO3" s="200" t="s">
        <v>496</v>
      </c>
      <c r="AP3" s="200"/>
      <c r="AQ3" s="200" t="s">
        <v>345</v>
      </c>
      <c r="AR3" s="202"/>
      <c r="AT3" s="200" t="s">
        <v>329</v>
      </c>
      <c r="AU3" s="201"/>
      <c r="AV3" s="201" t="s">
        <v>66</v>
      </c>
      <c r="AW3" s="201"/>
      <c r="AX3" s="201" t="s">
        <v>58</v>
      </c>
      <c r="AY3" s="200"/>
      <c r="AZ3" s="200" t="s">
        <v>330</v>
      </c>
      <c r="BA3" s="200"/>
      <c r="BB3" s="200" t="s">
        <v>496</v>
      </c>
      <c r="BC3" s="200"/>
      <c r="BD3" s="200" t="s">
        <v>345</v>
      </c>
      <c r="BE3" s="202"/>
      <c r="BG3" s="200" t="s">
        <v>329</v>
      </c>
      <c r="BH3" s="201"/>
      <c r="BI3" s="201" t="s">
        <v>66</v>
      </c>
      <c r="BJ3" s="201"/>
      <c r="BK3" s="201" t="s">
        <v>58</v>
      </c>
      <c r="BL3" s="200"/>
      <c r="BM3" s="200" t="s">
        <v>330</v>
      </c>
      <c r="BN3" s="200"/>
      <c r="BO3" s="200" t="s">
        <v>496</v>
      </c>
      <c r="BP3" s="200"/>
      <c r="BQ3" s="200" t="s">
        <v>345</v>
      </c>
      <c r="BR3" s="202"/>
      <c r="BT3" s="200" t="s">
        <v>329</v>
      </c>
      <c r="BU3" s="201"/>
      <c r="BV3" s="201" t="s">
        <v>66</v>
      </c>
      <c r="BW3" s="201"/>
      <c r="BX3" s="201" t="s">
        <v>58</v>
      </c>
      <c r="BY3" s="200"/>
      <c r="BZ3" s="200" t="s">
        <v>330</v>
      </c>
      <c r="CA3" s="200"/>
      <c r="CB3" s="200" t="s">
        <v>496</v>
      </c>
      <c r="CC3" s="200"/>
      <c r="CD3" s="200" t="s">
        <v>345</v>
      </c>
      <c r="CE3" s="202"/>
      <c r="CG3" s="200" t="s">
        <v>329</v>
      </c>
      <c r="CH3" s="201"/>
      <c r="CI3" s="201" t="s">
        <v>66</v>
      </c>
      <c r="CJ3" s="201"/>
      <c r="CK3" s="201" t="s">
        <v>58</v>
      </c>
      <c r="CL3" s="200"/>
      <c r="CM3" s="200" t="s">
        <v>330</v>
      </c>
      <c r="CN3" s="200"/>
      <c r="CO3" s="200" t="s">
        <v>496</v>
      </c>
      <c r="CP3" s="200"/>
      <c r="CQ3" s="200" t="s">
        <v>345</v>
      </c>
      <c r="CR3" s="202"/>
    </row>
    <row r="4" spans="1:103" x14ac:dyDescent="0.3">
      <c r="B4" t="str">
        <f>TRNG!F2</f>
        <v>jitter</v>
      </c>
      <c r="C4">
        <f>TRNG!C2</f>
        <v>2003</v>
      </c>
      <c r="D4" s="57" t="str">
        <f>IF($B4=D$3,IF(TRNG!$K2&gt;0,TRNG!$K2*1000000,""),"")</f>
        <v/>
      </c>
      <c r="E4" s="57">
        <f>IF($B4=E$3,IF(TRNG!$K2&gt;0,TRNG!$K2*1000000,""),"")</f>
        <v>10000000</v>
      </c>
      <c r="F4" s="57" t="str">
        <f>IF($B4=F$3,IF(TRNG!$K2&gt;0,TRNG!$K2*1000000,""),"")</f>
        <v/>
      </c>
      <c r="G4" s="57" t="str">
        <f>IF($B4=G$3,IF(TRNG!$K2&gt;0,TRNG!$K2*1000000,""),"")</f>
        <v/>
      </c>
      <c r="H4" s="57" t="str">
        <f>IF($B4=H$3,IF(TRNG!$K2&gt;0,TRNG!$K2*1000000,""),"")</f>
        <v/>
      </c>
      <c r="I4" s="57" t="str">
        <f>IF($B4=I$3,IF(TRNG!$K2&gt;0,TRNG!$K2*1000000,""),"")</f>
        <v/>
      </c>
      <c r="J4" s="23"/>
      <c r="K4" s="57" t="str">
        <f>IF($B4=K$3,IF(TRNG!$O2&gt;0,TRNG!$O2,""),"")</f>
        <v/>
      </c>
      <c r="L4" s="57">
        <f>IF($B4=L$3,IF(TRNG!$O2&gt;0,TRNG!$O2,""),"")</f>
        <v>49382716049.382721</v>
      </c>
      <c r="M4" s="57" t="str">
        <f>IF($B4=M$3,IF(TRNG!$O2&gt;0,TRNG!$O2,""),"")</f>
        <v/>
      </c>
      <c r="N4" s="57" t="str">
        <f>IF($B4=N$3,IF(TRNG!$O2&gt;0,TRNG!$O2,""),"")</f>
        <v/>
      </c>
      <c r="O4" s="57" t="str">
        <f>IF($B4=O$3,IF(TRNG!$O2&gt;0,TRNG!$O2,""),"")</f>
        <v/>
      </c>
      <c r="P4" s="57" t="str">
        <f>IF($B4=P$3,IF(TRNG!$O2&gt;0,TRNG!$O2,""),"")</f>
        <v/>
      </c>
      <c r="R4" s="57" t="str">
        <f>IF($B4=R$3,IF(TRNG!$N2&gt;0,TRNG!$N2*1000000,""),"")</f>
        <v/>
      </c>
      <c r="S4" s="57">
        <f>IF($B4=S$3,IF(TRNG!$N2&gt;0,TRNG!$N2*1000000,""),"")</f>
        <v>1600000000</v>
      </c>
      <c r="T4" s="57" t="str">
        <f>IF($B4=T$3,IF(TRNG!$N2&gt;0,TRNG!$N2*1000000,""),"")</f>
        <v/>
      </c>
      <c r="U4" s="57" t="str">
        <f>IF($B4=U$3,IF(TRNG!$N2&gt;0,TRNG!$N2*1000000,""),"")</f>
        <v/>
      </c>
      <c r="V4" s="57" t="str">
        <f>IF($B4=V$3,IF(TRNG!$N2&gt;0,TRNG!$N2*1000000,""),"")</f>
        <v/>
      </c>
      <c r="W4" s="57" t="str">
        <f>IF($B4=W$3,IF(TRNG!$N2&gt;0,TRNG!$N2*1000000,""),"")</f>
        <v/>
      </c>
      <c r="Y4" s="57" t="str">
        <f>IF($B4=Y$3,IF(TRNG!$P2&gt;0,TRNG!$P2,""),"")</f>
        <v/>
      </c>
      <c r="Z4" s="57">
        <f>IF($B4=Z$3,IF(TRNG!$P2&gt;0,TRNG!$P2,""),"")</f>
        <v>230</v>
      </c>
      <c r="AA4" s="57" t="str">
        <f>IF($B4=AA$3,IF(TRNG!$P2&gt;0,TRNG!$P2,""),"")</f>
        <v/>
      </c>
      <c r="AB4" s="57" t="str">
        <f>IF($B4=AB$3,IF(TRNG!$P2&gt;0,TRNG!$P2,""),"")</f>
        <v/>
      </c>
      <c r="AC4" s="57" t="str">
        <f>IF($B4=AC$3,IF(TRNG!$P2&gt;0,TRNG!$P2,""),"")</f>
        <v/>
      </c>
      <c r="AD4" s="57" t="str">
        <f>IF($B4=AD$3,IF(TRNG!$P2&gt;0,TRNG!$P2,""),"")</f>
        <v/>
      </c>
      <c r="AG4" s="199">
        <f>IF(AND($B4=AG$3,NOT(D4=""),NOT(K4="")),D4,0)</f>
        <v>0</v>
      </c>
      <c r="AH4" s="199">
        <f>IF(AND($B4=AG$3,NOT(D4=""),NOT(K4="")),K4,0)</f>
        <v>0</v>
      </c>
      <c r="AI4" s="199">
        <f>IF(AND($B4=AI$3,NOT(E4=""),NOT(L4="")),E4,0)</f>
        <v>10000000</v>
      </c>
      <c r="AJ4" s="199">
        <f>IF(AND($B4=AI$3,NOT(E4=""),NOT(L4="")),L4,0)</f>
        <v>49382716049.382721</v>
      </c>
      <c r="AK4" s="199">
        <f>IF(AND($B4=AK$3,NOT(F4=""),NOT(M4="")),F4,0)</f>
        <v>0</v>
      </c>
      <c r="AL4" s="199">
        <f>IF(AND($B4=AK$3,NOT(F4=""),NOT(M4="")),M4,0)</f>
        <v>0</v>
      </c>
      <c r="AM4" s="199">
        <f>IF(AND($B4=AM$3,NOT(G4=""),NOT(N4="")),G4,0)</f>
        <v>0</v>
      </c>
      <c r="AN4" s="199">
        <f>IF(AND($B4=AM$3,NOT(G4=""),NOT(N4="")),N4,0)</f>
        <v>0</v>
      </c>
      <c r="AO4" s="199">
        <f>IF(AND($B4=AO$3,NOT(H4=""),NOT(O4="")),H4,0)</f>
        <v>0</v>
      </c>
      <c r="AP4" s="199">
        <f>IF(AND($B4=AO$3,NOT(H4=""),NOT(O4="")),O4,0)</f>
        <v>0</v>
      </c>
      <c r="AQ4" s="199">
        <f>IF(AND($B4=AQ$3,NOT(I4=""),NOT(P4="")),I4,0)</f>
        <v>0</v>
      </c>
      <c r="AR4" s="199">
        <f>IF(AND($B4=AQ$3,NOT(I4=""),NOT(P4="")),P4,0)</f>
        <v>0</v>
      </c>
      <c r="AT4" s="199">
        <f>IF(AND($B4=AT$3,NOT(D4=""),NOT(R4="")),D4,0)</f>
        <v>0</v>
      </c>
      <c r="AU4" s="199">
        <f>IF(AND($B4=AT$3,NOT(D4=""),NOT(R4="")),R4,0)</f>
        <v>0</v>
      </c>
      <c r="AV4" s="199">
        <f>IF(AND($B4=AV$3,NOT(E4=""),NOT(S4="")),E4,0)</f>
        <v>10000000</v>
      </c>
      <c r="AW4" s="199">
        <f>IF(AND($B4=AV$3,NOT(E4=""),NOT(S4="")),S4,0)</f>
        <v>1600000000</v>
      </c>
      <c r="AX4" s="199">
        <f>IF(AND($B4=AX$3,NOT(F4=""),NOT(T4="")),F4,0)</f>
        <v>0</v>
      </c>
      <c r="AY4" s="199">
        <f>IF(AND($B4=AX$3,NOT(F4=""),NOT(T4="")),T4,0)</f>
        <v>0</v>
      </c>
      <c r="AZ4" s="199">
        <f>IF(AND($B4=AZ$3,NOT(G4=""),NOT(U4="")),G4,0)</f>
        <v>0</v>
      </c>
      <c r="BA4" s="199">
        <f>IF(AND($B4=AZ$3,NOT(G4=""),NOT(U4="")),U4,0)</f>
        <v>0</v>
      </c>
      <c r="BB4" s="199">
        <f>IF(AND($B4=BB$3,NOT(H4=""),NOT(V4="")),H4,0)</f>
        <v>0</v>
      </c>
      <c r="BC4" s="199">
        <f>IF(AND($B4=BB$3,NOT(H4=""),NOT(V4="")),V4,0)</f>
        <v>0</v>
      </c>
      <c r="BD4" s="199">
        <f>IF(AND($B4=BD$3,NOT(I4=""),NOT(W4="")),I4,0)</f>
        <v>0</v>
      </c>
      <c r="BE4" s="202">
        <f>IF(AND($B4=BD$3,NOT(I4=""),NOT(W4="")),W4,0)</f>
        <v>0</v>
      </c>
      <c r="BF4" s="191"/>
      <c r="BG4" s="199">
        <f>IF(AND($B4=BG$3,NOT(D4=""),NOT(Y4="")),D4,0)</f>
        <v>0</v>
      </c>
      <c r="BH4" s="199">
        <f>IF(AND($B4=BG$3,NOT(D4=""),NOT(Y4="")),Y4,0)</f>
        <v>0</v>
      </c>
      <c r="BI4" s="199">
        <f>IF(AND($B4=BI$3,NOT(E4=""),NOT(Z4="")),E4,0)</f>
        <v>10000000</v>
      </c>
      <c r="BJ4" s="199">
        <f>IF(AND($B4=BI$3,NOT(E4=""),NOT(Z4="")),Z4,0)</f>
        <v>230</v>
      </c>
      <c r="BK4" s="199">
        <f>IF(AND($B4=BK$3,NOT(F4=""),NOT(AA4="")),F4,0)</f>
        <v>0</v>
      </c>
      <c r="BL4" s="199">
        <f>IF(AND($B4=BK$3,NOT(F4=""),NOT(AA4="")),AA4,0)</f>
        <v>0</v>
      </c>
      <c r="BM4" s="199">
        <f>IF(AND($B4=BM$3,NOT(G4=""),NOT(AB4="")),G4,0)</f>
        <v>0</v>
      </c>
      <c r="BN4" s="199">
        <f>IF(AND($B4=BM$3,NOT(G4=""),NOT(AB4="")),AB4,0)</f>
        <v>0</v>
      </c>
      <c r="BO4" s="199">
        <f>IF(AND($B4=BO$3,NOT(H4=""),NOT(AC4="")),H4,0)</f>
        <v>0</v>
      </c>
      <c r="BP4" s="199">
        <f>IF(AND($B4=BO$3,NOT(H4=""),NOT(AC4="")),AC4,0)</f>
        <v>0</v>
      </c>
      <c r="BQ4" s="199">
        <f>IF(AND($B4=BQ$3,NOT(I4=""),NOT(AD4="")),I4,0)</f>
        <v>0</v>
      </c>
      <c r="BR4" s="199">
        <f>IF(AND($B4=BQ$3,NOT(I4=""),NOT(AD4="")),AD4,0)</f>
        <v>0</v>
      </c>
      <c r="BS4" s="191"/>
      <c r="BT4" s="199">
        <f>IF(AND($B4=BT$3,NOT(Y4=""),NOT(K4="")),Y4,0)</f>
        <v>0</v>
      </c>
      <c r="BU4" s="199">
        <f>IF(AND($B4=BT$3,NOT(Y4=""),NOT(K4="")),K4,0)</f>
        <v>0</v>
      </c>
      <c r="BV4" s="199">
        <f>IF(AND($B4=BV$3,NOT(Z4=""),NOT(L4="")),Z4,0)</f>
        <v>230</v>
      </c>
      <c r="BW4" s="199">
        <f>IF(AND($B4=BV$3,NOT(Z4=""),NOT(L4="")),L4,0)</f>
        <v>49382716049.382721</v>
      </c>
      <c r="BX4" s="199">
        <f>IF(AND($B4=BX$3,NOT(AA4=""),NOT(M4="")),AA4,0)</f>
        <v>0</v>
      </c>
      <c r="BY4" s="199">
        <f>IF(AND($B4=BX$3,NOT(AA4=""),NOT(M4="")),M4,0)</f>
        <v>0</v>
      </c>
      <c r="BZ4" s="199">
        <f>IF(AND($B4=BZ$3,NOT(AB4=""),NOT(N4="")),AB4,0)</f>
        <v>0</v>
      </c>
      <c r="CA4" s="199">
        <f>IF(AND($B4=BZ$3,NOT(AB4=""),NOT(N4="")),N4,0)</f>
        <v>0</v>
      </c>
      <c r="CB4" s="199">
        <f>IF(AND($B4=CB$3,NOT(AC4=""),NOT(O4="")),AC4,0)</f>
        <v>0</v>
      </c>
      <c r="CC4" s="199">
        <f>IF(AND($B4=CB$3,NOT(AC4=""),NOT(O4="")),O4,0)</f>
        <v>0</v>
      </c>
      <c r="CD4" s="199">
        <f>IF(AND($B4=CD$3,NOT(AD4=""),NOT(P4="")),AD4,0)</f>
        <v>0</v>
      </c>
      <c r="CE4" s="199">
        <f>IF(AND($B4=CD$3,NOT(AD4=""),NOT(P4="")),P4,0)</f>
        <v>0</v>
      </c>
      <c r="CF4" s="191"/>
      <c r="CG4" s="199">
        <f>IF(AND($B4=CG$3,NOT(Y4=""),NOT(R4="")),Y4,0)</f>
        <v>0</v>
      </c>
      <c r="CH4" s="199">
        <f>IF(AND($B4=CG$3,NOT(Y4=""),NOT(R4="")),R4,0)</f>
        <v>0</v>
      </c>
      <c r="CI4" s="199">
        <f>IF(AND($B4=CI$3,NOT(Z4=""),NOT(S4="")),Z4,0)</f>
        <v>230</v>
      </c>
      <c r="CJ4" s="199">
        <f>IF(AND($B4=CI$3,NOT(Z4=""),NOT(S4="")),S4,0)</f>
        <v>1600000000</v>
      </c>
      <c r="CK4" s="199">
        <f>IF(AND($B4=CK$3,NOT(AA4=""),NOT(T4="")),AA4,0)</f>
        <v>0</v>
      </c>
      <c r="CL4" s="199">
        <f>IF(AND($B4=CK$3,NOT(AA4=""),NOT(T4="")),T4,0)</f>
        <v>0</v>
      </c>
      <c r="CM4" s="199">
        <f>IF(AND($B4=BZ$3,NOT(AB4=""),NOT(U4="")),AB4,0)</f>
        <v>0</v>
      </c>
      <c r="CN4" s="199">
        <f>IF(AND($B4=BZ$3,NOT(AB4=""),NOT(U4="")),U4,0)</f>
        <v>0</v>
      </c>
      <c r="CO4" s="199">
        <f>IF(AND($B4=CO$3,NOT(AC4=""),NOT(V4="")),AC4,0)</f>
        <v>0</v>
      </c>
      <c r="CP4" s="199">
        <f>IF(AND($B4=CO$3,NOT(AC4=""),NOT(V4="")),V4,0)</f>
        <v>0</v>
      </c>
      <c r="CQ4" s="199">
        <f>IF(AND($B4=CQ$3,NOT(AD4=""),NOT(W4="")),AD4,0)</f>
        <v>0</v>
      </c>
      <c r="CR4" s="199">
        <f>IF(AND($B4=CQ$3,NOT(AD4=""),NOT(W4="")),W4,0)</f>
        <v>0</v>
      </c>
      <c r="CS4" s="191"/>
      <c r="CT4" s="191"/>
      <c r="CU4" s="191"/>
      <c r="CV4" s="191"/>
      <c r="CW4" s="191"/>
      <c r="CX4" s="191"/>
      <c r="CY4" s="191"/>
    </row>
    <row r="5" spans="1:103" x14ac:dyDescent="0.3">
      <c r="B5" t="str">
        <f>TRNG!F3</f>
        <v>noise-based</v>
      </c>
      <c r="C5">
        <f>TRNG!C3</f>
        <v>2004</v>
      </c>
      <c r="D5" s="57">
        <f>IF($B5=D$3,IF(TRNG!$K3&gt;0,TRNG!$K3*1000000,""),"")</f>
        <v>50000</v>
      </c>
      <c r="E5" s="57" t="str">
        <f>IF($B5=E$3,IF(TRNG!$K3&gt;0,TRNG!$K3*1000000,""),"")</f>
        <v/>
      </c>
      <c r="F5" s="57" t="str">
        <f>IF($B5=F$3,IF(TRNG!$K3&gt;0,TRNG!$K3*1000000,""),"")</f>
        <v/>
      </c>
      <c r="G5" s="57" t="str">
        <f>IF($B5=G$3,IF(TRNG!$K3&gt;0,TRNG!$K3*1000000,""),"")</f>
        <v/>
      </c>
      <c r="H5" s="57" t="str">
        <f>IF($B5=H$3,IF(TRNG!$K3&gt;0,TRNG!$K3*1000000,""),"")</f>
        <v/>
      </c>
      <c r="I5" s="57" t="str">
        <f>IF($B5=I$3,IF(TRNG!$K3&gt;0,TRNG!$K3*1000000,""),"")</f>
        <v/>
      </c>
      <c r="J5" s="23"/>
      <c r="K5" s="57" t="str">
        <f>IF($B5=K$3,IF(TRNG!$O3&gt;0,TRNG!$O3,""),"")</f>
        <v/>
      </c>
      <c r="L5" s="57" t="str">
        <f>IF($B5=L$3,IF(TRNG!$O3&gt;0,TRNG!$O3,""),"")</f>
        <v/>
      </c>
      <c r="M5" s="57" t="str">
        <f>IF($B5=M$3,IF(TRNG!$O3&gt;0,TRNG!$O3,""),"")</f>
        <v/>
      </c>
      <c r="N5" s="57" t="str">
        <f>IF($B5=N$3,IF(TRNG!$O3&gt;0,TRNG!$O3,""),"")</f>
        <v/>
      </c>
      <c r="O5" s="57" t="str">
        <f>IF($B5=O$3,IF(TRNG!$O3&gt;0,TRNG!$O3,""),"")</f>
        <v/>
      </c>
      <c r="P5" s="57" t="str">
        <f>IF($B5=P$3,IF(TRNG!$O3&gt;0,TRNG!$O3,""),"")</f>
        <v/>
      </c>
      <c r="R5" s="57" t="str">
        <f>IF($B5=R$3,IF(TRNG!$N3&gt;0,TRNG!$N3*1000000,""),"")</f>
        <v/>
      </c>
      <c r="S5" s="57" t="str">
        <f>IF($B5=S$3,IF(TRNG!$N3&gt;0,TRNG!$N3*1000000,""),"")</f>
        <v/>
      </c>
      <c r="T5" s="57" t="str">
        <f>IF($B5=T$3,IF(TRNG!$N3&gt;0,TRNG!$N3*1000000,""),"")</f>
        <v/>
      </c>
      <c r="U5" s="57" t="str">
        <f>IF($B5=U$3,IF(TRNG!$N3&gt;0,TRNG!$N3*1000000,""),"")</f>
        <v/>
      </c>
      <c r="V5" s="57" t="str">
        <f>IF($B5=V$3,IF(TRNG!$N3&gt;0,TRNG!$N3*1000000,""),"")</f>
        <v/>
      </c>
      <c r="W5" s="57" t="str">
        <f>IF($B5=W$3,IF(TRNG!$N3&gt;0,TRNG!$N3*1000000,""),"")</f>
        <v/>
      </c>
      <c r="Y5" s="57" t="str">
        <f>IF($B5=Y$3,IF(TRNG!$P3&gt;0,TRNG!$P3,""),"")</f>
        <v/>
      </c>
      <c r="Z5" s="57" t="str">
        <f>IF($B5=Z$3,IF(TRNG!$P3&gt;0,TRNG!$P3,""),"")</f>
        <v/>
      </c>
      <c r="AA5" s="57" t="str">
        <f>IF($B5=AA$3,IF(TRNG!$P3&gt;0,TRNG!$P3,""),"")</f>
        <v/>
      </c>
      <c r="AB5" s="57" t="str">
        <f>IF($B5=AB$3,IF(TRNG!$P3&gt;0,TRNG!$P3,""),"")</f>
        <v/>
      </c>
      <c r="AC5" s="57" t="str">
        <f>IF($B5=AC$3,IF(TRNG!$P3&gt;0,TRNG!$P3,""),"")</f>
        <v/>
      </c>
      <c r="AD5" s="57" t="str">
        <f>IF($B5=AD$3,IF(TRNG!$P3&gt;0,TRNG!$P3,""),"")</f>
        <v/>
      </c>
      <c r="AG5" s="199">
        <f t="shared" ref="AG5:AG39" si="0">IF(AND($B5=AG$3,NOT(D5=""),NOT(K5="")),D5,0)</f>
        <v>0</v>
      </c>
      <c r="AH5" s="199">
        <f t="shared" ref="AH5:AH39" si="1">IF(AND($B5=AG$3,NOT(D5=""),NOT(K5="")),K5,0)</f>
        <v>0</v>
      </c>
      <c r="AI5" s="199">
        <f t="shared" ref="AI5:AI39" si="2">IF(AND($B5=AI$3,NOT(E5=""),NOT(L5="")),E5,0)</f>
        <v>0</v>
      </c>
      <c r="AJ5" s="199">
        <f t="shared" ref="AJ5:AJ39" si="3">IF(AND($B5=AI$3,NOT(E5=""),NOT(L5="")),L5,0)</f>
        <v>0</v>
      </c>
      <c r="AK5" s="199">
        <f t="shared" ref="AK5:AK39" si="4">IF(AND($B5=AK$3,NOT(F5=""),NOT(M5="")),F5,0)</f>
        <v>0</v>
      </c>
      <c r="AL5" s="199">
        <f t="shared" ref="AL5:AL39" si="5">IF(AND($B5=AK$3,NOT(F5=""),NOT(M5="")),M5,0)</f>
        <v>0</v>
      </c>
      <c r="AM5" s="199">
        <f t="shared" ref="AM5:AM39" si="6">IF(AND($B5=AM$3,NOT(G5=""),NOT(N5="")),G5,0)</f>
        <v>0</v>
      </c>
      <c r="AN5" s="199">
        <f t="shared" ref="AN5:AN39" si="7">IF(AND($B5=AM$3,NOT(G5=""),NOT(N5="")),N5,0)</f>
        <v>0</v>
      </c>
      <c r="AO5" s="199">
        <f t="shared" ref="AO5:AO39" si="8">IF(AND($B5=AO$3,NOT(H5=""),NOT(O5="")),H5,0)</f>
        <v>0</v>
      </c>
      <c r="AP5" s="199">
        <f t="shared" ref="AP5:AP39" si="9">IF(AND($B5=AO$3,NOT(H5=""),NOT(O5="")),O5,0)</f>
        <v>0</v>
      </c>
      <c r="AQ5" s="199">
        <f t="shared" ref="AQ5:AQ39" si="10">IF(AND($B5=AQ$3,NOT(I5=""),NOT(P5="")),I5,0)</f>
        <v>0</v>
      </c>
      <c r="AR5" s="199">
        <f t="shared" ref="AR5:AR39" si="11">IF(AND($B5=AQ$3,NOT(I5=""),NOT(P5="")),P5,0)</f>
        <v>0</v>
      </c>
      <c r="AT5" s="199">
        <f t="shared" ref="AT5:AT39" si="12">IF(AND($B5=AT$3,NOT(D5=""),NOT(R5="")),D5,0)</f>
        <v>0</v>
      </c>
      <c r="AU5" s="199">
        <f t="shared" ref="AU5:AU39" si="13">IF(AND($B5=AT$3,NOT(D5=""),NOT(R5="")),R5,0)</f>
        <v>0</v>
      </c>
      <c r="AV5" s="199">
        <f t="shared" ref="AV5:AV39" si="14">IF(AND($B5=AV$3,NOT(E5=""),NOT(S5="")),E5,0)</f>
        <v>0</v>
      </c>
      <c r="AW5" s="199">
        <f t="shared" ref="AW5:AW39" si="15">IF(AND($B5=AV$3,NOT(E5=""),NOT(S5="")),S5,0)</f>
        <v>0</v>
      </c>
      <c r="AX5" s="199">
        <f t="shared" ref="AX5:AX39" si="16">IF(AND($B5=AX$3,NOT(F5=""),NOT(T5="")),F5,0)</f>
        <v>0</v>
      </c>
      <c r="AY5" s="199">
        <f t="shared" ref="AY5:AY39" si="17">IF(AND($B5=AX$3,NOT(F5=""),NOT(T5="")),T5,0)</f>
        <v>0</v>
      </c>
      <c r="AZ5" s="199">
        <f t="shared" ref="AZ5:AZ39" si="18">IF(AND($B5=AZ$3,NOT(G5=""),NOT(U5="")),G5,0)</f>
        <v>0</v>
      </c>
      <c r="BA5" s="199">
        <f t="shared" ref="BA5:BA39" si="19">IF(AND($B5=AZ$3,NOT(G5=""),NOT(U5="")),U5,0)</f>
        <v>0</v>
      </c>
      <c r="BB5" s="199">
        <f t="shared" ref="BB5:BB39" si="20">IF(AND($B5=BB$3,NOT(H5=""),NOT(V5="")),H5,0)</f>
        <v>0</v>
      </c>
      <c r="BC5" s="199">
        <f t="shared" ref="BC5:BC39" si="21">IF(AND($B5=BB$3,NOT(H5=""),NOT(V5="")),V5,0)</f>
        <v>0</v>
      </c>
      <c r="BD5" s="199">
        <f t="shared" ref="BD5:BD39" si="22">IF(AND($B5=BD$3,NOT(I5=""),NOT(W5="")),I5,0)</f>
        <v>0</v>
      </c>
      <c r="BE5" s="202">
        <f t="shared" ref="BE5:BE39" si="23">IF(AND($B5=BD$3,NOT(I5=""),NOT(W5="")),W5,0)</f>
        <v>0</v>
      </c>
      <c r="BF5" s="191"/>
      <c r="BG5" s="199">
        <f t="shared" ref="BG5:BG39" si="24">IF(AND($B5=BG$3,NOT(D5=""),NOT(Y5="")),D5,0)</f>
        <v>0</v>
      </c>
      <c r="BH5" s="199">
        <f t="shared" ref="BH5:BH39" si="25">IF(AND($B5=BG$3,NOT(D5=""),NOT(Y5="")),Y5,0)</f>
        <v>0</v>
      </c>
      <c r="BI5" s="199">
        <f t="shared" ref="BI5:BI39" si="26">IF(AND($B5=BI$3,NOT(E5=""),NOT(Z5="")),E5,0)</f>
        <v>0</v>
      </c>
      <c r="BJ5" s="199">
        <f t="shared" ref="BJ5:BJ39" si="27">IF(AND($B5=BI$3,NOT(E5=""),NOT(Z5="")),Z5,0)</f>
        <v>0</v>
      </c>
      <c r="BK5" s="199">
        <f t="shared" ref="BK5:BK39" si="28">IF(AND($B5=BK$3,NOT(F5=""),NOT(AA5="")),F5,0)</f>
        <v>0</v>
      </c>
      <c r="BL5" s="199">
        <f t="shared" ref="BL5:BL39" si="29">IF(AND($B5=BK$3,NOT(F5=""),NOT(AA5="")),AA5,0)</f>
        <v>0</v>
      </c>
      <c r="BM5" s="199">
        <f t="shared" ref="BM5:BM39" si="30">IF(AND($B5=BM$3,NOT(G5=""),NOT(AB5="")),G5,0)</f>
        <v>0</v>
      </c>
      <c r="BN5" s="199">
        <f t="shared" ref="BN5:BN39" si="31">IF(AND($B5=BM$3,NOT(G5=""),NOT(AB5="")),AB5,0)</f>
        <v>0</v>
      </c>
      <c r="BO5" s="199">
        <f t="shared" ref="BO5:BO39" si="32">IF(AND($B5=BO$3,NOT(H5=""),NOT(AC5="")),H5,0)</f>
        <v>0</v>
      </c>
      <c r="BP5" s="199">
        <f t="shared" ref="BP5:BP39" si="33">IF(AND($B5=BO$3,NOT(H5=""),NOT(AC5="")),AC5,0)</f>
        <v>0</v>
      </c>
      <c r="BQ5" s="199">
        <f t="shared" ref="BQ5:BQ39" si="34">IF(AND($B5=BQ$3,NOT(I5=""),NOT(AD5="")),I5,0)</f>
        <v>0</v>
      </c>
      <c r="BR5" s="199">
        <f t="shared" ref="BR5:BR39" si="35">IF(AND($B5=BQ$3,NOT(I5=""),NOT(AD5="")),AD5,0)</f>
        <v>0</v>
      </c>
      <c r="BS5" s="191"/>
      <c r="BT5" s="199">
        <f t="shared" ref="BT5:BT39" si="36">IF(AND($B5=BT$3,NOT(Y5=""),NOT(K5="")),Y5,0)</f>
        <v>0</v>
      </c>
      <c r="BU5" s="199">
        <f t="shared" ref="BU5:BU39" si="37">IF(AND($B5=BT$3,NOT(Y5=""),NOT(K5="")),K5,0)</f>
        <v>0</v>
      </c>
      <c r="BV5" s="199">
        <f t="shared" ref="BV5:BV39" si="38">IF(AND($B5=BV$3,NOT(Z5=""),NOT(L5="")),Z5,0)</f>
        <v>0</v>
      </c>
      <c r="BW5" s="199">
        <f t="shared" ref="BW5:BW39" si="39">IF(AND($B5=BV$3,NOT(Z5=""),NOT(L5="")),L5,0)</f>
        <v>0</v>
      </c>
      <c r="BX5" s="199">
        <f t="shared" ref="BX5:BX39" si="40">IF(AND($B5=BX$3,NOT(AA5=""),NOT(M5="")),AA5,0)</f>
        <v>0</v>
      </c>
      <c r="BY5" s="199">
        <f t="shared" ref="BY5:BY39" si="41">IF(AND($B5=BX$3,NOT(AA5=""),NOT(M5="")),M5,0)</f>
        <v>0</v>
      </c>
      <c r="BZ5" s="199">
        <f t="shared" ref="BZ5:BZ39" si="42">IF(AND($B5=BZ$3,NOT(AB5=""),NOT(N5="")),AB5,0)</f>
        <v>0</v>
      </c>
      <c r="CA5" s="199">
        <f t="shared" ref="CA5:CA39" si="43">IF(AND($B5=BZ$3,NOT(AB5=""),NOT(N5="")),N5,0)</f>
        <v>0</v>
      </c>
      <c r="CB5" s="199">
        <f t="shared" ref="CB5:CB39" si="44">IF(AND($B5=CB$3,NOT(AC5=""),NOT(O5="")),AC5,0)</f>
        <v>0</v>
      </c>
      <c r="CC5" s="199">
        <f t="shared" ref="CC5:CC39" si="45">IF(AND($B5=CB$3,NOT(AC5=""),NOT(O5="")),O5,0)</f>
        <v>0</v>
      </c>
      <c r="CD5" s="199">
        <f t="shared" ref="CD5:CD39" si="46">IF(AND($B5=CD$3,NOT(AD5=""),NOT(P5="")),AD5,0)</f>
        <v>0</v>
      </c>
      <c r="CE5" s="199">
        <f t="shared" ref="CE5:CE39" si="47">IF(AND($B5=CD$3,NOT(AD5=""),NOT(P5="")),P5,0)</f>
        <v>0</v>
      </c>
      <c r="CF5" s="191"/>
      <c r="CG5" s="199">
        <f t="shared" ref="CG5:CG39" si="48">IF(AND($B5=CG$3,NOT(Y5=""),NOT(R5="")),Y5,0)</f>
        <v>0</v>
      </c>
      <c r="CH5" s="199">
        <f t="shared" ref="CH5:CH39" si="49">IF(AND($B5=CG$3,NOT(Y5=""),NOT(R5="")),R5,0)</f>
        <v>0</v>
      </c>
      <c r="CI5" s="199">
        <f t="shared" ref="CI5:CI39" si="50">IF(AND($B5=CI$3,NOT(Z5=""),NOT(S5="")),Z5,0)</f>
        <v>0</v>
      </c>
      <c r="CJ5" s="199">
        <f t="shared" ref="CJ5:CJ39" si="51">IF(AND($B5=CI$3,NOT(Z5=""),NOT(S5="")),S5,0)</f>
        <v>0</v>
      </c>
      <c r="CK5" s="199">
        <f t="shared" ref="CK5:CK39" si="52">IF(AND($B5=CK$3,NOT(AA5=""),NOT(T5="")),AA5,0)</f>
        <v>0</v>
      </c>
      <c r="CL5" s="199">
        <f t="shared" ref="CL5:CL39" si="53">IF(AND($B5=CK$3,NOT(AA5=""),NOT(T5="")),T5,0)</f>
        <v>0</v>
      </c>
      <c r="CM5" s="199">
        <f t="shared" ref="CM5:CM39" si="54">IF(AND($B5=BZ$3,NOT(AB5=""),NOT(U5="")),AB5,0)</f>
        <v>0</v>
      </c>
      <c r="CN5" s="199">
        <f t="shared" ref="CN5:CN39" si="55">IF(AND($B5=BZ$3,NOT(AB5=""),NOT(U5="")),U5,0)</f>
        <v>0</v>
      </c>
      <c r="CO5" s="199">
        <f t="shared" ref="CO5:CO39" si="56">IF(AND($B5=CO$3,NOT(AC5=""),NOT(V5="")),AC5,0)</f>
        <v>0</v>
      </c>
      <c r="CP5" s="199">
        <f t="shared" ref="CP5:CP39" si="57">IF(AND($B5=CO$3,NOT(AC5=""),NOT(V5="")),V5,0)</f>
        <v>0</v>
      </c>
      <c r="CQ5" s="199">
        <f t="shared" ref="CQ5:CQ39" si="58">IF(AND($B5=CQ$3,NOT(AD5=""),NOT(W5="")),AD5,0)</f>
        <v>0</v>
      </c>
      <c r="CR5" s="199">
        <f t="shared" ref="CR5:CR39" si="59">IF(AND($B5=CQ$3,NOT(AD5=""),NOT(W5="")),W5,0)</f>
        <v>0</v>
      </c>
      <c r="CS5" s="191"/>
      <c r="CT5" s="191"/>
      <c r="CU5" s="191"/>
      <c r="CV5" s="191"/>
      <c r="CW5" s="191"/>
      <c r="CX5" s="191"/>
      <c r="CY5" s="191"/>
    </row>
    <row r="6" spans="1:103" x14ac:dyDescent="0.3">
      <c r="B6" t="str">
        <f>TRNG!F4</f>
        <v>noise-based</v>
      </c>
      <c r="C6">
        <f>TRNG!C4</f>
        <v>2006</v>
      </c>
      <c r="D6" s="57" t="str">
        <f>IF($B6=D$3,IF(TRNG!$K4&gt;0,TRNG!$K4*1000000,""),"")</f>
        <v/>
      </c>
      <c r="E6" s="57" t="str">
        <f>IF($B6=E$3,IF(TRNG!$K4&gt;0,TRNG!$K4*1000000,""),"")</f>
        <v/>
      </c>
      <c r="F6" s="57" t="str">
        <f>IF($B6=F$3,IF(TRNG!$K4&gt;0,TRNG!$K4*1000000,""),"")</f>
        <v/>
      </c>
      <c r="G6" s="57" t="str">
        <f>IF($B6=G$3,IF(TRNG!$K4&gt;0,TRNG!$K4*1000000,""),"")</f>
        <v/>
      </c>
      <c r="H6" s="57" t="str">
        <f>IF($B6=H$3,IF(TRNG!$K4&gt;0,TRNG!$K4*1000000,""),"")</f>
        <v/>
      </c>
      <c r="I6" s="57" t="str">
        <f>IF($B6=I$3,IF(TRNG!$K4&gt;0,TRNG!$K4*1000000,""),"")</f>
        <v/>
      </c>
      <c r="J6" s="23"/>
      <c r="K6" s="57">
        <f>IF($B6=K$3,IF(TRNG!$O4&gt;0,TRNG!$O4,""),"")</f>
        <v>625000000000</v>
      </c>
      <c r="L6" s="57" t="str">
        <f>IF($B6=L$3,IF(TRNG!$O4&gt;0,TRNG!$O4,""),"")</f>
        <v/>
      </c>
      <c r="M6" s="57" t="str">
        <f>IF($B6=M$3,IF(TRNG!$O4&gt;0,TRNG!$O4,""),"")</f>
        <v/>
      </c>
      <c r="N6" s="57" t="str">
        <f>IF($B6=N$3,IF(TRNG!$O4&gt;0,TRNG!$O4,""),"")</f>
        <v/>
      </c>
      <c r="O6" s="57" t="str">
        <f>IF($B6=O$3,IF(TRNG!$O4&gt;0,TRNG!$O4,""),"")</f>
        <v/>
      </c>
      <c r="P6" s="57" t="str">
        <f>IF($B6=P$3,IF(TRNG!$O4&gt;0,TRNG!$O4,""),"")</f>
        <v/>
      </c>
      <c r="R6" s="57">
        <f>IF($B6=R$3,IF(TRNG!$N4&gt;0,TRNG!$N4*1000000,""),"")</f>
        <v>9000000000</v>
      </c>
      <c r="S6" s="57" t="str">
        <f>IF($B6=S$3,IF(TRNG!$N4&gt;0,TRNG!$N4*1000000,""),"")</f>
        <v/>
      </c>
      <c r="T6" s="57" t="str">
        <f>IF($B6=T$3,IF(TRNG!$N4&gt;0,TRNG!$N4*1000000,""),"")</f>
        <v/>
      </c>
      <c r="U6" s="57" t="str">
        <f>IF($B6=U$3,IF(TRNG!$N4&gt;0,TRNG!$N4*1000000,""),"")</f>
        <v/>
      </c>
      <c r="V6" s="57" t="str">
        <f>IF($B6=V$3,IF(TRNG!$N4&gt;0,TRNG!$N4*1000000,""),"")</f>
        <v/>
      </c>
      <c r="W6" s="57" t="str">
        <f>IF($B6=W$3,IF(TRNG!$N4&gt;0,TRNG!$N4*1000000,""),"")</f>
        <v/>
      </c>
      <c r="Y6" s="57">
        <f>IF($B6=Y$3,IF(TRNG!$P4&gt;0,TRNG!$P4,""),"")</f>
        <v>250</v>
      </c>
      <c r="Z6" s="57" t="str">
        <f>IF($B6=Z$3,IF(TRNG!$P4&gt;0,TRNG!$P4,""),"")</f>
        <v/>
      </c>
      <c r="AA6" s="57" t="str">
        <f>IF($B6=AA$3,IF(TRNG!$P4&gt;0,TRNG!$P4,""),"")</f>
        <v/>
      </c>
      <c r="AB6" s="57" t="str">
        <f>IF($B6=AB$3,IF(TRNG!$P4&gt;0,TRNG!$P4,""),"")</f>
        <v/>
      </c>
      <c r="AC6" s="57" t="str">
        <f>IF($B6=AC$3,IF(TRNG!$P4&gt;0,TRNG!$P4,""),"")</f>
        <v/>
      </c>
      <c r="AD6" s="57" t="str">
        <f>IF($B6=AD$3,IF(TRNG!$P4&gt;0,TRNG!$P4,""),"")</f>
        <v/>
      </c>
      <c r="AG6" s="199">
        <f t="shared" si="0"/>
        <v>0</v>
      </c>
      <c r="AH6" s="199">
        <f t="shared" si="1"/>
        <v>0</v>
      </c>
      <c r="AI6" s="199">
        <f t="shared" si="2"/>
        <v>0</v>
      </c>
      <c r="AJ6" s="199">
        <f t="shared" si="3"/>
        <v>0</v>
      </c>
      <c r="AK6" s="199">
        <f t="shared" si="4"/>
        <v>0</v>
      </c>
      <c r="AL6" s="199">
        <f t="shared" si="5"/>
        <v>0</v>
      </c>
      <c r="AM6" s="199">
        <f t="shared" si="6"/>
        <v>0</v>
      </c>
      <c r="AN6" s="199">
        <f t="shared" si="7"/>
        <v>0</v>
      </c>
      <c r="AO6" s="199">
        <f t="shared" si="8"/>
        <v>0</v>
      </c>
      <c r="AP6" s="199">
        <f t="shared" si="9"/>
        <v>0</v>
      </c>
      <c r="AQ6" s="199">
        <f t="shared" si="10"/>
        <v>0</v>
      </c>
      <c r="AR6" s="199">
        <f t="shared" si="11"/>
        <v>0</v>
      </c>
      <c r="AT6" s="199">
        <f t="shared" si="12"/>
        <v>0</v>
      </c>
      <c r="AU6" s="199">
        <f t="shared" si="13"/>
        <v>0</v>
      </c>
      <c r="AV6" s="199">
        <f t="shared" si="14"/>
        <v>0</v>
      </c>
      <c r="AW6" s="199">
        <f t="shared" si="15"/>
        <v>0</v>
      </c>
      <c r="AX6" s="199">
        <f t="shared" si="16"/>
        <v>0</v>
      </c>
      <c r="AY6" s="199">
        <f t="shared" si="17"/>
        <v>0</v>
      </c>
      <c r="AZ6" s="199">
        <f t="shared" si="18"/>
        <v>0</v>
      </c>
      <c r="BA6" s="199">
        <f t="shared" si="19"/>
        <v>0</v>
      </c>
      <c r="BB6" s="199">
        <f t="shared" si="20"/>
        <v>0</v>
      </c>
      <c r="BC6" s="199">
        <f t="shared" si="21"/>
        <v>0</v>
      </c>
      <c r="BD6" s="199">
        <f t="shared" si="22"/>
        <v>0</v>
      </c>
      <c r="BE6" s="202">
        <f t="shared" si="23"/>
        <v>0</v>
      </c>
      <c r="BF6" s="191"/>
      <c r="BG6" s="199">
        <f t="shared" si="24"/>
        <v>0</v>
      </c>
      <c r="BH6" s="199">
        <f t="shared" si="25"/>
        <v>0</v>
      </c>
      <c r="BI6" s="199">
        <f t="shared" si="26"/>
        <v>0</v>
      </c>
      <c r="BJ6" s="199">
        <f t="shared" si="27"/>
        <v>0</v>
      </c>
      <c r="BK6" s="199">
        <f t="shared" si="28"/>
        <v>0</v>
      </c>
      <c r="BL6" s="199">
        <f t="shared" si="29"/>
        <v>0</v>
      </c>
      <c r="BM6" s="199">
        <f t="shared" si="30"/>
        <v>0</v>
      </c>
      <c r="BN6" s="199">
        <f t="shared" si="31"/>
        <v>0</v>
      </c>
      <c r="BO6" s="199">
        <f t="shared" si="32"/>
        <v>0</v>
      </c>
      <c r="BP6" s="199">
        <f t="shared" si="33"/>
        <v>0</v>
      </c>
      <c r="BQ6" s="199">
        <f t="shared" si="34"/>
        <v>0</v>
      </c>
      <c r="BR6" s="199">
        <f t="shared" si="35"/>
        <v>0</v>
      </c>
      <c r="BS6" s="191"/>
      <c r="BT6" s="199">
        <f t="shared" si="36"/>
        <v>250</v>
      </c>
      <c r="BU6" s="199">
        <f t="shared" si="37"/>
        <v>625000000000</v>
      </c>
      <c r="BV6" s="199">
        <f t="shared" si="38"/>
        <v>0</v>
      </c>
      <c r="BW6" s="199">
        <f t="shared" si="39"/>
        <v>0</v>
      </c>
      <c r="BX6" s="199">
        <f t="shared" si="40"/>
        <v>0</v>
      </c>
      <c r="BY6" s="199">
        <f t="shared" si="41"/>
        <v>0</v>
      </c>
      <c r="BZ6" s="199">
        <f t="shared" si="42"/>
        <v>0</v>
      </c>
      <c r="CA6" s="199">
        <f t="shared" si="43"/>
        <v>0</v>
      </c>
      <c r="CB6" s="199">
        <f t="shared" si="44"/>
        <v>0</v>
      </c>
      <c r="CC6" s="199">
        <f t="shared" si="45"/>
        <v>0</v>
      </c>
      <c r="CD6" s="199">
        <f t="shared" si="46"/>
        <v>0</v>
      </c>
      <c r="CE6" s="199">
        <f t="shared" si="47"/>
        <v>0</v>
      </c>
      <c r="CF6" s="191"/>
      <c r="CG6" s="199">
        <f t="shared" si="48"/>
        <v>250</v>
      </c>
      <c r="CH6" s="199">
        <f t="shared" si="49"/>
        <v>9000000000</v>
      </c>
      <c r="CI6" s="199">
        <f t="shared" si="50"/>
        <v>0</v>
      </c>
      <c r="CJ6" s="199">
        <f t="shared" si="51"/>
        <v>0</v>
      </c>
      <c r="CK6" s="199">
        <f t="shared" si="52"/>
        <v>0</v>
      </c>
      <c r="CL6" s="199">
        <f t="shared" si="53"/>
        <v>0</v>
      </c>
      <c r="CM6" s="199">
        <f t="shared" si="54"/>
        <v>0</v>
      </c>
      <c r="CN6" s="199">
        <f t="shared" si="55"/>
        <v>0</v>
      </c>
      <c r="CO6" s="199">
        <f t="shared" si="56"/>
        <v>0</v>
      </c>
      <c r="CP6" s="199">
        <f t="shared" si="57"/>
        <v>0</v>
      </c>
      <c r="CQ6" s="199">
        <f t="shared" si="58"/>
        <v>0</v>
      </c>
      <c r="CR6" s="199">
        <f t="shared" si="59"/>
        <v>0</v>
      </c>
      <c r="CS6" s="191"/>
      <c r="CT6" s="191"/>
      <c r="CU6" s="191"/>
      <c r="CV6" s="191"/>
      <c r="CW6" s="191"/>
      <c r="CX6" s="191"/>
      <c r="CY6" s="191"/>
    </row>
    <row r="7" spans="1:103" x14ac:dyDescent="0.3">
      <c r="B7" t="str">
        <f>TRNG!F5</f>
        <v>chaotic map</v>
      </c>
      <c r="C7">
        <f>TRNG!C5</f>
        <v>2006</v>
      </c>
      <c r="D7" s="57" t="str">
        <f>IF($B7=D$3,IF(TRNG!$K5&gt;0,TRNG!$K5*1000000,""),"")</f>
        <v/>
      </c>
      <c r="E7" s="57" t="str">
        <f>IF($B7=E$3,IF(TRNG!$K5&gt;0,TRNG!$K5*1000000,""),"")</f>
        <v/>
      </c>
      <c r="F7" s="57" t="str">
        <f>IF($B7=F$3,IF(TRNG!$K5&gt;0,TRNG!$K5*1000000,""),"")</f>
        <v/>
      </c>
      <c r="G7" s="57">
        <f>IF($B7=G$3,IF(TRNG!$K5&gt;0,TRNG!$K5*1000000,""),"")</f>
        <v>40000000</v>
      </c>
      <c r="H7" s="57" t="str">
        <f>IF($B7=H$3,IF(TRNG!$K5&gt;0,TRNG!$K5*1000000,""),"")</f>
        <v/>
      </c>
      <c r="I7" s="57" t="str">
        <f>IF($B7=I$3,IF(TRNG!$K5&gt;0,TRNG!$K5*1000000,""),"")</f>
        <v/>
      </c>
      <c r="J7" s="23"/>
      <c r="K7" s="57" t="str">
        <f>IF($B7=K$3,IF(TRNG!$O5&gt;0,TRNG!$O5,""),"")</f>
        <v/>
      </c>
      <c r="L7" s="57" t="str">
        <f>IF($B7=L$3,IF(TRNG!$O5&gt;0,TRNG!$O5,""),"")</f>
        <v/>
      </c>
      <c r="M7" s="57" t="str">
        <f>IF($B7=M$3,IF(TRNG!$O5&gt;0,TRNG!$O5,""),"")</f>
        <v/>
      </c>
      <c r="N7" s="57">
        <f>IF($B7=N$3,IF(TRNG!$O5&gt;0,TRNG!$O5,""),"")</f>
        <v>4244897959183.6724</v>
      </c>
      <c r="O7" s="57" t="str">
        <f>IF($B7=O$3,IF(TRNG!$O5&gt;0,TRNG!$O5,""),"")</f>
        <v/>
      </c>
      <c r="P7" s="57" t="str">
        <f>IF($B7=P$3,IF(TRNG!$O5&gt;0,TRNG!$O5,""),"")</f>
        <v/>
      </c>
      <c r="R7" s="57" t="str">
        <f>IF($B7=R$3,IF(TRNG!$N5&gt;0,TRNG!$N5*1000000,""),"")</f>
        <v/>
      </c>
      <c r="S7" s="57" t="str">
        <f>IF($B7=S$3,IF(TRNG!$N5&gt;0,TRNG!$N5*1000000,""),"")</f>
        <v/>
      </c>
      <c r="T7" s="57" t="str">
        <f>IF($B7=T$3,IF(TRNG!$N5&gt;0,TRNG!$N5*1000000,""),"")</f>
        <v/>
      </c>
      <c r="U7" s="57">
        <f>IF($B7=U$3,IF(TRNG!$N5&gt;0,TRNG!$N5*1000000,""),"")</f>
        <v>520000000000</v>
      </c>
      <c r="V7" s="57" t="str">
        <f>IF($B7=V$3,IF(TRNG!$N5&gt;0,TRNG!$N5*1000000,""),"")</f>
        <v/>
      </c>
      <c r="W7" s="57" t="str">
        <f>IF($B7=W$3,IF(TRNG!$N5&gt;0,TRNG!$N5*1000000,""),"")</f>
        <v/>
      </c>
      <c r="Y7" s="57" t="str">
        <f>IF($B7=Y$3,IF(TRNG!$P5&gt;0,TRNG!$P5,""),"")</f>
        <v/>
      </c>
      <c r="Z7" s="57" t="str">
        <f>IF($B7=Z$3,IF(TRNG!$P5&gt;0,TRNG!$P5,""),"")</f>
        <v/>
      </c>
      <c r="AA7" s="57" t="str">
        <f>IF($B7=AA$3,IF(TRNG!$P5&gt;0,TRNG!$P5,""),"")</f>
        <v/>
      </c>
      <c r="AB7" s="57">
        <f>IF($B7=AB$3,IF(TRNG!$P5&gt;0,TRNG!$P5,""),"")</f>
        <v>750</v>
      </c>
      <c r="AC7" s="57" t="str">
        <f>IF($B7=AC$3,IF(TRNG!$P5&gt;0,TRNG!$P5,""),"")</f>
        <v/>
      </c>
      <c r="AD7" s="57" t="str">
        <f>IF($B7=AD$3,IF(TRNG!$P5&gt;0,TRNG!$P5,""),"")</f>
        <v/>
      </c>
      <c r="AG7" s="199">
        <f t="shared" si="0"/>
        <v>0</v>
      </c>
      <c r="AH7" s="199">
        <f t="shared" si="1"/>
        <v>0</v>
      </c>
      <c r="AI7" s="199">
        <f t="shared" si="2"/>
        <v>0</v>
      </c>
      <c r="AJ7" s="199">
        <f t="shared" si="3"/>
        <v>0</v>
      </c>
      <c r="AK7" s="199">
        <f t="shared" si="4"/>
        <v>0</v>
      </c>
      <c r="AL7" s="199">
        <f t="shared" si="5"/>
        <v>0</v>
      </c>
      <c r="AM7" s="199">
        <f t="shared" si="6"/>
        <v>40000000</v>
      </c>
      <c r="AN7" s="199">
        <f t="shared" si="7"/>
        <v>4244897959183.6724</v>
      </c>
      <c r="AO7" s="199">
        <f t="shared" si="8"/>
        <v>0</v>
      </c>
      <c r="AP7" s="199">
        <f t="shared" si="9"/>
        <v>0</v>
      </c>
      <c r="AQ7" s="199">
        <f t="shared" si="10"/>
        <v>0</v>
      </c>
      <c r="AR7" s="199">
        <f t="shared" si="11"/>
        <v>0</v>
      </c>
      <c r="AT7" s="199">
        <f t="shared" si="12"/>
        <v>0</v>
      </c>
      <c r="AU7" s="199">
        <f t="shared" si="13"/>
        <v>0</v>
      </c>
      <c r="AV7" s="199">
        <f t="shared" si="14"/>
        <v>0</v>
      </c>
      <c r="AW7" s="199">
        <f t="shared" si="15"/>
        <v>0</v>
      </c>
      <c r="AX7" s="199">
        <f t="shared" si="16"/>
        <v>0</v>
      </c>
      <c r="AY7" s="199">
        <f t="shared" si="17"/>
        <v>0</v>
      </c>
      <c r="AZ7" s="199">
        <f t="shared" si="18"/>
        <v>40000000</v>
      </c>
      <c r="BA7" s="199">
        <f t="shared" si="19"/>
        <v>520000000000</v>
      </c>
      <c r="BB7" s="199">
        <f t="shared" si="20"/>
        <v>0</v>
      </c>
      <c r="BC7" s="199">
        <f t="shared" si="21"/>
        <v>0</v>
      </c>
      <c r="BD7" s="199">
        <f t="shared" si="22"/>
        <v>0</v>
      </c>
      <c r="BE7" s="202">
        <f t="shared" si="23"/>
        <v>0</v>
      </c>
      <c r="BF7" s="191"/>
      <c r="BG7" s="199">
        <f t="shared" si="24"/>
        <v>0</v>
      </c>
      <c r="BH7" s="199">
        <f t="shared" si="25"/>
        <v>0</v>
      </c>
      <c r="BI7" s="199">
        <f t="shared" si="26"/>
        <v>0</v>
      </c>
      <c r="BJ7" s="199">
        <f t="shared" si="27"/>
        <v>0</v>
      </c>
      <c r="BK7" s="199">
        <f t="shared" si="28"/>
        <v>0</v>
      </c>
      <c r="BL7" s="199">
        <f t="shared" si="29"/>
        <v>0</v>
      </c>
      <c r="BM7" s="199">
        <f t="shared" si="30"/>
        <v>40000000</v>
      </c>
      <c r="BN7" s="199">
        <f t="shared" si="31"/>
        <v>750</v>
      </c>
      <c r="BO7" s="199">
        <f t="shared" si="32"/>
        <v>0</v>
      </c>
      <c r="BP7" s="199">
        <f t="shared" si="33"/>
        <v>0</v>
      </c>
      <c r="BQ7" s="199">
        <f t="shared" si="34"/>
        <v>0</v>
      </c>
      <c r="BR7" s="199">
        <f t="shared" si="35"/>
        <v>0</v>
      </c>
      <c r="BS7" s="191"/>
      <c r="BT7" s="199">
        <f t="shared" si="36"/>
        <v>0</v>
      </c>
      <c r="BU7" s="199">
        <f t="shared" si="37"/>
        <v>0</v>
      </c>
      <c r="BV7" s="199">
        <f t="shared" si="38"/>
        <v>0</v>
      </c>
      <c r="BW7" s="199">
        <f t="shared" si="39"/>
        <v>0</v>
      </c>
      <c r="BX7" s="199">
        <f t="shared" si="40"/>
        <v>0</v>
      </c>
      <c r="BY7" s="199">
        <f t="shared" si="41"/>
        <v>0</v>
      </c>
      <c r="BZ7" s="199">
        <f t="shared" si="42"/>
        <v>750</v>
      </c>
      <c r="CA7" s="199">
        <f t="shared" si="43"/>
        <v>4244897959183.6724</v>
      </c>
      <c r="CB7" s="199">
        <f t="shared" si="44"/>
        <v>0</v>
      </c>
      <c r="CC7" s="199">
        <f t="shared" si="45"/>
        <v>0</v>
      </c>
      <c r="CD7" s="199">
        <f t="shared" si="46"/>
        <v>0</v>
      </c>
      <c r="CE7" s="199">
        <f t="shared" si="47"/>
        <v>0</v>
      </c>
      <c r="CF7" s="191"/>
      <c r="CG7" s="199">
        <f t="shared" si="48"/>
        <v>0</v>
      </c>
      <c r="CH7" s="199">
        <f t="shared" si="49"/>
        <v>0</v>
      </c>
      <c r="CI7" s="199">
        <f t="shared" si="50"/>
        <v>0</v>
      </c>
      <c r="CJ7" s="199">
        <f t="shared" si="51"/>
        <v>0</v>
      </c>
      <c r="CK7" s="199">
        <f t="shared" si="52"/>
        <v>0</v>
      </c>
      <c r="CL7" s="199">
        <f t="shared" si="53"/>
        <v>0</v>
      </c>
      <c r="CM7" s="199">
        <f t="shared" si="54"/>
        <v>750</v>
      </c>
      <c r="CN7" s="199">
        <f t="shared" si="55"/>
        <v>520000000000</v>
      </c>
      <c r="CO7" s="199">
        <f t="shared" si="56"/>
        <v>0</v>
      </c>
      <c r="CP7" s="199">
        <f t="shared" si="57"/>
        <v>0</v>
      </c>
      <c r="CQ7" s="199">
        <f t="shared" si="58"/>
        <v>0</v>
      </c>
      <c r="CR7" s="199">
        <f t="shared" si="59"/>
        <v>0</v>
      </c>
      <c r="CS7" s="191"/>
      <c r="CT7" s="191"/>
      <c r="CU7" s="191"/>
      <c r="CV7" s="191"/>
      <c r="CW7" s="191"/>
      <c r="CX7" s="191"/>
      <c r="CY7" s="191"/>
    </row>
    <row r="8" spans="1:103" x14ac:dyDescent="0.3">
      <c r="B8" t="str">
        <f>TRNG!F6</f>
        <v>hybrid</v>
      </c>
      <c r="C8">
        <f>TRNG!C6</f>
        <v>2007</v>
      </c>
      <c r="D8" s="57" t="str">
        <f>IF($B8=D$3,IF(TRNG!$K6&gt;0,TRNG!$K6*1000000,""),"")</f>
        <v/>
      </c>
      <c r="E8" s="57" t="str">
        <f>IF($B8=E$3,IF(TRNG!$K6&gt;0,TRNG!$K6*1000000,""),"")</f>
        <v/>
      </c>
      <c r="F8" s="57" t="str">
        <f>IF($B8=F$3,IF(TRNG!$K6&gt;0,TRNG!$K6*1000000,""),"")</f>
        <v/>
      </c>
      <c r="G8" s="57" t="str">
        <f>IF($B8=G$3,IF(TRNG!$K6&gt;0,TRNG!$K6*1000000,""),"")</f>
        <v/>
      </c>
      <c r="H8" s="57">
        <f>IF($B8=H$3,IF(TRNG!$K6&gt;0,TRNG!$K6*1000000,""),"")</f>
        <v>2000000</v>
      </c>
      <c r="I8" s="57" t="str">
        <f>IF($B8=I$3,IF(TRNG!$K6&gt;0,TRNG!$K6*1000000,""),"")</f>
        <v/>
      </c>
      <c r="J8" s="23"/>
      <c r="K8" s="57" t="str">
        <f>IF($B8=K$3,IF(TRNG!$O6&gt;0,TRNG!$O6,""),"")</f>
        <v/>
      </c>
      <c r="L8" s="57" t="str">
        <f>IF($B8=L$3,IF(TRNG!$O6&gt;0,TRNG!$O6,""),"")</f>
        <v/>
      </c>
      <c r="M8" s="57" t="str">
        <f>IF($B8=M$3,IF(TRNG!$O6&gt;0,TRNG!$O6,""),"")</f>
        <v/>
      </c>
      <c r="N8" s="57" t="str">
        <f>IF($B8=N$3,IF(TRNG!$O6&gt;0,TRNG!$O6,""),"")</f>
        <v/>
      </c>
      <c r="O8" s="57">
        <f>IF($B8=O$3,IF(TRNG!$O6&gt;0,TRNG!$O6,""),"")</f>
        <v>49704142011834.313</v>
      </c>
      <c r="P8" s="57" t="str">
        <f>IF($B8=P$3,IF(TRNG!$O6&gt;0,TRNG!$O6,""),"")</f>
        <v/>
      </c>
      <c r="R8" s="57" t="str">
        <f>IF($B8=R$3,IF(TRNG!$N6&gt;0,TRNG!$N6*1000000,""),"")</f>
        <v/>
      </c>
      <c r="S8" s="57" t="str">
        <f>IF($B8=S$3,IF(TRNG!$N6&gt;0,TRNG!$N6*1000000,""),"")</f>
        <v/>
      </c>
      <c r="T8" s="57" t="str">
        <f>IF($B8=T$3,IF(TRNG!$N6&gt;0,TRNG!$N6*1000000,""),"")</f>
        <v/>
      </c>
      <c r="U8" s="57" t="str">
        <f>IF($B8=U$3,IF(TRNG!$N6&gt;0,TRNG!$N6*1000000,""),"")</f>
        <v/>
      </c>
      <c r="V8" s="57">
        <f>IF($B8=V$3,IF(TRNG!$N6&gt;0,TRNG!$N6*1000000,""),"")</f>
        <v>210000000000</v>
      </c>
      <c r="W8" s="57" t="str">
        <f>IF($B8=W$3,IF(TRNG!$N6&gt;0,TRNG!$N6*1000000,""),"")</f>
        <v/>
      </c>
      <c r="Y8" s="57" t="str">
        <f>IF($B8=Y$3,IF(TRNG!$P6&gt;0,TRNG!$P6,""),"")</f>
        <v/>
      </c>
      <c r="Z8" s="57" t="str">
        <f>IF($B8=Z$3,IF(TRNG!$P6&gt;0,TRNG!$P6,""),"")</f>
        <v/>
      </c>
      <c r="AA8" s="57" t="str">
        <f>IF($B8=AA$3,IF(TRNG!$P6&gt;0,TRNG!$P6,""),"")</f>
        <v/>
      </c>
      <c r="AB8" s="57" t="str">
        <f>IF($B8=AB$3,IF(TRNG!$P6&gt;0,TRNG!$P6,""),"")</f>
        <v/>
      </c>
      <c r="AC8" s="57" t="str">
        <f>IF($B8=AC$3,IF(TRNG!$P6&gt;0,TRNG!$P6,""),"")</f>
        <v/>
      </c>
      <c r="AD8" s="57" t="str">
        <f>IF($B8=AD$3,IF(TRNG!$P6&gt;0,TRNG!$P6,""),"")</f>
        <v/>
      </c>
      <c r="AG8" s="199">
        <f t="shared" si="0"/>
        <v>0</v>
      </c>
      <c r="AH8" s="199">
        <f t="shared" si="1"/>
        <v>0</v>
      </c>
      <c r="AI8" s="199">
        <f t="shared" si="2"/>
        <v>0</v>
      </c>
      <c r="AJ8" s="199">
        <f t="shared" si="3"/>
        <v>0</v>
      </c>
      <c r="AK8" s="199">
        <f t="shared" si="4"/>
        <v>0</v>
      </c>
      <c r="AL8" s="199">
        <f t="shared" si="5"/>
        <v>0</v>
      </c>
      <c r="AM8" s="199">
        <f t="shared" si="6"/>
        <v>0</v>
      </c>
      <c r="AN8" s="199">
        <f t="shared" si="7"/>
        <v>0</v>
      </c>
      <c r="AO8" s="199">
        <f t="shared" si="8"/>
        <v>2000000</v>
      </c>
      <c r="AP8" s="199">
        <f t="shared" si="9"/>
        <v>49704142011834.313</v>
      </c>
      <c r="AQ8" s="199">
        <f t="shared" si="10"/>
        <v>0</v>
      </c>
      <c r="AR8" s="199">
        <f t="shared" si="11"/>
        <v>0</v>
      </c>
      <c r="AT8" s="199">
        <f t="shared" si="12"/>
        <v>0</v>
      </c>
      <c r="AU8" s="199">
        <f t="shared" si="13"/>
        <v>0</v>
      </c>
      <c r="AV8" s="199">
        <f t="shared" si="14"/>
        <v>0</v>
      </c>
      <c r="AW8" s="199">
        <f t="shared" si="15"/>
        <v>0</v>
      </c>
      <c r="AX8" s="199">
        <f t="shared" si="16"/>
        <v>0</v>
      </c>
      <c r="AY8" s="199">
        <f t="shared" si="17"/>
        <v>0</v>
      </c>
      <c r="AZ8" s="199">
        <f t="shared" si="18"/>
        <v>0</v>
      </c>
      <c r="BA8" s="199">
        <f t="shared" si="19"/>
        <v>0</v>
      </c>
      <c r="BB8" s="199">
        <f t="shared" si="20"/>
        <v>2000000</v>
      </c>
      <c r="BC8" s="199">
        <f t="shared" si="21"/>
        <v>210000000000</v>
      </c>
      <c r="BD8" s="199">
        <f t="shared" si="22"/>
        <v>0</v>
      </c>
      <c r="BE8" s="202">
        <f t="shared" si="23"/>
        <v>0</v>
      </c>
      <c r="BF8" s="191"/>
      <c r="BG8" s="199">
        <f t="shared" si="24"/>
        <v>0</v>
      </c>
      <c r="BH8" s="199">
        <f t="shared" si="25"/>
        <v>0</v>
      </c>
      <c r="BI8" s="199">
        <f t="shared" si="26"/>
        <v>0</v>
      </c>
      <c r="BJ8" s="199">
        <f t="shared" si="27"/>
        <v>0</v>
      </c>
      <c r="BK8" s="199">
        <f t="shared" si="28"/>
        <v>0</v>
      </c>
      <c r="BL8" s="199">
        <f t="shared" si="29"/>
        <v>0</v>
      </c>
      <c r="BM8" s="199">
        <f t="shared" si="30"/>
        <v>0</v>
      </c>
      <c r="BN8" s="199">
        <f t="shared" si="31"/>
        <v>0</v>
      </c>
      <c r="BO8" s="199">
        <f t="shared" si="32"/>
        <v>0</v>
      </c>
      <c r="BP8" s="199">
        <f t="shared" si="33"/>
        <v>0</v>
      </c>
      <c r="BQ8" s="199">
        <f t="shared" si="34"/>
        <v>0</v>
      </c>
      <c r="BR8" s="199">
        <f t="shared" si="35"/>
        <v>0</v>
      </c>
      <c r="BS8" s="191"/>
      <c r="BT8" s="199">
        <f t="shared" si="36"/>
        <v>0</v>
      </c>
      <c r="BU8" s="199">
        <f t="shared" si="37"/>
        <v>0</v>
      </c>
      <c r="BV8" s="199">
        <f t="shared" si="38"/>
        <v>0</v>
      </c>
      <c r="BW8" s="199">
        <f t="shared" si="39"/>
        <v>0</v>
      </c>
      <c r="BX8" s="199">
        <f t="shared" si="40"/>
        <v>0</v>
      </c>
      <c r="BY8" s="199">
        <f t="shared" si="41"/>
        <v>0</v>
      </c>
      <c r="BZ8" s="199">
        <f t="shared" si="42"/>
        <v>0</v>
      </c>
      <c r="CA8" s="199">
        <f t="shared" si="43"/>
        <v>0</v>
      </c>
      <c r="CB8" s="199">
        <f t="shared" si="44"/>
        <v>0</v>
      </c>
      <c r="CC8" s="199">
        <f t="shared" si="45"/>
        <v>0</v>
      </c>
      <c r="CD8" s="199">
        <f t="shared" si="46"/>
        <v>0</v>
      </c>
      <c r="CE8" s="199">
        <f t="shared" si="47"/>
        <v>0</v>
      </c>
      <c r="CF8" s="191"/>
      <c r="CG8" s="199">
        <f t="shared" si="48"/>
        <v>0</v>
      </c>
      <c r="CH8" s="199">
        <f t="shared" si="49"/>
        <v>0</v>
      </c>
      <c r="CI8" s="199">
        <f t="shared" si="50"/>
        <v>0</v>
      </c>
      <c r="CJ8" s="199">
        <f t="shared" si="51"/>
        <v>0</v>
      </c>
      <c r="CK8" s="199">
        <f t="shared" si="52"/>
        <v>0</v>
      </c>
      <c r="CL8" s="199">
        <f t="shared" si="53"/>
        <v>0</v>
      </c>
      <c r="CM8" s="199">
        <f t="shared" si="54"/>
        <v>0</v>
      </c>
      <c r="CN8" s="199">
        <f t="shared" si="55"/>
        <v>0</v>
      </c>
      <c r="CO8" s="199">
        <f t="shared" si="56"/>
        <v>0</v>
      </c>
      <c r="CP8" s="199">
        <f t="shared" si="57"/>
        <v>0</v>
      </c>
      <c r="CQ8" s="199">
        <f t="shared" si="58"/>
        <v>0</v>
      </c>
      <c r="CR8" s="199">
        <f t="shared" si="59"/>
        <v>0</v>
      </c>
      <c r="CS8" s="191"/>
      <c r="CT8" s="191"/>
      <c r="CU8" s="191"/>
      <c r="CV8" s="191"/>
      <c r="CW8" s="191"/>
      <c r="CX8" s="191"/>
      <c r="CY8" s="191"/>
    </row>
    <row r="9" spans="1:103" x14ac:dyDescent="0.3">
      <c r="B9" t="str">
        <f>TRNG!F7</f>
        <v>jitter</v>
      </c>
      <c r="C9">
        <f>TRNG!C7</f>
        <v>2008</v>
      </c>
      <c r="D9" s="57" t="str">
        <f>IF($B9=D$3,IF(TRNG!$K7&gt;0,TRNG!$K7*1000000,""),"")</f>
        <v/>
      </c>
      <c r="E9" s="57">
        <f>IF($B9=E$3,IF(TRNG!$K7&gt;0,TRNG!$K7*1000000,""),"")</f>
        <v>1740000</v>
      </c>
      <c r="F9" s="57" t="str">
        <f>IF($B9=F$3,IF(TRNG!$K7&gt;0,TRNG!$K7*1000000,""),"")</f>
        <v/>
      </c>
      <c r="G9" s="57" t="str">
        <f>IF($B9=G$3,IF(TRNG!$K7&gt;0,TRNG!$K7*1000000,""),"")</f>
        <v/>
      </c>
      <c r="H9" s="57" t="str">
        <f>IF($B9=H$3,IF(TRNG!$K7&gt;0,TRNG!$K7*1000000,""),"")</f>
        <v/>
      </c>
      <c r="I9" s="57" t="str">
        <f>IF($B9=I$3,IF(TRNG!$K7&gt;0,TRNG!$K7*1000000,""),"")</f>
        <v/>
      </c>
      <c r="J9" s="23"/>
      <c r="K9" s="57" t="str">
        <f>IF($B9=K$3,IF(TRNG!$O7&gt;0,TRNG!$O7,""),"")</f>
        <v/>
      </c>
      <c r="L9" s="57">
        <f>IF($B9=L$3,IF(TRNG!$O7&gt;0,TRNG!$O7,""),"")</f>
        <v>1604938271604.9385</v>
      </c>
      <c r="M9" s="57" t="str">
        <f>IF($B9=M$3,IF(TRNG!$O7&gt;0,TRNG!$O7,""),"")</f>
        <v/>
      </c>
      <c r="N9" s="57" t="str">
        <f>IF($B9=N$3,IF(TRNG!$O7&gt;0,TRNG!$O7,""),"")</f>
        <v/>
      </c>
      <c r="O9" s="57" t="str">
        <f>IF($B9=O$3,IF(TRNG!$O7&gt;0,TRNG!$O7,""),"")</f>
        <v/>
      </c>
      <c r="P9" s="57" t="str">
        <f>IF($B9=P$3,IF(TRNG!$O7&gt;0,TRNG!$O7,""),"")</f>
        <v/>
      </c>
      <c r="R9" s="57" t="str">
        <f>IF($B9=R$3,IF(TRNG!$N7&gt;0,TRNG!$N7*1000000,""),"")</f>
        <v/>
      </c>
      <c r="S9" s="57">
        <f>IF($B9=S$3,IF(TRNG!$N7&gt;0,TRNG!$N7*1000000,""),"")</f>
        <v>13000000000</v>
      </c>
      <c r="T9" s="57" t="str">
        <f>IF($B9=T$3,IF(TRNG!$N7&gt;0,TRNG!$N7*1000000,""),"")</f>
        <v/>
      </c>
      <c r="U9" s="57" t="str">
        <f>IF($B9=U$3,IF(TRNG!$N7&gt;0,TRNG!$N7*1000000,""),"")</f>
        <v/>
      </c>
      <c r="V9" s="57" t="str">
        <f>IF($B9=V$3,IF(TRNG!$N7&gt;0,TRNG!$N7*1000000,""),"")</f>
        <v/>
      </c>
      <c r="W9" s="57" t="str">
        <f>IF($B9=W$3,IF(TRNG!$N7&gt;0,TRNG!$N7*1000000,""),"")</f>
        <v/>
      </c>
      <c r="Y9" s="57" t="str">
        <f>IF($B9=Y$3,IF(TRNG!$P7&gt;0,TRNG!$P7,""),"")</f>
        <v/>
      </c>
      <c r="Z9" s="57">
        <f>IF($B9=Z$3,IF(TRNG!$P7&gt;0,TRNG!$P7,""),"")</f>
        <v>137.93103448275863</v>
      </c>
      <c r="AA9" s="57" t="str">
        <f>IF($B9=AA$3,IF(TRNG!$P7&gt;0,TRNG!$P7,""),"")</f>
        <v/>
      </c>
      <c r="AB9" s="57" t="str">
        <f>IF($B9=AB$3,IF(TRNG!$P7&gt;0,TRNG!$P7,""),"")</f>
        <v/>
      </c>
      <c r="AC9" s="57" t="str">
        <f>IF($B9=AC$3,IF(TRNG!$P7&gt;0,TRNG!$P7,""),"")</f>
        <v/>
      </c>
      <c r="AD9" s="57" t="str">
        <f>IF($B9=AD$3,IF(TRNG!$P7&gt;0,TRNG!$P7,""),"")</f>
        <v/>
      </c>
      <c r="AG9" s="199">
        <f t="shared" si="0"/>
        <v>0</v>
      </c>
      <c r="AH9" s="199">
        <f t="shared" si="1"/>
        <v>0</v>
      </c>
      <c r="AI9" s="199">
        <f t="shared" si="2"/>
        <v>1740000</v>
      </c>
      <c r="AJ9" s="199">
        <f t="shared" si="3"/>
        <v>1604938271604.9385</v>
      </c>
      <c r="AK9" s="199">
        <f t="shared" si="4"/>
        <v>0</v>
      </c>
      <c r="AL9" s="199">
        <f t="shared" si="5"/>
        <v>0</v>
      </c>
      <c r="AM9" s="199">
        <f t="shared" si="6"/>
        <v>0</v>
      </c>
      <c r="AN9" s="199">
        <f t="shared" si="7"/>
        <v>0</v>
      </c>
      <c r="AO9" s="199">
        <f t="shared" si="8"/>
        <v>0</v>
      </c>
      <c r="AP9" s="199">
        <f t="shared" si="9"/>
        <v>0</v>
      </c>
      <c r="AQ9" s="199">
        <f t="shared" si="10"/>
        <v>0</v>
      </c>
      <c r="AR9" s="199">
        <f t="shared" si="11"/>
        <v>0</v>
      </c>
      <c r="AT9" s="199">
        <f t="shared" si="12"/>
        <v>0</v>
      </c>
      <c r="AU9" s="199">
        <f t="shared" si="13"/>
        <v>0</v>
      </c>
      <c r="AV9" s="199">
        <f t="shared" si="14"/>
        <v>1740000</v>
      </c>
      <c r="AW9" s="199">
        <f t="shared" si="15"/>
        <v>13000000000</v>
      </c>
      <c r="AX9" s="199">
        <f t="shared" si="16"/>
        <v>0</v>
      </c>
      <c r="AY9" s="199">
        <f t="shared" si="17"/>
        <v>0</v>
      </c>
      <c r="AZ9" s="199">
        <f t="shared" si="18"/>
        <v>0</v>
      </c>
      <c r="BA9" s="199">
        <f t="shared" si="19"/>
        <v>0</v>
      </c>
      <c r="BB9" s="199">
        <f t="shared" si="20"/>
        <v>0</v>
      </c>
      <c r="BC9" s="199">
        <f t="shared" si="21"/>
        <v>0</v>
      </c>
      <c r="BD9" s="199">
        <f t="shared" si="22"/>
        <v>0</v>
      </c>
      <c r="BE9" s="202">
        <f t="shared" si="23"/>
        <v>0</v>
      </c>
      <c r="BF9" s="191"/>
      <c r="BG9" s="199">
        <f t="shared" si="24"/>
        <v>0</v>
      </c>
      <c r="BH9" s="199">
        <f t="shared" si="25"/>
        <v>0</v>
      </c>
      <c r="BI9" s="199">
        <f t="shared" si="26"/>
        <v>1740000</v>
      </c>
      <c r="BJ9" s="199">
        <f t="shared" si="27"/>
        <v>137.93103448275863</v>
      </c>
      <c r="BK9" s="199">
        <f t="shared" si="28"/>
        <v>0</v>
      </c>
      <c r="BL9" s="199">
        <f t="shared" si="29"/>
        <v>0</v>
      </c>
      <c r="BM9" s="199">
        <f t="shared" si="30"/>
        <v>0</v>
      </c>
      <c r="BN9" s="199">
        <f t="shared" si="31"/>
        <v>0</v>
      </c>
      <c r="BO9" s="199">
        <f t="shared" si="32"/>
        <v>0</v>
      </c>
      <c r="BP9" s="199">
        <f t="shared" si="33"/>
        <v>0</v>
      </c>
      <c r="BQ9" s="199">
        <f t="shared" si="34"/>
        <v>0</v>
      </c>
      <c r="BR9" s="199">
        <f t="shared" si="35"/>
        <v>0</v>
      </c>
      <c r="BS9" s="191"/>
      <c r="BT9" s="199">
        <f t="shared" si="36"/>
        <v>0</v>
      </c>
      <c r="BU9" s="199">
        <f t="shared" si="37"/>
        <v>0</v>
      </c>
      <c r="BV9" s="199">
        <f t="shared" si="38"/>
        <v>137.93103448275863</v>
      </c>
      <c r="BW9" s="199">
        <f t="shared" si="39"/>
        <v>1604938271604.9385</v>
      </c>
      <c r="BX9" s="199">
        <f t="shared" si="40"/>
        <v>0</v>
      </c>
      <c r="BY9" s="199">
        <f t="shared" si="41"/>
        <v>0</v>
      </c>
      <c r="BZ9" s="199">
        <f t="shared" si="42"/>
        <v>0</v>
      </c>
      <c r="CA9" s="199">
        <f t="shared" si="43"/>
        <v>0</v>
      </c>
      <c r="CB9" s="199">
        <f t="shared" si="44"/>
        <v>0</v>
      </c>
      <c r="CC9" s="199">
        <f t="shared" si="45"/>
        <v>0</v>
      </c>
      <c r="CD9" s="199">
        <f t="shared" si="46"/>
        <v>0</v>
      </c>
      <c r="CE9" s="199">
        <f t="shared" si="47"/>
        <v>0</v>
      </c>
      <c r="CF9" s="191"/>
      <c r="CG9" s="199">
        <f t="shared" si="48"/>
        <v>0</v>
      </c>
      <c r="CH9" s="199">
        <f t="shared" si="49"/>
        <v>0</v>
      </c>
      <c r="CI9" s="199">
        <f t="shared" si="50"/>
        <v>137.93103448275863</v>
      </c>
      <c r="CJ9" s="199">
        <f t="shared" si="51"/>
        <v>13000000000</v>
      </c>
      <c r="CK9" s="199">
        <f t="shared" si="52"/>
        <v>0</v>
      </c>
      <c r="CL9" s="199">
        <f t="shared" si="53"/>
        <v>0</v>
      </c>
      <c r="CM9" s="199">
        <f t="shared" si="54"/>
        <v>0</v>
      </c>
      <c r="CN9" s="199">
        <f t="shared" si="55"/>
        <v>0</v>
      </c>
      <c r="CO9" s="199">
        <f t="shared" si="56"/>
        <v>0</v>
      </c>
      <c r="CP9" s="199">
        <f t="shared" si="57"/>
        <v>0</v>
      </c>
      <c r="CQ9" s="199">
        <f t="shared" si="58"/>
        <v>0</v>
      </c>
      <c r="CR9" s="199">
        <f t="shared" si="59"/>
        <v>0</v>
      </c>
      <c r="CS9" s="191"/>
      <c r="CT9" s="191"/>
      <c r="CU9" s="191"/>
      <c r="CV9" s="191"/>
      <c r="CW9" s="191"/>
      <c r="CX9" s="191"/>
      <c r="CY9" s="191"/>
    </row>
    <row r="10" spans="1:103" x14ac:dyDescent="0.3">
      <c r="B10" t="str">
        <f>TRNG!F8</f>
        <v>hybrid</v>
      </c>
      <c r="C10">
        <f>TRNG!C8</f>
        <v>2008</v>
      </c>
      <c r="D10" s="57" t="str">
        <f>IF($B10=D$3,IF(TRNG!$K8&gt;0,TRNG!$K8*1000000,""),"")</f>
        <v/>
      </c>
      <c r="E10" s="57" t="str">
        <f>IF($B10=E$3,IF(TRNG!$K8&gt;0,TRNG!$K8*1000000,""),"")</f>
        <v/>
      </c>
      <c r="F10" s="57" t="str">
        <f>IF($B10=F$3,IF(TRNG!$K8&gt;0,TRNG!$K8*1000000,""),"")</f>
        <v/>
      </c>
      <c r="G10" s="57" t="str">
        <f>IF($B10=G$3,IF(TRNG!$K8&gt;0,TRNG!$K8*1000000,""),"")</f>
        <v/>
      </c>
      <c r="H10" s="57">
        <f>IF($B10=H$3,IF(TRNG!$K8&gt;0,TRNG!$K8*1000000,""),"")</f>
        <v>200000</v>
      </c>
      <c r="I10" s="57" t="str">
        <f>IF($B10=I$3,IF(TRNG!$K8&gt;0,TRNG!$K8*1000000,""),"")</f>
        <v/>
      </c>
      <c r="J10" s="23"/>
      <c r="K10" s="57" t="str">
        <f>IF($B10=K$3,IF(TRNG!$O8&gt;0,TRNG!$O8,""),"")</f>
        <v/>
      </c>
      <c r="L10" s="57" t="str">
        <f>IF($B10=L$3,IF(TRNG!$O8&gt;0,TRNG!$O8,""),"")</f>
        <v/>
      </c>
      <c r="M10" s="57" t="str">
        <f>IF($B10=M$3,IF(TRNG!$O8&gt;0,TRNG!$O8,""),"")</f>
        <v/>
      </c>
      <c r="N10" s="57" t="str">
        <f>IF($B10=N$3,IF(TRNG!$O8&gt;0,TRNG!$O8,""),"")</f>
        <v/>
      </c>
      <c r="O10" s="57">
        <f>IF($B10=O$3,IF(TRNG!$O8&gt;0,TRNG!$O8,""),"")</f>
        <v>8579881656804.7324</v>
      </c>
      <c r="P10" s="57" t="str">
        <f>IF($B10=P$3,IF(TRNG!$O8&gt;0,TRNG!$O8,""),"")</f>
        <v/>
      </c>
      <c r="R10" s="57" t="str">
        <f>IF($B10=R$3,IF(TRNG!$N8&gt;0,TRNG!$N8*1000000,""),"")</f>
        <v/>
      </c>
      <c r="S10" s="57" t="str">
        <f>IF($B10=S$3,IF(TRNG!$N8&gt;0,TRNG!$N8*1000000,""),"")</f>
        <v/>
      </c>
      <c r="T10" s="57" t="str">
        <f>IF($B10=T$3,IF(TRNG!$N8&gt;0,TRNG!$N8*1000000,""),"")</f>
        <v/>
      </c>
      <c r="U10" s="57" t="str">
        <f>IF($B10=U$3,IF(TRNG!$N8&gt;0,TRNG!$N8*1000000,""),"")</f>
        <v/>
      </c>
      <c r="V10" s="57">
        <f>IF($B10=V$3,IF(TRNG!$N8&gt;0,TRNG!$N8*1000000,""),"")</f>
        <v>145000000000</v>
      </c>
      <c r="W10" s="57" t="str">
        <f>IF($B10=W$3,IF(TRNG!$N8&gt;0,TRNG!$N8*1000000,""),"")</f>
        <v/>
      </c>
      <c r="Y10" s="57" t="str">
        <f>IF($B10=Y$3,IF(TRNG!$P8&gt;0,TRNG!$P8,""),"")</f>
        <v/>
      </c>
      <c r="Z10" s="57" t="str">
        <f>IF($B10=Z$3,IF(TRNG!$P8&gt;0,TRNG!$P8,""),"")</f>
        <v/>
      </c>
      <c r="AA10" s="57" t="str">
        <f>IF($B10=AA$3,IF(TRNG!$P8&gt;0,TRNG!$P8,""),"")</f>
        <v/>
      </c>
      <c r="AB10" s="57" t="str">
        <f>IF($B10=AB$3,IF(TRNG!$P8&gt;0,TRNG!$P8,""),"")</f>
        <v/>
      </c>
      <c r="AC10" s="57">
        <f>IF($B10=AC$3,IF(TRNG!$P8&gt;0,TRNG!$P8,""),"")</f>
        <v>5000</v>
      </c>
      <c r="AD10" s="57" t="str">
        <f>IF($B10=AD$3,IF(TRNG!$P8&gt;0,TRNG!$P8,""),"")</f>
        <v/>
      </c>
      <c r="AG10" s="199">
        <f t="shared" si="0"/>
        <v>0</v>
      </c>
      <c r="AH10" s="199">
        <f t="shared" si="1"/>
        <v>0</v>
      </c>
      <c r="AI10" s="199">
        <f t="shared" si="2"/>
        <v>0</v>
      </c>
      <c r="AJ10" s="199">
        <f t="shared" si="3"/>
        <v>0</v>
      </c>
      <c r="AK10" s="199">
        <f t="shared" si="4"/>
        <v>0</v>
      </c>
      <c r="AL10" s="199">
        <f t="shared" si="5"/>
        <v>0</v>
      </c>
      <c r="AM10" s="199">
        <f t="shared" si="6"/>
        <v>0</v>
      </c>
      <c r="AN10" s="199">
        <f t="shared" si="7"/>
        <v>0</v>
      </c>
      <c r="AO10" s="199">
        <f t="shared" si="8"/>
        <v>200000</v>
      </c>
      <c r="AP10" s="199">
        <f t="shared" si="9"/>
        <v>8579881656804.7324</v>
      </c>
      <c r="AQ10" s="199">
        <f t="shared" si="10"/>
        <v>0</v>
      </c>
      <c r="AR10" s="199">
        <f t="shared" si="11"/>
        <v>0</v>
      </c>
      <c r="AT10" s="199">
        <f t="shared" si="12"/>
        <v>0</v>
      </c>
      <c r="AU10" s="199">
        <f t="shared" si="13"/>
        <v>0</v>
      </c>
      <c r="AV10" s="199">
        <f t="shared" si="14"/>
        <v>0</v>
      </c>
      <c r="AW10" s="199">
        <f t="shared" si="15"/>
        <v>0</v>
      </c>
      <c r="AX10" s="199">
        <f t="shared" si="16"/>
        <v>0</v>
      </c>
      <c r="AY10" s="199">
        <f t="shared" si="17"/>
        <v>0</v>
      </c>
      <c r="AZ10" s="199">
        <f t="shared" si="18"/>
        <v>0</v>
      </c>
      <c r="BA10" s="199">
        <f t="shared" si="19"/>
        <v>0</v>
      </c>
      <c r="BB10" s="199">
        <f t="shared" si="20"/>
        <v>200000</v>
      </c>
      <c r="BC10" s="199">
        <f t="shared" si="21"/>
        <v>145000000000</v>
      </c>
      <c r="BD10" s="199">
        <f t="shared" si="22"/>
        <v>0</v>
      </c>
      <c r="BE10" s="202">
        <f t="shared" si="23"/>
        <v>0</v>
      </c>
      <c r="BF10" s="191"/>
      <c r="BG10" s="199">
        <f t="shared" si="24"/>
        <v>0</v>
      </c>
      <c r="BH10" s="199">
        <f t="shared" si="25"/>
        <v>0</v>
      </c>
      <c r="BI10" s="199">
        <f t="shared" si="26"/>
        <v>0</v>
      </c>
      <c r="BJ10" s="199">
        <f t="shared" si="27"/>
        <v>0</v>
      </c>
      <c r="BK10" s="199">
        <f t="shared" si="28"/>
        <v>0</v>
      </c>
      <c r="BL10" s="199">
        <f t="shared" si="29"/>
        <v>0</v>
      </c>
      <c r="BM10" s="199">
        <f t="shared" si="30"/>
        <v>0</v>
      </c>
      <c r="BN10" s="199">
        <f t="shared" si="31"/>
        <v>0</v>
      </c>
      <c r="BO10" s="199">
        <f t="shared" si="32"/>
        <v>200000</v>
      </c>
      <c r="BP10" s="199">
        <f t="shared" si="33"/>
        <v>5000</v>
      </c>
      <c r="BQ10" s="199">
        <f t="shared" si="34"/>
        <v>0</v>
      </c>
      <c r="BR10" s="199">
        <f t="shared" si="35"/>
        <v>0</v>
      </c>
      <c r="BS10" s="191"/>
      <c r="BT10" s="199">
        <f t="shared" si="36"/>
        <v>0</v>
      </c>
      <c r="BU10" s="199">
        <f t="shared" si="37"/>
        <v>0</v>
      </c>
      <c r="BV10" s="199">
        <f t="shared" si="38"/>
        <v>0</v>
      </c>
      <c r="BW10" s="199">
        <f t="shared" si="39"/>
        <v>0</v>
      </c>
      <c r="BX10" s="199">
        <f t="shared" si="40"/>
        <v>0</v>
      </c>
      <c r="BY10" s="199">
        <f t="shared" si="41"/>
        <v>0</v>
      </c>
      <c r="BZ10" s="199">
        <f t="shared" si="42"/>
        <v>0</v>
      </c>
      <c r="CA10" s="199">
        <f t="shared" si="43"/>
        <v>0</v>
      </c>
      <c r="CB10" s="199">
        <f t="shared" si="44"/>
        <v>5000</v>
      </c>
      <c r="CC10" s="199">
        <f t="shared" si="45"/>
        <v>8579881656804.7324</v>
      </c>
      <c r="CD10" s="199">
        <f t="shared" si="46"/>
        <v>0</v>
      </c>
      <c r="CE10" s="199">
        <f t="shared" si="47"/>
        <v>0</v>
      </c>
      <c r="CF10" s="191"/>
      <c r="CG10" s="199">
        <f t="shared" si="48"/>
        <v>0</v>
      </c>
      <c r="CH10" s="199">
        <f t="shared" si="49"/>
        <v>0</v>
      </c>
      <c r="CI10" s="199">
        <f t="shared" si="50"/>
        <v>0</v>
      </c>
      <c r="CJ10" s="199">
        <f t="shared" si="51"/>
        <v>0</v>
      </c>
      <c r="CK10" s="199">
        <f t="shared" si="52"/>
        <v>0</v>
      </c>
      <c r="CL10" s="199">
        <f t="shared" si="53"/>
        <v>0</v>
      </c>
      <c r="CM10" s="199">
        <f t="shared" si="54"/>
        <v>0</v>
      </c>
      <c r="CN10" s="199">
        <f t="shared" si="55"/>
        <v>0</v>
      </c>
      <c r="CO10" s="199">
        <f t="shared" si="56"/>
        <v>5000</v>
      </c>
      <c r="CP10" s="199">
        <f t="shared" si="57"/>
        <v>145000000000</v>
      </c>
      <c r="CQ10" s="199">
        <f t="shared" si="58"/>
        <v>0</v>
      </c>
      <c r="CR10" s="199">
        <f t="shared" si="59"/>
        <v>0</v>
      </c>
      <c r="CS10" s="191"/>
      <c r="CT10" s="191"/>
      <c r="CU10" s="191"/>
      <c r="CV10" s="191"/>
      <c r="CW10" s="191"/>
      <c r="CX10" s="191"/>
      <c r="CY10" s="191"/>
    </row>
    <row r="11" spans="1:103" x14ac:dyDescent="0.3">
      <c r="B11" t="str">
        <f>TRNG!F9</f>
        <v>noise-based</v>
      </c>
      <c r="C11">
        <f>TRNG!C9</f>
        <v>2008</v>
      </c>
      <c r="D11" s="57">
        <f>IF($B11=D$3,IF(TRNG!$K9&gt;0,TRNG!$K9*1000000,""),"")</f>
        <v>2000000</v>
      </c>
      <c r="E11" s="57" t="str">
        <f>IF($B11=E$3,IF(TRNG!$K9&gt;0,TRNG!$K9*1000000,""),"")</f>
        <v/>
      </c>
      <c r="F11" s="57" t="str">
        <f>IF($B11=F$3,IF(TRNG!$K9&gt;0,TRNG!$K9*1000000,""),"")</f>
        <v/>
      </c>
      <c r="G11" s="57" t="str">
        <f>IF($B11=G$3,IF(TRNG!$K9&gt;0,TRNG!$K9*1000000,""),"")</f>
        <v/>
      </c>
      <c r="H11" s="57" t="str">
        <f>IF($B11=H$3,IF(TRNG!$K9&gt;0,TRNG!$K9*1000000,""),"")</f>
        <v/>
      </c>
      <c r="I11" s="57" t="str">
        <f>IF($B11=I$3,IF(TRNG!$K9&gt;0,TRNG!$K9*1000000,""),"")</f>
        <v/>
      </c>
      <c r="J11" s="23"/>
      <c r="K11" s="57">
        <f>IF($B11=K$3,IF(TRNG!$O9&gt;0,TRNG!$O9,""),"")</f>
        <v>19520000000</v>
      </c>
      <c r="L11" s="57" t="str">
        <f>IF($B11=L$3,IF(TRNG!$O9&gt;0,TRNG!$O9,""),"")</f>
        <v/>
      </c>
      <c r="M11" s="57" t="str">
        <f>IF($B11=M$3,IF(TRNG!$O9&gt;0,TRNG!$O9,""),"")</f>
        <v/>
      </c>
      <c r="N11" s="57" t="str">
        <f>IF($B11=N$3,IF(TRNG!$O9&gt;0,TRNG!$O9,""),"")</f>
        <v/>
      </c>
      <c r="O11" s="57" t="str">
        <f>IF($B11=O$3,IF(TRNG!$O9&gt;0,TRNG!$O9,""),"")</f>
        <v/>
      </c>
      <c r="P11" s="57" t="str">
        <f>IF($B11=P$3,IF(TRNG!$O9&gt;0,TRNG!$O9,""),"")</f>
        <v/>
      </c>
      <c r="R11" s="57">
        <f>IF($B11=R$3,IF(TRNG!$N9&gt;0,TRNG!$N9*1000000,""),"")</f>
        <v>1220000000</v>
      </c>
      <c r="S11" s="57" t="str">
        <f>IF($B11=S$3,IF(TRNG!$N9&gt;0,TRNG!$N9*1000000,""),"")</f>
        <v/>
      </c>
      <c r="T11" s="57" t="str">
        <f>IF($B11=T$3,IF(TRNG!$N9&gt;0,TRNG!$N9*1000000,""),"")</f>
        <v/>
      </c>
      <c r="U11" s="57" t="str">
        <f>IF($B11=U$3,IF(TRNG!$N9&gt;0,TRNG!$N9*1000000,""),"")</f>
        <v/>
      </c>
      <c r="V11" s="57" t="str">
        <f>IF($B11=V$3,IF(TRNG!$N9&gt;0,TRNG!$N9*1000000,""),"")</f>
        <v/>
      </c>
      <c r="W11" s="57" t="str">
        <f>IF($B11=W$3,IF(TRNG!$N9&gt;0,TRNG!$N9*1000000,""),"")</f>
        <v/>
      </c>
      <c r="Y11" s="57">
        <f>IF($B11=Y$3,IF(TRNG!$P9&gt;0,TRNG!$P9,""),"")</f>
        <v>3800</v>
      </c>
      <c r="Z11" s="57" t="str">
        <f>IF($B11=Z$3,IF(TRNG!$P9&gt;0,TRNG!$P9,""),"")</f>
        <v/>
      </c>
      <c r="AA11" s="57" t="str">
        <f>IF($B11=AA$3,IF(TRNG!$P9&gt;0,TRNG!$P9,""),"")</f>
        <v/>
      </c>
      <c r="AB11" s="57" t="str">
        <f>IF($B11=AB$3,IF(TRNG!$P9&gt;0,TRNG!$P9,""),"")</f>
        <v/>
      </c>
      <c r="AC11" s="57" t="str">
        <f>IF($B11=AC$3,IF(TRNG!$P9&gt;0,TRNG!$P9,""),"")</f>
        <v/>
      </c>
      <c r="AD11" s="57" t="str">
        <f>IF($B11=AD$3,IF(TRNG!$P9&gt;0,TRNG!$P9,""),"")</f>
        <v/>
      </c>
      <c r="AG11" s="199">
        <f t="shared" si="0"/>
        <v>2000000</v>
      </c>
      <c r="AH11" s="199">
        <f t="shared" si="1"/>
        <v>19520000000</v>
      </c>
      <c r="AI11" s="199">
        <f t="shared" si="2"/>
        <v>0</v>
      </c>
      <c r="AJ11" s="199">
        <f t="shared" si="3"/>
        <v>0</v>
      </c>
      <c r="AK11" s="199">
        <f t="shared" si="4"/>
        <v>0</v>
      </c>
      <c r="AL11" s="199">
        <f t="shared" si="5"/>
        <v>0</v>
      </c>
      <c r="AM11" s="199">
        <f t="shared" si="6"/>
        <v>0</v>
      </c>
      <c r="AN11" s="199">
        <f t="shared" si="7"/>
        <v>0</v>
      </c>
      <c r="AO11" s="199">
        <f t="shared" si="8"/>
        <v>0</v>
      </c>
      <c r="AP11" s="199">
        <f t="shared" si="9"/>
        <v>0</v>
      </c>
      <c r="AQ11" s="199">
        <f t="shared" si="10"/>
        <v>0</v>
      </c>
      <c r="AR11" s="199">
        <f t="shared" si="11"/>
        <v>0</v>
      </c>
      <c r="AT11" s="199">
        <f t="shared" si="12"/>
        <v>2000000</v>
      </c>
      <c r="AU11" s="199">
        <f t="shared" si="13"/>
        <v>1220000000</v>
      </c>
      <c r="AV11" s="199">
        <f t="shared" si="14"/>
        <v>0</v>
      </c>
      <c r="AW11" s="199">
        <f t="shared" si="15"/>
        <v>0</v>
      </c>
      <c r="AX11" s="199">
        <f t="shared" si="16"/>
        <v>0</v>
      </c>
      <c r="AY11" s="199">
        <f t="shared" si="17"/>
        <v>0</v>
      </c>
      <c r="AZ11" s="199">
        <f t="shared" si="18"/>
        <v>0</v>
      </c>
      <c r="BA11" s="199">
        <f t="shared" si="19"/>
        <v>0</v>
      </c>
      <c r="BB11" s="199">
        <f t="shared" si="20"/>
        <v>0</v>
      </c>
      <c r="BC11" s="199">
        <f t="shared" si="21"/>
        <v>0</v>
      </c>
      <c r="BD11" s="199">
        <f t="shared" si="22"/>
        <v>0</v>
      </c>
      <c r="BE11" s="202">
        <f t="shared" si="23"/>
        <v>0</v>
      </c>
      <c r="BF11" s="191"/>
      <c r="BG11" s="199">
        <f t="shared" si="24"/>
        <v>2000000</v>
      </c>
      <c r="BH11" s="199">
        <f t="shared" si="25"/>
        <v>3800</v>
      </c>
      <c r="BI11" s="199">
        <f t="shared" si="26"/>
        <v>0</v>
      </c>
      <c r="BJ11" s="199">
        <f t="shared" si="27"/>
        <v>0</v>
      </c>
      <c r="BK11" s="199">
        <f t="shared" si="28"/>
        <v>0</v>
      </c>
      <c r="BL11" s="199">
        <f t="shared" si="29"/>
        <v>0</v>
      </c>
      <c r="BM11" s="199">
        <f t="shared" si="30"/>
        <v>0</v>
      </c>
      <c r="BN11" s="199">
        <f t="shared" si="31"/>
        <v>0</v>
      </c>
      <c r="BO11" s="199">
        <f t="shared" si="32"/>
        <v>0</v>
      </c>
      <c r="BP11" s="199">
        <f t="shared" si="33"/>
        <v>0</v>
      </c>
      <c r="BQ11" s="199">
        <f t="shared" si="34"/>
        <v>0</v>
      </c>
      <c r="BR11" s="199">
        <f t="shared" si="35"/>
        <v>0</v>
      </c>
      <c r="BS11" s="191"/>
      <c r="BT11" s="199">
        <f t="shared" si="36"/>
        <v>3800</v>
      </c>
      <c r="BU11" s="199">
        <f t="shared" si="37"/>
        <v>19520000000</v>
      </c>
      <c r="BV11" s="199">
        <f t="shared" si="38"/>
        <v>0</v>
      </c>
      <c r="BW11" s="199">
        <f t="shared" si="39"/>
        <v>0</v>
      </c>
      <c r="BX11" s="199">
        <f t="shared" si="40"/>
        <v>0</v>
      </c>
      <c r="BY11" s="199">
        <f t="shared" si="41"/>
        <v>0</v>
      </c>
      <c r="BZ11" s="199">
        <f t="shared" si="42"/>
        <v>0</v>
      </c>
      <c r="CA11" s="199">
        <f t="shared" si="43"/>
        <v>0</v>
      </c>
      <c r="CB11" s="199">
        <f t="shared" si="44"/>
        <v>0</v>
      </c>
      <c r="CC11" s="199">
        <f t="shared" si="45"/>
        <v>0</v>
      </c>
      <c r="CD11" s="199">
        <f t="shared" si="46"/>
        <v>0</v>
      </c>
      <c r="CE11" s="199">
        <f t="shared" si="47"/>
        <v>0</v>
      </c>
      <c r="CF11" s="191"/>
      <c r="CG11" s="199">
        <f t="shared" si="48"/>
        <v>3800</v>
      </c>
      <c r="CH11" s="199">
        <f t="shared" si="49"/>
        <v>1220000000</v>
      </c>
      <c r="CI11" s="199">
        <f t="shared" si="50"/>
        <v>0</v>
      </c>
      <c r="CJ11" s="199">
        <f t="shared" si="51"/>
        <v>0</v>
      </c>
      <c r="CK11" s="199">
        <f t="shared" si="52"/>
        <v>0</v>
      </c>
      <c r="CL11" s="199">
        <f t="shared" si="53"/>
        <v>0</v>
      </c>
      <c r="CM11" s="199">
        <f t="shared" si="54"/>
        <v>0</v>
      </c>
      <c r="CN11" s="199">
        <f t="shared" si="55"/>
        <v>0</v>
      </c>
      <c r="CO11" s="199">
        <f t="shared" si="56"/>
        <v>0</v>
      </c>
      <c r="CP11" s="199">
        <f t="shared" si="57"/>
        <v>0</v>
      </c>
      <c r="CQ11" s="199">
        <f t="shared" si="58"/>
        <v>0</v>
      </c>
      <c r="CR11" s="199">
        <f t="shared" si="59"/>
        <v>0</v>
      </c>
      <c r="CS11" s="191"/>
      <c r="CT11" s="191"/>
      <c r="CU11" s="191"/>
      <c r="CV11" s="191"/>
      <c r="CW11" s="191"/>
      <c r="CX11" s="191"/>
      <c r="CY11" s="191"/>
    </row>
    <row r="12" spans="1:103" x14ac:dyDescent="0.3">
      <c r="B12" t="str">
        <f>TRNG!F10</f>
        <v>others</v>
      </c>
      <c r="C12">
        <f>TRNG!C10</f>
        <v>2011</v>
      </c>
      <c r="D12" s="57" t="str">
        <f>IF($B12=D$3,IF(TRNG!$K10&gt;0,TRNG!$K10*1000000,""),"")</f>
        <v/>
      </c>
      <c r="E12" s="57" t="str">
        <f>IF($B12=E$3,IF(TRNG!$K10&gt;0,TRNG!$K10*1000000,""),"")</f>
        <v/>
      </c>
      <c r="F12" s="57" t="str">
        <f>IF($B12=F$3,IF(TRNG!$K10&gt;0,TRNG!$K10*1000000,""),"")</f>
        <v/>
      </c>
      <c r="G12" s="57" t="str">
        <f>IF($B12=G$3,IF(TRNG!$K10&gt;0,TRNG!$K10*1000000,""),"")</f>
        <v/>
      </c>
      <c r="H12" s="57" t="str">
        <f>IF($B12=H$3,IF(TRNG!$K10&gt;0,TRNG!$K10*1000000,""),"")</f>
        <v/>
      </c>
      <c r="I12" s="57">
        <f>IF($B12=I$3,IF(TRNG!$K10&gt;0,TRNG!$K10*1000000,""),"")</f>
        <v>11000</v>
      </c>
      <c r="J12" s="23"/>
      <c r="K12" s="57" t="str">
        <f>IF($B12=K$3,IF(TRNG!$O10&gt;0,TRNG!$O10,""),"")</f>
        <v/>
      </c>
      <c r="L12" s="57" t="str">
        <f>IF($B12=L$3,IF(TRNG!$O10&gt;0,TRNG!$O10,""),"")</f>
        <v/>
      </c>
      <c r="M12" s="57" t="str">
        <f>IF($B12=M$3,IF(TRNG!$O10&gt;0,TRNG!$O10,""),"")</f>
        <v/>
      </c>
      <c r="N12" s="57" t="str">
        <f>IF($B12=N$3,IF(TRNG!$O10&gt;0,TRNG!$O10,""),"")</f>
        <v/>
      </c>
      <c r="O12" s="57" t="str">
        <f>IF($B12=O$3,IF(TRNG!$O10&gt;0,TRNG!$O10,""),"")</f>
        <v/>
      </c>
      <c r="P12" s="57">
        <f>IF($B12=P$3,IF(TRNG!$O10&gt;0,TRNG!$O10,""),"")</f>
        <v>284023668639.05322</v>
      </c>
      <c r="R12" s="57" t="str">
        <f>IF($B12=R$3,IF(TRNG!$N10&gt;0,TRNG!$N10*1000000,""),"")</f>
        <v/>
      </c>
      <c r="S12" s="57" t="str">
        <f>IF($B12=S$3,IF(TRNG!$N10&gt;0,TRNG!$N10*1000000,""),"")</f>
        <v/>
      </c>
      <c r="T12" s="57" t="str">
        <f>IF($B12=T$3,IF(TRNG!$N10&gt;0,TRNG!$N10*1000000,""),"")</f>
        <v/>
      </c>
      <c r="U12" s="57" t="str">
        <f>IF($B12=U$3,IF(TRNG!$N10&gt;0,TRNG!$N10*1000000,""),"")</f>
        <v/>
      </c>
      <c r="V12" s="57" t="str">
        <f>IF($B12=V$3,IF(TRNG!$N10&gt;0,TRNG!$N10*1000000,""),"")</f>
        <v/>
      </c>
      <c r="W12" s="57">
        <f>IF($B12=W$3,IF(TRNG!$N10&gt;0,TRNG!$N10*1000000,""),"")</f>
        <v>1200000000</v>
      </c>
      <c r="Y12" s="57" t="str">
        <f>IF($B12=Y$3,IF(TRNG!$P10&gt;0,TRNG!$P10,""),"")</f>
        <v/>
      </c>
      <c r="Z12" s="57" t="str">
        <f>IF($B12=Z$3,IF(TRNG!$P10&gt;0,TRNG!$P10,""),"")</f>
        <v/>
      </c>
      <c r="AA12" s="57" t="str">
        <f>IF($B12=AA$3,IF(TRNG!$P10&gt;0,TRNG!$P10,""),"")</f>
        <v/>
      </c>
      <c r="AB12" s="57" t="str">
        <f>IF($B12=AB$3,IF(TRNG!$P10&gt;0,TRNG!$P10,""),"")</f>
        <v/>
      </c>
      <c r="AC12" s="57" t="str">
        <f>IF($B12=AC$3,IF(TRNG!$P10&gt;0,TRNG!$P10,""),"")</f>
        <v/>
      </c>
      <c r="AD12" s="57">
        <f>IF($B12=AD$3,IF(TRNG!$P10&gt;0,TRNG!$P10,""),"")</f>
        <v>181818.18181818182</v>
      </c>
      <c r="AG12" s="199">
        <f t="shared" si="0"/>
        <v>0</v>
      </c>
      <c r="AH12" s="199">
        <f t="shared" si="1"/>
        <v>0</v>
      </c>
      <c r="AI12" s="199">
        <f t="shared" si="2"/>
        <v>0</v>
      </c>
      <c r="AJ12" s="199">
        <f t="shared" si="3"/>
        <v>0</v>
      </c>
      <c r="AK12" s="199">
        <f t="shared" si="4"/>
        <v>0</v>
      </c>
      <c r="AL12" s="199">
        <f t="shared" si="5"/>
        <v>0</v>
      </c>
      <c r="AM12" s="199">
        <f t="shared" si="6"/>
        <v>0</v>
      </c>
      <c r="AN12" s="199">
        <f t="shared" si="7"/>
        <v>0</v>
      </c>
      <c r="AO12" s="199">
        <f t="shared" si="8"/>
        <v>0</v>
      </c>
      <c r="AP12" s="199">
        <f t="shared" si="9"/>
        <v>0</v>
      </c>
      <c r="AQ12" s="199">
        <f t="shared" si="10"/>
        <v>11000</v>
      </c>
      <c r="AR12" s="199">
        <f t="shared" si="11"/>
        <v>284023668639.05322</v>
      </c>
      <c r="AT12" s="199">
        <f t="shared" si="12"/>
        <v>0</v>
      </c>
      <c r="AU12" s="199">
        <f t="shared" si="13"/>
        <v>0</v>
      </c>
      <c r="AV12" s="199">
        <f t="shared" si="14"/>
        <v>0</v>
      </c>
      <c r="AW12" s="199">
        <f t="shared" si="15"/>
        <v>0</v>
      </c>
      <c r="AX12" s="199">
        <f t="shared" si="16"/>
        <v>0</v>
      </c>
      <c r="AY12" s="199">
        <f t="shared" si="17"/>
        <v>0</v>
      </c>
      <c r="AZ12" s="199">
        <f t="shared" si="18"/>
        <v>0</v>
      </c>
      <c r="BA12" s="199">
        <f t="shared" si="19"/>
        <v>0</v>
      </c>
      <c r="BB12" s="199">
        <f t="shared" si="20"/>
        <v>0</v>
      </c>
      <c r="BC12" s="199">
        <f t="shared" si="21"/>
        <v>0</v>
      </c>
      <c r="BD12" s="199">
        <f t="shared" si="22"/>
        <v>11000</v>
      </c>
      <c r="BE12" s="202">
        <f t="shared" si="23"/>
        <v>1200000000</v>
      </c>
      <c r="BF12" s="191"/>
      <c r="BG12" s="199">
        <f t="shared" si="24"/>
        <v>0</v>
      </c>
      <c r="BH12" s="199">
        <f t="shared" si="25"/>
        <v>0</v>
      </c>
      <c r="BI12" s="199">
        <f t="shared" si="26"/>
        <v>0</v>
      </c>
      <c r="BJ12" s="199">
        <f t="shared" si="27"/>
        <v>0</v>
      </c>
      <c r="BK12" s="199">
        <f t="shared" si="28"/>
        <v>0</v>
      </c>
      <c r="BL12" s="199">
        <f t="shared" si="29"/>
        <v>0</v>
      </c>
      <c r="BM12" s="199">
        <f t="shared" si="30"/>
        <v>0</v>
      </c>
      <c r="BN12" s="199">
        <f t="shared" si="31"/>
        <v>0</v>
      </c>
      <c r="BO12" s="199">
        <f t="shared" si="32"/>
        <v>0</v>
      </c>
      <c r="BP12" s="199">
        <f t="shared" si="33"/>
        <v>0</v>
      </c>
      <c r="BQ12" s="199">
        <f t="shared" si="34"/>
        <v>11000</v>
      </c>
      <c r="BR12" s="199">
        <f t="shared" si="35"/>
        <v>181818.18181818182</v>
      </c>
      <c r="BS12" s="191"/>
      <c r="BT12" s="199">
        <f t="shared" si="36"/>
        <v>0</v>
      </c>
      <c r="BU12" s="199">
        <f t="shared" si="37"/>
        <v>0</v>
      </c>
      <c r="BV12" s="199">
        <f t="shared" si="38"/>
        <v>0</v>
      </c>
      <c r="BW12" s="199">
        <f t="shared" si="39"/>
        <v>0</v>
      </c>
      <c r="BX12" s="199">
        <f t="shared" si="40"/>
        <v>0</v>
      </c>
      <c r="BY12" s="199">
        <f t="shared" si="41"/>
        <v>0</v>
      </c>
      <c r="BZ12" s="199">
        <f t="shared" si="42"/>
        <v>0</v>
      </c>
      <c r="CA12" s="199">
        <f t="shared" si="43"/>
        <v>0</v>
      </c>
      <c r="CB12" s="199">
        <f t="shared" si="44"/>
        <v>0</v>
      </c>
      <c r="CC12" s="199">
        <f t="shared" si="45"/>
        <v>0</v>
      </c>
      <c r="CD12" s="199">
        <f t="shared" si="46"/>
        <v>181818.18181818182</v>
      </c>
      <c r="CE12" s="199">
        <f t="shared" si="47"/>
        <v>284023668639.05322</v>
      </c>
      <c r="CF12" s="191"/>
      <c r="CG12" s="199">
        <f t="shared" si="48"/>
        <v>0</v>
      </c>
      <c r="CH12" s="199">
        <f t="shared" si="49"/>
        <v>0</v>
      </c>
      <c r="CI12" s="199">
        <f t="shared" si="50"/>
        <v>0</v>
      </c>
      <c r="CJ12" s="199">
        <f t="shared" si="51"/>
        <v>0</v>
      </c>
      <c r="CK12" s="199">
        <f t="shared" si="52"/>
        <v>0</v>
      </c>
      <c r="CL12" s="199">
        <f t="shared" si="53"/>
        <v>0</v>
      </c>
      <c r="CM12" s="199">
        <f t="shared" si="54"/>
        <v>0</v>
      </c>
      <c r="CN12" s="199">
        <f t="shared" si="55"/>
        <v>0</v>
      </c>
      <c r="CO12" s="199">
        <f t="shared" si="56"/>
        <v>0</v>
      </c>
      <c r="CP12" s="199">
        <f t="shared" si="57"/>
        <v>0</v>
      </c>
      <c r="CQ12" s="199">
        <f t="shared" si="58"/>
        <v>181818.18181818182</v>
      </c>
      <c r="CR12" s="199">
        <f t="shared" si="59"/>
        <v>1200000000</v>
      </c>
      <c r="CS12" s="191"/>
      <c r="CT12" s="191"/>
      <c r="CU12" s="191"/>
      <c r="CV12" s="191"/>
      <c r="CW12" s="191"/>
      <c r="CX12" s="191"/>
      <c r="CY12" s="191"/>
    </row>
    <row r="13" spans="1:103" x14ac:dyDescent="0.3">
      <c r="B13" t="str">
        <f>TRNG!F11</f>
        <v>metastability</v>
      </c>
      <c r="C13">
        <f>TRNG!C11</f>
        <v>2012</v>
      </c>
      <c r="D13" s="57" t="str">
        <f>IF($B13=D$3,IF(TRNG!$K11&gt;0,TRNG!$K11*1000000,""),"")</f>
        <v/>
      </c>
      <c r="E13" s="57" t="str">
        <f>IF($B13=E$3,IF(TRNG!$K11&gt;0,TRNG!$K11*1000000,""),"")</f>
        <v/>
      </c>
      <c r="F13" s="57">
        <f>IF($B13=F$3,IF(TRNG!$K11&gt;0,TRNG!$K11*1000000,""),"")</f>
        <v>2400000000</v>
      </c>
      <c r="G13" s="57" t="str">
        <f>IF($B13=G$3,IF(TRNG!$K11&gt;0,TRNG!$K11*1000000,""),"")</f>
        <v/>
      </c>
      <c r="H13" s="57" t="str">
        <f>IF($B13=H$3,IF(TRNG!$K11&gt;0,TRNG!$K11*1000000,""),"")</f>
        <v/>
      </c>
      <c r="I13" s="57" t="str">
        <f>IF($B13=I$3,IF(TRNG!$K11&gt;0,TRNG!$K11*1000000,""),"")</f>
        <v/>
      </c>
      <c r="J13" s="23"/>
      <c r="K13" s="57" t="str">
        <f>IF($B13=K$3,IF(TRNG!$O11&gt;0,TRNG!$O11,""),"")</f>
        <v/>
      </c>
      <c r="L13" s="57" t="str">
        <f>IF($B13=L$3,IF(TRNG!$O11&gt;0,TRNG!$O11,""),"")</f>
        <v/>
      </c>
      <c r="M13" s="57">
        <f>IF($B13=M$3,IF(TRNG!$O11&gt;0,TRNG!$O11,""),"")</f>
        <v>1977283950617.2839</v>
      </c>
      <c r="N13" s="57" t="str">
        <f>IF($B13=N$3,IF(TRNG!$O11&gt;0,TRNG!$O11,""),"")</f>
        <v/>
      </c>
      <c r="O13" s="57" t="str">
        <f>IF($B13=O$3,IF(TRNG!$O11&gt;0,TRNG!$O11,""),"")</f>
        <v/>
      </c>
      <c r="P13" s="57" t="str">
        <f>IF($B13=P$3,IF(TRNG!$O11&gt;0,TRNG!$O11,""),"")</f>
        <v/>
      </c>
      <c r="R13" s="57" t="str">
        <f>IF($B13=R$3,IF(TRNG!$N11&gt;0,TRNG!$N11*1000000,""),"")</f>
        <v/>
      </c>
      <c r="S13" s="57" t="str">
        <f>IF($B13=S$3,IF(TRNG!$N11&gt;0,TRNG!$N11*1000000,""),"")</f>
        <v/>
      </c>
      <c r="T13" s="57">
        <f>IF($B13=T$3,IF(TRNG!$N11&gt;0,TRNG!$N11*1000000,""),"")</f>
        <v>4003999999.9999995</v>
      </c>
      <c r="U13" s="57" t="str">
        <f>IF($B13=U$3,IF(TRNG!$N11&gt;0,TRNG!$N11*1000000,""),"")</f>
        <v/>
      </c>
      <c r="V13" s="57" t="str">
        <f>IF($B13=V$3,IF(TRNG!$N11&gt;0,TRNG!$N11*1000000,""),"")</f>
        <v/>
      </c>
      <c r="W13" s="57" t="str">
        <f>IF($B13=W$3,IF(TRNG!$N11&gt;0,TRNG!$N11*1000000,""),"")</f>
        <v/>
      </c>
      <c r="Y13" s="57" t="str">
        <f>IF($B13=Y$3,IF(TRNG!$P11&gt;0,TRNG!$P11,""),"")</f>
        <v/>
      </c>
      <c r="Z13" s="57" t="str">
        <f>IF($B13=Z$3,IF(TRNG!$P11&gt;0,TRNG!$P11,""),"")</f>
        <v/>
      </c>
      <c r="AA13" s="57">
        <f>IF($B13=AA$3,IF(TRNG!$P11&gt;0,TRNG!$P11,""),"")</f>
        <v>0.4</v>
      </c>
      <c r="AB13" s="57" t="str">
        <f>IF($B13=AB$3,IF(TRNG!$P11&gt;0,TRNG!$P11,""),"")</f>
        <v/>
      </c>
      <c r="AC13" s="57" t="str">
        <f>IF($B13=AC$3,IF(TRNG!$P11&gt;0,TRNG!$P11,""),"")</f>
        <v/>
      </c>
      <c r="AD13" s="57" t="str">
        <f>IF($B13=AD$3,IF(TRNG!$P11&gt;0,TRNG!$P11,""),"")</f>
        <v/>
      </c>
      <c r="AG13" s="199">
        <f t="shared" si="0"/>
        <v>0</v>
      </c>
      <c r="AH13" s="199">
        <f t="shared" si="1"/>
        <v>0</v>
      </c>
      <c r="AI13" s="199">
        <f t="shared" si="2"/>
        <v>0</v>
      </c>
      <c r="AJ13" s="199">
        <f t="shared" si="3"/>
        <v>0</v>
      </c>
      <c r="AK13" s="199">
        <f t="shared" si="4"/>
        <v>2400000000</v>
      </c>
      <c r="AL13" s="199">
        <f t="shared" si="5"/>
        <v>1977283950617.2839</v>
      </c>
      <c r="AM13" s="199">
        <f t="shared" si="6"/>
        <v>0</v>
      </c>
      <c r="AN13" s="199">
        <f t="shared" si="7"/>
        <v>0</v>
      </c>
      <c r="AO13" s="199">
        <f t="shared" si="8"/>
        <v>0</v>
      </c>
      <c r="AP13" s="199">
        <f t="shared" si="9"/>
        <v>0</v>
      </c>
      <c r="AQ13" s="199">
        <f t="shared" si="10"/>
        <v>0</v>
      </c>
      <c r="AR13" s="199">
        <f t="shared" si="11"/>
        <v>0</v>
      </c>
      <c r="AT13" s="199">
        <f t="shared" si="12"/>
        <v>0</v>
      </c>
      <c r="AU13" s="199">
        <f t="shared" si="13"/>
        <v>0</v>
      </c>
      <c r="AV13" s="199">
        <f t="shared" si="14"/>
        <v>0</v>
      </c>
      <c r="AW13" s="199">
        <f t="shared" si="15"/>
        <v>0</v>
      </c>
      <c r="AX13" s="199">
        <f t="shared" si="16"/>
        <v>2400000000</v>
      </c>
      <c r="AY13" s="199">
        <f t="shared" si="17"/>
        <v>4003999999.9999995</v>
      </c>
      <c r="AZ13" s="199">
        <f t="shared" si="18"/>
        <v>0</v>
      </c>
      <c r="BA13" s="199">
        <f t="shared" si="19"/>
        <v>0</v>
      </c>
      <c r="BB13" s="199">
        <f t="shared" si="20"/>
        <v>0</v>
      </c>
      <c r="BC13" s="199">
        <f t="shared" si="21"/>
        <v>0</v>
      </c>
      <c r="BD13" s="199">
        <f t="shared" si="22"/>
        <v>0</v>
      </c>
      <c r="BE13" s="202">
        <f t="shared" si="23"/>
        <v>0</v>
      </c>
      <c r="BF13" s="191"/>
      <c r="BG13" s="199">
        <f t="shared" si="24"/>
        <v>0</v>
      </c>
      <c r="BH13" s="199">
        <f t="shared" si="25"/>
        <v>0</v>
      </c>
      <c r="BI13" s="199">
        <f t="shared" si="26"/>
        <v>0</v>
      </c>
      <c r="BJ13" s="199">
        <f t="shared" si="27"/>
        <v>0</v>
      </c>
      <c r="BK13" s="199">
        <f t="shared" si="28"/>
        <v>2400000000</v>
      </c>
      <c r="BL13" s="199">
        <f t="shared" si="29"/>
        <v>0.4</v>
      </c>
      <c r="BM13" s="199">
        <f t="shared" si="30"/>
        <v>0</v>
      </c>
      <c r="BN13" s="199">
        <f t="shared" si="31"/>
        <v>0</v>
      </c>
      <c r="BO13" s="199">
        <f t="shared" si="32"/>
        <v>0</v>
      </c>
      <c r="BP13" s="199">
        <f t="shared" si="33"/>
        <v>0</v>
      </c>
      <c r="BQ13" s="199">
        <f t="shared" si="34"/>
        <v>0</v>
      </c>
      <c r="BR13" s="199">
        <f t="shared" si="35"/>
        <v>0</v>
      </c>
      <c r="BS13" s="191"/>
      <c r="BT13" s="199">
        <f t="shared" si="36"/>
        <v>0</v>
      </c>
      <c r="BU13" s="199">
        <f t="shared" si="37"/>
        <v>0</v>
      </c>
      <c r="BV13" s="199">
        <f t="shared" si="38"/>
        <v>0</v>
      </c>
      <c r="BW13" s="199">
        <f t="shared" si="39"/>
        <v>0</v>
      </c>
      <c r="BX13" s="199">
        <f t="shared" si="40"/>
        <v>0.4</v>
      </c>
      <c r="BY13" s="199">
        <f t="shared" si="41"/>
        <v>1977283950617.2839</v>
      </c>
      <c r="BZ13" s="199">
        <f t="shared" si="42"/>
        <v>0</v>
      </c>
      <c r="CA13" s="199">
        <f t="shared" si="43"/>
        <v>0</v>
      </c>
      <c r="CB13" s="199">
        <f t="shared" si="44"/>
        <v>0</v>
      </c>
      <c r="CC13" s="199">
        <f t="shared" si="45"/>
        <v>0</v>
      </c>
      <c r="CD13" s="199">
        <f t="shared" si="46"/>
        <v>0</v>
      </c>
      <c r="CE13" s="199">
        <f t="shared" si="47"/>
        <v>0</v>
      </c>
      <c r="CF13" s="191"/>
      <c r="CG13" s="199">
        <f t="shared" si="48"/>
        <v>0</v>
      </c>
      <c r="CH13" s="199">
        <f t="shared" si="49"/>
        <v>0</v>
      </c>
      <c r="CI13" s="199">
        <f t="shared" si="50"/>
        <v>0</v>
      </c>
      <c r="CJ13" s="199">
        <f t="shared" si="51"/>
        <v>0</v>
      </c>
      <c r="CK13" s="199">
        <f t="shared" si="52"/>
        <v>0.4</v>
      </c>
      <c r="CL13" s="199">
        <f t="shared" si="53"/>
        <v>4003999999.9999995</v>
      </c>
      <c r="CM13" s="199">
        <f t="shared" si="54"/>
        <v>0</v>
      </c>
      <c r="CN13" s="199">
        <f t="shared" si="55"/>
        <v>0</v>
      </c>
      <c r="CO13" s="199">
        <f t="shared" si="56"/>
        <v>0</v>
      </c>
      <c r="CP13" s="199">
        <f t="shared" si="57"/>
        <v>0</v>
      </c>
      <c r="CQ13" s="199">
        <f t="shared" si="58"/>
        <v>0</v>
      </c>
      <c r="CR13" s="199">
        <f t="shared" si="59"/>
        <v>0</v>
      </c>
      <c r="CS13" s="191"/>
      <c r="CT13" s="191"/>
      <c r="CU13" s="191"/>
      <c r="CV13" s="191"/>
      <c r="CW13" s="191"/>
      <c r="CX13" s="191"/>
      <c r="CY13" s="191"/>
    </row>
    <row r="14" spans="1:103" x14ac:dyDescent="0.3">
      <c r="B14" t="str">
        <f>TRNG!F12</f>
        <v>jitter</v>
      </c>
      <c r="C14">
        <f>TRNG!C12</f>
        <v>2014</v>
      </c>
      <c r="D14" s="57" t="str">
        <f>IF($B14=D$3,IF(TRNG!$K12&gt;0,TRNG!$K12*1000000,""),"")</f>
        <v/>
      </c>
      <c r="E14" s="57">
        <f>IF($B14=E$3,IF(TRNG!$K12&gt;0,TRNG!$K12*1000000,""),"")</f>
        <v>23160000</v>
      </c>
      <c r="F14" s="57" t="str">
        <f>IF($B14=F$3,IF(TRNG!$K12&gt;0,TRNG!$K12*1000000,""),"")</f>
        <v/>
      </c>
      <c r="G14" s="57" t="str">
        <f>IF($B14=G$3,IF(TRNG!$K12&gt;0,TRNG!$K12*1000000,""),"")</f>
        <v/>
      </c>
      <c r="H14" s="57" t="str">
        <f>IF($B14=H$3,IF(TRNG!$K12&gt;0,TRNG!$K12*1000000,""),"")</f>
        <v/>
      </c>
      <c r="I14" s="57" t="str">
        <f>IF($B14=I$3,IF(TRNG!$K12&gt;0,TRNG!$K12*1000000,""),"")</f>
        <v/>
      </c>
      <c r="J14" s="23"/>
      <c r="K14" s="57" t="str">
        <f>IF($B14=K$3,IF(TRNG!$O12&gt;0,TRNG!$O12,""),"")</f>
        <v/>
      </c>
      <c r="L14" s="57">
        <f>IF($B14=L$3,IF(TRNG!$O12&gt;0,TRNG!$O12,""),"")</f>
        <v>472000</v>
      </c>
      <c r="M14" s="57" t="str">
        <f>IF($B14=M$3,IF(TRNG!$O12&gt;0,TRNG!$O12,""),"")</f>
        <v/>
      </c>
      <c r="N14" s="57" t="str">
        <f>IF($B14=N$3,IF(TRNG!$O12&gt;0,TRNG!$O12,""),"")</f>
        <v/>
      </c>
      <c r="O14" s="57" t="str">
        <f>IF($B14=O$3,IF(TRNG!$O12&gt;0,TRNG!$O12,""),"")</f>
        <v/>
      </c>
      <c r="P14" s="57" t="str">
        <f>IF($B14=P$3,IF(TRNG!$O12&gt;0,TRNG!$O12,""),"")</f>
        <v/>
      </c>
      <c r="R14" s="57" t="str">
        <f>IF($B14=R$3,IF(TRNG!$N12&gt;0,TRNG!$N12*1000000,""),"")</f>
        <v/>
      </c>
      <c r="S14" s="57">
        <f>IF($B14=S$3,IF(TRNG!$N12&gt;0,TRNG!$N12*1000000,""),"")</f>
        <v>370048000.00000006</v>
      </c>
      <c r="T14" s="57" t="str">
        <f>IF($B14=T$3,IF(TRNG!$N12&gt;0,TRNG!$N12*1000000,""),"")</f>
        <v/>
      </c>
      <c r="U14" s="57" t="str">
        <f>IF($B14=U$3,IF(TRNG!$N12&gt;0,TRNG!$N12*1000000,""),"")</f>
        <v/>
      </c>
      <c r="V14" s="57" t="str">
        <f>IF($B14=V$3,IF(TRNG!$N12&gt;0,TRNG!$N12*1000000,""),"")</f>
        <v/>
      </c>
      <c r="W14" s="57" t="str">
        <f>IF($B14=W$3,IF(TRNG!$N12&gt;0,TRNG!$N12*1000000,""),"")</f>
        <v/>
      </c>
      <c r="Y14" s="57" t="str">
        <f>IF($B14=Y$3,IF(TRNG!$P12&gt;0,TRNG!$P12,""),"")</f>
        <v/>
      </c>
      <c r="Z14" s="57">
        <f>IF($B14=Z$3,IF(TRNG!$P12&gt;0,TRNG!$P12,""),"")</f>
        <v>23</v>
      </c>
      <c r="AA14" s="57" t="str">
        <f>IF($B14=AA$3,IF(TRNG!$P12&gt;0,TRNG!$P12,""),"")</f>
        <v/>
      </c>
      <c r="AB14" s="57" t="str">
        <f>IF($B14=AB$3,IF(TRNG!$P12&gt;0,TRNG!$P12,""),"")</f>
        <v/>
      </c>
      <c r="AC14" s="57" t="str">
        <f>IF($B14=AC$3,IF(TRNG!$P12&gt;0,TRNG!$P12,""),"")</f>
        <v/>
      </c>
      <c r="AD14" s="57" t="str">
        <f>IF($B14=AD$3,IF(TRNG!$P12&gt;0,TRNG!$P12,""),"")</f>
        <v/>
      </c>
      <c r="AG14" s="199">
        <f t="shared" si="0"/>
        <v>0</v>
      </c>
      <c r="AH14" s="199">
        <f t="shared" si="1"/>
        <v>0</v>
      </c>
      <c r="AI14" s="199">
        <f t="shared" si="2"/>
        <v>23160000</v>
      </c>
      <c r="AJ14" s="199">
        <f t="shared" si="3"/>
        <v>472000</v>
      </c>
      <c r="AK14" s="199">
        <f t="shared" si="4"/>
        <v>0</v>
      </c>
      <c r="AL14" s="199">
        <f t="shared" si="5"/>
        <v>0</v>
      </c>
      <c r="AM14" s="199">
        <f t="shared" si="6"/>
        <v>0</v>
      </c>
      <c r="AN14" s="199">
        <f t="shared" si="7"/>
        <v>0</v>
      </c>
      <c r="AO14" s="199">
        <f t="shared" si="8"/>
        <v>0</v>
      </c>
      <c r="AP14" s="199">
        <f t="shared" si="9"/>
        <v>0</v>
      </c>
      <c r="AQ14" s="199">
        <f t="shared" si="10"/>
        <v>0</v>
      </c>
      <c r="AR14" s="199">
        <f t="shared" si="11"/>
        <v>0</v>
      </c>
      <c r="AT14" s="199">
        <f t="shared" si="12"/>
        <v>0</v>
      </c>
      <c r="AU14" s="199">
        <f t="shared" si="13"/>
        <v>0</v>
      </c>
      <c r="AV14" s="199">
        <f t="shared" si="14"/>
        <v>23160000</v>
      </c>
      <c r="AW14" s="199">
        <f t="shared" si="15"/>
        <v>370048000.00000006</v>
      </c>
      <c r="AX14" s="199">
        <f t="shared" si="16"/>
        <v>0</v>
      </c>
      <c r="AY14" s="199">
        <f t="shared" si="17"/>
        <v>0</v>
      </c>
      <c r="AZ14" s="199">
        <f t="shared" si="18"/>
        <v>0</v>
      </c>
      <c r="BA14" s="199">
        <f t="shared" si="19"/>
        <v>0</v>
      </c>
      <c r="BB14" s="199">
        <f t="shared" si="20"/>
        <v>0</v>
      </c>
      <c r="BC14" s="199">
        <f t="shared" si="21"/>
        <v>0</v>
      </c>
      <c r="BD14" s="199">
        <f t="shared" si="22"/>
        <v>0</v>
      </c>
      <c r="BE14" s="202">
        <f t="shared" si="23"/>
        <v>0</v>
      </c>
      <c r="BF14" s="191"/>
      <c r="BG14" s="199">
        <f t="shared" si="24"/>
        <v>0</v>
      </c>
      <c r="BH14" s="199">
        <f t="shared" si="25"/>
        <v>0</v>
      </c>
      <c r="BI14" s="199">
        <f t="shared" si="26"/>
        <v>23160000</v>
      </c>
      <c r="BJ14" s="199">
        <f t="shared" si="27"/>
        <v>23</v>
      </c>
      <c r="BK14" s="199">
        <f t="shared" si="28"/>
        <v>0</v>
      </c>
      <c r="BL14" s="199">
        <f t="shared" si="29"/>
        <v>0</v>
      </c>
      <c r="BM14" s="199">
        <f t="shared" si="30"/>
        <v>0</v>
      </c>
      <c r="BN14" s="199">
        <f t="shared" si="31"/>
        <v>0</v>
      </c>
      <c r="BO14" s="199">
        <f t="shared" si="32"/>
        <v>0</v>
      </c>
      <c r="BP14" s="199">
        <f t="shared" si="33"/>
        <v>0</v>
      </c>
      <c r="BQ14" s="199">
        <f t="shared" si="34"/>
        <v>0</v>
      </c>
      <c r="BR14" s="199">
        <f t="shared" si="35"/>
        <v>0</v>
      </c>
      <c r="BS14" s="191"/>
      <c r="BT14" s="199">
        <f t="shared" si="36"/>
        <v>0</v>
      </c>
      <c r="BU14" s="199">
        <f t="shared" si="37"/>
        <v>0</v>
      </c>
      <c r="BV14" s="199">
        <f t="shared" si="38"/>
        <v>23</v>
      </c>
      <c r="BW14" s="199">
        <f t="shared" si="39"/>
        <v>472000</v>
      </c>
      <c r="BX14" s="199">
        <f t="shared" si="40"/>
        <v>0</v>
      </c>
      <c r="BY14" s="199">
        <f t="shared" si="41"/>
        <v>0</v>
      </c>
      <c r="BZ14" s="199">
        <f t="shared" si="42"/>
        <v>0</v>
      </c>
      <c r="CA14" s="199">
        <f t="shared" si="43"/>
        <v>0</v>
      </c>
      <c r="CB14" s="199">
        <f t="shared" si="44"/>
        <v>0</v>
      </c>
      <c r="CC14" s="199">
        <f t="shared" si="45"/>
        <v>0</v>
      </c>
      <c r="CD14" s="199">
        <f t="shared" si="46"/>
        <v>0</v>
      </c>
      <c r="CE14" s="199">
        <f t="shared" si="47"/>
        <v>0</v>
      </c>
      <c r="CF14" s="191"/>
      <c r="CG14" s="199">
        <f t="shared" si="48"/>
        <v>0</v>
      </c>
      <c r="CH14" s="199">
        <f t="shared" si="49"/>
        <v>0</v>
      </c>
      <c r="CI14" s="199">
        <f t="shared" si="50"/>
        <v>23</v>
      </c>
      <c r="CJ14" s="199">
        <f t="shared" si="51"/>
        <v>370048000.00000006</v>
      </c>
      <c r="CK14" s="199">
        <f t="shared" si="52"/>
        <v>0</v>
      </c>
      <c r="CL14" s="199">
        <f t="shared" si="53"/>
        <v>0</v>
      </c>
      <c r="CM14" s="199">
        <f t="shared" si="54"/>
        <v>0</v>
      </c>
      <c r="CN14" s="199">
        <f t="shared" si="55"/>
        <v>0</v>
      </c>
      <c r="CO14" s="199">
        <f t="shared" si="56"/>
        <v>0</v>
      </c>
      <c r="CP14" s="199">
        <f t="shared" si="57"/>
        <v>0</v>
      </c>
      <c r="CQ14" s="199">
        <f t="shared" si="58"/>
        <v>0</v>
      </c>
      <c r="CR14" s="199">
        <f t="shared" si="59"/>
        <v>0</v>
      </c>
      <c r="CS14" s="191"/>
      <c r="CT14" s="191"/>
      <c r="CU14" s="191"/>
      <c r="CV14" s="191"/>
      <c r="CW14" s="191"/>
      <c r="CX14" s="191"/>
      <c r="CY14" s="191"/>
    </row>
    <row r="15" spans="1:103" x14ac:dyDescent="0.3">
      <c r="B15" t="str">
        <f>TRNG!F13</f>
        <v>jitter</v>
      </c>
      <c r="C15">
        <f>TRNG!C13</f>
        <v>2014</v>
      </c>
      <c r="D15" s="57" t="str">
        <f>IF($B15=D$3,IF(TRNG!$K13&gt;0,TRNG!$K13*1000000,""),"")</f>
        <v/>
      </c>
      <c r="E15" s="57">
        <f>IF($B15=E$3,IF(TRNG!$K13&gt;0,TRNG!$K13*1000000,""),"")</f>
        <v>500000</v>
      </c>
      <c r="F15" s="57" t="str">
        <f>IF($B15=F$3,IF(TRNG!$K13&gt;0,TRNG!$K13*1000000,""),"")</f>
        <v/>
      </c>
      <c r="G15" s="57" t="str">
        <f>IF($B15=G$3,IF(TRNG!$K13&gt;0,TRNG!$K13*1000000,""),"")</f>
        <v/>
      </c>
      <c r="H15" s="57" t="str">
        <f>IF($B15=H$3,IF(TRNG!$K13&gt;0,TRNG!$K13*1000000,""),"")</f>
        <v/>
      </c>
      <c r="I15" s="57" t="str">
        <f>IF($B15=I$3,IF(TRNG!$K13&gt;0,TRNG!$K13*1000000,""),"")</f>
        <v/>
      </c>
      <c r="J15" s="23"/>
      <c r="K15" s="57" t="str">
        <f>IF($B15=K$3,IF(TRNG!$O13&gt;0,TRNG!$O13,""),"")</f>
        <v/>
      </c>
      <c r="L15" s="57">
        <f>IF($B15=L$3,IF(TRNG!$O13&gt;0,TRNG!$O13,""),"")</f>
        <v>875000000000</v>
      </c>
      <c r="M15" s="57" t="str">
        <f>IF($B15=M$3,IF(TRNG!$O13&gt;0,TRNG!$O13,""),"")</f>
        <v/>
      </c>
      <c r="N15" s="57" t="str">
        <f>IF($B15=N$3,IF(TRNG!$O13&gt;0,TRNG!$O13,""),"")</f>
        <v/>
      </c>
      <c r="O15" s="57" t="str">
        <f>IF($B15=O$3,IF(TRNG!$O13&gt;0,TRNG!$O13,""),"")</f>
        <v/>
      </c>
      <c r="P15" s="57" t="str">
        <f>IF($B15=P$3,IF(TRNG!$O13&gt;0,TRNG!$O13,""),"")</f>
        <v/>
      </c>
      <c r="R15" s="57" t="str">
        <f>IF($B15=R$3,IF(TRNG!$N13&gt;0,TRNG!$N13*1000000,""),"")</f>
        <v/>
      </c>
      <c r="S15" s="57">
        <f>IF($B15=S$3,IF(TRNG!$N13&gt;0,TRNG!$N13*1000000,""),"")</f>
        <v>1400000000</v>
      </c>
      <c r="T15" s="57" t="str">
        <f>IF($B15=T$3,IF(TRNG!$N13&gt;0,TRNG!$N13*1000000,""),"")</f>
        <v/>
      </c>
      <c r="U15" s="57" t="str">
        <f>IF($B15=U$3,IF(TRNG!$N13&gt;0,TRNG!$N13*1000000,""),"")</f>
        <v/>
      </c>
      <c r="V15" s="57" t="str">
        <f>IF($B15=V$3,IF(TRNG!$N13&gt;0,TRNG!$N13*1000000,""),"")</f>
        <v/>
      </c>
      <c r="W15" s="57" t="str">
        <f>IF($B15=W$3,IF(TRNG!$N13&gt;0,TRNG!$N13*1000000,""),"")</f>
        <v/>
      </c>
      <c r="Y15" s="57" t="str">
        <f>IF($B15=Y$3,IF(TRNG!$P13&gt;0,TRNG!$P13,""),"")</f>
        <v/>
      </c>
      <c r="Z15" s="57">
        <f>IF($B15=Z$3,IF(TRNG!$P13&gt;0,TRNG!$P13,""),"")</f>
        <v>0.42799999999999999</v>
      </c>
      <c r="AA15" s="57" t="str">
        <f>IF($B15=AA$3,IF(TRNG!$P13&gt;0,TRNG!$P13,""),"")</f>
        <v/>
      </c>
      <c r="AB15" s="57" t="str">
        <f>IF($B15=AB$3,IF(TRNG!$P13&gt;0,TRNG!$P13,""),"")</f>
        <v/>
      </c>
      <c r="AC15" s="57" t="str">
        <f>IF($B15=AC$3,IF(TRNG!$P13&gt;0,TRNG!$P13,""),"")</f>
        <v/>
      </c>
      <c r="AD15" s="57" t="str">
        <f>IF($B15=AD$3,IF(TRNG!$P13&gt;0,TRNG!$P13,""),"")</f>
        <v/>
      </c>
      <c r="AG15" s="199">
        <f t="shared" si="0"/>
        <v>0</v>
      </c>
      <c r="AH15" s="199">
        <f t="shared" si="1"/>
        <v>0</v>
      </c>
      <c r="AI15" s="199">
        <f t="shared" si="2"/>
        <v>500000</v>
      </c>
      <c r="AJ15" s="199">
        <f t="shared" si="3"/>
        <v>875000000000</v>
      </c>
      <c r="AK15" s="199">
        <f t="shared" si="4"/>
        <v>0</v>
      </c>
      <c r="AL15" s="199">
        <f t="shared" si="5"/>
        <v>0</v>
      </c>
      <c r="AM15" s="199">
        <f t="shared" si="6"/>
        <v>0</v>
      </c>
      <c r="AN15" s="199">
        <f t="shared" si="7"/>
        <v>0</v>
      </c>
      <c r="AO15" s="199">
        <f t="shared" si="8"/>
        <v>0</v>
      </c>
      <c r="AP15" s="199">
        <f t="shared" si="9"/>
        <v>0</v>
      </c>
      <c r="AQ15" s="199">
        <f t="shared" si="10"/>
        <v>0</v>
      </c>
      <c r="AR15" s="199">
        <f t="shared" si="11"/>
        <v>0</v>
      </c>
      <c r="AT15" s="199">
        <f t="shared" si="12"/>
        <v>0</v>
      </c>
      <c r="AU15" s="199">
        <f t="shared" si="13"/>
        <v>0</v>
      </c>
      <c r="AV15" s="199">
        <f t="shared" si="14"/>
        <v>500000</v>
      </c>
      <c r="AW15" s="199">
        <f t="shared" si="15"/>
        <v>1400000000</v>
      </c>
      <c r="AX15" s="199">
        <f t="shared" si="16"/>
        <v>0</v>
      </c>
      <c r="AY15" s="199">
        <f t="shared" si="17"/>
        <v>0</v>
      </c>
      <c r="AZ15" s="199">
        <f t="shared" si="18"/>
        <v>0</v>
      </c>
      <c r="BA15" s="199">
        <f t="shared" si="19"/>
        <v>0</v>
      </c>
      <c r="BB15" s="199">
        <f t="shared" si="20"/>
        <v>0</v>
      </c>
      <c r="BC15" s="199">
        <f t="shared" si="21"/>
        <v>0</v>
      </c>
      <c r="BD15" s="199">
        <f t="shared" si="22"/>
        <v>0</v>
      </c>
      <c r="BE15" s="202">
        <f t="shared" si="23"/>
        <v>0</v>
      </c>
      <c r="BF15" s="191"/>
      <c r="BG15" s="199">
        <f t="shared" si="24"/>
        <v>0</v>
      </c>
      <c r="BH15" s="199">
        <f t="shared" si="25"/>
        <v>0</v>
      </c>
      <c r="BI15" s="199">
        <f t="shared" si="26"/>
        <v>500000</v>
      </c>
      <c r="BJ15" s="199">
        <f t="shared" si="27"/>
        <v>0.42799999999999999</v>
      </c>
      <c r="BK15" s="199">
        <f t="shared" si="28"/>
        <v>0</v>
      </c>
      <c r="BL15" s="199">
        <f t="shared" si="29"/>
        <v>0</v>
      </c>
      <c r="BM15" s="199">
        <f t="shared" si="30"/>
        <v>0</v>
      </c>
      <c r="BN15" s="199">
        <f t="shared" si="31"/>
        <v>0</v>
      </c>
      <c r="BO15" s="199">
        <f t="shared" si="32"/>
        <v>0</v>
      </c>
      <c r="BP15" s="199">
        <f t="shared" si="33"/>
        <v>0</v>
      </c>
      <c r="BQ15" s="199">
        <f t="shared" si="34"/>
        <v>0</v>
      </c>
      <c r="BR15" s="199">
        <f t="shared" si="35"/>
        <v>0</v>
      </c>
      <c r="BS15" s="191"/>
      <c r="BT15" s="199">
        <f t="shared" si="36"/>
        <v>0</v>
      </c>
      <c r="BU15" s="199">
        <f t="shared" si="37"/>
        <v>0</v>
      </c>
      <c r="BV15" s="199">
        <f t="shared" si="38"/>
        <v>0.42799999999999999</v>
      </c>
      <c r="BW15" s="199">
        <f t="shared" si="39"/>
        <v>875000000000</v>
      </c>
      <c r="BX15" s="199">
        <f t="shared" si="40"/>
        <v>0</v>
      </c>
      <c r="BY15" s="199">
        <f t="shared" si="41"/>
        <v>0</v>
      </c>
      <c r="BZ15" s="199">
        <f t="shared" si="42"/>
        <v>0</v>
      </c>
      <c r="CA15" s="199">
        <f t="shared" si="43"/>
        <v>0</v>
      </c>
      <c r="CB15" s="199">
        <f t="shared" si="44"/>
        <v>0</v>
      </c>
      <c r="CC15" s="199">
        <f t="shared" si="45"/>
        <v>0</v>
      </c>
      <c r="CD15" s="199">
        <f t="shared" si="46"/>
        <v>0</v>
      </c>
      <c r="CE15" s="199">
        <f t="shared" si="47"/>
        <v>0</v>
      </c>
      <c r="CF15" s="191"/>
      <c r="CG15" s="199">
        <f t="shared" si="48"/>
        <v>0</v>
      </c>
      <c r="CH15" s="199">
        <f t="shared" si="49"/>
        <v>0</v>
      </c>
      <c r="CI15" s="199">
        <f t="shared" si="50"/>
        <v>0.42799999999999999</v>
      </c>
      <c r="CJ15" s="199">
        <f t="shared" si="51"/>
        <v>1400000000</v>
      </c>
      <c r="CK15" s="199">
        <f t="shared" si="52"/>
        <v>0</v>
      </c>
      <c r="CL15" s="199">
        <f t="shared" si="53"/>
        <v>0</v>
      </c>
      <c r="CM15" s="199">
        <f t="shared" si="54"/>
        <v>0</v>
      </c>
      <c r="CN15" s="199">
        <f t="shared" si="55"/>
        <v>0</v>
      </c>
      <c r="CO15" s="199">
        <f t="shared" si="56"/>
        <v>0</v>
      </c>
      <c r="CP15" s="199">
        <f t="shared" si="57"/>
        <v>0</v>
      </c>
      <c r="CQ15" s="199">
        <f t="shared" si="58"/>
        <v>0</v>
      </c>
      <c r="CR15" s="199">
        <f t="shared" si="59"/>
        <v>0</v>
      </c>
      <c r="CS15" s="191"/>
      <c r="CT15" s="191"/>
      <c r="CU15" s="191"/>
      <c r="CV15" s="191"/>
      <c r="CW15" s="191"/>
      <c r="CX15" s="191"/>
      <c r="CY15" s="191"/>
    </row>
    <row r="16" spans="1:103" x14ac:dyDescent="0.3">
      <c r="B16" t="str">
        <f>TRNG!F14</f>
        <v>chaotic map</v>
      </c>
      <c r="C16">
        <f>TRNG!C14</f>
        <v>2014</v>
      </c>
      <c r="D16" s="57" t="str">
        <f>IF($B16=D$3,IF(TRNG!$K14&gt;0,TRNG!$K14*1000000,""),"")</f>
        <v/>
      </c>
      <c r="E16" s="57" t="str">
        <f>IF($B16=E$3,IF(TRNG!$K14&gt;0,TRNG!$K14*1000000,""),"")</f>
        <v/>
      </c>
      <c r="F16" s="57" t="str">
        <f>IF($B16=F$3,IF(TRNG!$K14&gt;0,TRNG!$K14*1000000,""),"")</f>
        <v/>
      </c>
      <c r="G16" s="57">
        <f>IF($B16=G$3,IF(TRNG!$K14&gt;0,TRNG!$K14*1000000,""),"")</f>
        <v>127000000</v>
      </c>
      <c r="H16" s="57" t="str">
        <f>IF($B16=H$3,IF(TRNG!$K14&gt;0,TRNG!$K14*1000000,""),"")</f>
        <v/>
      </c>
      <c r="I16" s="57" t="str">
        <f>IF($B16=I$3,IF(TRNG!$K14&gt;0,TRNG!$K14*1000000,""),"")</f>
        <v/>
      </c>
      <c r="J16" s="23"/>
      <c r="K16" s="57" t="str">
        <f>IF($B16=K$3,IF(TRNG!$O14&gt;0,TRNG!$O14,""),"")</f>
        <v/>
      </c>
      <c r="L16" s="57" t="str">
        <f>IF($B16=L$3,IF(TRNG!$O14&gt;0,TRNG!$O14,""),"")</f>
        <v/>
      </c>
      <c r="M16" s="57" t="str">
        <f>IF($B16=M$3,IF(TRNG!$O14&gt;0,TRNG!$O14,""),"")</f>
        <v/>
      </c>
      <c r="N16" s="57">
        <f>IF($B16=N$3,IF(TRNG!$O14&gt;0,TRNG!$O14,""),"")</f>
        <v>46000</v>
      </c>
      <c r="O16" s="57" t="str">
        <f>IF($B16=O$3,IF(TRNG!$O14&gt;0,TRNG!$O14,""),"")</f>
        <v/>
      </c>
      <c r="P16" s="57" t="str">
        <f>IF($B16=P$3,IF(TRNG!$O14&gt;0,TRNG!$O14,""),"")</f>
        <v/>
      </c>
      <c r="R16" s="57" t="str">
        <f>IF($B16=R$3,IF(TRNG!$N14&gt;0,TRNG!$N14*1000000,""),"")</f>
        <v/>
      </c>
      <c r="S16" s="57" t="str">
        <f>IF($B16=S$3,IF(TRNG!$N14&gt;0,TRNG!$N14*1000000,""),"")</f>
        <v/>
      </c>
      <c r="T16" s="57" t="str">
        <f>IF($B16=T$3,IF(TRNG!$N14&gt;0,TRNG!$N14*1000000,""),"")</f>
        <v/>
      </c>
      <c r="U16" s="57">
        <f>IF($B16=U$3,IF(TRNG!$N14&gt;0,TRNG!$N14*1000000,""),"")</f>
        <v>93149999.999999985</v>
      </c>
      <c r="V16" s="57" t="str">
        <f>IF($B16=V$3,IF(TRNG!$N14&gt;0,TRNG!$N14*1000000,""),"")</f>
        <v/>
      </c>
      <c r="W16" s="57" t="str">
        <f>IF($B16=W$3,IF(TRNG!$N14&gt;0,TRNG!$N14*1000000,""),"")</f>
        <v/>
      </c>
      <c r="Y16" s="57" t="str">
        <f>IF($B16=Y$3,IF(TRNG!$P14&gt;0,TRNG!$P14,""),"")</f>
        <v/>
      </c>
      <c r="Z16" s="57" t="str">
        <f>IF($B16=Z$3,IF(TRNG!$P14&gt;0,TRNG!$P14,""),"")</f>
        <v/>
      </c>
      <c r="AA16" s="57" t="str">
        <f>IF($B16=AA$3,IF(TRNG!$P14&gt;0,TRNG!$P14,""),"")</f>
        <v/>
      </c>
      <c r="AB16" s="57">
        <f>IF($B16=AB$3,IF(TRNG!$P14&gt;0,TRNG!$P14,""),"")</f>
        <v>8.6</v>
      </c>
      <c r="AC16" s="57" t="str">
        <f>IF($B16=AC$3,IF(TRNG!$P14&gt;0,TRNG!$P14,""),"")</f>
        <v/>
      </c>
      <c r="AD16" s="57" t="str">
        <f>IF($B16=AD$3,IF(TRNG!$P14&gt;0,TRNG!$P14,""),"")</f>
        <v/>
      </c>
      <c r="AG16" s="199">
        <f t="shared" si="0"/>
        <v>0</v>
      </c>
      <c r="AH16" s="199">
        <f t="shared" si="1"/>
        <v>0</v>
      </c>
      <c r="AI16" s="199">
        <f t="shared" si="2"/>
        <v>0</v>
      </c>
      <c r="AJ16" s="199">
        <f t="shared" si="3"/>
        <v>0</v>
      </c>
      <c r="AK16" s="199">
        <f t="shared" si="4"/>
        <v>0</v>
      </c>
      <c r="AL16" s="199">
        <f t="shared" si="5"/>
        <v>0</v>
      </c>
      <c r="AM16" s="199">
        <f t="shared" si="6"/>
        <v>127000000</v>
      </c>
      <c r="AN16" s="199">
        <f t="shared" si="7"/>
        <v>46000</v>
      </c>
      <c r="AO16" s="199">
        <f t="shared" si="8"/>
        <v>0</v>
      </c>
      <c r="AP16" s="199">
        <f t="shared" si="9"/>
        <v>0</v>
      </c>
      <c r="AQ16" s="199">
        <f t="shared" si="10"/>
        <v>0</v>
      </c>
      <c r="AR16" s="199">
        <f t="shared" si="11"/>
        <v>0</v>
      </c>
      <c r="AT16" s="199">
        <f t="shared" si="12"/>
        <v>0</v>
      </c>
      <c r="AU16" s="199">
        <f t="shared" si="13"/>
        <v>0</v>
      </c>
      <c r="AV16" s="199">
        <f t="shared" si="14"/>
        <v>0</v>
      </c>
      <c r="AW16" s="199">
        <f t="shared" si="15"/>
        <v>0</v>
      </c>
      <c r="AX16" s="199">
        <f t="shared" si="16"/>
        <v>0</v>
      </c>
      <c r="AY16" s="199">
        <f t="shared" si="17"/>
        <v>0</v>
      </c>
      <c r="AZ16" s="199">
        <f t="shared" si="18"/>
        <v>127000000</v>
      </c>
      <c r="BA16" s="199">
        <f t="shared" si="19"/>
        <v>93149999.999999985</v>
      </c>
      <c r="BB16" s="199">
        <f t="shared" si="20"/>
        <v>0</v>
      </c>
      <c r="BC16" s="199">
        <f t="shared" si="21"/>
        <v>0</v>
      </c>
      <c r="BD16" s="199">
        <f t="shared" si="22"/>
        <v>0</v>
      </c>
      <c r="BE16" s="202">
        <f t="shared" si="23"/>
        <v>0</v>
      </c>
      <c r="BF16" s="191"/>
      <c r="BG16" s="199">
        <f t="shared" si="24"/>
        <v>0</v>
      </c>
      <c r="BH16" s="199">
        <f t="shared" si="25"/>
        <v>0</v>
      </c>
      <c r="BI16" s="199">
        <f t="shared" si="26"/>
        <v>0</v>
      </c>
      <c r="BJ16" s="199">
        <f t="shared" si="27"/>
        <v>0</v>
      </c>
      <c r="BK16" s="199">
        <f t="shared" si="28"/>
        <v>0</v>
      </c>
      <c r="BL16" s="199">
        <f t="shared" si="29"/>
        <v>0</v>
      </c>
      <c r="BM16" s="199">
        <f t="shared" si="30"/>
        <v>127000000</v>
      </c>
      <c r="BN16" s="199">
        <f t="shared" si="31"/>
        <v>8.6</v>
      </c>
      <c r="BO16" s="199">
        <f t="shared" si="32"/>
        <v>0</v>
      </c>
      <c r="BP16" s="199">
        <f t="shared" si="33"/>
        <v>0</v>
      </c>
      <c r="BQ16" s="199">
        <f t="shared" si="34"/>
        <v>0</v>
      </c>
      <c r="BR16" s="199">
        <f t="shared" si="35"/>
        <v>0</v>
      </c>
      <c r="BS16" s="191"/>
      <c r="BT16" s="199">
        <f t="shared" si="36"/>
        <v>0</v>
      </c>
      <c r="BU16" s="199">
        <f t="shared" si="37"/>
        <v>0</v>
      </c>
      <c r="BV16" s="199">
        <f t="shared" si="38"/>
        <v>0</v>
      </c>
      <c r="BW16" s="199">
        <f t="shared" si="39"/>
        <v>0</v>
      </c>
      <c r="BX16" s="199">
        <f t="shared" si="40"/>
        <v>0</v>
      </c>
      <c r="BY16" s="199">
        <f t="shared" si="41"/>
        <v>0</v>
      </c>
      <c r="BZ16" s="199">
        <f t="shared" si="42"/>
        <v>8.6</v>
      </c>
      <c r="CA16" s="199">
        <f t="shared" si="43"/>
        <v>46000</v>
      </c>
      <c r="CB16" s="199">
        <f t="shared" si="44"/>
        <v>0</v>
      </c>
      <c r="CC16" s="199">
        <f t="shared" si="45"/>
        <v>0</v>
      </c>
      <c r="CD16" s="199">
        <f t="shared" si="46"/>
        <v>0</v>
      </c>
      <c r="CE16" s="199">
        <f t="shared" si="47"/>
        <v>0</v>
      </c>
      <c r="CF16" s="191"/>
      <c r="CG16" s="199">
        <f t="shared" si="48"/>
        <v>0</v>
      </c>
      <c r="CH16" s="199">
        <f t="shared" si="49"/>
        <v>0</v>
      </c>
      <c r="CI16" s="199">
        <f t="shared" si="50"/>
        <v>0</v>
      </c>
      <c r="CJ16" s="199">
        <f t="shared" si="51"/>
        <v>0</v>
      </c>
      <c r="CK16" s="199">
        <f t="shared" si="52"/>
        <v>0</v>
      </c>
      <c r="CL16" s="199">
        <f t="shared" si="53"/>
        <v>0</v>
      </c>
      <c r="CM16" s="199">
        <f t="shared" si="54"/>
        <v>8.6</v>
      </c>
      <c r="CN16" s="199">
        <f t="shared" si="55"/>
        <v>93149999.999999985</v>
      </c>
      <c r="CO16" s="199">
        <f t="shared" si="56"/>
        <v>0</v>
      </c>
      <c r="CP16" s="199">
        <f t="shared" si="57"/>
        <v>0</v>
      </c>
      <c r="CQ16" s="199">
        <f t="shared" si="58"/>
        <v>0</v>
      </c>
      <c r="CR16" s="199">
        <f t="shared" si="59"/>
        <v>0</v>
      </c>
      <c r="CS16" s="191"/>
      <c r="CT16" s="191"/>
      <c r="CU16" s="191"/>
      <c r="CV16" s="191"/>
      <c r="CW16" s="191"/>
      <c r="CX16" s="191"/>
      <c r="CY16" s="191"/>
    </row>
    <row r="17" spans="2:103" x14ac:dyDescent="0.3">
      <c r="B17" t="str">
        <f>TRNG!F15</f>
        <v>hybrid</v>
      </c>
      <c r="C17">
        <f>TRNG!C15</f>
        <v>2016</v>
      </c>
      <c r="D17" s="57" t="str">
        <f>IF($B17=D$3,IF(TRNG!$K15&gt;0,TRNG!$K15*1000000,""),"")</f>
        <v/>
      </c>
      <c r="E17" s="57" t="str">
        <f>IF($B17=E$3,IF(TRNG!$K15&gt;0,TRNG!$K15*1000000,""),"")</f>
        <v/>
      </c>
      <c r="F17" s="57" t="str">
        <f>IF($B17=F$3,IF(TRNG!$K15&gt;0,TRNG!$K15*1000000,""),"")</f>
        <v/>
      </c>
      <c r="G17" s="57" t="str">
        <f>IF($B17=G$3,IF(TRNG!$K15&gt;0,TRNG!$K15*1000000,""),"")</f>
        <v/>
      </c>
      <c r="H17" s="57">
        <f>IF($B17=H$3,IF(TRNG!$K15&gt;0,TRNG!$K15*1000000,""),"")</f>
        <v>162500000</v>
      </c>
      <c r="I17" s="57" t="str">
        <f>IF($B17=I$3,IF(TRNG!$K15&gt;0,TRNG!$K15*1000000,""),"")</f>
        <v/>
      </c>
      <c r="J17" s="23"/>
      <c r="K17" s="57" t="str">
        <f>IF($B17=K$3,IF(TRNG!$O15&gt;0,TRNG!$O15,""),"")</f>
        <v/>
      </c>
      <c r="L17" s="57" t="str">
        <f>IF($B17=L$3,IF(TRNG!$O15&gt;0,TRNG!$O15,""),"")</f>
        <v/>
      </c>
      <c r="M17" s="57" t="str">
        <f>IF($B17=M$3,IF(TRNG!$O15&gt;0,TRNG!$O15,""),"")</f>
        <v/>
      </c>
      <c r="N17" s="57" t="str">
        <f>IF($B17=N$3,IF(TRNG!$O15&gt;0,TRNG!$O15,""),"")</f>
        <v/>
      </c>
      <c r="O17" s="57">
        <f>IF($B17=O$3,IF(TRNG!$O15&gt;0,TRNG!$O15,""),"")</f>
        <v>5150000</v>
      </c>
      <c r="P17" s="57" t="str">
        <f>IF($B17=P$3,IF(TRNG!$O15&gt;0,TRNG!$O15,""),"")</f>
        <v/>
      </c>
      <c r="R17" s="57" t="str">
        <f>IF($B17=R$3,IF(TRNG!$N15&gt;0,TRNG!$N15*1000000,""),"")</f>
        <v/>
      </c>
      <c r="S17" s="57" t="str">
        <f>IF($B17=S$3,IF(TRNG!$N15&gt;0,TRNG!$N15*1000000,""),"")</f>
        <v/>
      </c>
      <c r="T17" s="57" t="str">
        <f>IF($B17=T$3,IF(TRNG!$N15&gt;0,TRNG!$N15*1000000,""),"")</f>
        <v/>
      </c>
      <c r="U17" s="57" t="str">
        <f>IF($B17=U$3,IF(TRNG!$N15&gt;0,TRNG!$N15*1000000,""),"")</f>
        <v/>
      </c>
      <c r="V17" s="57">
        <f>IF($B17=V$3,IF(TRNG!$N15&gt;0,TRNG!$N15*1000000,""),"")</f>
        <v>1009400000</v>
      </c>
      <c r="W17" s="57" t="str">
        <f>IF($B17=W$3,IF(TRNG!$N15&gt;0,TRNG!$N15*1000000,""),"")</f>
        <v/>
      </c>
      <c r="Y17" s="57" t="str">
        <f>IF($B17=Y$3,IF(TRNG!$P15&gt;0,TRNG!$P15,""),"")</f>
        <v/>
      </c>
      <c r="Z17" s="57" t="str">
        <f>IF($B17=Z$3,IF(TRNG!$P15&gt;0,TRNG!$P15,""),"")</f>
        <v/>
      </c>
      <c r="AA17" s="57" t="str">
        <f>IF($B17=AA$3,IF(TRNG!$P15&gt;0,TRNG!$P15,""),"")</f>
        <v/>
      </c>
      <c r="AB17" s="57" t="str">
        <f>IF($B17=AB$3,IF(TRNG!$P15&gt;0,TRNG!$P15,""),"")</f>
        <v/>
      </c>
      <c r="AC17" s="57">
        <f>IF($B17=AC$3,IF(TRNG!$P15&gt;0,TRNG!$P15,""),"")</f>
        <v>23</v>
      </c>
      <c r="AD17" s="57" t="str">
        <f>IF($B17=AD$3,IF(TRNG!$P15&gt;0,TRNG!$P15,""),"")</f>
        <v/>
      </c>
      <c r="AG17" s="199">
        <f t="shared" si="0"/>
        <v>0</v>
      </c>
      <c r="AH17" s="199">
        <f t="shared" si="1"/>
        <v>0</v>
      </c>
      <c r="AI17" s="199">
        <f t="shared" si="2"/>
        <v>0</v>
      </c>
      <c r="AJ17" s="199">
        <f t="shared" si="3"/>
        <v>0</v>
      </c>
      <c r="AK17" s="199">
        <f t="shared" si="4"/>
        <v>0</v>
      </c>
      <c r="AL17" s="199">
        <f t="shared" si="5"/>
        <v>0</v>
      </c>
      <c r="AM17" s="199">
        <f t="shared" si="6"/>
        <v>0</v>
      </c>
      <c r="AN17" s="199">
        <f t="shared" si="7"/>
        <v>0</v>
      </c>
      <c r="AO17" s="199">
        <f t="shared" si="8"/>
        <v>162500000</v>
      </c>
      <c r="AP17" s="199">
        <f t="shared" si="9"/>
        <v>5150000</v>
      </c>
      <c r="AQ17" s="199">
        <f t="shared" si="10"/>
        <v>0</v>
      </c>
      <c r="AR17" s="199">
        <f t="shared" si="11"/>
        <v>0</v>
      </c>
      <c r="AT17" s="199">
        <f t="shared" si="12"/>
        <v>0</v>
      </c>
      <c r="AU17" s="199">
        <f t="shared" si="13"/>
        <v>0</v>
      </c>
      <c r="AV17" s="199">
        <f t="shared" si="14"/>
        <v>0</v>
      </c>
      <c r="AW17" s="199">
        <f t="shared" si="15"/>
        <v>0</v>
      </c>
      <c r="AX17" s="199">
        <f t="shared" si="16"/>
        <v>0</v>
      </c>
      <c r="AY17" s="199">
        <f t="shared" si="17"/>
        <v>0</v>
      </c>
      <c r="AZ17" s="199">
        <f t="shared" si="18"/>
        <v>0</v>
      </c>
      <c r="BA17" s="199">
        <f t="shared" si="19"/>
        <v>0</v>
      </c>
      <c r="BB17" s="199">
        <f t="shared" si="20"/>
        <v>162500000</v>
      </c>
      <c r="BC17" s="199">
        <f t="shared" si="21"/>
        <v>1009400000</v>
      </c>
      <c r="BD17" s="199">
        <f t="shared" si="22"/>
        <v>0</v>
      </c>
      <c r="BE17" s="202">
        <f t="shared" si="23"/>
        <v>0</v>
      </c>
      <c r="BF17" s="191"/>
      <c r="BG17" s="199">
        <f t="shared" si="24"/>
        <v>0</v>
      </c>
      <c r="BH17" s="199">
        <f t="shared" si="25"/>
        <v>0</v>
      </c>
      <c r="BI17" s="199">
        <f t="shared" si="26"/>
        <v>0</v>
      </c>
      <c r="BJ17" s="199">
        <f t="shared" si="27"/>
        <v>0</v>
      </c>
      <c r="BK17" s="199">
        <f t="shared" si="28"/>
        <v>0</v>
      </c>
      <c r="BL17" s="199">
        <f t="shared" si="29"/>
        <v>0</v>
      </c>
      <c r="BM17" s="199">
        <f t="shared" si="30"/>
        <v>0</v>
      </c>
      <c r="BN17" s="199">
        <f t="shared" si="31"/>
        <v>0</v>
      </c>
      <c r="BO17" s="199">
        <f t="shared" si="32"/>
        <v>162500000</v>
      </c>
      <c r="BP17" s="199">
        <f t="shared" si="33"/>
        <v>23</v>
      </c>
      <c r="BQ17" s="199">
        <f t="shared" si="34"/>
        <v>0</v>
      </c>
      <c r="BR17" s="199">
        <f t="shared" si="35"/>
        <v>0</v>
      </c>
      <c r="BS17" s="191"/>
      <c r="BT17" s="199">
        <f t="shared" si="36"/>
        <v>0</v>
      </c>
      <c r="BU17" s="199">
        <f t="shared" si="37"/>
        <v>0</v>
      </c>
      <c r="BV17" s="199">
        <f t="shared" si="38"/>
        <v>0</v>
      </c>
      <c r="BW17" s="199">
        <f t="shared" si="39"/>
        <v>0</v>
      </c>
      <c r="BX17" s="199">
        <f t="shared" si="40"/>
        <v>0</v>
      </c>
      <c r="BY17" s="199">
        <f t="shared" si="41"/>
        <v>0</v>
      </c>
      <c r="BZ17" s="199">
        <f t="shared" si="42"/>
        <v>0</v>
      </c>
      <c r="CA17" s="199">
        <f t="shared" si="43"/>
        <v>0</v>
      </c>
      <c r="CB17" s="199">
        <f t="shared" si="44"/>
        <v>23</v>
      </c>
      <c r="CC17" s="199">
        <f t="shared" si="45"/>
        <v>5150000</v>
      </c>
      <c r="CD17" s="199">
        <f t="shared" si="46"/>
        <v>0</v>
      </c>
      <c r="CE17" s="199">
        <f t="shared" si="47"/>
        <v>0</v>
      </c>
      <c r="CF17" s="191"/>
      <c r="CG17" s="199">
        <f t="shared" si="48"/>
        <v>0</v>
      </c>
      <c r="CH17" s="199">
        <f t="shared" si="49"/>
        <v>0</v>
      </c>
      <c r="CI17" s="199">
        <f t="shared" si="50"/>
        <v>0</v>
      </c>
      <c r="CJ17" s="199">
        <f t="shared" si="51"/>
        <v>0</v>
      </c>
      <c r="CK17" s="199">
        <f t="shared" si="52"/>
        <v>0</v>
      </c>
      <c r="CL17" s="199">
        <f t="shared" si="53"/>
        <v>0</v>
      </c>
      <c r="CM17" s="199">
        <f t="shared" si="54"/>
        <v>0</v>
      </c>
      <c r="CN17" s="199">
        <f t="shared" si="55"/>
        <v>0</v>
      </c>
      <c r="CO17" s="199">
        <f t="shared" si="56"/>
        <v>23</v>
      </c>
      <c r="CP17" s="199">
        <f t="shared" si="57"/>
        <v>1009400000</v>
      </c>
      <c r="CQ17" s="199">
        <f t="shared" si="58"/>
        <v>0</v>
      </c>
      <c r="CR17" s="199">
        <f t="shared" si="59"/>
        <v>0</v>
      </c>
      <c r="CS17" s="191"/>
      <c r="CT17" s="191"/>
      <c r="CU17" s="191"/>
      <c r="CV17" s="191"/>
      <c r="CW17" s="191"/>
      <c r="CX17" s="191"/>
      <c r="CY17" s="191"/>
    </row>
    <row r="18" spans="2:103" x14ac:dyDescent="0.3">
      <c r="B18" t="str">
        <f>TRNG!F16</f>
        <v>jitter</v>
      </c>
      <c r="C18">
        <f>TRNG!C16</f>
        <v>2016</v>
      </c>
      <c r="D18" s="57" t="str">
        <f>IF($B18=D$3,IF(TRNG!$K16&gt;0,TRNG!$K16*1000000,""),"")</f>
        <v/>
      </c>
      <c r="E18" s="57">
        <f>IF($B18=E$3,IF(TRNG!$K16&gt;0,TRNG!$K16*1000000,""),"")</f>
        <v>2000000</v>
      </c>
      <c r="F18" s="57" t="str">
        <f>IF($B18=F$3,IF(TRNG!$K16&gt;0,TRNG!$K16*1000000,""),"")</f>
        <v/>
      </c>
      <c r="G18" s="57" t="str">
        <f>IF($B18=G$3,IF(TRNG!$K16&gt;0,TRNG!$K16*1000000,""),"")</f>
        <v/>
      </c>
      <c r="H18" s="57" t="str">
        <f>IF($B18=H$3,IF(TRNG!$K16&gt;0,TRNG!$K16*1000000,""),"")</f>
        <v/>
      </c>
      <c r="I18" s="57" t="str">
        <f>IF($B18=I$3,IF(TRNG!$K16&gt;0,TRNG!$K16*1000000,""),"")</f>
        <v/>
      </c>
      <c r="J18" s="23"/>
      <c r="K18" s="57" t="str">
        <f>IF($B18=K$3,IF(TRNG!$O16&gt;0,TRNG!$O16,""),"")</f>
        <v/>
      </c>
      <c r="L18" s="57">
        <f>IF($B18=L$3,IF(TRNG!$O16&gt;0,TRNG!$O16,""),"")</f>
        <v>519000</v>
      </c>
      <c r="M18" s="57" t="str">
        <f>IF($B18=M$3,IF(TRNG!$O16&gt;0,TRNG!$O16,""),"")</f>
        <v/>
      </c>
      <c r="N18" s="57" t="str">
        <f>IF($B18=N$3,IF(TRNG!$O16&gt;0,TRNG!$O16,""),"")</f>
        <v/>
      </c>
      <c r="O18" s="57" t="str">
        <f>IF($B18=O$3,IF(TRNG!$O16&gt;0,TRNG!$O16,""),"")</f>
        <v/>
      </c>
      <c r="P18" s="57" t="str">
        <f>IF($B18=P$3,IF(TRNG!$O16&gt;0,TRNG!$O16,""),"")</f>
        <v/>
      </c>
      <c r="R18" s="57" t="str">
        <f>IF($B18=R$3,IF(TRNG!$N16&gt;0,TRNG!$N16*1000000,""),"")</f>
        <v/>
      </c>
      <c r="S18" s="57">
        <f>IF($B18=S$3,IF(TRNG!$N16&gt;0,TRNG!$N16*1000000,""),"")</f>
        <v>830400000</v>
      </c>
      <c r="T18" s="57" t="str">
        <f>IF($B18=T$3,IF(TRNG!$N16&gt;0,TRNG!$N16*1000000,""),"")</f>
        <v/>
      </c>
      <c r="U18" s="57" t="str">
        <f>IF($B18=U$3,IF(TRNG!$N16&gt;0,TRNG!$N16*1000000,""),"")</f>
        <v/>
      </c>
      <c r="V18" s="57" t="str">
        <f>IF($B18=V$3,IF(TRNG!$N16&gt;0,TRNG!$N16*1000000,""),"")</f>
        <v/>
      </c>
      <c r="W18" s="57" t="str">
        <f>IF($B18=W$3,IF(TRNG!$N16&gt;0,TRNG!$N16*1000000,""),"")</f>
        <v/>
      </c>
      <c r="Y18" s="57" t="str">
        <f>IF($B18=Y$3,IF(TRNG!$P16&gt;0,TRNG!$P16,""),"")</f>
        <v/>
      </c>
      <c r="Z18" s="57">
        <f>IF($B18=Z$3,IF(TRNG!$P16&gt;0,TRNG!$P16,""),"")</f>
        <v>11</v>
      </c>
      <c r="AA18" s="57" t="str">
        <f>IF($B18=AA$3,IF(TRNG!$P16&gt;0,TRNG!$P16,""),"")</f>
        <v/>
      </c>
      <c r="AB18" s="57" t="str">
        <f>IF($B18=AB$3,IF(TRNG!$P16&gt;0,TRNG!$P16,""),"")</f>
        <v/>
      </c>
      <c r="AC18" s="57" t="str">
        <f>IF($B18=AC$3,IF(TRNG!$P16&gt;0,TRNG!$P16,""),"")</f>
        <v/>
      </c>
      <c r="AD18" s="57" t="str">
        <f>IF($B18=AD$3,IF(TRNG!$P16&gt;0,TRNG!$P16,""),"")</f>
        <v/>
      </c>
      <c r="AG18" s="199">
        <f t="shared" si="0"/>
        <v>0</v>
      </c>
      <c r="AH18" s="199">
        <f t="shared" si="1"/>
        <v>0</v>
      </c>
      <c r="AI18" s="199">
        <f t="shared" si="2"/>
        <v>2000000</v>
      </c>
      <c r="AJ18" s="199">
        <f t="shared" si="3"/>
        <v>519000</v>
      </c>
      <c r="AK18" s="199">
        <f t="shared" si="4"/>
        <v>0</v>
      </c>
      <c r="AL18" s="199">
        <f t="shared" si="5"/>
        <v>0</v>
      </c>
      <c r="AM18" s="199">
        <f t="shared" si="6"/>
        <v>0</v>
      </c>
      <c r="AN18" s="199">
        <f t="shared" si="7"/>
        <v>0</v>
      </c>
      <c r="AO18" s="199">
        <f t="shared" si="8"/>
        <v>0</v>
      </c>
      <c r="AP18" s="199">
        <f t="shared" si="9"/>
        <v>0</v>
      </c>
      <c r="AQ18" s="199">
        <f t="shared" si="10"/>
        <v>0</v>
      </c>
      <c r="AR18" s="199">
        <f t="shared" si="11"/>
        <v>0</v>
      </c>
      <c r="AT18" s="199">
        <f t="shared" si="12"/>
        <v>0</v>
      </c>
      <c r="AU18" s="199">
        <f t="shared" si="13"/>
        <v>0</v>
      </c>
      <c r="AV18" s="199">
        <f t="shared" si="14"/>
        <v>2000000</v>
      </c>
      <c r="AW18" s="199">
        <f t="shared" si="15"/>
        <v>830400000</v>
      </c>
      <c r="AX18" s="199">
        <f t="shared" si="16"/>
        <v>0</v>
      </c>
      <c r="AY18" s="199">
        <f t="shared" si="17"/>
        <v>0</v>
      </c>
      <c r="AZ18" s="199">
        <f t="shared" si="18"/>
        <v>0</v>
      </c>
      <c r="BA18" s="199">
        <f t="shared" si="19"/>
        <v>0</v>
      </c>
      <c r="BB18" s="199">
        <f t="shared" si="20"/>
        <v>0</v>
      </c>
      <c r="BC18" s="199">
        <f t="shared" si="21"/>
        <v>0</v>
      </c>
      <c r="BD18" s="199">
        <f t="shared" si="22"/>
        <v>0</v>
      </c>
      <c r="BE18" s="202">
        <f t="shared" si="23"/>
        <v>0</v>
      </c>
      <c r="BF18" s="191"/>
      <c r="BG18" s="199">
        <f t="shared" si="24"/>
        <v>0</v>
      </c>
      <c r="BH18" s="199">
        <f t="shared" si="25"/>
        <v>0</v>
      </c>
      <c r="BI18" s="199">
        <f t="shared" si="26"/>
        <v>2000000</v>
      </c>
      <c r="BJ18" s="199">
        <f t="shared" si="27"/>
        <v>11</v>
      </c>
      <c r="BK18" s="199">
        <f t="shared" si="28"/>
        <v>0</v>
      </c>
      <c r="BL18" s="199">
        <f t="shared" si="29"/>
        <v>0</v>
      </c>
      <c r="BM18" s="199">
        <f t="shared" si="30"/>
        <v>0</v>
      </c>
      <c r="BN18" s="199">
        <f t="shared" si="31"/>
        <v>0</v>
      </c>
      <c r="BO18" s="199">
        <f t="shared" si="32"/>
        <v>0</v>
      </c>
      <c r="BP18" s="199">
        <f t="shared" si="33"/>
        <v>0</v>
      </c>
      <c r="BQ18" s="199">
        <f t="shared" si="34"/>
        <v>0</v>
      </c>
      <c r="BR18" s="199">
        <f t="shared" si="35"/>
        <v>0</v>
      </c>
      <c r="BS18" s="191"/>
      <c r="BT18" s="199">
        <f t="shared" si="36"/>
        <v>0</v>
      </c>
      <c r="BU18" s="199">
        <f t="shared" si="37"/>
        <v>0</v>
      </c>
      <c r="BV18" s="199">
        <f t="shared" si="38"/>
        <v>11</v>
      </c>
      <c r="BW18" s="199">
        <f t="shared" si="39"/>
        <v>519000</v>
      </c>
      <c r="BX18" s="199">
        <f t="shared" si="40"/>
        <v>0</v>
      </c>
      <c r="BY18" s="199">
        <f t="shared" si="41"/>
        <v>0</v>
      </c>
      <c r="BZ18" s="199">
        <f t="shared" si="42"/>
        <v>0</v>
      </c>
      <c r="CA18" s="199">
        <f t="shared" si="43"/>
        <v>0</v>
      </c>
      <c r="CB18" s="199">
        <f t="shared" si="44"/>
        <v>0</v>
      </c>
      <c r="CC18" s="199">
        <f t="shared" si="45"/>
        <v>0</v>
      </c>
      <c r="CD18" s="199">
        <f t="shared" si="46"/>
        <v>0</v>
      </c>
      <c r="CE18" s="199">
        <f t="shared" si="47"/>
        <v>0</v>
      </c>
      <c r="CF18" s="191"/>
      <c r="CG18" s="199">
        <f t="shared" si="48"/>
        <v>0</v>
      </c>
      <c r="CH18" s="199">
        <f t="shared" si="49"/>
        <v>0</v>
      </c>
      <c r="CI18" s="199">
        <f t="shared" si="50"/>
        <v>11</v>
      </c>
      <c r="CJ18" s="199">
        <f t="shared" si="51"/>
        <v>830400000</v>
      </c>
      <c r="CK18" s="199">
        <f t="shared" si="52"/>
        <v>0</v>
      </c>
      <c r="CL18" s="199">
        <f t="shared" si="53"/>
        <v>0</v>
      </c>
      <c r="CM18" s="199">
        <f t="shared" si="54"/>
        <v>0</v>
      </c>
      <c r="CN18" s="199">
        <f t="shared" si="55"/>
        <v>0</v>
      </c>
      <c r="CO18" s="199">
        <f t="shared" si="56"/>
        <v>0</v>
      </c>
      <c r="CP18" s="199">
        <f t="shared" si="57"/>
        <v>0</v>
      </c>
      <c r="CQ18" s="199">
        <f t="shared" si="58"/>
        <v>0</v>
      </c>
      <c r="CR18" s="199">
        <f t="shared" si="59"/>
        <v>0</v>
      </c>
      <c r="CS18" s="191"/>
      <c r="CT18" s="191"/>
      <c r="CU18" s="191"/>
      <c r="CV18" s="191"/>
      <c r="CW18" s="191"/>
      <c r="CX18" s="191"/>
      <c r="CY18" s="191"/>
    </row>
    <row r="19" spans="2:103" x14ac:dyDescent="0.3">
      <c r="B19" t="str">
        <f>TRNG!F17</f>
        <v>others</v>
      </c>
      <c r="C19">
        <f>TRNG!C17</f>
        <v>2016</v>
      </c>
      <c r="D19" s="57" t="str">
        <f>IF($B19=D$3,IF(TRNG!$K17&gt;0,TRNG!$K17*1000000,""),"")</f>
        <v/>
      </c>
      <c r="E19" s="57" t="str">
        <f>IF($B19=E$3,IF(TRNG!$K17&gt;0,TRNG!$K17*1000000,""),"")</f>
        <v/>
      </c>
      <c r="F19" s="57" t="str">
        <f>IF($B19=F$3,IF(TRNG!$K17&gt;0,TRNG!$K17*1000000,""),"")</f>
        <v/>
      </c>
      <c r="G19" s="57" t="str">
        <f>IF($B19=G$3,IF(TRNG!$K17&gt;0,TRNG!$K17*1000000,""),"")</f>
        <v/>
      </c>
      <c r="H19" s="57" t="str">
        <f>IF($B19=H$3,IF(TRNG!$K17&gt;0,TRNG!$K17*1000000,""),"")</f>
        <v/>
      </c>
      <c r="I19" s="57">
        <f>IF($B19=I$3,IF(TRNG!$K17&gt;0,TRNG!$K17*1000000,""),"")</f>
        <v>128000000</v>
      </c>
      <c r="J19" s="23"/>
      <c r="K19" s="57" t="str">
        <f>IF($B19=K$3,IF(TRNG!$O17&gt;0,TRNG!$O17,""),"")</f>
        <v/>
      </c>
      <c r="L19" s="57" t="str">
        <f>IF($B19=L$3,IF(TRNG!$O17&gt;0,TRNG!$O17,""),"")</f>
        <v/>
      </c>
      <c r="M19" s="57" t="str">
        <f>IF($B19=M$3,IF(TRNG!$O17&gt;0,TRNG!$O17,""),"")</f>
        <v/>
      </c>
      <c r="N19" s="57" t="str">
        <f>IF($B19=N$3,IF(TRNG!$O17&gt;0,TRNG!$O17,""),"")</f>
        <v/>
      </c>
      <c r="O19" s="57" t="str">
        <f>IF($B19=O$3,IF(TRNG!$O17&gt;0,TRNG!$O17,""),"")</f>
        <v/>
      </c>
      <c r="P19" s="57">
        <f>IF($B19=P$3,IF(TRNG!$O17&gt;0,TRNG!$O17,""),"")</f>
        <v>49000000</v>
      </c>
      <c r="R19" s="57" t="str">
        <f>IF($B19=R$3,IF(TRNG!$N17&gt;0,TRNG!$N17*1000000,""),"")</f>
        <v/>
      </c>
      <c r="S19" s="57" t="str">
        <f>IF($B19=S$3,IF(TRNG!$N17&gt;0,TRNG!$N17*1000000,""),"")</f>
        <v/>
      </c>
      <c r="T19" s="57" t="str">
        <f>IF($B19=T$3,IF(TRNG!$N17&gt;0,TRNG!$N17*1000000,""),"")</f>
        <v/>
      </c>
      <c r="U19" s="57" t="str">
        <f>IF($B19=U$3,IF(TRNG!$N17&gt;0,TRNG!$N17*1000000,""),"")</f>
        <v/>
      </c>
      <c r="V19" s="57" t="str">
        <f>IF($B19=V$3,IF(TRNG!$N17&gt;0,TRNG!$N17*1000000,""),"")</f>
        <v/>
      </c>
      <c r="W19" s="57">
        <f>IF($B19=W$3,IF(TRNG!$N17&gt;0,TRNG!$N17*1000000,""),"")</f>
        <v>1102500000000</v>
      </c>
      <c r="Y19" s="57" t="str">
        <f>IF($B19=Y$3,IF(TRNG!$P17&gt;0,TRNG!$P17,""),"")</f>
        <v/>
      </c>
      <c r="Z19" s="57" t="str">
        <f>IF($B19=Z$3,IF(TRNG!$P17&gt;0,TRNG!$P17,""),"")</f>
        <v/>
      </c>
      <c r="AA19" s="57" t="str">
        <f>IF($B19=AA$3,IF(TRNG!$P17&gt;0,TRNG!$P17,""),"")</f>
        <v/>
      </c>
      <c r="AB19" s="57" t="str">
        <f>IF($B19=AB$3,IF(TRNG!$P17&gt;0,TRNG!$P17,""),"")</f>
        <v/>
      </c>
      <c r="AC19" s="57" t="str">
        <f>IF($B19=AC$3,IF(TRNG!$P17&gt;0,TRNG!$P17,""),"")</f>
        <v/>
      </c>
      <c r="AD19" s="57" t="str">
        <f>IF($B19=AD$3,IF(TRNG!$P17&gt;0,TRNG!$P17,""),"")</f>
        <v/>
      </c>
      <c r="AG19" s="199">
        <f t="shared" si="0"/>
        <v>0</v>
      </c>
      <c r="AH19" s="199">
        <f t="shared" si="1"/>
        <v>0</v>
      </c>
      <c r="AI19" s="199">
        <f t="shared" si="2"/>
        <v>0</v>
      </c>
      <c r="AJ19" s="199">
        <f t="shared" si="3"/>
        <v>0</v>
      </c>
      <c r="AK19" s="199">
        <f t="shared" si="4"/>
        <v>0</v>
      </c>
      <c r="AL19" s="199">
        <f t="shared" si="5"/>
        <v>0</v>
      </c>
      <c r="AM19" s="199">
        <f t="shared" si="6"/>
        <v>0</v>
      </c>
      <c r="AN19" s="199">
        <f t="shared" si="7"/>
        <v>0</v>
      </c>
      <c r="AO19" s="199">
        <f t="shared" si="8"/>
        <v>0</v>
      </c>
      <c r="AP19" s="199">
        <f t="shared" si="9"/>
        <v>0</v>
      </c>
      <c r="AQ19" s="199">
        <f t="shared" si="10"/>
        <v>128000000</v>
      </c>
      <c r="AR19" s="199">
        <f t="shared" si="11"/>
        <v>49000000</v>
      </c>
      <c r="AT19" s="199">
        <f t="shared" si="12"/>
        <v>0</v>
      </c>
      <c r="AU19" s="199">
        <f t="shared" si="13"/>
        <v>0</v>
      </c>
      <c r="AV19" s="199">
        <f t="shared" si="14"/>
        <v>0</v>
      </c>
      <c r="AW19" s="199">
        <f t="shared" si="15"/>
        <v>0</v>
      </c>
      <c r="AX19" s="199">
        <f t="shared" si="16"/>
        <v>0</v>
      </c>
      <c r="AY19" s="199">
        <f t="shared" si="17"/>
        <v>0</v>
      </c>
      <c r="AZ19" s="199">
        <f t="shared" si="18"/>
        <v>0</v>
      </c>
      <c r="BA19" s="199">
        <f t="shared" si="19"/>
        <v>0</v>
      </c>
      <c r="BB19" s="199">
        <f t="shared" si="20"/>
        <v>0</v>
      </c>
      <c r="BC19" s="199">
        <f t="shared" si="21"/>
        <v>0</v>
      </c>
      <c r="BD19" s="199">
        <f t="shared" si="22"/>
        <v>128000000</v>
      </c>
      <c r="BE19" s="202">
        <f t="shared" si="23"/>
        <v>1102500000000</v>
      </c>
      <c r="BF19" s="191"/>
      <c r="BG19" s="199">
        <f t="shared" si="24"/>
        <v>0</v>
      </c>
      <c r="BH19" s="199">
        <f t="shared" si="25"/>
        <v>0</v>
      </c>
      <c r="BI19" s="199">
        <f t="shared" si="26"/>
        <v>0</v>
      </c>
      <c r="BJ19" s="199">
        <f t="shared" si="27"/>
        <v>0</v>
      </c>
      <c r="BK19" s="199">
        <f t="shared" si="28"/>
        <v>0</v>
      </c>
      <c r="BL19" s="199">
        <f t="shared" si="29"/>
        <v>0</v>
      </c>
      <c r="BM19" s="199">
        <f t="shared" si="30"/>
        <v>0</v>
      </c>
      <c r="BN19" s="199">
        <f t="shared" si="31"/>
        <v>0</v>
      </c>
      <c r="BO19" s="199">
        <f t="shared" si="32"/>
        <v>0</v>
      </c>
      <c r="BP19" s="199">
        <f t="shared" si="33"/>
        <v>0</v>
      </c>
      <c r="BQ19" s="199">
        <f t="shared" si="34"/>
        <v>0</v>
      </c>
      <c r="BR19" s="199">
        <f t="shared" si="35"/>
        <v>0</v>
      </c>
      <c r="BS19" s="191"/>
      <c r="BT19" s="199">
        <f t="shared" si="36"/>
        <v>0</v>
      </c>
      <c r="BU19" s="199">
        <f t="shared" si="37"/>
        <v>0</v>
      </c>
      <c r="BV19" s="199">
        <f t="shared" si="38"/>
        <v>0</v>
      </c>
      <c r="BW19" s="199">
        <f t="shared" si="39"/>
        <v>0</v>
      </c>
      <c r="BX19" s="199">
        <f t="shared" si="40"/>
        <v>0</v>
      </c>
      <c r="BY19" s="199">
        <f t="shared" si="41"/>
        <v>0</v>
      </c>
      <c r="BZ19" s="199">
        <f t="shared" si="42"/>
        <v>0</v>
      </c>
      <c r="CA19" s="199">
        <f t="shared" si="43"/>
        <v>0</v>
      </c>
      <c r="CB19" s="199">
        <f t="shared" si="44"/>
        <v>0</v>
      </c>
      <c r="CC19" s="199">
        <f t="shared" si="45"/>
        <v>0</v>
      </c>
      <c r="CD19" s="199">
        <f t="shared" si="46"/>
        <v>0</v>
      </c>
      <c r="CE19" s="199">
        <f t="shared" si="47"/>
        <v>0</v>
      </c>
      <c r="CF19" s="191"/>
      <c r="CG19" s="199">
        <f t="shared" si="48"/>
        <v>0</v>
      </c>
      <c r="CH19" s="199">
        <f t="shared" si="49"/>
        <v>0</v>
      </c>
      <c r="CI19" s="199">
        <f t="shared" si="50"/>
        <v>0</v>
      </c>
      <c r="CJ19" s="199">
        <f t="shared" si="51"/>
        <v>0</v>
      </c>
      <c r="CK19" s="199">
        <f t="shared" si="52"/>
        <v>0</v>
      </c>
      <c r="CL19" s="199">
        <f t="shared" si="53"/>
        <v>0</v>
      </c>
      <c r="CM19" s="199">
        <f t="shared" si="54"/>
        <v>0</v>
      </c>
      <c r="CN19" s="199">
        <f t="shared" si="55"/>
        <v>0</v>
      </c>
      <c r="CO19" s="199">
        <f t="shared" si="56"/>
        <v>0</v>
      </c>
      <c r="CP19" s="199">
        <f t="shared" si="57"/>
        <v>0</v>
      </c>
      <c r="CQ19" s="199">
        <f t="shared" si="58"/>
        <v>0</v>
      </c>
      <c r="CR19" s="199">
        <f t="shared" si="59"/>
        <v>0</v>
      </c>
      <c r="CS19" s="191"/>
      <c r="CT19" s="191"/>
      <c r="CU19" s="191"/>
      <c r="CV19" s="191"/>
      <c r="CW19" s="191"/>
      <c r="CX19" s="191"/>
      <c r="CY19" s="191"/>
    </row>
    <row r="20" spans="2:103" x14ac:dyDescent="0.3">
      <c r="B20" t="str">
        <f>TRNG!F18</f>
        <v>jitter</v>
      </c>
      <c r="C20">
        <f>TRNG!C18</f>
        <v>2017</v>
      </c>
      <c r="D20" s="57" t="str">
        <f>IF($B20=D$3,IF(TRNG!$K18&gt;0,TRNG!$K18*1000000,""),"")</f>
        <v/>
      </c>
      <c r="E20" s="57">
        <f>IF($B20=E$3,IF(TRNG!$K18&gt;0,TRNG!$K18*1000000,""),"")</f>
        <v>9900000</v>
      </c>
      <c r="F20" s="57" t="str">
        <f>IF($B20=F$3,IF(TRNG!$K18&gt;0,TRNG!$K18*1000000,""),"")</f>
        <v/>
      </c>
      <c r="G20" s="57" t="str">
        <f>IF($B20=G$3,IF(TRNG!$K18&gt;0,TRNG!$K18*1000000,""),"")</f>
        <v/>
      </c>
      <c r="H20" s="57" t="str">
        <f>IF($B20=H$3,IF(TRNG!$K18&gt;0,TRNG!$K18*1000000,""),"")</f>
        <v/>
      </c>
      <c r="I20" s="57" t="str">
        <f>IF($B20=I$3,IF(TRNG!$K18&gt;0,TRNG!$K18*1000000,""),"")</f>
        <v/>
      </c>
      <c r="J20" s="23"/>
      <c r="K20" s="57" t="str">
        <f>IF($B20=K$3,IF(TRNG!$O18&gt;0,TRNG!$O18,""),"")</f>
        <v/>
      </c>
      <c r="L20" s="57">
        <f>IF($B20=L$3,IF(TRNG!$O18&gt;0,TRNG!$O18,""),"")</f>
        <v>218000</v>
      </c>
      <c r="M20" s="57" t="str">
        <f>IF($B20=M$3,IF(TRNG!$O18&gt;0,TRNG!$O18,""),"")</f>
        <v/>
      </c>
      <c r="N20" s="57" t="str">
        <f>IF($B20=N$3,IF(TRNG!$O18&gt;0,TRNG!$O18,""),"")</f>
        <v/>
      </c>
      <c r="O20" s="57" t="str">
        <f>IF($B20=O$3,IF(TRNG!$O18&gt;0,TRNG!$O18,""),"")</f>
        <v/>
      </c>
      <c r="P20" s="57" t="str">
        <f>IF($B20=P$3,IF(TRNG!$O18&gt;0,TRNG!$O18,""),"")</f>
        <v/>
      </c>
      <c r="R20" s="57" t="str">
        <f>IF($B20=R$3,IF(TRNG!$N18&gt;0,TRNG!$N18*1000000,""),"")</f>
        <v/>
      </c>
      <c r="S20" s="57">
        <f>IF($B20=S$3,IF(TRNG!$N18&gt;0,TRNG!$N18*1000000,""),"")</f>
        <v>921050000.00000012</v>
      </c>
      <c r="T20" s="57" t="str">
        <f>IF($B20=T$3,IF(TRNG!$N18&gt;0,TRNG!$N18*1000000,""),"")</f>
        <v/>
      </c>
      <c r="U20" s="57" t="str">
        <f>IF($B20=U$3,IF(TRNG!$N18&gt;0,TRNG!$N18*1000000,""),"")</f>
        <v/>
      </c>
      <c r="V20" s="57" t="str">
        <f>IF($B20=V$3,IF(TRNG!$N18&gt;0,TRNG!$N18*1000000,""),"")</f>
        <v/>
      </c>
      <c r="W20" s="57" t="str">
        <f>IF($B20=W$3,IF(TRNG!$N18&gt;0,TRNG!$N18*1000000,""),"")</f>
        <v/>
      </c>
      <c r="Y20" s="57" t="str">
        <f>IF($B20=Y$3,IF(TRNG!$P18&gt;0,TRNG!$P18,""),"")</f>
        <v/>
      </c>
      <c r="Z20" s="57">
        <f>IF($B20=Z$3,IF(TRNG!$P18&gt;0,TRNG!$P18,""),"")</f>
        <v>35.5</v>
      </c>
      <c r="AA20" s="57" t="str">
        <f>IF($B20=AA$3,IF(TRNG!$P18&gt;0,TRNG!$P18,""),"")</f>
        <v/>
      </c>
      <c r="AB20" s="57" t="str">
        <f>IF($B20=AB$3,IF(TRNG!$P18&gt;0,TRNG!$P18,""),"")</f>
        <v/>
      </c>
      <c r="AC20" s="57" t="str">
        <f>IF($B20=AC$3,IF(TRNG!$P18&gt;0,TRNG!$P18,""),"")</f>
        <v/>
      </c>
      <c r="AD20" s="57" t="str">
        <f>IF($B20=AD$3,IF(TRNG!$P18&gt;0,TRNG!$P18,""),"")</f>
        <v/>
      </c>
      <c r="AG20" s="199">
        <f t="shared" si="0"/>
        <v>0</v>
      </c>
      <c r="AH20" s="199">
        <f t="shared" si="1"/>
        <v>0</v>
      </c>
      <c r="AI20" s="199">
        <f t="shared" si="2"/>
        <v>9900000</v>
      </c>
      <c r="AJ20" s="199">
        <f t="shared" si="3"/>
        <v>218000</v>
      </c>
      <c r="AK20" s="199">
        <f t="shared" si="4"/>
        <v>0</v>
      </c>
      <c r="AL20" s="199">
        <f t="shared" si="5"/>
        <v>0</v>
      </c>
      <c r="AM20" s="199">
        <f t="shared" si="6"/>
        <v>0</v>
      </c>
      <c r="AN20" s="199">
        <f t="shared" si="7"/>
        <v>0</v>
      </c>
      <c r="AO20" s="199">
        <f t="shared" si="8"/>
        <v>0</v>
      </c>
      <c r="AP20" s="199">
        <f t="shared" si="9"/>
        <v>0</v>
      </c>
      <c r="AQ20" s="199">
        <f t="shared" si="10"/>
        <v>0</v>
      </c>
      <c r="AR20" s="199">
        <f t="shared" si="11"/>
        <v>0</v>
      </c>
      <c r="AT20" s="199">
        <f t="shared" si="12"/>
        <v>0</v>
      </c>
      <c r="AU20" s="199">
        <f t="shared" si="13"/>
        <v>0</v>
      </c>
      <c r="AV20" s="199">
        <f t="shared" si="14"/>
        <v>9900000</v>
      </c>
      <c r="AW20" s="199">
        <f t="shared" si="15"/>
        <v>921050000.00000012</v>
      </c>
      <c r="AX20" s="199">
        <f t="shared" si="16"/>
        <v>0</v>
      </c>
      <c r="AY20" s="199">
        <f t="shared" si="17"/>
        <v>0</v>
      </c>
      <c r="AZ20" s="199">
        <f t="shared" si="18"/>
        <v>0</v>
      </c>
      <c r="BA20" s="199">
        <f t="shared" si="19"/>
        <v>0</v>
      </c>
      <c r="BB20" s="199">
        <f t="shared" si="20"/>
        <v>0</v>
      </c>
      <c r="BC20" s="199">
        <f t="shared" si="21"/>
        <v>0</v>
      </c>
      <c r="BD20" s="199">
        <f t="shared" si="22"/>
        <v>0</v>
      </c>
      <c r="BE20" s="202">
        <f t="shared" si="23"/>
        <v>0</v>
      </c>
      <c r="BF20" s="191"/>
      <c r="BG20" s="199">
        <f t="shared" si="24"/>
        <v>0</v>
      </c>
      <c r="BH20" s="199">
        <f t="shared" si="25"/>
        <v>0</v>
      </c>
      <c r="BI20" s="199">
        <f t="shared" si="26"/>
        <v>9900000</v>
      </c>
      <c r="BJ20" s="199">
        <f t="shared" si="27"/>
        <v>35.5</v>
      </c>
      <c r="BK20" s="199">
        <f t="shared" si="28"/>
        <v>0</v>
      </c>
      <c r="BL20" s="199">
        <f t="shared" si="29"/>
        <v>0</v>
      </c>
      <c r="BM20" s="199">
        <f t="shared" si="30"/>
        <v>0</v>
      </c>
      <c r="BN20" s="199">
        <f t="shared" si="31"/>
        <v>0</v>
      </c>
      <c r="BO20" s="199">
        <f t="shared" si="32"/>
        <v>0</v>
      </c>
      <c r="BP20" s="199">
        <f t="shared" si="33"/>
        <v>0</v>
      </c>
      <c r="BQ20" s="199">
        <f t="shared" si="34"/>
        <v>0</v>
      </c>
      <c r="BR20" s="199">
        <f t="shared" si="35"/>
        <v>0</v>
      </c>
      <c r="BS20" s="191"/>
      <c r="BT20" s="199">
        <f t="shared" si="36"/>
        <v>0</v>
      </c>
      <c r="BU20" s="199">
        <f t="shared" si="37"/>
        <v>0</v>
      </c>
      <c r="BV20" s="199">
        <f t="shared" si="38"/>
        <v>35.5</v>
      </c>
      <c r="BW20" s="199">
        <f t="shared" si="39"/>
        <v>218000</v>
      </c>
      <c r="BX20" s="199">
        <f t="shared" si="40"/>
        <v>0</v>
      </c>
      <c r="BY20" s="199">
        <f t="shared" si="41"/>
        <v>0</v>
      </c>
      <c r="BZ20" s="199">
        <f t="shared" si="42"/>
        <v>0</v>
      </c>
      <c r="CA20" s="199">
        <f t="shared" si="43"/>
        <v>0</v>
      </c>
      <c r="CB20" s="199">
        <f t="shared" si="44"/>
        <v>0</v>
      </c>
      <c r="CC20" s="199">
        <f t="shared" si="45"/>
        <v>0</v>
      </c>
      <c r="CD20" s="199">
        <f t="shared" si="46"/>
        <v>0</v>
      </c>
      <c r="CE20" s="199">
        <f t="shared" si="47"/>
        <v>0</v>
      </c>
      <c r="CF20" s="191"/>
      <c r="CG20" s="199">
        <f t="shared" si="48"/>
        <v>0</v>
      </c>
      <c r="CH20" s="199">
        <f t="shared" si="49"/>
        <v>0</v>
      </c>
      <c r="CI20" s="199">
        <f t="shared" si="50"/>
        <v>35.5</v>
      </c>
      <c r="CJ20" s="199">
        <f t="shared" si="51"/>
        <v>921050000.00000012</v>
      </c>
      <c r="CK20" s="199">
        <f t="shared" si="52"/>
        <v>0</v>
      </c>
      <c r="CL20" s="199">
        <f t="shared" si="53"/>
        <v>0</v>
      </c>
      <c r="CM20" s="199">
        <f t="shared" si="54"/>
        <v>0</v>
      </c>
      <c r="CN20" s="199">
        <f t="shared" si="55"/>
        <v>0</v>
      </c>
      <c r="CO20" s="199">
        <f t="shared" si="56"/>
        <v>0</v>
      </c>
      <c r="CP20" s="199">
        <f t="shared" si="57"/>
        <v>0</v>
      </c>
      <c r="CQ20" s="199">
        <f t="shared" si="58"/>
        <v>0</v>
      </c>
      <c r="CR20" s="199">
        <f t="shared" si="59"/>
        <v>0</v>
      </c>
      <c r="CS20" s="191"/>
      <c r="CT20" s="191"/>
      <c r="CU20" s="191"/>
      <c r="CV20" s="191"/>
      <c r="CW20" s="191"/>
      <c r="CX20" s="191"/>
      <c r="CY20" s="191"/>
    </row>
    <row r="21" spans="2:103" x14ac:dyDescent="0.3">
      <c r="B21" t="str">
        <f>TRNG!F19</f>
        <v>hybrid</v>
      </c>
      <c r="C21">
        <f>TRNG!C19</f>
        <v>2017</v>
      </c>
      <c r="D21" s="57" t="str">
        <f>IF($B21=D$3,IF(TRNG!$K19&gt;0,TRNG!$K19*1000000,""),"")</f>
        <v/>
      </c>
      <c r="E21" s="57" t="str">
        <f>IF($B21=E$3,IF(TRNG!$K19&gt;0,TRNG!$K19*1000000,""),"")</f>
        <v/>
      </c>
      <c r="F21" s="57" t="str">
        <f>IF($B21=F$3,IF(TRNG!$K19&gt;0,TRNG!$K19*1000000,""),"")</f>
        <v/>
      </c>
      <c r="G21" s="57" t="str">
        <f>IF($B21=G$3,IF(TRNG!$K19&gt;0,TRNG!$K19*1000000,""),"")</f>
        <v/>
      </c>
      <c r="H21" s="57">
        <f>IF($B21=H$3,IF(TRNG!$K19&gt;0,TRNG!$K19*1000000,""),"")</f>
        <v>3000000000</v>
      </c>
      <c r="I21" s="57" t="str">
        <f>IF($B21=I$3,IF(TRNG!$K19&gt;0,TRNG!$K19*1000000,""),"")</f>
        <v/>
      </c>
      <c r="J21" s="23"/>
      <c r="K21" s="57" t="str">
        <f>IF($B21=K$3,IF(TRNG!$O19&gt;0,TRNG!$O19,""),"")</f>
        <v/>
      </c>
      <c r="L21" s="57" t="str">
        <f>IF($B21=L$3,IF(TRNG!$O19&gt;0,TRNG!$O19,""),"")</f>
        <v/>
      </c>
      <c r="M21" s="57" t="str">
        <f>IF($B21=M$3,IF(TRNG!$O19&gt;0,TRNG!$O19,""),"")</f>
        <v/>
      </c>
      <c r="N21" s="57" t="str">
        <f>IF($B21=N$3,IF(TRNG!$O19&gt;0,TRNG!$O19,""),"")</f>
        <v/>
      </c>
      <c r="O21" s="57">
        <f>IF($B21=O$3,IF(TRNG!$O19&gt;0,TRNG!$O19,""),"")</f>
        <v>380000</v>
      </c>
      <c r="P21" s="57" t="str">
        <f>IF($B21=P$3,IF(TRNG!$O19&gt;0,TRNG!$O19,""),"")</f>
        <v/>
      </c>
      <c r="R21" s="57" t="str">
        <f>IF($B21=R$3,IF(TRNG!$N19&gt;0,TRNG!$N19*1000000,""),"")</f>
        <v/>
      </c>
      <c r="S21" s="57" t="str">
        <f>IF($B21=S$3,IF(TRNG!$N19&gt;0,TRNG!$N19*1000000,""),"")</f>
        <v/>
      </c>
      <c r="T21" s="57" t="str">
        <f>IF($B21=T$3,IF(TRNG!$N19&gt;0,TRNG!$N19*1000000,""),"")</f>
        <v/>
      </c>
      <c r="U21" s="57" t="str">
        <f>IF($B21=U$3,IF(TRNG!$N19&gt;0,TRNG!$N19*1000000,""),"")</f>
        <v/>
      </c>
      <c r="V21" s="57">
        <f>IF($B21=V$3,IF(TRNG!$N19&gt;0,TRNG!$N19*1000000,""),"")</f>
        <v>1605500000.0000002</v>
      </c>
      <c r="W21" s="57" t="str">
        <f>IF($B21=W$3,IF(TRNG!$N19&gt;0,TRNG!$N19*1000000,""),"")</f>
        <v/>
      </c>
      <c r="Y21" s="57" t="str">
        <f>IF($B21=Y$3,IF(TRNG!$P19&gt;0,TRNG!$P19,""),"")</f>
        <v/>
      </c>
      <c r="Z21" s="57" t="str">
        <f>IF($B21=Z$3,IF(TRNG!$P19&gt;0,TRNG!$P19,""),"")</f>
        <v/>
      </c>
      <c r="AA21" s="57" t="str">
        <f>IF($B21=AA$3,IF(TRNG!$P19&gt;0,TRNG!$P19,""),"")</f>
        <v/>
      </c>
      <c r="AB21" s="57" t="str">
        <f>IF($B21=AB$3,IF(TRNG!$P19&gt;0,TRNG!$P19,""),"")</f>
        <v/>
      </c>
      <c r="AC21" s="57">
        <f>IF($B21=AC$3,IF(TRNG!$P19&gt;0,TRNG!$P19,""),"")</f>
        <v>1.6</v>
      </c>
      <c r="AD21" s="57" t="str">
        <f>IF($B21=AD$3,IF(TRNG!$P19&gt;0,TRNG!$P19,""),"")</f>
        <v/>
      </c>
      <c r="AG21" s="199">
        <f t="shared" si="0"/>
        <v>0</v>
      </c>
      <c r="AH21" s="199">
        <f t="shared" si="1"/>
        <v>0</v>
      </c>
      <c r="AI21" s="199">
        <f t="shared" si="2"/>
        <v>0</v>
      </c>
      <c r="AJ21" s="199">
        <f t="shared" si="3"/>
        <v>0</v>
      </c>
      <c r="AK21" s="199">
        <f t="shared" si="4"/>
        <v>0</v>
      </c>
      <c r="AL21" s="199">
        <f t="shared" si="5"/>
        <v>0</v>
      </c>
      <c r="AM21" s="199">
        <f t="shared" si="6"/>
        <v>0</v>
      </c>
      <c r="AN21" s="199">
        <f t="shared" si="7"/>
        <v>0</v>
      </c>
      <c r="AO21" s="199">
        <f t="shared" si="8"/>
        <v>3000000000</v>
      </c>
      <c r="AP21" s="199">
        <f t="shared" si="9"/>
        <v>380000</v>
      </c>
      <c r="AQ21" s="199">
        <f t="shared" si="10"/>
        <v>0</v>
      </c>
      <c r="AR21" s="199">
        <f t="shared" si="11"/>
        <v>0</v>
      </c>
      <c r="AT21" s="199">
        <f t="shared" si="12"/>
        <v>0</v>
      </c>
      <c r="AU21" s="199">
        <f t="shared" si="13"/>
        <v>0</v>
      </c>
      <c r="AV21" s="199">
        <f t="shared" si="14"/>
        <v>0</v>
      </c>
      <c r="AW21" s="199">
        <f t="shared" si="15"/>
        <v>0</v>
      </c>
      <c r="AX21" s="199">
        <f t="shared" si="16"/>
        <v>0</v>
      </c>
      <c r="AY21" s="199">
        <f t="shared" si="17"/>
        <v>0</v>
      </c>
      <c r="AZ21" s="199">
        <f t="shared" si="18"/>
        <v>0</v>
      </c>
      <c r="BA21" s="199">
        <f t="shared" si="19"/>
        <v>0</v>
      </c>
      <c r="BB21" s="199">
        <f t="shared" si="20"/>
        <v>3000000000</v>
      </c>
      <c r="BC21" s="199">
        <f t="shared" si="21"/>
        <v>1605500000.0000002</v>
      </c>
      <c r="BD21" s="199">
        <f t="shared" si="22"/>
        <v>0</v>
      </c>
      <c r="BE21" s="202">
        <f t="shared" si="23"/>
        <v>0</v>
      </c>
      <c r="BF21" s="191"/>
      <c r="BG21" s="199">
        <f t="shared" si="24"/>
        <v>0</v>
      </c>
      <c r="BH21" s="199">
        <f t="shared" si="25"/>
        <v>0</v>
      </c>
      <c r="BI21" s="199">
        <f t="shared" si="26"/>
        <v>0</v>
      </c>
      <c r="BJ21" s="199">
        <f t="shared" si="27"/>
        <v>0</v>
      </c>
      <c r="BK21" s="199">
        <f t="shared" si="28"/>
        <v>0</v>
      </c>
      <c r="BL21" s="199">
        <f t="shared" si="29"/>
        <v>0</v>
      </c>
      <c r="BM21" s="199">
        <f t="shared" si="30"/>
        <v>0</v>
      </c>
      <c r="BN21" s="199">
        <f t="shared" si="31"/>
        <v>0</v>
      </c>
      <c r="BO21" s="199">
        <f t="shared" si="32"/>
        <v>3000000000</v>
      </c>
      <c r="BP21" s="199">
        <f t="shared" si="33"/>
        <v>1.6</v>
      </c>
      <c r="BQ21" s="199">
        <f t="shared" si="34"/>
        <v>0</v>
      </c>
      <c r="BR21" s="199">
        <f t="shared" si="35"/>
        <v>0</v>
      </c>
      <c r="BS21" s="191"/>
      <c r="BT21" s="199">
        <f t="shared" si="36"/>
        <v>0</v>
      </c>
      <c r="BU21" s="199">
        <f t="shared" si="37"/>
        <v>0</v>
      </c>
      <c r="BV21" s="199">
        <f t="shared" si="38"/>
        <v>0</v>
      </c>
      <c r="BW21" s="199">
        <f t="shared" si="39"/>
        <v>0</v>
      </c>
      <c r="BX21" s="199">
        <f t="shared" si="40"/>
        <v>0</v>
      </c>
      <c r="BY21" s="199">
        <f t="shared" si="41"/>
        <v>0</v>
      </c>
      <c r="BZ21" s="199">
        <f t="shared" si="42"/>
        <v>0</v>
      </c>
      <c r="CA21" s="199">
        <f t="shared" si="43"/>
        <v>0</v>
      </c>
      <c r="CB21" s="199">
        <f t="shared" si="44"/>
        <v>1.6</v>
      </c>
      <c r="CC21" s="199">
        <f t="shared" si="45"/>
        <v>380000</v>
      </c>
      <c r="CD21" s="199">
        <f t="shared" si="46"/>
        <v>0</v>
      </c>
      <c r="CE21" s="199">
        <f t="shared" si="47"/>
        <v>0</v>
      </c>
      <c r="CF21" s="191"/>
      <c r="CG21" s="199">
        <f t="shared" si="48"/>
        <v>0</v>
      </c>
      <c r="CH21" s="199">
        <f t="shared" si="49"/>
        <v>0</v>
      </c>
      <c r="CI21" s="199">
        <f t="shared" si="50"/>
        <v>0</v>
      </c>
      <c r="CJ21" s="199">
        <f t="shared" si="51"/>
        <v>0</v>
      </c>
      <c r="CK21" s="199">
        <f t="shared" si="52"/>
        <v>0</v>
      </c>
      <c r="CL21" s="199">
        <f t="shared" si="53"/>
        <v>0</v>
      </c>
      <c r="CM21" s="199">
        <f t="shared" si="54"/>
        <v>0</v>
      </c>
      <c r="CN21" s="199">
        <f t="shared" si="55"/>
        <v>0</v>
      </c>
      <c r="CO21" s="199">
        <f t="shared" si="56"/>
        <v>1.6</v>
      </c>
      <c r="CP21" s="199">
        <f t="shared" si="57"/>
        <v>1605500000.0000002</v>
      </c>
      <c r="CQ21" s="199">
        <f t="shared" si="58"/>
        <v>0</v>
      </c>
      <c r="CR21" s="199">
        <f t="shared" si="59"/>
        <v>0</v>
      </c>
      <c r="CS21" s="191"/>
      <c r="CT21" s="191"/>
      <c r="CU21" s="191"/>
      <c r="CV21" s="191"/>
      <c r="CW21" s="191"/>
      <c r="CX21" s="191"/>
      <c r="CY21" s="191"/>
    </row>
    <row r="22" spans="2:103" x14ac:dyDescent="0.3">
      <c r="B22" t="str">
        <f>TRNG!F20</f>
        <v>chaotic map</v>
      </c>
      <c r="C22">
        <f>TRNG!C20</f>
        <v>2017</v>
      </c>
      <c r="D22" s="57" t="str">
        <f>IF($B22=D$3,IF(TRNG!$K20&gt;0,TRNG!$K20*1000000,""),"")</f>
        <v/>
      </c>
      <c r="E22" s="57" t="str">
        <f>IF($B22=E$3,IF(TRNG!$K20&gt;0,TRNG!$K20*1000000,""),"")</f>
        <v/>
      </c>
      <c r="F22" s="57" t="str">
        <f>IF($B22=F$3,IF(TRNG!$K20&gt;0,TRNG!$K20*1000000,""),"")</f>
        <v/>
      </c>
      <c r="G22" s="57">
        <f>IF($B22=G$3,IF(TRNG!$K20&gt;0,TRNG!$K20*1000000,""),"")</f>
        <v>270000</v>
      </c>
      <c r="H22" s="57" t="str">
        <f>IF($B22=H$3,IF(TRNG!$K20&gt;0,TRNG!$K20*1000000,""),"")</f>
        <v/>
      </c>
      <c r="I22" s="57" t="str">
        <f>IF($B22=I$3,IF(TRNG!$K20&gt;0,TRNG!$K20*1000000,""),"")</f>
        <v/>
      </c>
      <c r="J22" s="23"/>
      <c r="K22" s="57" t="str">
        <f>IF($B22=K$3,IF(TRNG!$O20&gt;0,TRNG!$O20,""),"")</f>
        <v/>
      </c>
      <c r="L22" s="57" t="str">
        <f>IF($B22=L$3,IF(TRNG!$O20&gt;0,TRNG!$O20,""),"")</f>
        <v/>
      </c>
      <c r="M22" s="57" t="str">
        <f>IF($B22=M$3,IF(TRNG!$O20&gt;0,TRNG!$O20,""),"")</f>
        <v/>
      </c>
      <c r="N22" s="57">
        <f>IF($B22=N$3,IF(TRNG!$O20&gt;0,TRNG!$O20,""),"")</f>
        <v>6481000</v>
      </c>
      <c r="O22" s="57" t="str">
        <f>IF($B22=O$3,IF(TRNG!$O20&gt;0,TRNG!$O20,""),"")</f>
        <v/>
      </c>
      <c r="P22" s="57" t="str">
        <f>IF($B22=P$3,IF(TRNG!$O20&gt;0,TRNG!$O20,""),"")</f>
        <v/>
      </c>
      <c r="R22" s="57" t="str">
        <f>IF($B22=R$3,IF(TRNG!$N20&gt;0,TRNG!$N20*1000000,""),"")</f>
        <v/>
      </c>
      <c r="S22" s="57" t="str">
        <f>IF($B22=S$3,IF(TRNG!$N20&gt;0,TRNG!$N20*1000000,""),"")</f>
        <v/>
      </c>
      <c r="T22" s="57" t="str">
        <f>IF($B22=T$3,IF(TRNG!$N20&gt;0,TRNG!$N20*1000000,""),"")</f>
        <v/>
      </c>
      <c r="U22" s="57">
        <f>IF($B22=U$3,IF(TRNG!$N20&gt;0,TRNG!$N20*1000000,""),"")</f>
        <v>210000000000</v>
      </c>
      <c r="V22" s="57" t="str">
        <f>IF($B22=V$3,IF(TRNG!$N20&gt;0,TRNG!$N20*1000000,""),"")</f>
        <v/>
      </c>
      <c r="W22" s="57" t="str">
        <f>IF($B22=W$3,IF(TRNG!$N20&gt;0,TRNG!$N20*1000000,""),"")</f>
        <v/>
      </c>
      <c r="Y22" s="57" t="str">
        <f>IF($B22=Y$3,IF(TRNG!$P20&gt;0,TRNG!$P20,""),"")</f>
        <v/>
      </c>
      <c r="Z22" s="57" t="str">
        <f>IF($B22=Z$3,IF(TRNG!$P20&gt;0,TRNG!$P20,""),"")</f>
        <v/>
      </c>
      <c r="AA22" s="57" t="str">
        <f>IF($B22=AA$3,IF(TRNG!$P20&gt;0,TRNG!$P20,""),"")</f>
        <v/>
      </c>
      <c r="AB22" s="57">
        <f>IF($B22=AB$3,IF(TRNG!$P20&gt;0,TRNG!$P20,""),"")</f>
        <v>0.3</v>
      </c>
      <c r="AC22" s="57" t="str">
        <f>IF($B22=AC$3,IF(TRNG!$P20&gt;0,TRNG!$P20,""),"")</f>
        <v/>
      </c>
      <c r="AD22" s="57" t="str">
        <f>IF($B22=AD$3,IF(TRNG!$P20&gt;0,TRNG!$P20,""),"")</f>
        <v/>
      </c>
      <c r="AG22" s="199">
        <f t="shared" si="0"/>
        <v>0</v>
      </c>
      <c r="AH22" s="199">
        <f t="shared" si="1"/>
        <v>0</v>
      </c>
      <c r="AI22" s="199">
        <f t="shared" si="2"/>
        <v>0</v>
      </c>
      <c r="AJ22" s="199">
        <f t="shared" si="3"/>
        <v>0</v>
      </c>
      <c r="AK22" s="199">
        <f t="shared" si="4"/>
        <v>0</v>
      </c>
      <c r="AL22" s="199">
        <f t="shared" si="5"/>
        <v>0</v>
      </c>
      <c r="AM22" s="199">
        <f t="shared" si="6"/>
        <v>270000</v>
      </c>
      <c r="AN22" s="199">
        <f t="shared" si="7"/>
        <v>6481000</v>
      </c>
      <c r="AO22" s="199">
        <f t="shared" si="8"/>
        <v>0</v>
      </c>
      <c r="AP22" s="199">
        <f t="shared" si="9"/>
        <v>0</v>
      </c>
      <c r="AQ22" s="199">
        <f t="shared" si="10"/>
        <v>0</v>
      </c>
      <c r="AR22" s="199">
        <f t="shared" si="11"/>
        <v>0</v>
      </c>
      <c r="AT22" s="199">
        <f t="shared" si="12"/>
        <v>0</v>
      </c>
      <c r="AU22" s="199">
        <f t="shared" si="13"/>
        <v>0</v>
      </c>
      <c r="AV22" s="199">
        <f t="shared" si="14"/>
        <v>0</v>
      </c>
      <c r="AW22" s="199">
        <f t="shared" si="15"/>
        <v>0</v>
      </c>
      <c r="AX22" s="199">
        <f t="shared" si="16"/>
        <v>0</v>
      </c>
      <c r="AY22" s="199">
        <f t="shared" si="17"/>
        <v>0</v>
      </c>
      <c r="AZ22" s="199">
        <f t="shared" si="18"/>
        <v>270000</v>
      </c>
      <c r="BA22" s="199">
        <f t="shared" si="19"/>
        <v>210000000000</v>
      </c>
      <c r="BB22" s="199">
        <f t="shared" si="20"/>
        <v>0</v>
      </c>
      <c r="BC22" s="199">
        <f t="shared" si="21"/>
        <v>0</v>
      </c>
      <c r="BD22" s="199">
        <f t="shared" si="22"/>
        <v>0</v>
      </c>
      <c r="BE22" s="202">
        <f t="shared" si="23"/>
        <v>0</v>
      </c>
      <c r="BF22" s="191"/>
      <c r="BG22" s="199">
        <f t="shared" si="24"/>
        <v>0</v>
      </c>
      <c r="BH22" s="199">
        <f t="shared" si="25"/>
        <v>0</v>
      </c>
      <c r="BI22" s="199">
        <f t="shared" si="26"/>
        <v>0</v>
      </c>
      <c r="BJ22" s="199">
        <f t="shared" si="27"/>
        <v>0</v>
      </c>
      <c r="BK22" s="199">
        <f t="shared" si="28"/>
        <v>0</v>
      </c>
      <c r="BL22" s="199">
        <f t="shared" si="29"/>
        <v>0</v>
      </c>
      <c r="BM22" s="199">
        <f t="shared" si="30"/>
        <v>270000</v>
      </c>
      <c r="BN22" s="199">
        <f t="shared" si="31"/>
        <v>0.3</v>
      </c>
      <c r="BO22" s="199">
        <f t="shared" si="32"/>
        <v>0</v>
      </c>
      <c r="BP22" s="199">
        <f t="shared" si="33"/>
        <v>0</v>
      </c>
      <c r="BQ22" s="199">
        <f t="shared" si="34"/>
        <v>0</v>
      </c>
      <c r="BR22" s="199">
        <f t="shared" si="35"/>
        <v>0</v>
      </c>
      <c r="BS22" s="191"/>
      <c r="BT22" s="199">
        <f t="shared" si="36"/>
        <v>0</v>
      </c>
      <c r="BU22" s="199">
        <f t="shared" si="37"/>
        <v>0</v>
      </c>
      <c r="BV22" s="199">
        <f t="shared" si="38"/>
        <v>0</v>
      </c>
      <c r="BW22" s="199">
        <f t="shared" si="39"/>
        <v>0</v>
      </c>
      <c r="BX22" s="199">
        <f t="shared" si="40"/>
        <v>0</v>
      </c>
      <c r="BY22" s="199">
        <f t="shared" si="41"/>
        <v>0</v>
      </c>
      <c r="BZ22" s="199">
        <f t="shared" si="42"/>
        <v>0.3</v>
      </c>
      <c r="CA22" s="199">
        <f t="shared" si="43"/>
        <v>6481000</v>
      </c>
      <c r="CB22" s="199">
        <f t="shared" si="44"/>
        <v>0</v>
      </c>
      <c r="CC22" s="199">
        <f t="shared" si="45"/>
        <v>0</v>
      </c>
      <c r="CD22" s="199">
        <f t="shared" si="46"/>
        <v>0</v>
      </c>
      <c r="CE22" s="199">
        <f t="shared" si="47"/>
        <v>0</v>
      </c>
      <c r="CF22" s="191"/>
      <c r="CG22" s="199">
        <f t="shared" si="48"/>
        <v>0</v>
      </c>
      <c r="CH22" s="199">
        <f t="shared" si="49"/>
        <v>0</v>
      </c>
      <c r="CI22" s="199">
        <f t="shared" si="50"/>
        <v>0</v>
      </c>
      <c r="CJ22" s="199">
        <f t="shared" si="51"/>
        <v>0</v>
      </c>
      <c r="CK22" s="199">
        <f t="shared" si="52"/>
        <v>0</v>
      </c>
      <c r="CL22" s="199">
        <f t="shared" si="53"/>
        <v>0</v>
      </c>
      <c r="CM22" s="199">
        <f t="shared" si="54"/>
        <v>0.3</v>
      </c>
      <c r="CN22" s="199">
        <f t="shared" si="55"/>
        <v>210000000000</v>
      </c>
      <c r="CO22" s="199">
        <f t="shared" si="56"/>
        <v>0</v>
      </c>
      <c r="CP22" s="199">
        <f t="shared" si="57"/>
        <v>0</v>
      </c>
      <c r="CQ22" s="199">
        <f t="shared" si="58"/>
        <v>0</v>
      </c>
      <c r="CR22" s="199">
        <f t="shared" si="59"/>
        <v>0</v>
      </c>
      <c r="CS22" s="191"/>
      <c r="CT22" s="191"/>
      <c r="CU22" s="191"/>
      <c r="CV22" s="191"/>
      <c r="CW22" s="191"/>
      <c r="CX22" s="191"/>
      <c r="CY22" s="191"/>
    </row>
    <row r="23" spans="2:103" x14ac:dyDescent="0.3">
      <c r="B23" t="str">
        <f>TRNG!F21</f>
        <v>chaotic map</v>
      </c>
      <c r="C23">
        <f>TRNG!C21</f>
        <v>2017</v>
      </c>
      <c r="D23" s="57" t="str">
        <f>IF($B23=D$3,IF(TRNG!$K21&gt;0,TRNG!$K21*1000000,""),"")</f>
        <v/>
      </c>
      <c r="E23" s="57" t="str">
        <f>IF($B23=E$3,IF(TRNG!$K21&gt;0,TRNG!$K21*1000000,""),"")</f>
        <v/>
      </c>
      <c r="F23" s="57" t="str">
        <f>IF($B23=F$3,IF(TRNG!$K21&gt;0,TRNG!$K21*1000000,""),"")</f>
        <v/>
      </c>
      <c r="G23" s="57">
        <f>IF($B23=G$3,IF(TRNG!$K21&gt;0,TRNG!$K21*1000000,""),"")</f>
        <v>67000000</v>
      </c>
      <c r="H23" s="57" t="str">
        <f>IF($B23=H$3,IF(TRNG!$K21&gt;0,TRNG!$K21*1000000,""),"")</f>
        <v/>
      </c>
      <c r="I23" s="57" t="str">
        <f>IF($B23=I$3,IF(TRNG!$K21&gt;0,TRNG!$K21*1000000,""),"")</f>
        <v/>
      </c>
      <c r="J23" s="23"/>
      <c r="K23" s="57" t="str">
        <f>IF($B23=K$3,IF(TRNG!$O21&gt;0,TRNG!$O21,""),"")</f>
        <v/>
      </c>
      <c r="L23" s="57" t="str">
        <f>IF($B23=L$3,IF(TRNG!$O21&gt;0,TRNG!$O21,""),"")</f>
        <v/>
      </c>
      <c r="M23" s="57" t="str">
        <f>IF($B23=M$3,IF(TRNG!$O21&gt;0,TRNG!$O21,""),"")</f>
        <v/>
      </c>
      <c r="N23" s="57">
        <f>IF($B23=N$3,IF(TRNG!$O21&gt;0,TRNG!$O21,""),"")</f>
        <v>132000</v>
      </c>
      <c r="O23" s="57" t="str">
        <f>IF($B23=O$3,IF(TRNG!$O21&gt;0,TRNG!$O21,""),"")</f>
        <v/>
      </c>
      <c r="P23" s="57" t="str">
        <f>IF($B23=P$3,IF(TRNG!$O21&gt;0,TRNG!$O21,""),"")</f>
        <v/>
      </c>
      <c r="R23" s="57" t="str">
        <f>IF($B23=R$3,IF(TRNG!$N21&gt;0,TRNG!$N21*1000000,""),"")</f>
        <v/>
      </c>
      <c r="S23" s="57" t="str">
        <f>IF($B23=S$3,IF(TRNG!$N21&gt;0,TRNG!$N21*1000000,""),"")</f>
        <v/>
      </c>
      <c r="T23" s="57" t="str">
        <f>IF($B23=T$3,IF(TRNG!$N21&gt;0,TRNG!$N21*1000000,""),"")</f>
        <v/>
      </c>
      <c r="U23" s="57">
        <f>IF($B23=U$3,IF(TRNG!$N21&gt;0,TRNG!$N21*1000000,""),"")</f>
        <v>557700000</v>
      </c>
      <c r="V23" s="57" t="str">
        <f>IF($B23=V$3,IF(TRNG!$N21&gt;0,TRNG!$N21*1000000,""),"")</f>
        <v/>
      </c>
      <c r="W23" s="57" t="str">
        <f>IF($B23=W$3,IF(TRNG!$N21&gt;0,TRNG!$N21*1000000,""),"")</f>
        <v/>
      </c>
      <c r="Y23" s="57" t="str">
        <f>IF($B23=Y$3,IF(TRNG!$P21&gt;0,TRNG!$P21,""),"")</f>
        <v/>
      </c>
      <c r="Z23" s="57" t="str">
        <f>IF($B23=Z$3,IF(TRNG!$P21&gt;0,TRNG!$P21,""),"")</f>
        <v/>
      </c>
      <c r="AA23" s="57" t="str">
        <f>IF($B23=AA$3,IF(TRNG!$P21&gt;0,TRNG!$P21,""),"")</f>
        <v/>
      </c>
      <c r="AB23" s="57">
        <f>IF($B23=AB$3,IF(TRNG!$P21&gt;0,TRNG!$P21,""),"")</f>
        <v>2.5000000000000001E-2</v>
      </c>
      <c r="AC23" s="57" t="str">
        <f>IF($B23=AC$3,IF(TRNG!$P21&gt;0,TRNG!$P21,""),"")</f>
        <v/>
      </c>
      <c r="AD23" s="57" t="str">
        <f>IF($B23=AD$3,IF(TRNG!$P21&gt;0,TRNG!$P21,""),"")</f>
        <v/>
      </c>
      <c r="AG23" s="199">
        <f t="shared" si="0"/>
        <v>0</v>
      </c>
      <c r="AH23" s="199">
        <f t="shared" si="1"/>
        <v>0</v>
      </c>
      <c r="AI23" s="199">
        <f t="shared" si="2"/>
        <v>0</v>
      </c>
      <c r="AJ23" s="199">
        <f t="shared" si="3"/>
        <v>0</v>
      </c>
      <c r="AK23" s="199">
        <f t="shared" si="4"/>
        <v>0</v>
      </c>
      <c r="AL23" s="199">
        <f t="shared" si="5"/>
        <v>0</v>
      </c>
      <c r="AM23" s="199">
        <f t="shared" si="6"/>
        <v>67000000</v>
      </c>
      <c r="AN23" s="199">
        <f t="shared" si="7"/>
        <v>132000</v>
      </c>
      <c r="AO23" s="199">
        <f t="shared" si="8"/>
        <v>0</v>
      </c>
      <c r="AP23" s="199">
        <f t="shared" si="9"/>
        <v>0</v>
      </c>
      <c r="AQ23" s="199">
        <f t="shared" si="10"/>
        <v>0</v>
      </c>
      <c r="AR23" s="199">
        <f t="shared" si="11"/>
        <v>0</v>
      </c>
      <c r="AT23" s="199">
        <f t="shared" si="12"/>
        <v>0</v>
      </c>
      <c r="AU23" s="199">
        <f t="shared" si="13"/>
        <v>0</v>
      </c>
      <c r="AV23" s="199">
        <f t="shared" si="14"/>
        <v>0</v>
      </c>
      <c r="AW23" s="199">
        <f t="shared" si="15"/>
        <v>0</v>
      </c>
      <c r="AX23" s="199">
        <f t="shared" si="16"/>
        <v>0</v>
      </c>
      <c r="AY23" s="199">
        <f t="shared" si="17"/>
        <v>0</v>
      </c>
      <c r="AZ23" s="199">
        <f t="shared" si="18"/>
        <v>67000000</v>
      </c>
      <c r="BA23" s="199">
        <f t="shared" si="19"/>
        <v>557700000</v>
      </c>
      <c r="BB23" s="199">
        <f t="shared" si="20"/>
        <v>0</v>
      </c>
      <c r="BC23" s="199">
        <f t="shared" si="21"/>
        <v>0</v>
      </c>
      <c r="BD23" s="199">
        <f t="shared" si="22"/>
        <v>0</v>
      </c>
      <c r="BE23" s="202">
        <f t="shared" si="23"/>
        <v>0</v>
      </c>
      <c r="BF23" s="191"/>
      <c r="BG23" s="199">
        <f t="shared" si="24"/>
        <v>0</v>
      </c>
      <c r="BH23" s="199">
        <f t="shared" si="25"/>
        <v>0</v>
      </c>
      <c r="BI23" s="199">
        <f t="shared" si="26"/>
        <v>0</v>
      </c>
      <c r="BJ23" s="199">
        <f t="shared" si="27"/>
        <v>0</v>
      </c>
      <c r="BK23" s="199">
        <f t="shared" si="28"/>
        <v>0</v>
      </c>
      <c r="BL23" s="199">
        <f t="shared" si="29"/>
        <v>0</v>
      </c>
      <c r="BM23" s="199">
        <f t="shared" si="30"/>
        <v>67000000</v>
      </c>
      <c r="BN23" s="199">
        <f t="shared" si="31"/>
        <v>2.5000000000000001E-2</v>
      </c>
      <c r="BO23" s="199">
        <f t="shared" si="32"/>
        <v>0</v>
      </c>
      <c r="BP23" s="199">
        <f t="shared" si="33"/>
        <v>0</v>
      </c>
      <c r="BQ23" s="199">
        <f t="shared" si="34"/>
        <v>0</v>
      </c>
      <c r="BR23" s="199">
        <f t="shared" si="35"/>
        <v>0</v>
      </c>
      <c r="BS23" s="191"/>
      <c r="BT23" s="199">
        <f t="shared" si="36"/>
        <v>0</v>
      </c>
      <c r="BU23" s="199">
        <f t="shared" si="37"/>
        <v>0</v>
      </c>
      <c r="BV23" s="199">
        <f t="shared" si="38"/>
        <v>0</v>
      </c>
      <c r="BW23" s="199">
        <f t="shared" si="39"/>
        <v>0</v>
      </c>
      <c r="BX23" s="199">
        <f t="shared" si="40"/>
        <v>0</v>
      </c>
      <c r="BY23" s="199">
        <f t="shared" si="41"/>
        <v>0</v>
      </c>
      <c r="BZ23" s="199">
        <f t="shared" si="42"/>
        <v>2.5000000000000001E-2</v>
      </c>
      <c r="CA23" s="199">
        <f t="shared" si="43"/>
        <v>132000</v>
      </c>
      <c r="CB23" s="199">
        <f t="shared" si="44"/>
        <v>0</v>
      </c>
      <c r="CC23" s="199">
        <f t="shared" si="45"/>
        <v>0</v>
      </c>
      <c r="CD23" s="199">
        <f t="shared" si="46"/>
        <v>0</v>
      </c>
      <c r="CE23" s="199">
        <f t="shared" si="47"/>
        <v>0</v>
      </c>
      <c r="CF23" s="191"/>
      <c r="CG23" s="199">
        <f t="shared" si="48"/>
        <v>0</v>
      </c>
      <c r="CH23" s="199">
        <f t="shared" si="49"/>
        <v>0</v>
      </c>
      <c r="CI23" s="199">
        <f t="shared" si="50"/>
        <v>0</v>
      </c>
      <c r="CJ23" s="199">
        <f t="shared" si="51"/>
        <v>0</v>
      </c>
      <c r="CK23" s="199">
        <f t="shared" si="52"/>
        <v>0</v>
      </c>
      <c r="CL23" s="199">
        <f t="shared" si="53"/>
        <v>0</v>
      </c>
      <c r="CM23" s="199">
        <f t="shared" si="54"/>
        <v>2.5000000000000001E-2</v>
      </c>
      <c r="CN23" s="199">
        <f t="shared" si="55"/>
        <v>557700000</v>
      </c>
      <c r="CO23" s="199">
        <f t="shared" si="56"/>
        <v>0</v>
      </c>
      <c r="CP23" s="199">
        <f t="shared" si="57"/>
        <v>0</v>
      </c>
      <c r="CQ23" s="199">
        <f t="shared" si="58"/>
        <v>0</v>
      </c>
      <c r="CR23" s="199">
        <f t="shared" si="59"/>
        <v>0</v>
      </c>
      <c r="CS23" s="191"/>
      <c r="CT23" s="191"/>
      <c r="CU23" s="191"/>
      <c r="CV23" s="191"/>
      <c r="CW23" s="191"/>
      <c r="CX23" s="191"/>
      <c r="CY23" s="191"/>
    </row>
    <row r="24" spans="2:103" x14ac:dyDescent="0.3">
      <c r="B24" t="str">
        <f>TRNG!F22</f>
        <v>others</v>
      </c>
      <c r="C24">
        <f>TRNG!C22</f>
        <v>2018</v>
      </c>
      <c r="D24" s="57" t="str">
        <f>IF($B24=D$3,IF(TRNG!$K22&gt;0,TRNG!$K22*1000000,""),"")</f>
        <v/>
      </c>
      <c r="E24" s="57" t="str">
        <f>IF($B24=E$3,IF(TRNG!$K22&gt;0,TRNG!$K22*1000000,""),"")</f>
        <v/>
      </c>
      <c r="F24" s="57" t="str">
        <f>IF($B24=F$3,IF(TRNG!$K22&gt;0,TRNG!$K22*1000000,""),"")</f>
        <v/>
      </c>
      <c r="G24" s="57" t="str">
        <f>IF($B24=G$3,IF(TRNG!$K22&gt;0,TRNG!$K22*1000000,""),"")</f>
        <v/>
      </c>
      <c r="H24" s="57" t="str">
        <f>IF($B24=H$3,IF(TRNG!$K22&gt;0,TRNG!$K22*1000000,""),"")</f>
        <v/>
      </c>
      <c r="I24" s="57">
        <f>IF($B24=I$3,IF(TRNG!$K22&gt;0,TRNG!$K22*1000000,""),"")</f>
        <v>66000000</v>
      </c>
      <c r="J24" s="23"/>
      <c r="K24" s="57" t="str">
        <f>IF($B24=K$3,IF(TRNG!$O22&gt;0,TRNG!$O22,""),"")</f>
        <v/>
      </c>
      <c r="L24" s="57" t="str">
        <f>IF($B24=L$3,IF(TRNG!$O22&gt;0,TRNG!$O22,""),"")</f>
        <v/>
      </c>
      <c r="M24" s="57" t="str">
        <f>IF($B24=M$3,IF(TRNG!$O22&gt;0,TRNG!$O22,""),"")</f>
        <v/>
      </c>
      <c r="N24" s="57" t="str">
        <f>IF($B24=N$3,IF(TRNG!$O22&gt;0,TRNG!$O22,""),"")</f>
        <v/>
      </c>
      <c r="O24" s="57" t="str">
        <f>IF($B24=O$3,IF(TRNG!$O22&gt;0,TRNG!$O22,""),"")</f>
        <v/>
      </c>
      <c r="P24" s="57">
        <f>IF($B24=P$3,IF(TRNG!$O22&gt;0,TRNG!$O22,""),"")</f>
        <v>229591.83673469385</v>
      </c>
      <c r="R24" s="57" t="str">
        <f>IF($B24=R$3,IF(TRNG!$N22&gt;0,TRNG!$N22*1000000,""),"")</f>
        <v/>
      </c>
      <c r="S24" s="57" t="str">
        <f>IF($B24=S$3,IF(TRNG!$N22&gt;0,TRNG!$N22*1000000,""),"")</f>
        <v/>
      </c>
      <c r="T24" s="57" t="str">
        <f>IF($B24=T$3,IF(TRNG!$N22&gt;0,TRNG!$N22*1000000,""),"")</f>
        <v/>
      </c>
      <c r="U24" s="57" t="str">
        <f>IF($B24=U$3,IF(TRNG!$N22&gt;0,TRNG!$N22*1000000,""),"")</f>
        <v/>
      </c>
      <c r="V24" s="57" t="str">
        <f>IF($B24=V$3,IF(TRNG!$N22&gt;0,TRNG!$N22*1000000,""),"")</f>
        <v/>
      </c>
      <c r="W24" s="57">
        <f>IF($B24=W$3,IF(TRNG!$N22&gt;0,TRNG!$N22*1000000,""),"")</f>
        <v>180000000</v>
      </c>
      <c r="Y24" s="57" t="str">
        <f>IF($B24=Y$3,IF(TRNG!$P22&gt;0,TRNG!$P22,""),"")</f>
        <v/>
      </c>
      <c r="Z24" s="57" t="str">
        <f>IF($B24=Z$3,IF(TRNG!$P22&gt;0,TRNG!$P22,""),"")</f>
        <v/>
      </c>
      <c r="AA24" s="57" t="str">
        <f>IF($B24=AA$3,IF(TRNG!$P22&gt;0,TRNG!$P22,""),"")</f>
        <v/>
      </c>
      <c r="AB24" s="57" t="str">
        <f>IF($B24=AB$3,IF(TRNG!$P22&gt;0,TRNG!$P22,""),"")</f>
        <v/>
      </c>
      <c r="AC24" s="57" t="str">
        <f>IF($B24=AC$3,IF(TRNG!$P22&gt;0,TRNG!$P22,""),"")</f>
        <v/>
      </c>
      <c r="AD24" s="57">
        <f>IF($B24=AD$3,IF(TRNG!$P22&gt;0,TRNG!$P22,""),"")</f>
        <v>11</v>
      </c>
      <c r="AG24" s="199">
        <f t="shared" si="0"/>
        <v>0</v>
      </c>
      <c r="AH24" s="199">
        <f t="shared" si="1"/>
        <v>0</v>
      </c>
      <c r="AI24" s="199">
        <f t="shared" si="2"/>
        <v>0</v>
      </c>
      <c r="AJ24" s="199">
        <f t="shared" si="3"/>
        <v>0</v>
      </c>
      <c r="AK24" s="199">
        <f t="shared" si="4"/>
        <v>0</v>
      </c>
      <c r="AL24" s="199">
        <f t="shared" si="5"/>
        <v>0</v>
      </c>
      <c r="AM24" s="199">
        <f t="shared" si="6"/>
        <v>0</v>
      </c>
      <c r="AN24" s="199">
        <f t="shared" si="7"/>
        <v>0</v>
      </c>
      <c r="AO24" s="199">
        <f t="shared" si="8"/>
        <v>0</v>
      </c>
      <c r="AP24" s="199">
        <f t="shared" si="9"/>
        <v>0</v>
      </c>
      <c r="AQ24" s="199">
        <f t="shared" si="10"/>
        <v>66000000</v>
      </c>
      <c r="AR24" s="199">
        <f t="shared" si="11"/>
        <v>229591.83673469385</v>
      </c>
      <c r="AT24" s="199">
        <f t="shared" si="12"/>
        <v>0</v>
      </c>
      <c r="AU24" s="199">
        <f t="shared" si="13"/>
        <v>0</v>
      </c>
      <c r="AV24" s="199">
        <f t="shared" si="14"/>
        <v>0</v>
      </c>
      <c r="AW24" s="199">
        <f t="shared" si="15"/>
        <v>0</v>
      </c>
      <c r="AX24" s="199">
        <f t="shared" si="16"/>
        <v>0</v>
      </c>
      <c r="AY24" s="199">
        <f t="shared" si="17"/>
        <v>0</v>
      </c>
      <c r="AZ24" s="199">
        <f t="shared" si="18"/>
        <v>0</v>
      </c>
      <c r="BA24" s="199">
        <f t="shared" si="19"/>
        <v>0</v>
      </c>
      <c r="BB24" s="199">
        <f t="shared" si="20"/>
        <v>0</v>
      </c>
      <c r="BC24" s="199">
        <f t="shared" si="21"/>
        <v>0</v>
      </c>
      <c r="BD24" s="199">
        <f t="shared" si="22"/>
        <v>66000000</v>
      </c>
      <c r="BE24" s="202">
        <f t="shared" si="23"/>
        <v>180000000</v>
      </c>
      <c r="BF24" s="191"/>
      <c r="BG24" s="199">
        <f t="shared" si="24"/>
        <v>0</v>
      </c>
      <c r="BH24" s="199">
        <f t="shared" si="25"/>
        <v>0</v>
      </c>
      <c r="BI24" s="199">
        <f t="shared" si="26"/>
        <v>0</v>
      </c>
      <c r="BJ24" s="199">
        <f t="shared" si="27"/>
        <v>0</v>
      </c>
      <c r="BK24" s="199">
        <f t="shared" si="28"/>
        <v>0</v>
      </c>
      <c r="BL24" s="199">
        <f t="shared" si="29"/>
        <v>0</v>
      </c>
      <c r="BM24" s="199">
        <f t="shared" si="30"/>
        <v>0</v>
      </c>
      <c r="BN24" s="199">
        <f t="shared" si="31"/>
        <v>0</v>
      </c>
      <c r="BO24" s="199">
        <f t="shared" si="32"/>
        <v>0</v>
      </c>
      <c r="BP24" s="199">
        <f t="shared" si="33"/>
        <v>0</v>
      </c>
      <c r="BQ24" s="199">
        <f t="shared" si="34"/>
        <v>66000000</v>
      </c>
      <c r="BR24" s="199">
        <f t="shared" si="35"/>
        <v>11</v>
      </c>
      <c r="BS24" s="191"/>
      <c r="BT24" s="199">
        <f t="shared" si="36"/>
        <v>0</v>
      </c>
      <c r="BU24" s="199">
        <f t="shared" si="37"/>
        <v>0</v>
      </c>
      <c r="BV24" s="199">
        <f t="shared" si="38"/>
        <v>0</v>
      </c>
      <c r="BW24" s="199">
        <f t="shared" si="39"/>
        <v>0</v>
      </c>
      <c r="BX24" s="199">
        <f t="shared" si="40"/>
        <v>0</v>
      </c>
      <c r="BY24" s="199">
        <f t="shared" si="41"/>
        <v>0</v>
      </c>
      <c r="BZ24" s="199">
        <f t="shared" si="42"/>
        <v>0</v>
      </c>
      <c r="CA24" s="199">
        <f t="shared" si="43"/>
        <v>0</v>
      </c>
      <c r="CB24" s="199">
        <f t="shared" si="44"/>
        <v>0</v>
      </c>
      <c r="CC24" s="199">
        <f t="shared" si="45"/>
        <v>0</v>
      </c>
      <c r="CD24" s="199">
        <f t="shared" si="46"/>
        <v>11</v>
      </c>
      <c r="CE24" s="199">
        <f t="shared" si="47"/>
        <v>229591.83673469385</v>
      </c>
      <c r="CF24" s="191"/>
      <c r="CG24" s="199">
        <f t="shared" si="48"/>
        <v>0</v>
      </c>
      <c r="CH24" s="199">
        <f t="shared" si="49"/>
        <v>0</v>
      </c>
      <c r="CI24" s="199">
        <f t="shared" si="50"/>
        <v>0</v>
      </c>
      <c r="CJ24" s="199">
        <f t="shared" si="51"/>
        <v>0</v>
      </c>
      <c r="CK24" s="199">
        <f t="shared" si="52"/>
        <v>0</v>
      </c>
      <c r="CL24" s="199">
        <f t="shared" si="53"/>
        <v>0</v>
      </c>
      <c r="CM24" s="199">
        <f t="shared" si="54"/>
        <v>0</v>
      </c>
      <c r="CN24" s="199">
        <f t="shared" si="55"/>
        <v>0</v>
      </c>
      <c r="CO24" s="199">
        <f t="shared" si="56"/>
        <v>0</v>
      </c>
      <c r="CP24" s="199">
        <f t="shared" si="57"/>
        <v>0</v>
      </c>
      <c r="CQ24" s="199">
        <f t="shared" si="58"/>
        <v>11</v>
      </c>
      <c r="CR24" s="199">
        <f t="shared" si="59"/>
        <v>180000000</v>
      </c>
      <c r="CS24" s="191"/>
      <c r="CT24" s="191"/>
      <c r="CU24" s="191"/>
      <c r="CV24" s="191"/>
      <c r="CW24" s="191"/>
      <c r="CX24" s="191"/>
      <c r="CY24" s="191"/>
    </row>
    <row r="25" spans="2:103" x14ac:dyDescent="0.3">
      <c r="B25" t="str">
        <f>TRNG!F23</f>
        <v>metastability</v>
      </c>
      <c r="C25">
        <f>TRNG!C23</f>
        <v>2018</v>
      </c>
      <c r="D25" s="57" t="str">
        <f>IF($B25=D$3,IF(TRNG!$K23&gt;0,TRNG!$K23*1000000,""),"")</f>
        <v/>
      </c>
      <c r="E25" s="57" t="str">
        <f>IF($B25=E$3,IF(TRNG!$K23&gt;0,TRNG!$K23*1000000,""),"")</f>
        <v/>
      </c>
      <c r="F25" s="57">
        <f>IF($B25=F$3,IF(TRNG!$K23&gt;0,TRNG!$K23*1000000,""),"")</f>
        <v>86000000</v>
      </c>
      <c r="G25" s="57" t="str">
        <f>IF($B25=G$3,IF(TRNG!$K23&gt;0,TRNG!$K23*1000000,""),"")</f>
        <v/>
      </c>
      <c r="H25" s="57" t="str">
        <f>IF($B25=H$3,IF(TRNG!$K23&gt;0,TRNG!$K23*1000000,""),"")</f>
        <v/>
      </c>
      <c r="I25" s="57" t="str">
        <f>IF($B25=I$3,IF(TRNG!$K23&gt;0,TRNG!$K23*1000000,""),"")</f>
        <v/>
      </c>
      <c r="J25" s="23"/>
      <c r="K25" s="57" t="str">
        <f>IF($B25=K$3,IF(TRNG!$O23&gt;0,TRNG!$O23,""),"")</f>
        <v/>
      </c>
      <c r="L25" s="57" t="str">
        <f>IF($B25=L$3,IF(TRNG!$O23&gt;0,TRNG!$O23,""),"")</f>
        <v/>
      </c>
      <c r="M25" s="57">
        <f>IF($B25=M$3,IF(TRNG!$O23&gt;0,TRNG!$O23,""),"")</f>
        <v>2370000</v>
      </c>
      <c r="N25" s="57" t="str">
        <f>IF($B25=N$3,IF(TRNG!$O23&gt;0,TRNG!$O23,""),"")</f>
        <v/>
      </c>
      <c r="O25" s="57" t="str">
        <f>IF($B25=O$3,IF(TRNG!$O23&gt;0,TRNG!$O23,""),"")</f>
        <v/>
      </c>
      <c r="P25" s="57" t="str">
        <f>IF($B25=P$3,IF(TRNG!$O23&gt;0,TRNG!$O23,""),"")</f>
        <v/>
      </c>
      <c r="R25" s="57" t="str">
        <f>IF($B25=R$3,IF(TRNG!$N23&gt;0,TRNG!$N23*1000000,""),"")</f>
        <v/>
      </c>
      <c r="S25" s="57" t="str">
        <f>IF($B25=S$3,IF(TRNG!$N23&gt;0,TRNG!$N23*1000000,""),"")</f>
        <v/>
      </c>
      <c r="T25" s="57">
        <f>IF($B25=T$3,IF(TRNG!$N23&gt;0,TRNG!$N23*1000000,""),"")</f>
        <v>10013250000.000002</v>
      </c>
      <c r="U25" s="57" t="str">
        <f>IF($B25=U$3,IF(TRNG!$N23&gt;0,TRNG!$N23*1000000,""),"")</f>
        <v/>
      </c>
      <c r="V25" s="57" t="str">
        <f>IF($B25=V$3,IF(TRNG!$N23&gt;0,TRNG!$N23*1000000,""),"")</f>
        <v/>
      </c>
      <c r="W25" s="57" t="str">
        <f>IF($B25=W$3,IF(TRNG!$N23&gt;0,TRNG!$N23*1000000,""),"")</f>
        <v/>
      </c>
      <c r="Y25" s="57" t="str">
        <f>IF($B25=Y$3,IF(TRNG!$P23&gt;0,TRNG!$P23,""),"")</f>
        <v/>
      </c>
      <c r="Z25" s="57" t="str">
        <f>IF($B25=Z$3,IF(TRNG!$P23&gt;0,TRNG!$P23,""),"")</f>
        <v/>
      </c>
      <c r="AA25" s="57">
        <f>IF($B25=AA$3,IF(TRNG!$P23&gt;0,TRNG!$P23,""),"")</f>
        <v>2.58</v>
      </c>
      <c r="AB25" s="57" t="str">
        <f>IF($B25=AB$3,IF(TRNG!$P23&gt;0,TRNG!$P23,""),"")</f>
        <v/>
      </c>
      <c r="AC25" s="57" t="str">
        <f>IF($B25=AC$3,IF(TRNG!$P23&gt;0,TRNG!$P23,""),"")</f>
        <v/>
      </c>
      <c r="AD25" s="57" t="str">
        <f>IF($B25=AD$3,IF(TRNG!$P23&gt;0,TRNG!$P23,""),"")</f>
        <v/>
      </c>
      <c r="AG25" s="199">
        <f t="shared" si="0"/>
        <v>0</v>
      </c>
      <c r="AH25" s="199">
        <f t="shared" si="1"/>
        <v>0</v>
      </c>
      <c r="AI25" s="199">
        <f t="shared" si="2"/>
        <v>0</v>
      </c>
      <c r="AJ25" s="199">
        <f t="shared" si="3"/>
        <v>0</v>
      </c>
      <c r="AK25" s="199">
        <f t="shared" si="4"/>
        <v>86000000</v>
      </c>
      <c r="AL25" s="199">
        <f t="shared" si="5"/>
        <v>2370000</v>
      </c>
      <c r="AM25" s="199">
        <f t="shared" si="6"/>
        <v>0</v>
      </c>
      <c r="AN25" s="199">
        <f t="shared" si="7"/>
        <v>0</v>
      </c>
      <c r="AO25" s="199">
        <f t="shared" si="8"/>
        <v>0</v>
      </c>
      <c r="AP25" s="199">
        <f t="shared" si="9"/>
        <v>0</v>
      </c>
      <c r="AQ25" s="199">
        <f t="shared" si="10"/>
        <v>0</v>
      </c>
      <c r="AR25" s="199">
        <f t="shared" si="11"/>
        <v>0</v>
      </c>
      <c r="AT25" s="199">
        <f t="shared" si="12"/>
        <v>0</v>
      </c>
      <c r="AU25" s="199">
        <f t="shared" si="13"/>
        <v>0</v>
      </c>
      <c r="AV25" s="199">
        <f t="shared" si="14"/>
        <v>0</v>
      </c>
      <c r="AW25" s="199">
        <f t="shared" si="15"/>
        <v>0</v>
      </c>
      <c r="AX25" s="199">
        <f t="shared" si="16"/>
        <v>86000000</v>
      </c>
      <c r="AY25" s="199">
        <f t="shared" si="17"/>
        <v>10013250000.000002</v>
      </c>
      <c r="AZ25" s="199">
        <f t="shared" si="18"/>
        <v>0</v>
      </c>
      <c r="BA25" s="199">
        <f t="shared" si="19"/>
        <v>0</v>
      </c>
      <c r="BB25" s="199">
        <f t="shared" si="20"/>
        <v>0</v>
      </c>
      <c r="BC25" s="199">
        <f t="shared" si="21"/>
        <v>0</v>
      </c>
      <c r="BD25" s="199">
        <f t="shared" si="22"/>
        <v>0</v>
      </c>
      <c r="BE25" s="202">
        <f t="shared" si="23"/>
        <v>0</v>
      </c>
      <c r="BF25" s="191"/>
      <c r="BG25" s="199">
        <f t="shared" si="24"/>
        <v>0</v>
      </c>
      <c r="BH25" s="199">
        <f t="shared" si="25"/>
        <v>0</v>
      </c>
      <c r="BI25" s="199">
        <f t="shared" si="26"/>
        <v>0</v>
      </c>
      <c r="BJ25" s="199">
        <f t="shared" si="27"/>
        <v>0</v>
      </c>
      <c r="BK25" s="199">
        <f t="shared" si="28"/>
        <v>86000000</v>
      </c>
      <c r="BL25" s="199">
        <f t="shared" si="29"/>
        <v>2.58</v>
      </c>
      <c r="BM25" s="199">
        <f t="shared" si="30"/>
        <v>0</v>
      </c>
      <c r="BN25" s="199">
        <f t="shared" si="31"/>
        <v>0</v>
      </c>
      <c r="BO25" s="199">
        <f t="shared" si="32"/>
        <v>0</v>
      </c>
      <c r="BP25" s="199">
        <f t="shared" si="33"/>
        <v>0</v>
      </c>
      <c r="BQ25" s="199">
        <f t="shared" si="34"/>
        <v>0</v>
      </c>
      <c r="BR25" s="199">
        <f t="shared" si="35"/>
        <v>0</v>
      </c>
      <c r="BS25" s="191"/>
      <c r="BT25" s="199">
        <f t="shared" si="36"/>
        <v>0</v>
      </c>
      <c r="BU25" s="199">
        <f t="shared" si="37"/>
        <v>0</v>
      </c>
      <c r="BV25" s="199">
        <f t="shared" si="38"/>
        <v>0</v>
      </c>
      <c r="BW25" s="199">
        <f t="shared" si="39"/>
        <v>0</v>
      </c>
      <c r="BX25" s="199">
        <f t="shared" si="40"/>
        <v>2.58</v>
      </c>
      <c r="BY25" s="199">
        <f t="shared" si="41"/>
        <v>2370000</v>
      </c>
      <c r="BZ25" s="199">
        <f t="shared" si="42"/>
        <v>0</v>
      </c>
      <c r="CA25" s="199">
        <f t="shared" si="43"/>
        <v>0</v>
      </c>
      <c r="CB25" s="199">
        <f t="shared" si="44"/>
        <v>0</v>
      </c>
      <c r="CC25" s="199">
        <f t="shared" si="45"/>
        <v>0</v>
      </c>
      <c r="CD25" s="199">
        <f t="shared" si="46"/>
        <v>0</v>
      </c>
      <c r="CE25" s="199">
        <f t="shared" si="47"/>
        <v>0</v>
      </c>
      <c r="CF25" s="191"/>
      <c r="CG25" s="199">
        <f t="shared" si="48"/>
        <v>0</v>
      </c>
      <c r="CH25" s="199">
        <f t="shared" si="49"/>
        <v>0</v>
      </c>
      <c r="CI25" s="199">
        <f t="shared" si="50"/>
        <v>0</v>
      </c>
      <c r="CJ25" s="199">
        <f t="shared" si="51"/>
        <v>0</v>
      </c>
      <c r="CK25" s="199">
        <f t="shared" si="52"/>
        <v>2.58</v>
      </c>
      <c r="CL25" s="199">
        <f t="shared" si="53"/>
        <v>10013250000.000002</v>
      </c>
      <c r="CM25" s="199">
        <f t="shared" si="54"/>
        <v>0</v>
      </c>
      <c r="CN25" s="199">
        <f t="shared" si="55"/>
        <v>0</v>
      </c>
      <c r="CO25" s="199">
        <f t="shared" si="56"/>
        <v>0</v>
      </c>
      <c r="CP25" s="199">
        <f t="shared" si="57"/>
        <v>0</v>
      </c>
      <c r="CQ25" s="199">
        <f t="shared" si="58"/>
        <v>0</v>
      </c>
      <c r="CR25" s="199">
        <f t="shared" si="59"/>
        <v>0</v>
      </c>
      <c r="CS25" s="191"/>
      <c r="CT25" s="191"/>
      <c r="CU25" s="191"/>
      <c r="CV25" s="191"/>
      <c r="CW25" s="191"/>
      <c r="CX25" s="191"/>
      <c r="CY25" s="191"/>
    </row>
    <row r="26" spans="2:103" x14ac:dyDescent="0.3">
      <c r="B26" t="str">
        <f>TRNG!F24</f>
        <v>metastability</v>
      </c>
      <c r="C26">
        <f>TRNG!C24</f>
        <v>2019</v>
      </c>
      <c r="D26" s="57" t="str">
        <f>IF($B26=D$3,IF(TRNG!$K24&gt;0,TRNG!$K24*1000000,""),"")</f>
        <v/>
      </c>
      <c r="E26" s="57" t="str">
        <f>IF($B26=E$3,IF(TRNG!$K24&gt;0,TRNG!$K24*1000000,""),"")</f>
        <v/>
      </c>
      <c r="F26" s="57">
        <f>IF($B26=F$3,IF(TRNG!$K24&gt;0,TRNG!$K24*1000000,""),"")</f>
        <v>1480000000</v>
      </c>
      <c r="G26" s="57" t="str">
        <f>IF($B26=G$3,IF(TRNG!$K24&gt;0,TRNG!$K24*1000000,""),"")</f>
        <v/>
      </c>
      <c r="H26" s="57" t="str">
        <f>IF($B26=H$3,IF(TRNG!$K24&gt;0,TRNG!$K24*1000000,""),"")</f>
        <v/>
      </c>
      <c r="I26" s="57" t="str">
        <f>IF($B26=I$3,IF(TRNG!$K24&gt;0,TRNG!$K24*1000000,""),"")</f>
        <v/>
      </c>
      <c r="J26" s="23"/>
      <c r="K26" s="57" t="str">
        <f>IF($B26=K$3,IF(TRNG!$O24&gt;0,TRNG!$O24,""),"")</f>
        <v/>
      </c>
      <c r="L26" s="57" t="str">
        <f>IF($B26=L$3,IF(TRNG!$O24&gt;0,TRNG!$O24,""),"")</f>
        <v/>
      </c>
      <c r="M26" s="57">
        <f>IF($B26=M$3,IF(TRNG!$O24&gt;0,TRNG!$O24,""),"")</f>
        <v>10800000</v>
      </c>
      <c r="N26" s="57" t="str">
        <f>IF($B26=N$3,IF(TRNG!$O24&gt;0,TRNG!$O24,""),"")</f>
        <v/>
      </c>
      <c r="O26" s="57" t="str">
        <f>IF($B26=O$3,IF(TRNG!$O24&gt;0,TRNG!$O24,""),"")</f>
        <v/>
      </c>
      <c r="P26" s="57" t="str">
        <f>IF($B26=P$3,IF(TRNG!$O24&gt;0,TRNG!$O24,""),"")</f>
        <v/>
      </c>
      <c r="R26" s="57" t="str">
        <f>IF($B26=R$3,IF(TRNG!$N24&gt;0,TRNG!$N24*1000000,""),"")</f>
        <v/>
      </c>
      <c r="S26" s="57" t="str">
        <f>IF($B26=S$3,IF(TRNG!$N24&gt;0,TRNG!$N24*1000000,""),"")</f>
        <v/>
      </c>
      <c r="T26" s="57">
        <f>IF($B26=T$3,IF(TRNG!$N24&gt;0,TRNG!$N24*1000000,""),"")</f>
        <v>2116799999.9999998</v>
      </c>
      <c r="U26" s="57" t="str">
        <f>IF($B26=U$3,IF(TRNG!$N24&gt;0,TRNG!$N24*1000000,""),"")</f>
        <v/>
      </c>
      <c r="V26" s="57" t="str">
        <f>IF($B26=V$3,IF(TRNG!$N24&gt;0,TRNG!$N24*1000000,""),"")</f>
        <v/>
      </c>
      <c r="W26" s="57" t="str">
        <f>IF($B26=W$3,IF(TRNG!$N24&gt;0,TRNG!$N24*1000000,""),"")</f>
        <v/>
      </c>
      <c r="Y26" s="57" t="str">
        <f>IF($B26=Y$3,IF(TRNG!$P24&gt;0,TRNG!$P24,""),"")</f>
        <v/>
      </c>
      <c r="Z26" s="57" t="str">
        <f>IF($B26=Z$3,IF(TRNG!$P24&gt;0,TRNG!$P24,""),"")</f>
        <v/>
      </c>
      <c r="AA26" s="57">
        <f>IF($B26=AA$3,IF(TRNG!$P24&gt;0,TRNG!$P24,""),"")</f>
        <v>2.5</v>
      </c>
      <c r="AB26" s="57" t="str">
        <f>IF($B26=AB$3,IF(TRNG!$P24&gt;0,TRNG!$P24,""),"")</f>
        <v/>
      </c>
      <c r="AC26" s="57" t="str">
        <f>IF($B26=AC$3,IF(TRNG!$P24&gt;0,TRNG!$P24,""),"")</f>
        <v/>
      </c>
      <c r="AD26" s="57" t="str">
        <f>IF($B26=AD$3,IF(TRNG!$P24&gt;0,TRNG!$P24,""),"")</f>
        <v/>
      </c>
      <c r="AG26" s="199">
        <f t="shared" si="0"/>
        <v>0</v>
      </c>
      <c r="AH26" s="199">
        <f t="shared" si="1"/>
        <v>0</v>
      </c>
      <c r="AI26" s="199">
        <f t="shared" si="2"/>
        <v>0</v>
      </c>
      <c r="AJ26" s="199">
        <f t="shared" si="3"/>
        <v>0</v>
      </c>
      <c r="AK26" s="199">
        <f t="shared" si="4"/>
        <v>1480000000</v>
      </c>
      <c r="AL26" s="199">
        <f t="shared" si="5"/>
        <v>10800000</v>
      </c>
      <c r="AM26" s="199">
        <f t="shared" si="6"/>
        <v>0</v>
      </c>
      <c r="AN26" s="199">
        <f t="shared" si="7"/>
        <v>0</v>
      </c>
      <c r="AO26" s="199">
        <f t="shared" si="8"/>
        <v>0</v>
      </c>
      <c r="AP26" s="199">
        <f t="shared" si="9"/>
        <v>0</v>
      </c>
      <c r="AQ26" s="199">
        <f t="shared" si="10"/>
        <v>0</v>
      </c>
      <c r="AR26" s="199">
        <f t="shared" si="11"/>
        <v>0</v>
      </c>
      <c r="AT26" s="199">
        <f t="shared" si="12"/>
        <v>0</v>
      </c>
      <c r="AU26" s="199">
        <f t="shared" si="13"/>
        <v>0</v>
      </c>
      <c r="AV26" s="199">
        <f t="shared" si="14"/>
        <v>0</v>
      </c>
      <c r="AW26" s="199">
        <f t="shared" si="15"/>
        <v>0</v>
      </c>
      <c r="AX26" s="199">
        <f t="shared" si="16"/>
        <v>1480000000</v>
      </c>
      <c r="AY26" s="199">
        <f t="shared" si="17"/>
        <v>2116799999.9999998</v>
      </c>
      <c r="AZ26" s="199">
        <f t="shared" si="18"/>
        <v>0</v>
      </c>
      <c r="BA26" s="199">
        <f t="shared" si="19"/>
        <v>0</v>
      </c>
      <c r="BB26" s="199">
        <f t="shared" si="20"/>
        <v>0</v>
      </c>
      <c r="BC26" s="199">
        <f t="shared" si="21"/>
        <v>0</v>
      </c>
      <c r="BD26" s="199">
        <f t="shared" si="22"/>
        <v>0</v>
      </c>
      <c r="BE26" s="202">
        <f t="shared" si="23"/>
        <v>0</v>
      </c>
      <c r="BF26" s="191"/>
      <c r="BG26" s="199">
        <f t="shared" si="24"/>
        <v>0</v>
      </c>
      <c r="BH26" s="199">
        <f t="shared" si="25"/>
        <v>0</v>
      </c>
      <c r="BI26" s="199">
        <f t="shared" si="26"/>
        <v>0</v>
      </c>
      <c r="BJ26" s="199">
        <f t="shared" si="27"/>
        <v>0</v>
      </c>
      <c r="BK26" s="199">
        <f t="shared" si="28"/>
        <v>1480000000</v>
      </c>
      <c r="BL26" s="199">
        <f t="shared" si="29"/>
        <v>2.5</v>
      </c>
      <c r="BM26" s="199">
        <f t="shared" si="30"/>
        <v>0</v>
      </c>
      <c r="BN26" s="199">
        <f t="shared" si="31"/>
        <v>0</v>
      </c>
      <c r="BO26" s="199">
        <f t="shared" si="32"/>
        <v>0</v>
      </c>
      <c r="BP26" s="199">
        <f t="shared" si="33"/>
        <v>0</v>
      </c>
      <c r="BQ26" s="199">
        <f t="shared" si="34"/>
        <v>0</v>
      </c>
      <c r="BR26" s="199">
        <f t="shared" si="35"/>
        <v>0</v>
      </c>
      <c r="BS26" s="191"/>
      <c r="BT26" s="199">
        <f t="shared" si="36"/>
        <v>0</v>
      </c>
      <c r="BU26" s="199">
        <f t="shared" si="37"/>
        <v>0</v>
      </c>
      <c r="BV26" s="199">
        <f t="shared" si="38"/>
        <v>0</v>
      </c>
      <c r="BW26" s="199">
        <f t="shared" si="39"/>
        <v>0</v>
      </c>
      <c r="BX26" s="199">
        <f t="shared" si="40"/>
        <v>2.5</v>
      </c>
      <c r="BY26" s="199">
        <f t="shared" si="41"/>
        <v>10800000</v>
      </c>
      <c r="BZ26" s="199">
        <f t="shared" si="42"/>
        <v>0</v>
      </c>
      <c r="CA26" s="199">
        <f t="shared" si="43"/>
        <v>0</v>
      </c>
      <c r="CB26" s="199">
        <f t="shared" si="44"/>
        <v>0</v>
      </c>
      <c r="CC26" s="199">
        <f t="shared" si="45"/>
        <v>0</v>
      </c>
      <c r="CD26" s="199">
        <f t="shared" si="46"/>
        <v>0</v>
      </c>
      <c r="CE26" s="199">
        <f t="shared" si="47"/>
        <v>0</v>
      </c>
      <c r="CF26" s="191"/>
      <c r="CG26" s="199">
        <f t="shared" si="48"/>
        <v>0</v>
      </c>
      <c r="CH26" s="199">
        <f t="shared" si="49"/>
        <v>0</v>
      </c>
      <c r="CI26" s="199">
        <f t="shared" si="50"/>
        <v>0</v>
      </c>
      <c r="CJ26" s="199">
        <f t="shared" si="51"/>
        <v>0</v>
      </c>
      <c r="CK26" s="199">
        <f t="shared" si="52"/>
        <v>2.5</v>
      </c>
      <c r="CL26" s="199">
        <f t="shared" si="53"/>
        <v>2116799999.9999998</v>
      </c>
      <c r="CM26" s="199">
        <f t="shared" si="54"/>
        <v>0</v>
      </c>
      <c r="CN26" s="199">
        <f t="shared" si="55"/>
        <v>0</v>
      </c>
      <c r="CO26" s="199">
        <f t="shared" si="56"/>
        <v>0</v>
      </c>
      <c r="CP26" s="199">
        <f t="shared" si="57"/>
        <v>0</v>
      </c>
      <c r="CQ26" s="199">
        <f t="shared" si="58"/>
        <v>0</v>
      </c>
      <c r="CR26" s="199">
        <f t="shared" si="59"/>
        <v>0</v>
      </c>
      <c r="CS26" s="191"/>
      <c r="CT26" s="191"/>
      <c r="CU26" s="191"/>
      <c r="CV26" s="191"/>
      <c r="CW26" s="191"/>
      <c r="CX26" s="191"/>
      <c r="CY26" s="191"/>
    </row>
    <row r="27" spans="2:103" x14ac:dyDescent="0.3">
      <c r="B27" t="str">
        <f>TRNG!F25</f>
        <v>metastability</v>
      </c>
      <c r="C27">
        <f>TRNG!C25</f>
        <v>2020</v>
      </c>
      <c r="D27" s="57" t="str">
        <f>IF($B27=D$3,IF(TRNG!$K25&gt;0,TRNG!$K25*1000000,""),"")</f>
        <v/>
      </c>
      <c r="E27" s="57" t="str">
        <f>IF($B27=E$3,IF(TRNG!$K25&gt;0,TRNG!$K25*1000000,""),"")</f>
        <v/>
      </c>
      <c r="F27" s="57">
        <f>IF($B27=F$3,IF(TRNG!$K25&gt;0,TRNG!$K25*1000000,""),"")</f>
        <v>128000000</v>
      </c>
      <c r="G27" s="57" t="str">
        <f>IF($B27=G$3,IF(TRNG!$K25&gt;0,TRNG!$K25*1000000,""),"")</f>
        <v/>
      </c>
      <c r="H27" s="57" t="str">
        <f>IF($B27=H$3,IF(TRNG!$K25&gt;0,TRNG!$K25*1000000,""),"")</f>
        <v/>
      </c>
      <c r="I27" s="57" t="str">
        <f>IF($B27=I$3,IF(TRNG!$K25&gt;0,TRNG!$K25*1000000,""),"")</f>
        <v/>
      </c>
      <c r="J27" s="23"/>
      <c r="K27" s="57" t="str">
        <f>IF($B27=K$3,IF(TRNG!$O25&gt;0,TRNG!$O25,""),"")</f>
        <v/>
      </c>
      <c r="L27" s="57" t="str">
        <f>IF($B27=L$3,IF(TRNG!$O25&gt;0,TRNG!$O25,""),"")</f>
        <v/>
      </c>
      <c r="M27" s="57">
        <f>IF($B27=M$3,IF(TRNG!$O25&gt;0,TRNG!$O25,""),"")</f>
        <v>430000</v>
      </c>
      <c r="N27" s="57" t="str">
        <f>IF($B27=N$3,IF(TRNG!$O25&gt;0,TRNG!$O25,""),"")</f>
        <v/>
      </c>
      <c r="O27" s="57" t="str">
        <f>IF($B27=O$3,IF(TRNG!$O25&gt;0,TRNG!$O25,""),"")</f>
        <v/>
      </c>
      <c r="P27" s="57" t="str">
        <f>IF($B27=P$3,IF(TRNG!$O25&gt;0,TRNG!$O25,""),"")</f>
        <v/>
      </c>
      <c r="R27" s="57" t="str">
        <f>IF($B27=R$3,IF(TRNG!$N25&gt;0,TRNG!$N25*1000000,""),"")</f>
        <v/>
      </c>
      <c r="S27" s="57" t="str">
        <f>IF($B27=S$3,IF(TRNG!$N25&gt;0,TRNG!$N25*1000000,""),"")</f>
        <v/>
      </c>
      <c r="T27" s="57">
        <f>IF($B27=T$3,IF(TRNG!$N25&gt;0,TRNG!$N25*1000000,""),"")</f>
        <v>688000000</v>
      </c>
      <c r="U27" s="57" t="str">
        <f>IF($B27=U$3,IF(TRNG!$N25&gt;0,TRNG!$N25*1000000,""),"")</f>
        <v/>
      </c>
      <c r="V27" s="57" t="str">
        <f>IF($B27=V$3,IF(TRNG!$N25&gt;0,TRNG!$N25*1000000,""),"")</f>
        <v/>
      </c>
      <c r="W27" s="57" t="str">
        <f>IF($B27=W$3,IF(TRNG!$N25&gt;0,TRNG!$N25*1000000,""),"")</f>
        <v/>
      </c>
      <c r="Y27" s="57" t="str">
        <f>IF($B27=Y$3,IF(TRNG!$P25&gt;0,TRNG!$P25,""),"")</f>
        <v/>
      </c>
      <c r="Z27" s="57" t="str">
        <f>IF($B27=Z$3,IF(TRNG!$P25&gt;0,TRNG!$P25,""),"")</f>
        <v/>
      </c>
      <c r="AA27" s="57">
        <f>IF($B27=AA$3,IF(TRNG!$P25&gt;0,TRNG!$P25,""),"")</f>
        <v>2.5</v>
      </c>
      <c r="AB27" s="57" t="str">
        <f>IF($B27=AB$3,IF(TRNG!$P25&gt;0,TRNG!$P25,""),"")</f>
        <v/>
      </c>
      <c r="AC27" s="57" t="str">
        <f>IF($B27=AC$3,IF(TRNG!$P25&gt;0,TRNG!$P25,""),"")</f>
        <v/>
      </c>
      <c r="AD27" s="57" t="str">
        <f>IF($B27=AD$3,IF(TRNG!$P25&gt;0,TRNG!$P25,""),"")</f>
        <v/>
      </c>
      <c r="AG27" s="199">
        <f t="shared" si="0"/>
        <v>0</v>
      </c>
      <c r="AH27" s="199">
        <f t="shared" si="1"/>
        <v>0</v>
      </c>
      <c r="AI27" s="199">
        <f t="shared" si="2"/>
        <v>0</v>
      </c>
      <c r="AJ27" s="199">
        <f t="shared" si="3"/>
        <v>0</v>
      </c>
      <c r="AK27" s="199">
        <f t="shared" si="4"/>
        <v>128000000</v>
      </c>
      <c r="AL27" s="199">
        <f t="shared" si="5"/>
        <v>430000</v>
      </c>
      <c r="AM27" s="199">
        <f t="shared" si="6"/>
        <v>0</v>
      </c>
      <c r="AN27" s="199">
        <f t="shared" si="7"/>
        <v>0</v>
      </c>
      <c r="AO27" s="199">
        <f t="shared" si="8"/>
        <v>0</v>
      </c>
      <c r="AP27" s="199">
        <f t="shared" si="9"/>
        <v>0</v>
      </c>
      <c r="AQ27" s="199">
        <f t="shared" si="10"/>
        <v>0</v>
      </c>
      <c r="AR27" s="199">
        <f t="shared" si="11"/>
        <v>0</v>
      </c>
      <c r="AT27" s="199">
        <f t="shared" si="12"/>
        <v>0</v>
      </c>
      <c r="AU27" s="199">
        <f t="shared" si="13"/>
        <v>0</v>
      </c>
      <c r="AV27" s="199">
        <f t="shared" si="14"/>
        <v>0</v>
      </c>
      <c r="AW27" s="199">
        <f t="shared" si="15"/>
        <v>0</v>
      </c>
      <c r="AX27" s="199">
        <f t="shared" si="16"/>
        <v>128000000</v>
      </c>
      <c r="AY27" s="199">
        <f t="shared" si="17"/>
        <v>688000000</v>
      </c>
      <c r="AZ27" s="199">
        <f t="shared" si="18"/>
        <v>0</v>
      </c>
      <c r="BA27" s="199">
        <f t="shared" si="19"/>
        <v>0</v>
      </c>
      <c r="BB27" s="199">
        <f t="shared" si="20"/>
        <v>0</v>
      </c>
      <c r="BC27" s="199">
        <f t="shared" si="21"/>
        <v>0</v>
      </c>
      <c r="BD27" s="199">
        <f t="shared" si="22"/>
        <v>0</v>
      </c>
      <c r="BE27" s="202">
        <f t="shared" si="23"/>
        <v>0</v>
      </c>
      <c r="BF27" s="191"/>
      <c r="BG27" s="199">
        <f t="shared" si="24"/>
        <v>0</v>
      </c>
      <c r="BH27" s="199">
        <f t="shared" si="25"/>
        <v>0</v>
      </c>
      <c r="BI27" s="199">
        <f t="shared" si="26"/>
        <v>0</v>
      </c>
      <c r="BJ27" s="199">
        <f t="shared" si="27"/>
        <v>0</v>
      </c>
      <c r="BK27" s="199">
        <f t="shared" si="28"/>
        <v>128000000</v>
      </c>
      <c r="BL27" s="199">
        <f t="shared" si="29"/>
        <v>2.5</v>
      </c>
      <c r="BM27" s="199">
        <f t="shared" si="30"/>
        <v>0</v>
      </c>
      <c r="BN27" s="199">
        <f t="shared" si="31"/>
        <v>0</v>
      </c>
      <c r="BO27" s="199">
        <f t="shared" si="32"/>
        <v>0</v>
      </c>
      <c r="BP27" s="199">
        <f t="shared" si="33"/>
        <v>0</v>
      </c>
      <c r="BQ27" s="199">
        <f t="shared" si="34"/>
        <v>0</v>
      </c>
      <c r="BR27" s="199">
        <f t="shared" si="35"/>
        <v>0</v>
      </c>
      <c r="BS27" s="191"/>
      <c r="BT27" s="199">
        <f t="shared" si="36"/>
        <v>0</v>
      </c>
      <c r="BU27" s="199">
        <f t="shared" si="37"/>
        <v>0</v>
      </c>
      <c r="BV27" s="199">
        <f t="shared" si="38"/>
        <v>0</v>
      </c>
      <c r="BW27" s="199">
        <f t="shared" si="39"/>
        <v>0</v>
      </c>
      <c r="BX27" s="199">
        <f t="shared" si="40"/>
        <v>2.5</v>
      </c>
      <c r="BY27" s="199">
        <f t="shared" si="41"/>
        <v>430000</v>
      </c>
      <c r="BZ27" s="199">
        <f t="shared" si="42"/>
        <v>0</v>
      </c>
      <c r="CA27" s="199">
        <f t="shared" si="43"/>
        <v>0</v>
      </c>
      <c r="CB27" s="199">
        <f t="shared" si="44"/>
        <v>0</v>
      </c>
      <c r="CC27" s="199">
        <f t="shared" si="45"/>
        <v>0</v>
      </c>
      <c r="CD27" s="199">
        <f t="shared" si="46"/>
        <v>0</v>
      </c>
      <c r="CE27" s="199">
        <f t="shared" si="47"/>
        <v>0</v>
      </c>
      <c r="CF27" s="191"/>
      <c r="CG27" s="199">
        <f t="shared" si="48"/>
        <v>0</v>
      </c>
      <c r="CH27" s="199">
        <f t="shared" si="49"/>
        <v>0</v>
      </c>
      <c r="CI27" s="199">
        <f t="shared" si="50"/>
        <v>0</v>
      </c>
      <c r="CJ27" s="199">
        <f t="shared" si="51"/>
        <v>0</v>
      </c>
      <c r="CK27" s="199">
        <f t="shared" si="52"/>
        <v>2.5</v>
      </c>
      <c r="CL27" s="199">
        <f t="shared" si="53"/>
        <v>688000000</v>
      </c>
      <c r="CM27" s="199">
        <f t="shared" si="54"/>
        <v>0</v>
      </c>
      <c r="CN27" s="199">
        <f t="shared" si="55"/>
        <v>0</v>
      </c>
      <c r="CO27" s="199">
        <f t="shared" si="56"/>
        <v>0</v>
      </c>
      <c r="CP27" s="199">
        <f t="shared" si="57"/>
        <v>0</v>
      </c>
      <c r="CQ27" s="199">
        <f t="shared" si="58"/>
        <v>0</v>
      </c>
      <c r="CR27" s="199">
        <f t="shared" si="59"/>
        <v>0</v>
      </c>
      <c r="CS27" s="191"/>
      <c r="CT27" s="191"/>
      <c r="CU27" s="191"/>
      <c r="CV27" s="191"/>
      <c r="CW27" s="191"/>
      <c r="CX27" s="191"/>
      <c r="CY27" s="191"/>
    </row>
    <row r="28" spans="2:103" x14ac:dyDescent="0.3">
      <c r="B28" t="str">
        <f>TRNG!F26</f>
        <v>unified PUF+TRNG in eFlash</v>
      </c>
      <c r="C28">
        <f>TRNG!C26</f>
        <v>2020</v>
      </c>
      <c r="D28" s="57" t="str">
        <f>IF($B28=D$3,IF(TRNG!$K26&gt;0,TRNG!$K26*1000000,""),"")</f>
        <v/>
      </c>
      <c r="E28" s="57" t="str">
        <f>IF($B28=E$3,IF(TRNG!$K26&gt;0,TRNG!$K26*1000000,""),"")</f>
        <v/>
      </c>
      <c r="F28" s="57" t="str">
        <f>IF($B28=F$3,IF(TRNG!$K26&gt;0,TRNG!$K26*1000000,""),"")</f>
        <v/>
      </c>
      <c r="G28" s="57" t="str">
        <f>IF($B28=G$3,IF(TRNG!$K26&gt;0,TRNG!$K26*1000000,""),"")</f>
        <v/>
      </c>
      <c r="H28" s="57" t="str">
        <f>IF($B28=H$3,IF(TRNG!$K26&gt;0,TRNG!$K26*1000000,""),"")</f>
        <v/>
      </c>
      <c r="I28" s="57" t="str">
        <f>IF($B28=I$3,IF(TRNG!$K26&gt;0,TRNG!$K26*1000000,""),"")</f>
        <v/>
      </c>
      <c r="J28" s="23"/>
      <c r="K28" s="57" t="str">
        <f>IF($B28=K$3,IF(TRNG!$O26&gt;0,TRNG!$O26,""),"")</f>
        <v/>
      </c>
      <c r="L28" s="57" t="str">
        <f>IF($B28=L$3,IF(TRNG!$O26&gt;0,TRNG!$O26,""),"")</f>
        <v/>
      </c>
      <c r="M28" s="57" t="str">
        <f>IF($B28=M$3,IF(TRNG!$O26&gt;0,TRNG!$O26,""),"")</f>
        <v/>
      </c>
      <c r="N28" s="57" t="str">
        <f>IF($B28=N$3,IF(TRNG!$O26&gt;0,TRNG!$O26,""),"")</f>
        <v/>
      </c>
      <c r="O28" s="57" t="str">
        <f>IF($B28=O$3,IF(TRNG!$O26&gt;0,TRNG!$O26,""),"")</f>
        <v/>
      </c>
      <c r="P28" s="57" t="str">
        <f>IF($B28=P$3,IF(TRNG!$O26&gt;0,TRNG!$O26,""),"")</f>
        <v/>
      </c>
      <c r="R28" s="57" t="str">
        <f>IF($B28=R$3,IF(TRNG!$N26&gt;0,TRNG!$N26*1000000,""),"")</f>
        <v/>
      </c>
      <c r="S28" s="57" t="str">
        <f>IF($B28=S$3,IF(TRNG!$N26&gt;0,TRNG!$N26*1000000,""),"")</f>
        <v/>
      </c>
      <c r="T28" s="57" t="str">
        <f>IF($B28=T$3,IF(TRNG!$N26&gt;0,TRNG!$N26*1000000,""),"")</f>
        <v/>
      </c>
      <c r="U28" s="57" t="str">
        <f>IF($B28=U$3,IF(TRNG!$N26&gt;0,TRNG!$N26*1000000,""),"")</f>
        <v/>
      </c>
      <c r="V28" s="57" t="str">
        <f>IF($B28=V$3,IF(TRNG!$N26&gt;0,TRNG!$N26*1000000,""),"")</f>
        <v/>
      </c>
      <c r="W28" s="57" t="str">
        <f>IF($B28=W$3,IF(TRNG!$N26&gt;0,TRNG!$N26*1000000,""),"")</f>
        <v/>
      </c>
      <c r="Y28" s="57" t="str">
        <f>IF($B28=Y$3,IF(TRNG!$P26&gt;0,TRNG!$P26,""),"")</f>
        <v/>
      </c>
      <c r="Z28" s="57" t="str">
        <f>IF($B28=Z$3,IF(TRNG!$P26&gt;0,TRNG!$P26,""),"")</f>
        <v/>
      </c>
      <c r="AA28" s="57" t="str">
        <f>IF($B28=AA$3,IF(TRNG!$P26&gt;0,TRNG!$P26,""),"")</f>
        <v/>
      </c>
      <c r="AB28" s="57" t="str">
        <f>IF($B28=AB$3,IF(TRNG!$P26&gt;0,TRNG!$P26,""),"")</f>
        <v/>
      </c>
      <c r="AC28" s="57" t="str">
        <f>IF($B28=AC$3,IF(TRNG!$P26&gt;0,TRNG!$P26,""),"")</f>
        <v/>
      </c>
      <c r="AD28" s="57" t="str">
        <f>IF($B28=AD$3,IF(TRNG!$P26&gt;0,TRNG!$P26,""),"")</f>
        <v/>
      </c>
      <c r="AG28" s="199">
        <f t="shared" si="0"/>
        <v>0</v>
      </c>
      <c r="AH28" s="199">
        <f t="shared" si="1"/>
        <v>0</v>
      </c>
      <c r="AI28" s="199">
        <f t="shared" si="2"/>
        <v>0</v>
      </c>
      <c r="AJ28" s="199">
        <f t="shared" si="3"/>
        <v>0</v>
      </c>
      <c r="AK28" s="199">
        <f t="shared" si="4"/>
        <v>0</v>
      </c>
      <c r="AL28" s="199">
        <f t="shared" si="5"/>
        <v>0</v>
      </c>
      <c r="AM28" s="199">
        <f t="shared" si="6"/>
        <v>0</v>
      </c>
      <c r="AN28" s="199">
        <f t="shared" si="7"/>
        <v>0</v>
      </c>
      <c r="AO28" s="199">
        <f t="shared" si="8"/>
        <v>0</v>
      </c>
      <c r="AP28" s="199">
        <f t="shared" si="9"/>
        <v>0</v>
      </c>
      <c r="AQ28" s="199">
        <f t="shared" si="10"/>
        <v>0</v>
      </c>
      <c r="AR28" s="199">
        <f t="shared" si="11"/>
        <v>0</v>
      </c>
      <c r="AT28" s="199">
        <f t="shared" si="12"/>
        <v>0</v>
      </c>
      <c r="AU28" s="199">
        <f t="shared" si="13"/>
        <v>0</v>
      </c>
      <c r="AV28" s="199">
        <f t="shared" si="14"/>
        <v>0</v>
      </c>
      <c r="AW28" s="199">
        <f t="shared" si="15"/>
        <v>0</v>
      </c>
      <c r="AX28" s="199">
        <f t="shared" si="16"/>
        <v>0</v>
      </c>
      <c r="AY28" s="199">
        <f t="shared" si="17"/>
        <v>0</v>
      </c>
      <c r="AZ28" s="199">
        <f t="shared" si="18"/>
        <v>0</v>
      </c>
      <c r="BA28" s="199">
        <f t="shared" si="19"/>
        <v>0</v>
      </c>
      <c r="BB28" s="199">
        <f t="shared" si="20"/>
        <v>0</v>
      </c>
      <c r="BC28" s="199">
        <f t="shared" si="21"/>
        <v>0</v>
      </c>
      <c r="BD28" s="199">
        <f t="shared" si="22"/>
        <v>0</v>
      </c>
      <c r="BE28" s="202">
        <f t="shared" si="23"/>
        <v>0</v>
      </c>
      <c r="BF28" s="191"/>
      <c r="BG28" s="199">
        <f t="shared" si="24"/>
        <v>0</v>
      </c>
      <c r="BH28" s="199">
        <f t="shared" si="25"/>
        <v>0</v>
      </c>
      <c r="BI28" s="199">
        <f t="shared" si="26"/>
        <v>0</v>
      </c>
      <c r="BJ28" s="199">
        <f t="shared" si="27"/>
        <v>0</v>
      </c>
      <c r="BK28" s="199">
        <f t="shared" si="28"/>
        <v>0</v>
      </c>
      <c r="BL28" s="199">
        <f t="shared" si="29"/>
        <v>0</v>
      </c>
      <c r="BM28" s="199">
        <f t="shared" si="30"/>
        <v>0</v>
      </c>
      <c r="BN28" s="199">
        <f t="shared" si="31"/>
        <v>0</v>
      </c>
      <c r="BO28" s="199">
        <f t="shared" si="32"/>
        <v>0</v>
      </c>
      <c r="BP28" s="199">
        <f t="shared" si="33"/>
        <v>0</v>
      </c>
      <c r="BQ28" s="199">
        <f t="shared" si="34"/>
        <v>0</v>
      </c>
      <c r="BR28" s="199">
        <f t="shared" si="35"/>
        <v>0</v>
      </c>
      <c r="BS28" s="191"/>
      <c r="BT28" s="199">
        <f t="shared" si="36"/>
        <v>0</v>
      </c>
      <c r="BU28" s="199">
        <f t="shared" si="37"/>
        <v>0</v>
      </c>
      <c r="BV28" s="199">
        <f t="shared" si="38"/>
        <v>0</v>
      </c>
      <c r="BW28" s="199">
        <f t="shared" si="39"/>
        <v>0</v>
      </c>
      <c r="BX28" s="199">
        <f t="shared" si="40"/>
        <v>0</v>
      </c>
      <c r="BY28" s="199">
        <f t="shared" si="41"/>
        <v>0</v>
      </c>
      <c r="BZ28" s="199">
        <f t="shared" si="42"/>
        <v>0</v>
      </c>
      <c r="CA28" s="199">
        <f t="shared" si="43"/>
        <v>0</v>
      </c>
      <c r="CB28" s="199">
        <f t="shared" si="44"/>
        <v>0</v>
      </c>
      <c r="CC28" s="199">
        <f t="shared" si="45"/>
        <v>0</v>
      </c>
      <c r="CD28" s="199">
        <f t="shared" si="46"/>
        <v>0</v>
      </c>
      <c r="CE28" s="199">
        <f t="shared" si="47"/>
        <v>0</v>
      </c>
      <c r="CF28" s="191"/>
      <c r="CG28" s="199">
        <f t="shared" si="48"/>
        <v>0</v>
      </c>
      <c r="CH28" s="199">
        <f t="shared" si="49"/>
        <v>0</v>
      </c>
      <c r="CI28" s="199">
        <f t="shared" si="50"/>
        <v>0</v>
      </c>
      <c r="CJ28" s="199">
        <f t="shared" si="51"/>
        <v>0</v>
      </c>
      <c r="CK28" s="199">
        <f t="shared" si="52"/>
        <v>0</v>
      </c>
      <c r="CL28" s="199">
        <f t="shared" si="53"/>
        <v>0</v>
      </c>
      <c r="CM28" s="199">
        <f t="shared" si="54"/>
        <v>0</v>
      </c>
      <c r="CN28" s="199">
        <f t="shared" si="55"/>
        <v>0</v>
      </c>
      <c r="CO28" s="199">
        <f t="shared" si="56"/>
        <v>0</v>
      </c>
      <c r="CP28" s="199">
        <f t="shared" si="57"/>
        <v>0</v>
      </c>
      <c r="CQ28" s="199">
        <f t="shared" si="58"/>
        <v>0</v>
      </c>
      <c r="CR28" s="199">
        <f t="shared" si="59"/>
        <v>0</v>
      </c>
      <c r="CS28" s="191"/>
      <c r="CT28" s="191"/>
      <c r="CU28" s="191"/>
      <c r="CV28" s="191"/>
      <c r="CW28" s="191"/>
      <c r="CX28" s="191"/>
      <c r="CY28" s="191"/>
    </row>
    <row r="29" spans="2:103" x14ac:dyDescent="0.3">
      <c r="B29" t="str">
        <f>TRNG!F27</f>
        <v>jitter</v>
      </c>
      <c r="C29">
        <f>TRNG!C27</f>
        <v>2020</v>
      </c>
      <c r="D29" s="57" t="str">
        <f>IF($B29=D$3,IF(TRNG!$K27&gt;0,TRNG!$K27*1000000,""),"")</f>
        <v/>
      </c>
      <c r="E29" s="57">
        <f>IF($B29=E$3,IF(TRNG!$K27&gt;0,TRNG!$K27*1000000,""),"")</f>
        <v>52000000</v>
      </c>
      <c r="F29" s="57" t="str">
        <f>IF($B29=F$3,IF(TRNG!$K27&gt;0,TRNG!$K27*1000000,""),"")</f>
        <v/>
      </c>
      <c r="G29" s="57" t="str">
        <f>IF($B29=G$3,IF(TRNG!$K27&gt;0,TRNG!$K27*1000000,""),"")</f>
        <v/>
      </c>
      <c r="H29" s="57" t="str">
        <f>IF($B29=H$3,IF(TRNG!$K27&gt;0,TRNG!$K27*1000000,""),"")</f>
        <v/>
      </c>
      <c r="I29" s="57" t="str">
        <f>IF($B29=I$3,IF(TRNG!$K27&gt;0,TRNG!$K27*1000000,""),"")</f>
        <v/>
      </c>
      <c r="J29" s="23"/>
      <c r="K29" s="57" t="str">
        <f>IF($B29=K$3,IF(TRNG!$O27&gt;0,TRNG!$O27,""),"")</f>
        <v/>
      </c>
      <c r="L29" s="57">
        <f>IF($B29=L$3,IF(TRNG!$O27&gt;0,TRNG!$O27,""),"")</f>
        <v>14201183</v>
      </c>
      <c r="M29" s="57" t="str">
        <f>IF($B29=M$3,IF(TRNG!$O27&gt;0,TRNG!$O27,""),"")</f>
        <v/>
      </c>
      <c r="N29" s="57" t="str">
        <f>IF($B29=N$3,IF(TRNG!$O27&gt;0,TRNG!$O27,""),"")</f>
        <v/>
      </c>
      <c r="O29" s="57" t="str">
        <f>IF($B29=O$3,IF(TRNG!$O27&gt;0,TRNG!$O27,""),"")</f>
        <v/>
      </c>
      <c r="P29" s="57" t="str">
        <f>IF($B29=P$3,IF(TRNG!$O27&gt;0,TRNG!$O27,""),"")</f>
        <v/>
      </c>
      <c r="R29" s="57" t="str">
        <f>IF($B29=R$3,IF(TRNG!$N27&gt;0,TRNG!$N27*1000000,""),"")</f>
        <v/>
      </c>
      <c r="S29" s="57">
        <f>IF($B29=S$3,IF(TRNG!$N27&gt;0,TRNG!$N27*1000000,""),"")</f>
        <v>59999998175</v>
      </c>
      <c r="T29" s="57" t="str">
        <f>IF($B29=T$3,IF(TRNG!$N27&gt;0,TRNG!$N27*1000000,""),"")</f>
        <v/>
      </c>
      <c r="U29" s="57" t="str">
        <f>IF($B29=U$3,IF(TRNG!$N27&gt;0,TRNG!$N27*1000000,""),"")</f>
        <v/>
      </c>
      <c r="V29" s="57" t="str">
        <f>IF($B29=V$3,IF(TRNG!$N27&gt;0,TRNG!$N27*1000000,""),"")</f>
        <v/>
      </c>
      <c r="W29" s="57" t="str">
        <f>IF($B29=W$3,IF(TRNG!$N27&gt;0,TRNG!$N27*1000000,""),"")</f>
        <v/>
      </c>
      <c r="Y29" s="57" t="str">
        <f>IF($B29=Y$3,IF(TRNG!$P27&gt;0,TRNG!$P27,""),"")</f>
        <v/>
      </c>
      <c r="Z29" s="57">
        <f>IF($B29=Z$3,IF(TRNG!$P27&gt;0,TRNG!$P27,""),"")</f>
        <v>6.9</v>
      </c>
      <c r="AA29" s="57" t="str">
        <f>IF($B29=AA$3,IF(TRNG!$P27&gt;0,TRNG!$P27,""),"")</f>
        <v/>
      </c>
      <c r="AB29" s="57" t="str">
        <f>IF($B29=AB$3,IF(TRNG!$P27&gt;0,TRNG!$P27,""),"")</f>
        <v/>
      </c>
      <c r="AC29" s="57" t="str">
        <f>IF($B29=AC$3,IF(TRNG!$P27&gt;0,TRNG!$P27,""),"")</f>
        <v/>
      </c>
      <c r="AD29" s="57" t="str">
        <f>IF($B29=AD$3,IF(TRNG!$P27&gt;0,TRNG!$P27,""),"")</f>
        <v/>
      </c>
      <c r="AG29" s="199">
        <f t="shared" si="0"/>
        <v>0</v>
      </c>
      <c r="AH29" s="199">
        <f t="shared" si="1"/>
        <v>0</v>
      </c>
      <c r="AI29" s="199">
        <f t="shared" si="2"/>
        <v>52000000</v>
      </c>
      <c r="AJ29" s="199">
        <f t="shared" si="3"/>
        <v>14201183</v>
      </c>
      <c r="AK29" s="199">
        <f t="shared" si="4"/>
        <v>0</v>
      </c>
      <c r="AL29" s="199">
        <f t="shared" si="5"/>
        <v>0</v>
      </c>
      <c r="AM29" s="199">
        <f t="shared" si="6"/>
        <v>0</v>
      </c>
      <c r="AN29" s="199">
        <f t="shared" si="7"/>
        <v>0</v>
      </c>
      <c r="AO29" s="199">
        <f t="shared" si="8"/>
        <v>0</v>
      </c>
      <c r="AP29" s="199">
        <f t="shared" si="9"/>
        <v>0</v>
      </c>
      <c r="AQ29" s="199">
        <f t="shared" si="10"/>
        <v>0</v>
      </c>
      <c r="AR29" s="199">
        <f t="shared" si="11"/>
        <v>0</v>
      </c>
      <c r="AT29" s="199">
        <f t="shared" si="12"/>
        <v>0</v>
      </c>
      <c r="AU29" s="199">
        <f t="shared" si="13"/>
        <v>0</v>
      </c>
      <c r="AV29" s="199">
        <f t="shared" si="14"/>
        <v>52000000</v>
      </c>
      <c r="AW29" s="199">
        <f t="shared" si="15"/>
        <v>59999998175</v>
      </c>
      <c r="AX29" s="199">
        <f t="shared" si="16"/>
        <v>0</v>
      </c>
      <c r="AY29" s="199">
        <f t="shared" si="17"/>
        <v>0</v>
      </c>
      <c r="AZ29" s="199">
        <f t="shared" si="18"/>
        <v>0</v>
      </c>
      <c r="BA29" s="199">
        <f t="shared" si="19"/>
        <v>0</v>
      </c>
      <c r="BB29" s="199">
        <f t="shared" si="20"/>
        <v>0</v>
      </c>
      <c r="BC29" s="199">
        <f t="shared" si="21"/>
        <v>0</v>
      </c>
      <c r="BD29" s="199">
        <f t="shared" si="22"/>
        <v>0</v>
      </c>
      <c r="BE29" s="202">
        <f t="shared" si="23"/>
        <v>0</v>
      </c>
      <c r="BF29" s="191"/>
      <c r="BG29" s="199">
        <f t="shared" si="24"/>
        <v>0</v>
      </c>
      <c r="BH29" s="199">
        <f t="shared" si="25"/>
        <v>0</v>
      </c>
      <c r="BI29" s="199">
        <f t="shared" si="26"/>
        <v>52000000</v>
      </c>
      <c r="BJ29" s="199">
        <f t="shared" si="27"/>
        <v>6.9</v>
      </c>
      <c r="BK29" s="199">
        <f t="shared" si="28"/>
        <v>0</v>
      </c>
      <c r="BL29" s="199">
        <f t="shared" si="29"/>
        <v>0</v>
      </c>
      <c r="BM29" s="199">
        <f t="shared" si="30"/>
        <v>0</v>
      </c>
      <c r="BN29" s="199">
        <f t="shared" si="31"/>
        <v>0</v>
      </c>
      <c r="BO29" s="199">
        <f t="shared" si="32"/>
        <v>0</v>
      </c>
      <c r="BP29" s="199">
        <f t="shared" si="33"/>
        <v>0</v>
      </c>
      <c r="BQ29" s="199">
        <f t="shared" si="34"/>
        <v>0</v>
      </c>
      <c r="BR29" s="199">
        <f t="shared" si="35"/>
        <v>0</v>
      </c>
      <c r="BS29" s="191"/>
      <c r="BT29" s="199">
        <f t="shared" si="36"/>
        <v>0</v>
      </c>
      <c r="BU29" s="199">
        <f t="shared" si="37"/>
        <v>0</v>
      </c>
      <c r="BV29" s="199">
        <f t="shared" si="38"/>
        <v>6.9</v>
      </c>
      <c r="BW29" s="199">
        <f t="shared" si="39"/>
        <v>14201183</v>
      </c>
      <c r="BX29" s="199">
        <f t="shared" si="40"/>
        <v>0</v>
      </c>
      <c r="BY29" s="199">
        <f t="shared" si="41"/>
        <v>0</v>
      </c>
      <c r="BZ29" s="199">
        <f t="shared" si="42"/>
        <v>0</v>
      </c>
      <c r="CA29" s="199">
        <f t="shared" si="43"/>
        <v>0</v>
      </c>
      <c r="CB29" s="199">
        <f t="shared" si="44"/>
        <v>0</v>
      </c>
      <c r="CC29" s="199">
        <f t="shared" si="45"/>
        <v>0</v>
      </c>
      <c r="CD29" s="199">
        <f t="shared" si="46"/>
        <v>0</v>
      </c>
      <c r="CE29" s="199">
        <f t="shared" si="47"/>
        <v>0</v>
      </c>
      <c r="CF29" s="191"/>
      <c r="CG29" s="199">
        <f t="shared" si="48"/>
        <v>0</v>
      </c>
      <c r="CH29" s="199">
        <f t="shared" si="49"/>
        <v>0</v>
      </c>
      <c r="CI29" s="199">
        <f t="shared" si="50"/>
        <v>6.9</v>
      </c>
      <c r="CJ29" s="199">
        <f t="shared" si="51"/>
        <v>59999998175</v>
      </c>
      <c r="CK29" s="199">
        <f t="shared" si="52"/>
        <v>0</v>
      </c>
      <c r="CL29" s="199">
        <f t="shared" si="53"/>
        <v>0</v>
      </c>
      <c r="CM29" s="199">
        <f t="shared" si="54"/>
        <v>0</v>
      </c>
      <c r="CN29" s="199">
        <f t="shared" si="55"/>
        <v>0</v>
      </c>
      <c r="CO29" s="199">
        <f t="shared" si="56"/>
        <v>0</v>
      </c>
      <c r="CP29" s="199">
        <f t="shared" si="57"/>
        <v>0</v>
      </c>
      <c r="CQ29" s="199">
        <f t="shared" si="58"/>
        <v>0</v>
      </c>
      <c r="CR29" s="199">
        <f t="shared" si="59"/>
        <v>0</v>
      </c>
      <c r="CS29" s="191"/>
      <c r="CT29" s="191"/>
      <c r="CU29" s="191"/>
      <c r="CV29" s="191"/>
      <c r="CW29" s="191"/>
      <c r="CX29" s="191"/>
      <c r="CY29" s="191"/>
    </row>
    <row r="30" spans="2:103" x14ac:dyDescent="0.3">
      <c r="B30" t="str">
        <f>TRNG!F28</f>
        <v>jitter</v>
      </c>
      <c r="C30">
        <f>TRNG!C28</f>
        <v>2021</v>
      </c>
      <c r="D30" s="57" t="str">
        <f>IF($B30=D$3,IF(TRNG!$K28&gt;0,TRNG!$K28*1000000,""),"")</f>
        <v/>
      </c>
      <c r="E30" s="57">
        <f>IF($B30=E$3,IF(TRNG!$K28&gt;0,TRNG!$K28*1000000,""),"")</f>
        <v>3600000</v>
      </c>
      <c r="F30" s="57" t="str">
        <f>IF($B30=F$3,IF(TRNG!$K28&gt;0,TRNG!$K28*1000000,""),"")</f>
        <v/>
      </c>
      <c r="G30" s="57" t="str">
        <f>IF($B30=G$3,IF(TRNG!$K28&gt;0,TRNG!$K28*1000000,""),"")</f>
        <v/>
      </c>
      <c r="H30" s="57" t="str">
        <f>IF($B30=H$3,IF(TRNG!$K28&gt;0,TRNG!$K28*1000000,""),"")</f>
        <v/>
      </c>
      <c r="I30" s="57" t="str">
        <f>IF($B30=I$3,IF(TRNG!$K28&gt;0,TRNG!$K28*1000000,""),"")</f>
        <v/>
      </c>
      <c r="J30" s="23"/>
      <c r="K30" s="57" t="str">
        <f>IF($B30=K$3,IF(TRNG!$O28&gt;0,TRNG!$O28,""),"")</f>
        <v/>
      </c>
      <c r="L30" s="57">
        <f>IF($B30=L$3,IF(TRNG!$O28&gt;0,TRNG!$O28,""),"")</f>
        <v>19642857</v>
      </c>
      <c r="M30" s="57" t="str">
        <f>IF($B30=M$3,IF(TRNG!$O28&gt;0,TRNG!$O28,""),"")</f>
        <v/>
      </c>
      <c r="N30" s="57" t="str">
        <f>IF($B30=N$3,IF(TRNG!$O28&gt;0,TRNG!$O28,""),"")</f>
        <v/>
      </c>
      <c r="O30" s="57" t="str">
        <f>IF($B30=O$3,IF(TRNG!$O28&gt;0,TRNG!$O28,""),"")</f>
        <v/>
      </c>
      <c r="P30" s="57" t="str">
        <f>IF($B30=P$3,IF(TRNG!$O28&gt;0,TRNG!$O28,""),"")</f>
        <v/>
      </c>
      <c r="R30" s="57" t="str">
        <f>IF($B30=R$3,IF(TRNG!$N28&gt;0,TRNG!$N28*1000000,""),"")</f>
        <v/>
      </c>
      <c r="S30" s="57">
        <f>IF($B30=S$3,IF(TRNG!$N28&gt;0,TRNG!$N28*1000000,""),"")</f>
        <v>15399999888</v>
      </c>
      <c r="T30" s="57" t="str">
        <f>IF($B30=T$3,IF(TRNG!$N28&gt;0,TRNG!$N28*1000000,""),"")</f>
        <v/>
      </c>
      <c r="U30" s="57" t="str">
        <f>IF($B30=U$3,IF(TRNG!$N28&gt;0,TRNG!$N28*1000000,""),"")</f>
        <v/>
      </c>
      <c r="V30" s="57" t="str">
        <f>IF($B30=V$3,IF(TRNG!$N28&gt;0,TRNG!$N28*1000000,""),"")</f>
        <v/>
      </c>
      <c r="W30" s="57" t="str">
        <f>IF($B30=W$3,IF(TRNG!$N28&gt;0,TRNG!$N28*1000000,""),"")</f>
        <v/>
      </c>
      <c r="Y30" s="57" t="str">
        <f>IF($B30=Y$3,IF(TRNG!$P28&gt;0,TRNG!$P28,""),"")</f>
        <v/>
      </c>
      <c r="Z30" s="57">
        <f>IF($B30=Z$3,IF(TRNG!$P28&gt;0,TRNG!$P28,""),"")</f>
        <v>9.6</v>
      </c>
      <c r="AA30" s="57" t="str">
        <f>IF($B30=AA$3,IF(TRNG!$P28&gt;0,TRNG!$P28,""),"")</f>
        <v/>
      </c>
      <c r="AB30" s="57" t="str">
        <f>IF($B30=AB$3,IF(TRNG!$P28&gt;0,TRNG!$P28,""),"")</f>
        <v/>
      </c>
      <c r="AC30" s="57" t="str">
        <f>IF($B30=AC$3,IF(TRNG!$P28&gt;0,TRNG!$P28,""),"")</f>
        <v/>
      </c>
      <c r="AD30" s="57" t="str">
        <f>IF($B30=AD$3,IF(TRNG!$P28&gt;0,TRNG!$P28,""),"")</f>
        <v/>
      </c>
      <c r="AG30" s="199">
        <f t="shared" si="0"/>
        <v>0</v>
      </c>
      <c r="AH30" s="199">
        <f t="shared" si="1"/>
        <v>0</v>
      </c>
      <c r="AI30" s="199">
        <f t="shared" si="2"/>
        <v>3600000</v>
      </c>
      <c r="AJ30" s="199">
        <f t="shared" si="3"/>
        <v>19642857</v>
      </c>
      <c r="AK30" s="199">
        <f t="shared" si="4"/>
        <v>0</v>
      </c>
      <c r="AL30" s="199">
        <f t="shared" si="5"/>
        <v>0</v>
      </c>
      <c r="AM30" s="199">
        <f t="shared" si="6"/>
        <v>0</v>
      </c>
      <c r="AN30" s="199">
        <f t="shared" si="7"/>
        <v>0</v>
      </c>
      <c r="AO30" s="199">
        <f t="shared" si="8"/>
        <v>0</v>
      </c>
      <c r="AP30" s="199">
        <f t="shared" si="9"/>
        <v>0</v>
      </c>
      <c r="AQ30" s="199">
        <f t="shared" si="10"/>
        <v>0</v>
      </c>
      <c r="AR30" s="199">
        <f t="shared" si="11"/>
        <v>0</v>
      </c>
      <c r="AT30" s="199">
        <f t="shared" si="12"/>
        <v>0</v>
      </c>
      <c r="AU30" s="199">
        <f t="shared" si="13"/>
        <v>0</v>
      </c>
      <c r="AV30" s="199">
        <f t="shared" si="14"/>
        <v>3600000</v>
      </c>
      <c r="AW30" s="199">
        <f t="shared" si="15"/>
        <v>15399999888</v>
      </c>
      <c r="AX30" s="199">
        <f t="shared" si="16"/>
        <v>0</v>
      </c>
      <c r="AY30" s="199">
        <f t="shared" si="17"/>
        <v>0</v>
      </c>
      <c r="AZ30" s="199">
        <f t="shared" si="18"/>
        <v>0</v>
      </c>
      <c r="BA30" s="199">
        <f t="shared" si="19"/>
        <v>0</v>
      </c>
      <c r="BB30" s="199">
        <f t="shared" si="20"/>
        <v>0</v>
      </c>
      <c r="BC30" s="199">
        <f t="shared" si="21"/>
        <v>0</v>
      </c>
      <c r="BD30" s="199">
        <f t="shared" si="22"/>
        <v>0</v>
      </c>
      <c r="BE30" s="202">
        <f t="shared" si="23"/>
        <v>0</v>
      </c>
      <c r="BF30" s="191"/>
      <c r="BG30" s="199">
        <f t="shared" si="24"/>
        <v>0</v>
      </c>
      <c r="BH30" s="199">
        <f t="shared" si="25"/>
        <v>0</v>
      </c>
      <c r="BI30" s="199">
        <f t="shared" si="26"/>
        <v>3600000</v>
      </c>
      <c r="BJ30" s="199">
        <f t="shared" si="27"/>
        <v>9.6</v>
      </c>
      <c r="BK30" s="199">
        <f t="shared" si="28"/>
        <v>0</v>
      </c>
      <c r="BL30" s="199">
        <f t="shared" si="29"/>
        <v>0</v>
      </c>
      <c r="BM30" s="199">
        <f t="shared" si="30"/>
        <v>0</v>
      </c>
      <c r="BN30" s="199">
        <f t="shared" si="31"/>
        <v>0</v>
      </c>
      <c r="BO30" s="199">
        <f t="shared" si="32"/>
        <v>0</v>
      </c>
      <c r="BP30" s="199">
        <f t="shared" si="33"/>
        <v>0</v>
      </c>
      <c r="BQ30" s="199">
        <f t="shared" si="34"/>
        <v>0</v>
      </c>
      <c r="BR30" s="199">
        <f t="shared" si="35"/>
        <v>0</v>
      </c>
      <c r="BS30" s="191"/>
      <c r="BT30" s="199">
        <f t="shared" si="36"/>
        <v>0</v>
      </c>
      <c r="BU30" s="199">
        <f t="shared" si="37"/>
        <v>0</v>
      </c>
      <c r="BV30" s="199">
        <f t="shared" si="38"/>
        <v>9.6</v>
      </c>
      <c r="BW30" s="199">
        <f t="shared" si="39"/>
        <v>19642857</v>
      </c>
      <c r="BX30" s="199">
        <f t="shared" si="40"/>
        <v>0</v>
      </c>
      <c r="BY30" s="199">
        <f t="shared" si="41"/>
        <v>0</v>
      </c>
      <c r="BZ30" s="199">
        <f t="shared" si="42"/>
        <v>0</v>
      </c>
      <c r="CA30" s="199">
        <f t="shared" si="43"/>
        <v>0</v>
      </c>
      <c r="CB30" s="199">
        <f t="shared" si="44"/>
        <v>0</v>
      </c>
      <c r="CC30" s="199">
        <f t="shared" si="45"/>
        <v>0</v>
      </c>
      <c r="CD30" s="199">
        <f t="shared" si="46"/>
        <v>0</v>
      </c>
      <c r="CE30" s="199">
        <f t="shared" si="47"/>
        <v>0</v>
      </c>
      <c r="CF30" s="191"/>
      <c r="CG30" s="199">
        <f t="shared" si="48"/>
        <v>0</v>
      </c>
      <c r="CH30" s="199">
        <f t="shared" si="49"/>
        <v>0</v>
      </c>
      <c r="CI30" s="199">
        <f t="shared" si="50"/>
        <v>9.6</v>
      </c>
      <c r="CJ30" s="199">
        <f t="shared" si="51"/>
        <v>15399999888</v>
      </c>
      <c r="CK30" s="199">
        <f t="shared" si="52"/>
        <v>0</v>
      </c>
      <c r="CL30" s="199">
        <f t="shared" si="53"/>
        <v>0</v>
      </c>
      <c r="CM30" s="199">
        <f t="shared" si="54"/>
        <v>0</v>
      </c>
      <c r="CN30" s="199">
        <f t="shared" si="55"/>
        <v>0</v>
      </c>
      <c r="CO30" s="199">
        <f t="shared" si="56"/>
        <v>0</v>
      </c>
      <c r="CP30" s="199">
        <f t="shared" si="57"/>
        <v>0</v>
      </c>
      <c r="CQ30" s="199">
        <f t="shared" si="58"/>
        <v>0</v>
      </c>
      <c r="CR30" s="199">
        <f t="shared" si="59"/>
        <v>0</v>
      </c>
      <c r="CS30" s="191"/>
      <c r="CT30" s="191"/>
      <c r="CU30" s="191"/>
      <c r="CV30" s="191"/>
      <c r="CW30" s="191"/>
      <c r="CX30" s="191"/>
      <c r="CY30" s="191"/>
    </row>
    <row r="31" spans="2:103" x14ac:dyDescent="0.3">
      <c r="B31" t="str">
        <f>TRNG!F29</f>
        <v>metastability</v>
      </c>
      <c r="C31">
        <f>TRNG!C29</f>
        <v>2021</v>
      </c>
      <c r="D31" s="57" t="str">
        <f>IF($B31=D$3,IF(TRNG!$K29&gt;0,TRNG!$K29*1000000,""),"")</f>
        <v/>
      </c>
      <c r="E31" s="57" t="str">
        <f>IF($B31=E$3,IF(TRNG!$K29&gt;0,TRNG!$K29*1000000,""),"")</f>
        <v/>
      </c>
      <c r="F31" s="57">
        <f>IF($B31=F$3,IF(TRNG!$K29&gt;0,TRNG!$K29*1000000,""),"")</f>
        <v>46410000</v>
      </c>
      <c r="G31" s="57" t="str">
        <f>IF($B31=G$3,IF(TRNG!$K29&gt;0,TRNG!$K29*1000000,""),"")</f>
        <v/>
      </c>
      <c r="H31" s="57" t="str">
        <f>IF($B31=H$3,IF(TRNG!$K29&gt;0,TRNG!$K29*1000000,""),"")</f>
        <v/>
      </c>
      <c r="I31" s="57" t="str">
        <f>IF($B31=I$3,IF(TRNG!$K29&gt;0,TRNG!$K29*1000000,""),"")</f>
        <v/>
      </c>
      <c r="J31" s="23"/>
      <c r="K31" s="57" t="str">
        <f>IF($B31=K$3,IF(TRNG!$O29&gt;0,TRNG!$O29,""),"")</f>
        <v/>
      </c>
      <c r="L31" s="57" t="str">
        <f>IF($B31=L$3,IF(TRNG!$O29&gt;0,TRNG!$O29,""),"")</f>
        <v/>
      </c>
      <c r="M31" s="57" t="str">
        <f>IF($B31=M$3,IF(TRNG!$O29&gt;0,TRNG!$O29,""),"")</f>
        <v/>
      </c>
      <c r="N31" s="57" t="str">
        <f>IF($B31=N$3,IF(TRNG!$O29&gt;0,TRNG!$O29,""),"")</f>
        <v/>
      </c>
      <c r="O31" s="57" t="str">
        <f>IF($B31=O$3,IF(TRNG!$O29&gt;0,TRNG!$O29,""),"")</f>
        <v/>
      </c>
      <c r="P31" s="57" t="str">
        <f>IF($B31=P$3,IF(TRNG!$O29&gt;0,TRNG!$O29,""),"")</f>
        <v/>
      </c>
      <c r="R31" s="57" t="str">
        <f>IF($B31=R$3,IF(TRNG!$N29&gt;0,TRNG!$N29*1000000,""),"")</f>
        <v/>
      </c>
      <c r="S31" s="57" t="str">
        <f>IF($B31=S$3,IF(TRNG!$N29&gt;0,TRNG!$N29*1000000,""),"")</f>
        <v/>
      </c>
      <c r="T31" s="57" t="str">
        <f>IF($B31=T$3,IF(TRNG!$N29&gt;0,TRNG!$N29*1000000,""),"")</f>
        <v/>
      </c>
      <c r="U31" s="57" t="str">
        <f>IF($B31=U$3,IF(TRNG!$N29&gt;0,TRNG!$N29*1000000,""),"")</f>
        <v/>
      </c>
      <c r="V31" s="57" t="str">
        <f>IF($B31=V$3,IF(TRNG!$N29&gt;0,TRNG!$N29*1000000,""),"")</f>
        <v/>
      </c>
      <c r="W31" s="57" t="str">
        <f>IF($B31=W$3,IF(TRNG!$N29&gt;0,TRNG!$N29*1000000,""),"")</f>
        <v/>
      </c>
      <c r="Y31" s="57" t="str">
        <f>IF($B31=Y$3,IF(TRNG!$P29&gt;0,TRNG!$P29,""),"")</f>
        <v/>
      </c>
      <c r="Z31" s="57" t="str">
        <f>IF($B31=Z$3,IF(TRNG!$P29&gt;0,TRNG!$P29,""),"")</f>
        <v/>
      </c>
      <c r="AA31" s="57" t="str">
        <f>IF($B31=AA$3,IF(TRNG!$P29&gt;0,TRNG!$P29,""),"")</f>
        <v/>
      </c>
      <c r="AB31" s="57" t="str">
        <f>IF($B31=AB$3,IF(TRNG!$P29&gt;0,TRNG!$P29,""),"")</f>
        <v/>
      </c>
      <c r="AC31" s="57" t="str">
        <f>IF($B31=AC$3,IF(TRNG!$P29&gt;0,TRNG!$P29,""),"")</f>
        <v/>
      </c>
      <c r="AD31" s="57" t="str">
        <f>IF($B31=AD$3,IF(TRNG!$P29&gt;0,TRNG!$P29,""),"")</f>
        <v/>
      </c>
      <c r="AG31" s="199">
        <f t="shared" si="0"/>
        <v>0</v>
      </c>
      <c r="AH31" s="199">
        <f t="shared" si="1"/>
        <v>0</v>
      </c>
      <c r="AI31" s="199">
        <f t="shared" si="2"/>
        <v>0</v>
      </c>
      <c r="AJ31" s="199">
        <f t="shared" si="3"/>
        <v>0</v>
      </c>
      <c r="AK31" s="199">
        <f t="shared" si="4"/>
        <v>0</v>
      </c>
      <c r="AL31" s="199">
        <f t="shared" si="5"/>
        <v>0</v>
      </c>
      <c r="AM31" s="199">
        <f t="shared" si="6"/>
        <v>0</v>
      </c>
      <c r="AN31" s="199">
        <f t="shared" si="7"/>
        <v>0</v>
      </c>
      <c r="AO31" s="199">
        <f t="shared" si="8"/>
        <v>0</v>
      </c>
      <c r="AP31" s="199">
        <f t="shared" si="9"/>
        <v>0</v>
      </c>
      <c r="AQ31" s="199">
        <f t="shared" si="10"/>
        <v>0</v>
      </c>
      <c r="AR31" s="199">
        <f t="shared" si="11"/>
        <v>0</v>
      </c>
      <c r="AT31" s="199">
        <f t="shared" si="12"/>
        <v>0</v>
      </c>
      <c r="AU31" s="199">
        <f t="shared" si="13"/>
        <v>0</v>
      </c>
      <c r="AV31" s="199">
        <f t="shared" si="14"/>
        <v>0</v>
      </c>
      <c r="AW31" s="199">
        <f t="shared" si="15"/>
        <v>0</v>
      </c>
      <c r="AX31" s="199">
        <f t="shared" si="16"/>
        <v>0</v>
      </c>
      <c r="AY31" s="199">
        <f t="shared" si="17"/>
        <v>0</v>
      </c>
      <c r="AZ31" s="199">
        <f t="shared" si="18"/>
        <v>0</v>
      </c>
      <c r="BA31" s="199">
        <f t="shared" si="19"/>
        <v>0</v>
      </c>
      <c r="BB31" s="199">
        <f t="shared" si="20"/>
        <v>0</v>
      </c>
      <c r="BC31" s="199">
        <f t="shared" si="21"/>
        <v>0</v>
      </c>
      <c r="BD31" s="199">
        <f t="shared" si="22"/>
        <v>0</v>
      </c>
      <c r="BE31" s="202">
        <f t="shared" si="23"/>
        <v>0</v>
      </c>
      <c r="BF31" s="191"/>
      <c r="BG31" s="199">
        <f t="shared" si="24"/>
        <v>0</v>
      </c>
      <c r="BH31" s="199">
        <f t="shared" si="25"/>
        <v>0</v>
      </c>
      <c r="BI31" s="199">
        <f t="shared" si="26"/>
        <v>0</v>
      </c>
      <c r="BJ31" s="199">
        <f t="shared" si="27"/>
        <v>0</v>
      </c>
      <c r="BK31" s="199">
        <f t="shared" si="28"/>
        <v>0</v>
      </c>
      <c r="BL31" s="199">
        <f t="shared" si="29"/>
        <v>0</v>
      </c>
      <c r="BM31" s="199">
        <f t="shared" si="30"/>
        <v>0</v>
      </c>
      <c r="BN31" s="199">
        <f t="shared" si="31"/>
        <v>0</v>
      </c>
      <c r="BO31" s="199">
        <f t="shared" si="32"/>
        <v>0</v>
      </c>
      <c r="BP31" s="199">
        <f t="shared" si="33"/>
        <v>0</v>
      </c>
      <c r="BQ31" s="199">
        <f t="shared" si="34"/>
        <v>0</v>
      </c>
      <c r="BR31" s="199">
        <f t="shared" si="35"/>
        <v>0</v>
      </c>
      <c r="BS31" s="191"/>
      <c r="BT31" s="199">
        <f t="shared" si="36"/>
        <v>0</v>
      </c>
      <c r="BU31" s="199">
        <f t="shared" si="37"/>
        <v>0</v>
      </c>
      <c r="BV31" s="199">
        <f t="shared" si="38"/>
        <v>0</v>
      </c>
      <c r="BW31" s="199">
        <f t="shared" si="39"/>
        <v>0</v>
      </c>
      <c r="BX31" s="199">
        <f t="shared" si="40"/>
        <v>0</v>
      </c>
      <c r="BY31" s="199">
        <f t="shared" si="41"/>
        <v>0</v>
      </c>
      <c r="BZ31" s="199">
        <f t="shared" si="42"/>
        <v>0</v>
      </c>
      <c r="CA31" s="199">
        <f t="shared" si="43"/>
        <v>0</v>
      </c>
      <c r="CB31" s="199">
        <f t="shared" si="44"/>
        <v>0</v>
      </c>
      <c r="CC31" s="199">
        <f t="shared" si="45"/>
        <v>0</v>
      </c>
      <c r="CD31" s="199">
        <f t="shared" si="46"/>
        <v>0</v>
      </c>
      <c r="CE31" s="199">
        <f t="shared" si="47"/>
        <v>0</v>
      </c>
      <c r="CF31" s="191"/>
      <c r="CG31" s="199">
        <f t="shared" si="48"/>
        <v>0</v>
      </c>
      <c r="CH31" s="199">
        <f t="shared" si="49"/>
        <v>0</v>
      </c>
      <c r="CI31" s="199">
        <f t="shared" si="50"/>
        <v>0</v>
      </c>
      <c r="CJ31" s="199">
        <f t="shared" si="51"/>
        <v>0</v>
      </c>
      <c r="CK31" s="199">
        <f t="shared" si="52"/>
        <v>0</v>
      </c>
      <c r="CL31" s="199">
        <f t="shared" si="53"/>
        <v>0</v>
      </c>
      <c r="CM31" s="199">
        <f t="shared" si="54"/>
        <v>0</v>
      </c>
      <c r="CN31" s="199">
        <f t="shared" si="55"/>
        <v>0</v>
      </c>
      <c r="CO31" s="199">
        <f t="shared" si="56"/>
        <v>0</v>
      </c>
      <c r="CP31" s="199">
        <f t="shared" si="57"/>
        <v>0</v>
      </c>
      <c r="CQ31" s="199">
        <f t="shared" si="58"/>
        <v>0</v>
      </c>
      <c r="CR31" s="199">
        <f t="shared" si="59"/>
        <v>0</v>
      </c>
      <c r="CS31" s="191"/>
      <c r="CT31" s="191"/>
      <c r="CU31" s="191"/>
      <c r="CV31" s="191"/>
      <c r="CW31" s="191"/>
      <c r="CX31" s="191"/>
      <c r="CY31" s="191"/>
    </row>
    <row r="32" spans="2:103" x14ac:dyDescent="0.3">
      <c r="B32" t="str">
        <f>TRNG!F30</f>
        <v>metastability</v>
      </c>
      <c r="C32">
        <f>TRNG!C30</f>
        <v>2021</v>
      </c>
      <c r="D32" s="57" t="str">
        <f>IF($B32=D$3,IF(TRNG!$K30&gt;0,TRNG!$K30*1000000,""),"")</f>
        <v/>
      </c>
      <c r="E32" s="57" t="str">
        <f>IF($B32=E$3,IF(TRNG!$K30&gt;0,TRNG!$K30*1000000,""),"")</f>
        <v/>
      </c>
      <c r="F32" s="57">
        <f>IF($B32=F$3,IF(TRNG!$K30&gt;0,TRNG!$K30*1000000,""),"")</f>
        <v>2390000</v>
      </c>
      <c r="G32" s="57" t="str">
        <f>IF($B32=G$3,IF(TRNG!$K30&gt;0,TRNG!$K30*1000000,""),"")</f>
        <v/>
      </c>
      <c r="H32" s="57" t="str">
        <f>IF($B32=H$3,IF(TRNG!$K30&gt;0,TRNG!$K30*1000000,""),"")</f>
        <v/>
      </c>
      <c r="I32" s="57" t="str">
        <f>IF($B32=I$3,IF(TRNG!$K30&gt;0,TRNG!$K30*1000000,""),"")</f>
        <v/>
      </c>
      <c r="J32" s="23"/>
      <c r="K32" s="57" t="str">
        <f>IF($B32=K$3,IF(TRNG!$O30&gt;0,TRNG!$O30,""),"")</f>
        <v/>
      </c>
      <c r="L32" s="57" t="str">
        <f>IF($B32=L$3,IF(TRNG!$O30&gt;0,TRNG!$O30,""),"")</f>
        <v/>
      </c>
      <c r="M32" s="57">
        <f>IF($B32=M$3,IF(TRNG!$O30&gt;0,TRNG!$O30,""),"")</f>
        <v>329000</v>
      </c>
      <c r="N32" s="57" t="str">
        <f>IF($B32=N$3,IF(TRNG!$O30&gt;0,TRNG!$O30,""),"")</f>
        <v/>
      </c>
      <c r="O32" s="57" t="str">
        <f>IF($B32=O$3,IF(TRNG!$O30&gt;0,TRNG!$O30,""),"")</f>
        <v/>
      </c>
      <c r="P32" s="57" t="str">
        <f>IF($B32=P$3,IF(TRNG!$O30&gt;0,TRNG!$O30,""),"")</f>
        <v/>
      </c>
      <c r="R32" s="57" t="str">
        <f>IF($B32=R$3,IF(TRNG!$N30&gt;0,TRNG!$N30*1000000,""),"")</f>
        <v/>
      </c>
      <c r="S32" s="57" t="str">
        <f>IF($B32=S$3,IF(TRNG!$N30&gt;0,TRNG!$N30*1000000,""),"")</f>
        <v/>
      </c>
      <c r="T32" s="57">
        <f>IF($B32=T$3,IF(TRNG!$N30&gt;0,TRNG!$N30*1000000,""),"")</f>
        <v>5560100000</v>
      </c>
      <c r="U32" s="57" t="str">
        <f>IF($B32=U$3,IF(TRNG!$N30&gt;0,TRNG!$N30*1000000,""),"")</f>
        <v/>
      </c>
      <c r="V32" s="57" t="str">
        <f>IF($B32=V$3,IF(TRNG!$N30&gt;0,TRNG!$N30*1000000,""),"")</f>
        <v/>
      </c>
      <c r="W32" s="57" t="str">
        <f>IF($B32=W$3,IF(TRNG!$N30&gt;0,TRNG!$N30*1000000,""),"")</f>
        <v/>
      </c>
      <c r="Y32" s="57" t="str">
        <f>IF($B32=Y$3,IF(TRNG!$P30&gt;0,TRNG!$P30,""),"")</f>
        <v/>
      </c>
      <c r="Z32" s="57" t="str">
        <f>IF($B32=Z$3,IF(TRNG!$P30&gt;0,TRNG!$P30,""),"")</f>
        <v/>
      </c>
      <c r="AA32" s="57">
        <f>IF($B32=AA$3,IF(TRNG!$P30&gt;0,TRNG!$P30,""),"")</f>
        <v>0.186</v>
      </c>
      <c r="AB32" s="57" t="str">
        <f>IF($B32=AB$3,IF(TRNG!$P30&gt;0,TRNG!$P30,""),"")</f>
        <v/>
      </c>
      <c r="AC32" s="57" t="str">
        <f>IF($B32=AC$3,IF(TRNG!$P30&gt;0,TRNG!$P30,""),"")</f>
        <v/>
      </c>
      <c r="AD32" s="57" t="str">
        <f>IF($B32=AD$3,IF(TRNG!$P30&gt;0,TRNG!$P30,""),"")</f>
        <v/>
      </c>
      <c r="AG32" s="199">
        <f t="shared" si="0"/>
        <v>0</v>
      </c>
      <c r="AH32" s="199">
        <f t="shared" si="1"/>
        <v>0</v>
      </c>
      <c r="AI32" s="199">
        <f t="shared" si="2"/>
        <v>0</v>
      </c>
      <c r="AJ32" s="199">
        <f t="shared" si="3"/>
        <v>0</v>
      </c>
      <c r="AK32" s="199">
        <f t="shared" si="4"/>
        <v>2390000</v>
      </c>
      <c r="AL32" s="199">
        <f t="shared" si="5"/>
        <v>329000</v>
      </c>
      <c r="AM32" s="199">
        <f t="shared" si="6"/>
        <v>0</v>
      </c>
      <c r="AN32" s="199">
        <f t="shared" si="7"/>
        <v>0</v>
      </c>
      <c r="AO32" s="199">
        <f t="shared" si="8"/>
        <v>0</v>
      </c>
      <c r="AP32" s="199">
        <f t="shared" si="9"/>
        <v>0</v>
      </c>
      <c r="AQ32" s="199">
        <f t="shared" si="10"/>
        <v>0</v>
      </c>
      <c r="AR32" s="199">
        <f t="shared" si="11"/>
        <v>0</v>
      </c>
      <c r="AT32" s="199">
        <f t="shared" si="12"/>
        <v>0</v>
      </c>
      <c r="AU32" s="199">
        <f t="shared" si="13"/>
        <v>0</v>
      </c>
      <c r="AV32" s="199">
        <f t="shared" si="14"/>
        <v>0</v>
      </c>
      <c r="AW32" s="199">
        <f t="shared" si="15"/>
        <v>0</v>
      </c>
      <c r="AX32" s="199">
        <f t="shared" si="16"/>
        <v>2390000</v>
      </c>
      <c r="AY32" s="199">
        <f t="shared" si="17"/>
        <v>5560100000</v>
      </c>
      <c r="AZ32" s="199">
        <f t="shared" si="18"/>
        <v>0</v>
      </c>
      <c r="BA32" s="199">
        <f t="shared" si="19"/>
        <v>0</v>
      </c>
      <c r="BB32" s="199">
        <f t="shared" si="20"/>
        <v>0</v>
      </c>
      <c r="BC32" s="199">
        <f t="shared" si="21"/>
        <v>0</v>
      </c>
      <c r="BD32" s="199">
        <f t="shared" si="22"/>
        <v>0</v>
      </c>
      <c r="BE32" s="202">
        <f t="shared" si="23"/>
        <v>0</v>
      </c>
      <c r="BF32" s="191"/>
      <c r="BG32" s="199">
        <f t="shared" si="24"/>
        <v>0</v>
      </c>
      <c r="BH32" s="199">
        <f t="shared" si="25"/>
        <v>0</v>
      </c>
      <c r="BI32" s="199">
        <f t="shared" si="26"/>
        <v>0</v>
      </c>
      <c r="BJ32" s="199">
        <f t="shared" si="27"/>
        <v>0</v>
      </c>
      <c r="BK32" s="199">
        <f t="shared" si="28"/>
        <v>2390000</v>
      </c>
      <c r="BL32" s="199">
        <f t="shared" si="29"/>
        <v>0.186</v>
      </c>
      <c r="BM32" s="199">
        <f t="shared" si="30"/>
        <v>0</v>
      </c>
      <c r="BN32" s="199">
        <f t="shared" si="31"/>
        <v>0</v>
      </c>
      <c r="BO32" s="199">
        <f t="shared" si="32"/>
        <v>0</v>
      </c>
      <c r="BP32" s="199">
        <f t="shared" si="33"/>
        <v>0</v>
      </c>
      <c r="BQ32" s="199">
        <f t="shared" si="34"/>
        <v>0</v>
      </c>
      <c r="BR32" s="199">
        <f t="shared" si="35"/>
        <v>0</v>
      </c>
      <c r="BS32" s="191"/>
      <c r="BT32" s="199">
        <f t="shared" si="36"/>
        <v>0</v>
      </c>
      <c r="BU32" s="199">
        <f t="shared" si="37"/>
        <v>0</v>
      </c>
      <c r="BV32" s="199">
        <f t="shared" si="38"/>
        <v>0</v>
      </c>
      <c r="BW32" s="199">
        <f t="shared" si="39"/>
        <v>0</v>
      </c>
      <c r="BX32" s="199">
        <f t="shared" si="40"/>
        <v>0.186</v>
      </c>
      <c r="BY32" s="199">
        <f t="shared" si="41"/>
        <v>329000</v>
      </c>
      <c r="BZ32" s="199">
        <f t="shared" si="42"/>
        <v>0</v>
      </c>
      <c r="CA32" s="199">
        <f t="shared" si="43"/>
        <v>0</v>
      </c>
      <c r="CB32" s="199">
        <f t="shared" si="44"/>
        <v>0</v>
      </c>
      <c r="CC32" s="199">
        <f t="shared" si="45"/>
        <v>0</v>
      </c>
      <c r="CD32" s="199">
        <f t="shared" si="46"/>
        <v>0</v>
      </c>
      <c r="CE32" s="199">
        <f t="shared" si="47"/>
        <v>0</v>
      </c>
      <c r="CF32" s="191"/>
      <c r="CG32" s="199">
        <f t="shared" si="48"/>
        <v>0</v>
      </c>
      <c r="CH32" s="199">
        <f t="shared" si="49"/>
        <v>0</v>
      </c>
      <c r="CI32" s="199">
        <f t="shared" si="50"/>
        <v>0</v>
      </c>
      <c r="CJ32" s="199">
        <f t="shared" si="51"/>
        <v>0</v>
      </c>
      <c r="CK32" s="199">
        <f t="shared" si="52"/>
        <v>0.186</v>
      </c>
      <c r="CL32" s="199">
        <f t="shared" si="53"/>
        <v>5560100000</v>
      </c>
      <c r="CM32" s="199">
        <f t="shared" si="54"/>
        <v>0</v>
      </c>
      <c r="CN32" s="199">
        <f t="shared" si="55"/>
        <v>0</v>
      </c>
      <c r="CO32" s="199">
        <f t="shared" si="56"/>
        <v>0</v>
      </c>
      <c r="CP32" s="199">
        <f t="shared" si="57"/>
        <v>0</v>
      </c>
      <c r="CQ32" s="199">
        <f t="shared" si="58"/>
        <v>0</v>
      </c>
      <c r="CR32" s="199">
        <f t="shared" si="59"/>
        <v>0</v>
      </c>
      <c r="CS32" s="191"/>
      <c r="CT32" s="191"/>
      <c r="CU32" s="191"/>
      <c r="CV32" s="191"/>
      <c r="CW32" s="191"/>
      <c r="CX32" s="191"/>
      <c r="CY32" s="191"/>
    </row>
    <row r="33" spans="1:103" x14ac:dyDescent="0.3">
      <c r="B33" t="str">
        <f>TRNG!F31</f>
        <v>metastability</v>
      </c>
      <c r="C33">
        <f>TRNG!C31</f>
        <v>2021</v>
      </c>
      <c r="D33" s="57" t="str">
        <f>IF($B33=D$3,IF(TRNG!$K31&gt;0,TRNG!$K31*1000000,""),"")</f>
        <v/>
      </c>
      <c r="E33" s="57" t="str">
        <f>IF($B33=E$3,IF(TRNG!$K31&gt;0,TRNG!$K31*1000000,""),"")</f>
        <v/>
      </c>
      <c r="F33" s="57" t="str">
        <f>IF($B33=F$3,IF(TRNG!$K31&gt;0,TRNG!$K31*1000000,""),"")</f>
        <v/>
      </c>
      <c r="G33" s="57" t="str">
        <f>IF($B33=G$3,IF(TRNG!$K31&gt;0,TRNG!$K31*1000000,""),"")</f>
        <v/>
      </c>
      <c r="H33" s="57" t="str">
        <f>IF($B33=H$3,IF(TRNG!$K31&gt;0,TRNG!$K31*1000000,""),"")</f>
        <v/>
      </c>
      <c r="I33" s="57" t="str">
        <f>IF($B33=I$3,IF(TRNG!$K31&gt;0,TRNG!$K31*1000000,""),"")</f>
        <v/>
      </c>
      <c r="J33" s="23"/>
      <c r="K33" s="57" t="str">
        <f>IF($B33=K$3,IF(TRNG!$O31&gt;0,TRNG!$O31,""),"")</f>
        <v/>
      </c>
      <c r="L33" s="57" t="str">
        <f>IF($B33=L$3,IF(TRNG!$O31&gt;0,TRNG!$O31,""),"")</f>
        <v/>
      </c>
      <c r="M33" s="57" t="str">
        <f>IF($B33=M$3,IF(TRNG!$O31&gt;0,TRNG!$O31,""),"")</f>
        <v/>
      </c>
      <c r="N33" s="57" t="str">
        <f>IF($B33=N$3,IF(TRNG!$O31&gt;0,TRNG!$O31,""),"")</f>
        <v/>
      </c>
      <c r="O33" s="57" t="str">
        <f>IF($B33=O$3,IF(TRNG!$O31&gt;0,TRNG!$O31,""),"")</f>
        <v/>
      </c>
      <c r="P33" s="57" t="str">
        <f>IF($B33=P$3,IF(TRNG!$O31&gt;0,TRNG!$O31,""),"")</f>
        <v/>
      </c>
      <c r="R33" s="57" t="str">
        <f>IF($B33=R$3,IF(TRNG!$N31&gt;0,TRNG!$N31*1000000,""),"")</f>
        <v/>
      </c>
      <c r="S33" s="57" t="str">
        <f>IF($B33=S$3,IF(TRNG!$N31&gt;0,TRNG!$N31*1000000,""),"")</f>
        <v/>
      </c>
      <c r="T33" s="57" t="str">
        <f>IF($B33=T$3,IF(TRNG!$N31&gt;0,TRNG!$N31*1000000,""),"")</f>
        <v/>
      </c>
      <c r="U33" s="57" t="str">
        <f>IF($B33=U$3,IF(TRNG!$N31&gt;0,TRNG!$N31*1000000,""),"")</f>
        <v/>
      </c>
      <c r="V33" s="57" t="str">
        <f>IF($B33=V$3,IF(TRNG!$N31&gt;0,TRNG!$N31*1000000,""),"")</f>
        <v/>
      </c>
      <c r="W33" s="57" t="str">
        <f>IF($B33=W$3,IF(TRNG!$N31&gt;0,TRNG!$N31*1000000,""),"")</f>
        <v/>
      </c>
      <c r="Y33" s="57" t="str">
        <f>IF($B33=Y$3,IF(TRNG!$P31&gt;0,TRNG!$P31,""),"")</f>
        <v/>
      </c>
      <c r="Z33" s="57" t="str">
        <f>IF($B33=Z$3,IF(TRNG!$P31&gt;0,TRNG!$P31,""),"")</f>
        <v/>
      </c>
      <c r="AA33" s="57" t="str">
        <f>IF($B33=AA$3,IF(TRNG!$P31&gt;0,TRNG!$P31,""),"")</f>
        <v/>
      </c>
      <c r="AB33" s="57" t="str">
        <f>IF($B33=AB$3,IF(TRNG!$P31&gt;0,TRNG!$P31,""),"")</f>
        <v/>
      </c>
      <c r="AC33" s="57" t="str">
        <f>IF($B33=AC$3,IF(TRNG!$P31&gt;0,TRNG!$P31,""),"")</f>
        <v/>
      </c>
      <c r="AD33" s="57" t="str">
        <f>IF($B33=AD$3,IF(TRNG!$P31&gt;0,TRNG!$P31,""),"")</f>
        <v/>
      </c>
      <c r="AG33" s="199">
        <f t="shared" si="0"/>
        <v>0</v>
      </c>
      <c r="AH33" s="199">
        <f t="shared" si="1"/>
        <v>0</v>
      </c>
      <c r="AI33" s="199">
        <f t="shared" si="2"/>
        <v>0</v>
      </c>
      <c r="AJ33" s="199">
        <f t="shared" si="3"/>
        <v>0</v>
      </c>
      <c r="AK33" s="199">
        <f t="shared" si="4"/>
        <v>0</v>
      </c>
      <c r="AL33" s="199">
        <f t="shared" si="5"/>
        <v>0</v>
      </c>
      <c r="AM33" s="199">
        <f t="shared" si="6"/>
        <v>0</v>
      </c>
      <c r="AN33" s="199">
        <f t="shared" si="7"/>
        <v>0</v>
      </c>
      <c r="AO33" s="199">
        <f t="shared" si="8"/>
        <v>0</v>
      </c>
      <c r="AP33" s="199">
        <f t="shared" si="9"/>
        <v>0</v>
      </c>
      <c r="AQ33" s="199">
        <f t="shared" si="10"/>
        <v>0</v>
      </c>
      <c r="AR33" s="199">
        <f t="shared" si="11"/>
        <v>0</v>
      </c>
      <c r="AT33" s="199">
        <f t="shared" si="12"/>
        <v>0</v>
      </c>
      <c r="AU33" s="199">
        <f t="shared" si="13"/>
        <v>0</v>
      </c>
      <c r="AV33" s="199">
        <f t="shared" si="14"/>
        <v>0</v>
      </c>
      <c r="AW33" s="199">
        <f t="shared" si="15"/>
        <v>0</v>
      </c>
      <c r="AX33" s="199">
        <f t="shared" si="16"/>
        <v>0</v>
      </c>
      <c r="AY33" s="199">
        <f t="shared" si="17"/>
        <v>0</v>
      </c>
      <c r="AZ33" s="199">
        <f t="shared" si="18"/>
        <v>0</v>
      </c>
      <c r="BA33" s="199">
        <f t="shared" si="19"/>
        <v>0</v>
      </c>
      <c r="BB33" s="199">
        <f t="shared" si="20"/>
        <v>0</v>
      </c>
      <c r="BC33" s="199">
        <f t="shared" si="21"/>
        <v>0</v>
      </c>
      <c r="BD33" s="199">
        <f t="shared" si="22"/>
        <v>0</v>
      </c>
      <c r="BE33" s="202">
        <f t="shared" si="23"/>
        <v>0</v>
      </c>
      <c r="BF33" s="191"/>
      <c r="BG33" s="199">
        <f t="shared" si="24"/>
        <v>0</v>
      </c>
      <c r="BH33" s="199">
        <f t="shared" si="25"/>
        <v>0</v>
      </c>
      <c r="BI33" s="199">
        <f t="shared" si="26"/>
        <v>0</v>
      </c>
      <c r="BJ33" s="199">
        <f t="shared" si="27"/>
        <v>0</v>
      </c>
      <c r="BK33" s="199">
        <f t="shared" si="28"/>
        <v>0</v>
      </c>
      <c r="BL33" s="199">
        <f t="shared" si="29"/>
        <v>0</v>
      </c>
      <c r="BM33" s="199">
        <f t="shared" si="30"/>
        <v>0</v>
      </c>
      <c r="BN33" s="199">
        <f t="shared" si="31"/>
        <v>0</v>
      </c>
      <c r="BO33" s="199">
        <f t="shared" si="32"/>
        <v>0</v>
      </c>
      <c r="BP33" s="199">
        <f t="shared" si="33"/>
        <v>0</v>
      </c>
      <c r="BQ33" s="199">
        <f t="shared" si="34"/>
        <v>0</v>
      </c>
      <c r="BR33" s="199">
        <f t="shared" si="35"/>
        <v>0</v>
      </c>
      <c r="BS33" s="191"/>
      <c r="BT33" s="199">
        <f t="shared" si="36"/>
        <v>0</v>
      </c>
      <c r="BU33" s="199">
        <f t="shared" si="37"/>
        <v>0</v>
      </c>
      <c r="BV33" s="199">
        <f t="shared" si="38"/>
        <v>0</v>
      </c>
      <c r="BW33" s="199">
        <f t="shared" si="39"/>
        <v>0</v>
      </c>
      <c r="BX33" s="199">
        <f t="shared" si="40"/>
        <v>0</v>
      </c>
      <c r="BY33" s="199">
        <f t="shared" si="41"/>
        <v>0</v>
      </c>
      <c r="BZ33" s="199">
        <f t="shared" si="42"/>
        <v>0</v>
      </c>
      <c r="CA33" s="199">
        <f t="shared" si="43"/>
        <v>0</v>
      </c>
      <c r="CB33" s="199">
        <f t="shared" si="44"/>
        <v>0</v>
      </c>
      <c r="CC33" s="199">
        <f t="shared" si="45"/>
        <v>0</v>
      </c>
      <c r="CD33" s="199">
        <f t="shared" si="46"/>
        <v>0</v>
      </c>
      <c r="CE33" s="199">
        <f t="shared" si="47"/>
        <v>0</v>
      </c>
      <c r="CF33" s="191"/>
      <c r="CG33" s="199">
        <f t="shared" si="48"/>
        <v>0</v>
      </c>
      <c r="CH33" s="199">
        <f t="shared" si="49"/>
        <v>0</v>
      </c>
      <c r="CI33" s="199">
        <f t="shared" si="50"/>
        <v>0</v>
      </c>
      <c r="CJ33" s="199">
        <f t="shared" si="51"/>
        <v>0</v>
      </c>
      <c r="CK33" s="199">
        <f t="shared" si="52"/>
        <v>0</v>
      </c>
      <c r="CL33" s="199">
        <f t="shared" si="53"/>
        <v>0</v>
      </c>
      <c r="CM33" s="199">
        <f t="shared" si="54"/>
        <v>0</v>
      </c>
      <c r="CN33" s="199">
        <f t="shared" si="55"/>
        <v>0</v>
      </c>
      <c r="CO33" s="199">
        <f t="shared" si="56"/>
        <v>0</v>
      </c>
      <c r="CP33" s="199">
        <f t="shared" si="57"/>
        <v>0</v>
      </c>
      <c r="CQ33" s="199">
        <f t="shared" si="58"/>
        <v>0</v>
      </c>
      <c r="CR33" s="199">
        <f t="shared" si="59"/>
        <v>0</v>
      </c>
      <c r="CS33" s="191"/>
      <c r="CT33" s="191"/>
      <c r="CU33" s="191"/>
      <c r="CV33" s="191"/>
      <c r="CW33" s="191"/>
      <c r="CX33" s="191"/>
      <c r="CY33" s="191"/>
    </row>
    <row r="34" spans="1:103" x14ac:dyDescent="0.3">
      <c r="B34" t="str">
        <f>TRNG!F32</f>
        <v>jitter</v>
      </c>
      <c r="C34">
        <f>TRNG!C32</f>
        <v>2021</v>
      </c>
      <c r="D34" s="57" t="str">
        <f>IF($B34=D$3,IF(TRNG!$K32&gt;0,TRNG!$K32*1000000,""),"")</f>
        <v/>
      </c>
      <c r="E34" s="57">
        <f>IF($B34=E$3,IF(TRNG!$K32&gt;0,TRNG!$K32*1000000,""),"")</f>
        <v>45000000</v>
      </c>
      <c r="F34" s="57" t="str">
        <f>IF($B34=F$3,IF(TRNG!$K32&gt;0,TRNG!$K32*1000000,""),"")</f>
        <v/>
      </c>
      <c r="G34" s="57" t="str">
        <f>IF($B34=G$3,IF(TRNG!$K32&gt;0,TRNG!$K32*1000000,""),"")</f>
        <v/>
      </c>
      <c r="H34" s="57" t="str">
        <f>IF($B34=H$3,IF(TRNG!$K32&gt;0,TRNG!$K32*1000000,""),"")</f>
        <v/>
      </c>
      <c r="I34" s="57" t="str">
        <f>IF($B34=I$3,IF(TRNG!$K32&gt;0,TRNG!$K32*1000000,""),"")</f>
        <v/>
      </c>
      <c r="J34" s="23"/>
      <c r="K34" s="57" t="str">
        <f>IF($B34=K$3,IF(TRNG!$O32&gt;0,TRNG!$O32,""),"")</f>
        <v/>
      </c>
      <c r="L34" s="57">
        <f>IF($B34=L$3,IF(TRNG!$O32&gt;0,TRNG!$O32,""),"")</f>
        <v>2709375</v>
      </c>
      <c r="M34" s="57" t="str">
        <f>IF($B34=M$3,IF(TRNG!$O32&gt;0,TRNG!$O32,""),"")</f>
        <v/>
      </c>
      <c r="N34" s="57" t="str">
        <f>IF($B34=N$3,IF(TRNG!$O32&gt;0,TRNG!$O32,""),"")</f>
        <v/>
      </c>
      <c r="O34" s="57" t="str">
        <f>IF($B34=O$3,IF(TRNG!$O32&gt;0,TRNG!$O32,""),"")</f>
        <v/>
      </c>
      <c r="P34" s="57" t="str">
        <f>IF($B34=P$3,IF(TRNG!$O32&gt;0,TRNG!$O32,""),"")</f>
        <v/>
      </c>
      <c r="R34" s="57" t="str">
        <f>IF($B34=R$3,IF(TRNG!$N32&gt;0,TRNG!$N32*1000000,""),"")</f>
        <v/>
      </c>
      <c r="S34" s="57">
        <f>IF($B34=S$3,IF(TRNG!$N32&gt;0,TRNG!$N32*1000000,""),"")</f>
        <v>4335000000</v>
      </c>
      <c r="T34" s="57" t="str">
        <f>IF($B34=T$3,IF(TRNG!$N32&gt;0,TRNG!$N32*1000000,""),"")</f>
        <v/>
      </c>
      <c r="U34" s="57" t="str">
        <f>IF($B34=U$3,IF(TRNG!$N32&gt;0,TRNG!$N32*1000000,""),"")</f>
        <v/>
      </c>
      <c r="V34" s="57" t="str">
        <f>IF($B34=V$3,IF(TRNG!$N32&gt;0,TRNG!$N32*1000000,""),"")</f>
        <v/>
      </c>
      <c r="W34" s="57" t="str">
        <f>IF($B34=W$3,IF(TRNG!$N32&gt;0,TRNG!$N32*1000000,""),"")</f>
        <v/>
      </c>
      <c r="Y34" s="57" t="str">
        <f>IF($B34=Y$3,IF(TRNG!$P32&gt;0,TRNG!$P32,""),"")</f>
        <v/>
      </c>
      <c r="Z34" s="57">
        <f>IF($B34=Z$3,IF(TRNG!$P32&gt;0,TRNG!$P32,""),"")</f>
        <v>1.48</v>
      </c>
      <c r="AA34" s="57" t="str">
        <f>IF($B34=AA$3,IF(TRNG!$P32&gt;0,TRNG!$P32,""),"")</f>
        <v/>
      </c>
      <c r="AB34" s="57" t="str">
        <f>IF($B34=AB$3,IF(TRNG!$P32&gt;0,TRNG!$P32,""),"")</f>
        <v/>
      </c>
      <c r="AC34" s="57" t="str">
        <f>IF($B34=AC$3,IF(TRNG!$P32&gt;0,TRNG!$P32,""),"")</f>
        <v/>
      </c>
      <c r="AD34" s="57" t="str">
        <f>IF($B34=AD$3,IF(TRNG!$P32&gt;0,TRNG!$P32,""),"")</f>
        <v/>
      </c>
      <c r="AG34" s="199">
        <f t="shared" si="0"/>
        <v>0</v>
      </c>
      <c r="AH34" s="199">
        <f t="shared" si="1"/>
        <v>0</v>
      </c>
      <c r="AI34" s="199">
        <f t="shared" si="2"/>
        <v>45000000</v>
      </c>
      <c r="AJ34" s="199">
        <f t="shared" si="3"/>
        <v>2709375</v>
      </c>
      <c r="AK34" s="199">
        <f t="shared" si="4"/>
        <v>0</v>
      </c>
      <c r="AL34" s="199">
        <f t="shared" si="5"/>
        <v>0</v>
      </c>
      <c r="AM34" s="199">
        <f t="shared" si="6"/>
        <v>0</v>
      </c>
      <c r="AN34" s="199">
        <f t="shared" si="7"/>
        <v>0</v>
      </c>
      <c r="AO34" s="199">
        <f t="shared" si="8"/>
        <v>0</v>
      </c>
      <c r="AP34" s="199">
        <f t="shared" si="9"/>
        <v>0</v>
      </c>
      <c r="AQ34" s="199">
        <f t="shared" si="10"/>
        <v>0</v>
      </c>
      <c r="AR34" s="199">
        <f t="shared" si="11"/>
        <v>0</v>
      </c>
      <c r="AT34" s="199">
        <f t="shared" si="12"/>
        <v>0</v>
      </c>
      <c r="AU34" s="199">
        <f t="shared" si="13"/>
        <v>0</v>
      </c>
      <c r="AV34" s="199">
        <f t="shared" si="14"/>
        <v>45000000</v>
      </c>
      <c r="AW34" s="199">
        <f t="shared" si="15"/>
        <v>4335000000</v>
      </c>
      <c r="AX34" s="199">
        <f t="shared" si="16"/>
        <v>0</v>
      </c>
      <c r="AY34" s="199">
        <f t="shared" si="17"/>
        <v>0</v>
      </c>
      <c r="AZ34" s="199">
        <f t="shared" si="18"/>
        <v>0</v>
      </c>
      <c r="BA34" s="199">
        <f t="shared" si="19"/>
        <v>0</v>
      </c>
      <c r="BB34" s="199">
        <f t="shared" si="20"/>
        <v>0</v>
      </c>
      <c r="BC34" s="199">
        <f t="shared" si="21"/>
        <v>0</v>
      </c>
      <c r="BD34" s="199">
        <f t="shared" si="22"/>
        <v>0</v>
      </c>
      <c r="BE34" s="202">
        <f t="shared" si="23"/>
        <v>0</v>
      </c>
      <c r="BF34" s="191"/>
      <c r="BG34" s="199">
        <f t="shared" si="24"/>
        <v>0</v>
      </c>
      <c r="BH34" s="199">
        <f t="shared" si="25"/>
        <v>0</v>
      </c>
      <c r="BI34" s="199">
        <f t="shared" si="26"/>
        <v>45000000</v>
      </c>
      <c r="BJ34" s="199">
        <f t="shared" si="27"/>
        <v>1.48</v>
      </c>
      <c r="BK34" s="199">
        <f t="shared" si="28"/>
        <v>0</v>
      </c>
      <c r="BL34" s="199">
        <f t="shared" si="29"/>
        <v>0</v>
      </c>
      <c r="BM34" s="199">
        <f t="shared" si="30"/>
        <v>0</v>
      </c>
      <c r="BN34" s="199">
        <f t="shared" si="31"/>
        <v>0</v>
      </c>
      <c r="BO34" s="199">
        <f t="shared" si="32"/>
        <v>0</v>
      </c>
      <c r="BP34" s="199">
        <f t="shared" si="33"/>
        <v>0</v>
      </c>
      <c r="BQ34" s="199">
        <f t="shared" si="34"/>
        <v>0</v>
      </c>
      <c r="BR34" s="199">
        <f t="shared" si="35"/>
        <v>0</v>
      </c>
      <c r="BS34" s="191"/>
      <c r="BT34" s="199">
        <f t="shared" si="36"/>
        <v>0</v>
      </c>
      <c r="BU34" s="199">
        <f t="shared" si="37"/>
        <v>0</v>
      </c>
      <c r="BV34" s="199">
        <f t="shared" si="38"/>
        <v>1.48</v>
      </c>
      <c r="BW34" s="199">
        <f t="shared" si="39"/>
        <v>2709375</v>
      </c>
      <c r="BX34" s="199">
        <f t="shared" si="40"/>
        <v>0</v>
      </c>
      <c r="BY34" s="199">
        <f t="shared" si="41"/>
        <v>0</v>
      </c>
      <c r="BZ34" s="199">
        <f t="shared" si="42"/>
        <v>0</v>
      </c>
      <c r="CA34" s="199">
        <f t="shared" si="43"/>
        <v>0</v>
      </c>
      <c r="CB34" s="199">
        <f t="shared" si="44"/>
        <v>0</v>
      </c>
      <c r="CC34" s="199">
        <f t="shared" si="45"/>
        <v>0</v>
      </c>
      <c r="CD34" s="199">
        <f t="shared" si="46"/>
        <v>0</v>
      </c>
      <c r="CE34" s="199">
        <f t="shared" si="47"/>
        <v>0</v>
      </c>
      <c r="CF34" s="191"/>
      <c r="CG34" s="199">
        <f t="shared" si="48"/>
        <v>0</v>
      </c>
      <c r="CH34" s="199">
        <f t="shared" si="49"/>
        <v>0</v>
      </c>
      <c r="CI34" s="199">
        <f t="shared" si="50"/>
        <v>1.48</v>
      </c>
      <c r="CJ34" s="199">
        <f t="shared" si="51"/>
        <v>4335000000</v>
      </c>
      <c r="CK34" s="199">
        <f t="shared" si="52"/>
        <v>0</v>
      </c>
      <c r="CL34" s="199">
        <f t="shared" si="53"/>
        <v>0</v>
      </c>
      <c r="CM34" s="199">
        <f t="shared" si="54"/>
        <v>0</v>
      </c>
      <c r="CN34" s="199">
        <f t="shared" si="55"/>
        <v>0</v>
      </c>
      <c r="CO34" s="199">
        <f t="shared" si="56"/>
        <v>0</v>
      </c>
      <c r="CP34" s="199">
        <f t="shared" si="57"/>
        <v>0</v>
      </c>
      <c r="CQ34" s="199">
        <f t="shared" si="58"/>
        <v>0</v>
      </c>
      <c r="CR34" s="199">
        <f t="shared" si="59"/>
        <v>0</v>
      </c>
      <c r="CS34" s="191"/>
      <c r="CT34" s="191"/>
      <c r="CU34" s="191"/>
      <c r="CV34" s="191"/>
      <c r="CW34" s="191"/>
      <c r="CX34" s="191"/>
      <c r="CY34" s="191"/>
    </row>
    <row r="35" spans="1:103" x14ac:dyDescent="0.3">
      <c r="B35" t="str">
        <f>TRNG!F33</f>
        <v>noise-based</v>
      </c>
      <c r="C35">
        <f>TRNG!C33</f>
        <v>2021</v>
      </c>
      <c r="D35" s="57" t="str">
        <f>IF($B35=D$3,IF(TRNG!$K33&gt;0,TRNG!$K33*1000000,""),"")</f>
        <v/>
      </c>
      <c r="E35" s="57" t="str">
        <f>IF($B35=E$3,IF(TRNG!$K33&gt;0,TRNG!$K33*1000000,""),"")</f>
        <v/>
      </c>
      <c r="F35" s="57" t="str">
        <f>IF($B35=F$3,IF(TRNG!$K33&gt;0,TRNG!$K33*1000000,""),"")</f>
        <v/>
      </c>
      <c r="G35" s="57" t="str">
        <f>IF($B35=G$3,IF(TRNG!$K33&gt;0,TRNG!$K33*1000000,""),"")</f>
        <v/>
      </c>
      <c r="H35" s="57" t="str">
        <f>IF($B35=H$3,IF(TRNG!$K33&gt;0,TRNG!$K33*1000000,""),"")</f>
        <v/>
      </c>
      <c r="I35" s="57" t="str">
        <f>IF($B35=I$3,IF(TRNG!$K33&gt;0,TRNG!$K33*1000000,""),"")</f>
        <v/>
      </c>
      <c r="J35" s="23"/>
      <c r="K35" s="57" t="str">
        <f>IF($B35=K$3,IF(TRNG!$O33&gt;0,TRNG!$O33,""),"")</f>
        <v/>
      </c>
      <c r="L35" s="57" t="str">
        <f>IF($B35=L$3,IF(TRNG!$O33&gt;0,TRNG!$O33,""),"")</f>
        <v/>
      </c>
      <c r="M35" s="57" t="str">
        <f>IF($B35=M$3,IF(TRNG!$O33&gt;0,TRNG!$O33,""),"")</f>
        <v/>
      </c>
      <c r="N35" s="57" t="str">
        <f>IF($B35=N$3,IF(TRNG!$O33&gt;0,TRNG!$O33,""),"")</f>
        <v/>
      </c>
      <c r="O35" s="57" t="str">
        <f>IF($B35=O$3,IF(TRNG!$O33&gt;0,TRNG!$O33,""),"")</f>
        <v/>
      </c>
      <c r="P35" s="57" t="str">
        <f>IF($B35=P$3,IF(TRNG!$O33&gt;0,TRNG!$O33,""),"")</f>
        <v/>
      </c>
      <c r="R35" s="57" t="str">
        <f>IF($B35=R$3,IF(TRNG!$N33&gt;0,TRNG!$N33*1000000,""),"")</f>
        <v/>
      </c>
      <c r="S35" s="57" t="str">
        <f>IF($B35=S$3,IF(TRNG!$N33&gt;0,TRNG!$N33*1000000,""),"")</f>
        <v/>
      </c>
      <c r="T35" s="57" t="str">
        <f>IF($B35=T$3,IF(TRNG!$N33&gt;0,TRNG!$N33*1000000,""),"")</f>
        <v/>
      </c>
      <c r="U35" s="57" t="str">
        <f>IF($B35=U$3,IF(TRNG!$N33&gt;0,TRNG!$N33*1000000,""),"")</f>
        <v/>
      </c>
      <c r="V35" s="57" t="str">
        <f>IF($B35=V$3,IF(TRNG!$N33&gt;0,TRNG!$N33*1000000,""),"")</f>
        <v/>
      </c>
      <c r="W35" s="57" t="str">
        <f>IF($B35=W$3,IF(TRNG!$N33&gt;0,TRNG!$N33*1000000,""),"")</f>
        <v/>
      </c>
      <c r="Y35" s="57" t="str">
        <f>IF($B35=Y$3,IF(TRNG!$P33&gt;0,TRNG!$P33,""),"")</f>
        <v/>
      </c>
      <c r="Z35" s="57" t="str">
        <f>IF($B35=Z$3,IF(TRNG!$P33&gt;0,TRNG!$P33,""),"")</f>
        <v/>
      </c>
      <c r="AA35" s="57" t="str">
        <f>IF($B35=AA$3,IF(TRNG!$P33&gt;0,TRNG!$P33,""),"")</f>
        <v/>
      </c>
      <c r="AB35" s="57" t="str">
        <f>IF($B35=AB$3,IF(TRNG!$P33&gt;0,TRNG!$P33,""),"")</f>
        <v/>
      </c>
      <c r="AC35" s="57" t="str">
        <f>IF($B35=AC$3,IF(TRNG!$P33&gt;0,TRNG!$P33,""),"")</f>
        <v/>
      </c>
      <c r="AD35" s="57" t="str">
        <f>IF($B35=AD$3,IF(TRNG!$P33&gt;0,TRNG!$P33,""),"")</f>
        <v/>
      </c>
      <c r="AG35" s="199">
        <f t="shared" si="0"/>
        <v>0</v>
      </c>
      <c r="AH35" s="199">
        <f t="shared" si="1"/>
        <v>0</v>
      </c>
      <c r="AI35" s="199">
        <f t="shared" si="2"/>
        <v>0</v>
      </c>
      <c r="AJ35" s="199">
        <f t="shared" si="3"/>
        <v>0</v>
      </c>
      <c r="AK35" s="199">
        <f t="shared" si="4"/>
        <v>0</v>
      </c>
      <c r="AL35" s="199">
        <f t="shared" si="5"/>
        <v>0</v>
      </c>
      <c r="AM35" s="199">
        <f t="shared" si="6"/>
        <v>0</v>
      </c>
      <c r="AN35" s="199">
        <f t="shared" si="7"/>
        <v>0</v>
      </c>
      <c r="AO35" s="199">
        <f t="shared" si="8"/>
        <v>0</v>
      </c>
      <c r="AP35" s="199">
        <f t="shared" si="9"/>
        <v>0</v>
      </c>
      <c r="AQ35" s="199">
        <f t="shared" si="10"/>
        <v>0</v>
      </c>
      <c r="AR35" s="199">
        <f t="shared" si="11"/>
        <v>0</v>
      </c>
      <c r="AT35" s="199">
        <f t="shared" si="12"/>
        <v>0</v>
      </c>
      <c r="AU35" s="199">
        <f t="shared" si="13"/>
        <v>0</v>
      </c>
      <c r="AV35" s="199">
        <f t="shared" si="14"/>
        <v>0</v>
      </c>
      <c r="AW35" s="199">
        <f t="shared" si="15"/>
        <v>0</v>
      </c>
      <c r="AX35" s="199">
        <f t="shared" si="16"/>
        <v>0</v>
      </c>
      <c r="AY35" s="199">
        <f t="shared" si="17"/>
        <v>0</v>
      </c>
      <c r="AZ35" s="199">
        <f t="shared" si="18"/>
        <v>0</v>
      </c>
      <c r="BA35" s="199">
        <f t="shared" si="19"/>
        <v>0</v>
      </c>
      <c r="BB35" s="199">
        <f t="shared" si="20"/>
        <v>0</v>
      </c>
      <c r="BC35" s="199">
        <f t="shared" si="21"/>
        <v>0</v>
      </c>
      <c r="BD35" s="199">
        <f t="shared" si="22"/>
        <v>0</v>
      </c>
      <c r="BE35" s="202">
        <f t="shared" si="23"/>
        <v>0</v>
      </c>
      <c r="BF35" s="191"/>
      <c r="BG35" s="199">
        <f t="shared" si="24"/>
        <v>0</v>
      </c>
      <c r="BH35" s="199">
        <f t="shared" si="25"/>
        <v>0</v>
      </c>
      <c r="BI35" s="199">
        <f t="shared" si="26"/>
        <v>0</v>
      </c>
      <c r="BJ35" s="199">
        <f t="shared" si="27"/>
        <v>0</v>
      </c>
      <c r="BK35" s="199">
        <f t="shared" si="28"/>
        <v>0</v>
      </c>
      <c r="BL35" s="199">
        <f t="shared" si="29"/>
        <v>0</v>
      </c>
      <c r="BM35" s="199">
        <f t="shared" si="30"/>
        <v>0</v>
      </c>
      <c r="BN35" s="199">
        <f t="shared" si="31"/>
        <v>0</v>
      </c>
      <c r="BO35" s="199">
        <f t="shared" si="32"/>
        <v>0</v>
      </c>
      <c r="BP35" s="199">
        <f t="shared" si="33"/>
        <v>0</v>
      </c>
      <c r="BQ35" s="199">
        <f t="shared" si="34"/>
        <v>0</v>
      </c>
      <c r="BR35" s="199">
        <f t="shared" si="35"/>
        <v>0</v>
      </c>
      <c r="BS35" s="191"/>
      <c r="BT35" s="199">
        <f t="shared" si="36"/>
        <v>0</v>
      </c>
      <c r="BU35" s="199">
        <f t="shared" si="37"/>
        <v>0</v>
      </c>
      <c r="BV35" s="199">
        <f t="shared" si="38"/>
        <v>0</v>
      </c>
      <c r="BW35" s="199">
        <f t="shared" si="39"/>
        <v>0</v>
      </c>
      <c r="BX35" s="199">
        <f t="shared" si="40"/>
        <v>0</v>
      </c>
      <c r="BY35" s="199">
        <f t="shared" si="41"/>
        <v>0</v>
      </c>
      <c r="BZ35" s="199">
        <f t="shared" si="42"/>
        <v>0</v>
      </c>
      <c r="CA35" s="199">
        <f t="shared" si="43"/>
        <v>0</v>
      </c>
      <c r="CB35" s="199">
        <f t="shared" si="44"/>
        <v>0</v>
      </c>
      <c r="CC35" s="199">
        <f t="shared" si="45"/>
        <v>0</v>
      </c>
      <c r="CD35" s="199">
        <f t="shared" si="46"/>
        <v>0</v>
      </c>
      <c r="CE35" s="199">
        <f t="shared" si="47"/>
        <v>0</v>
      </c>
      <c r="CF35" s="191"/>
      <c r="CG35" s="199">
        <f t="shared" si="48"/>
        <v>0</v>
      </c>
      <c r="CH35" s="199">
        <f t="shared" si="49"/>
        <v>0</v>
      </c>
      <c r="CI35" s="199">
        <f t="shared" si="50"/>
        <v>0</v>
      </c>
      <c r="CJ35" s="199">
        <f t="shared" si="51"/>
        <v>0</v>
      </c>
      <c r="CK35" s="199">
        <f t="shared" si="52"/>
        <v>0</v>
      </c>
      <c r="CL35" s="199">
        <f t="shared" si="53"/>
        <v>0</v>
      </c>
      <c r="CM35" s="199">
        <f t="shared" si="54"/>
        <v>0</v>
      </c>
      <c r="CN35" s="199">
        <f t="shared" si="55"/>
        <v>0</v>
      </c>
      <c r="CO35" s="199">
        <f t="shared" si="56"/>
        <v>0</v>
      </c>
      <c r="CP35" s="199">
        <f t="shared" si="57"/>
        <v>0</v>
      </c>
      <c r="CQ35" s="199">
        <f t="shared" si="58"/>
        <v>0</v>
      </c>
      <c r="CR35" s="199">
        <f t="shared" si="59"/>
        <v>0</v>
      </c>
      <c r="CS35" s="191"/>
      <c r="CT35" s="191"/>
      <c r="CU35" s="191"/>
      <c r="CV35" s="191"/>
      <c r="CW35" s="191"/>
      <c r="CX35" s="191"/>
      <c r="CY35" s="191"/>
    </row>
    <row r="36" spans="1:103" x14ac:dyDescent="0.3">
      <c r="B36" t="str">
        <f>TRNG!F34</f>
        <v>jitter</v>
      </c>
      <c r="C36">
        <f>TRNG!C34</f>
        <v>2022</v>
      </c>
      <c r="D36" s="57" t="str">
        <f>IF($B36=D$3,IF(TRNG!$K34&gt;0,TRNG!$K34*1000000,""),"")</f>
        <v/>
      </c>
      <c r="E36" s="57">
        <f>IF($B36=E$3,IF(TRNG!$K34&gt;0,TRNG!$K34*1000000,""),"")</f>
        <v>52000000</v>
      </c>
      <c r="F36" s="57" t="str">
        <f>IF($B36=F$3,IF(TRNG!$K34&gt;0,TRNG!$K34*1000000,""),"")</f>
        <v/>
      </c>
      <c r="G36" s="57" t="str">
        <f>IF($B36=G$3,IF(TRNG!$K34&gt;0,TRNG!$K34*1000000,""),"")</f>
        <v/>
      </c>
      <c r="H36" s="57" t="str">
        <f>IF($B36=H$3,IF(TRNG!$K34&gt;0,TRNG!$K34*1000000,""),"")</f>
        <v/>
      </c>
      <c r="I36" s="57" t="str">
        <f>IF($B36=I$3,IF(TRNG!$K34&gt;0,TRNG!$K34*1000000,""),"")</f>
        <v/>
      </c>
      <c r="J36" s="23"/>
      <c r="K36" s="57" t="str">
        <f>IF($B36=K$3,IF(TRNG!$O34&gt;0,TRNG!$O34,""),"")</f>
        <v/>
      </c>
      <c r="L36" s="57">
        <f>IF($B36=L$3,IF(TRNG!$O34&gt;0,TRNG!$O34,""),"")</f>
        <v>87000</v>
      </c>
      <c r="M36" s="57" t="str">
        <f>IF($B36=M$3,IF(TRNG!$O34&gt;0,TRNG!$O34,""),"")</f>
        <v/>
      </c>
      <c r="N36" s="57" t="str">
        <f>IF($B36=N$3,IF(TRNG!$O34&gt;0,TRNG!$O34,""),"")</f>
        <v/>
      </c>
      <c r="O36" s="57" t="str">
        <f>IF($B36=O$3,IF(TRNG!$O34&gt;0,TRNG!$O34,""),"")</f>
        <v/>
      </c>
      <c r="P36" s="57" t="str">
        <f>IF($B36=P$3,IF(TRNG!$O34&gt;0,TRNG!$O34,""),"")</f>
        <v/>
      </c>
      <c r="R36" s="57" t="str">
        <f>IF($B36=R$3,IF(TRNG!$N34&gt;0,TRNG!$N34*1000000,""),"")</f>
        <v/>
      </c>
      <c r="S36" s="57">
        <f>IF($B36=S$3,IF(TRNG!$N34&gt;0,TRNG!$N34*1000000,""),"")</f>
        <v>366000000</v>
      </c>
      <c r="T36" s="57" t="str">
        <f>IF($B36=T$3,IF(TRNG!$N34&gt;0,TRNG!$N34*1000000,""),"")</f>
        <v/>
      </c>
      <c r="U36" s="57" t="str">
        <f>IF($B36=U$3,IF(TRNG!$N34&gt;0,TRNG!$N34*1000000,""),"")</f>
        <v/>
      </c>
      <c r="V36" s="57" t="str">
        <f>IF($B36=V$3,IF(TRNG!$N34&gt;0,TRNG!$N34*1000000,""),"")</f>
        <v/>
      </c>
      <c r="W36" s="57" t="str">
        <f>IF($B36=W$3,IF(TRNG!$N34&gt;0,TRNG!$N34*1000000,""),"")</f>
        <v/>
      </c>
      <c r="Y36" s="57" t="str">
        <f>IF($B36=Y$3,IF(TRNG!$P34&gt;0,TRNG!$P34,""),"")</f>
        <v/>
      </c>
      <c r="Z36" s="57">
        <f>IF($B36=Z$3,IF(TRNG!$P34&gt;0,TRNG!$P34,""),"")</f>
        <v>5</v>
      </c>
      <c r="AA36" s="57" t="str">
        <f>IF($B36=AA$3,IF(TRNG!$P34&gt;0,TRNG!$P34,""),"")</f>
        <v/>
      </c>
      <c r="AB36" s="57" t="str">
        <f>IF($B36=AB$3,IF(TRNG!$P34&gt;0,TRNG!$P34,""),"")</f>
        <v/>
      </c>
      <c r="AC36" s="57" t="str">
        <f>IF($B36=AC$3,IF(TRNG!$P34&gt;0,TRNG!$P34,""),"")</f>
        <v/>
      </c>
      <c r="AD36" s="57" t="str">
        <f>IF($B36=AD$3,IF(TRNG!$P34&gt;0,TRNG!$P34,""),"")</f>
        <v/>
      </c>
      <c r="AG36" s="199">
        <f t="shared" si="0"/>
        <v>0</v>
      </c>
      <c r="AH36" s="199">
        <f t="shared" si="1"/>
        <v>0</v>
      </c>
      <c r="AI36" s="199">
        <f t="shared" si="2"/>
        <v>52000000</v>
      </c>
      <c r="AJ36" s="199">
        <f t="shared" si="3"/>
        <v>87000</v>
      </c>
      <c r="AK36" s="199">
        <f t="shared" si="4"/>
        <v>0</v>
      </c>
      <c r="AL36" s="199">
        <f t="shared" si="5"/>
        <v>0</v>
      </c>
      <c r="AM36" s="199">
        <f t="shared" si="6"/>
        <v>0</v>
      </c>
      <c r="AN36" s="199">
        <f t="shared" si="7"/>
        <v>0</v>
      </c>
      <c r="AO36" s="199">
        <f t="shared" si="8"/>
        <v>0</v>
      </c>
      <c r="AP36" s="199">
        <f t="shared" si="9"/>
        <v>0</v>
      </c>
      <c r="AQ36" s="199">
        <f t="shared" si="10"/>
        <v>0</v>
      </c>
      <c r="AR36" s="199">
        <f t="shared" si="11"/>
        <v>0</v>
      </c>
      <c r="AT36" s="199">
        <f t="shared" si="12"/>
        <v>0</v>
      </c>
      <c r="AU36" s="199">
        <f t="shared" si="13"/>
        <v>0</v>
      </c>
      <c r="AV36" s="199">
        <f t="shared" si="14"/>
        <v>52000000</v>
      </c>
      <c r="AW36" s="199">
        <f t="shared" si="15"/>
        <v>366000000</v>
      </c>
      <c r="AX36" s="199">
        <f t="shared" si="16"/>
        <v>0</v>
      </c>
      <c r="AY36" s="199">
        <f t="shared" si="17"/>
        <v>0</v>
      </c>
      <c r="AZ36" s="199">
        <f t="shared" si="18"/>
        <v>0</v>
      </c>
      <c r="BA36" s="199">
        <f t="shared" si="19"/>
        <v>0</v>
      </c>
      <c r="BB36" s="199">
        <f t="shared" si="20"/>
        <v>0</v>
      </c>
      <c r="BC36" s="199">
        <f t="shared" si="21"/>
        <v>0</v>
      </c>
      <c r="BD36" s="199">
        <f t="shared" si="22"/>
        <v>0</v>
      </c>
      <c r="BE36" s="202">
        <f t="shared" si="23"/>
        <v>0</v>
      </c>
      <c r="BF36" s="191"/>
      <c r="BG36" s="199">
        <f t="shared" si="24"/>
        <v>0</v>
      </c>
      <c r="BH36" s="199">
        <f t="shared" si="25"/>
        <v>0</v>
      </c>
      <c r="BI36" s="199">
        <f t="shared" si="26"/>
        <v>52000000</v>
      </c>
      <c r="BJ36" s="199">
        <f t="shared" si="27"/>
        <v>5</v>
      </c>
      <c r="BK36" s="199">
        <f t="shared" si="28"/>
        <v>0</v>
      </c>
      <c r="BL36" s="199">
        <f t="shared" si="29"/>
        <v>0</v>
      </c>
      <c r="BM36" s="199">
        <f t="shared" si="30"/>
        <v>0</v>
      </c>
      <c r="BN36" s="199">
        <f t="shared" si="31"/>
        <v>0</v>
      </c>
      <c r="BO36" s="199">
        <f t="shared" si="32"/>
        <v>0</v>
      </c>
      <c r="BP36" s="199">
        <f t="shared" si="33"/>
        <v>0</v>
      </c>
      <c r="BQ36" s="199">
        <f t="shared" si="34"/>
        <v>0</v>
      </c>
      <c r="BR36" s="199">
        <f t="shared" si="35"/>
        <v>0</v>
      </c>
      <c r="BS36" s="191"/>
      <c r="BT36" s="199">
        <f t="shared" si="36"/>
        <v>0</v>
      </c>
      <c r="BU36" s="199">
        <f t="shared" si="37"/>
        <v>0</v>
      </c>
      <c r="BV36" s="199">
        <f t="shared" si="38"/>
        <v>5</v>
      </c>
      <c r="BW36" s="199">
        <f t="shared" si="39"/>
        <v>87000</v>
      </c>
      <c r="BX36" s="199">
        <f t="shared" si="40"/>
        <v>0</v>
      </c>
      <c r="BY36" s="199">
        <f t="shared" si="41"/>
        <v>0</v>
      </c>
      <c r="BZ36" s="199">
        <f t="shared" si="42"/>
        <v>0</v>
      </c>
      <c r="CA36" s="199">
        <f t="shared" si="43"/>
        <v>0</v>
      </c>
      <c r="CB36" s="199">
        <f t="shared" si="44"/>
        <v>0</v>
      </c>
      <c r="CC36" s="199">
        <f t="shared" si="45"/>
        <v>0</v>
      </c>
      <c r="CD36" s="199">
        <f t="shared" si="46"/>
        <v>0</v>
      </c>
      <c r="CE36" s="199">
        <f t="shared" si="47"/>
        <v>0</v>
      </c>
      <c r="CF36" s="191"/>
      <c r="CG36" s="199">
        <f t="shared" si="48"/>
        <v>0</v>
      </c>
      <c r="CH36" s="199">
        <f t="shared" si="49"/>
        <v>0</v>
      </c>
      <c r="CI36" s="199">
        <f t="shared" si="50"/>
        <v>5</v>
      </c>
      <c r="CJ36" s="199">
        <f t="shared" si="51"/>
        <v>366000000</v>
      </c>
      <c r="CK36" s="199">
        <f t="shared" si="52"/>
        <v>0</v>
      </c>
      <c r="CL36" s="199">
        <f t="shared" si="53"/>
        <v>0</v>
      </c>
      <c r="CM36" s="199">
        <f t="shared" si="54"/>
        <v>0</v>
      </c>
      <c r="CN36" s="199">
        <f t="shared" si="55"/>
        <v>0</v>
      </c>
      <c r="CO36" s="199">
        <f t="shared" si="56"/>
        <v>0</v>
      </c>
      <c r="CP36" s="199">
        <f t="shared" si="57"/>
        <v>0</v>
      </c>
      <c r="CQ36" s="199">
        <f t="shared" si="58"/>
        <v>0</v>
      </c>
      <c r="CR36" s="199">
        <f t="shared" si="59"/>
        <v>0</v>
      </c>
      <c r="CS36" s="191"/>
      <c r="CT36" s="191"/>
      <c r="CU36" s="191"/>
      <c r="CV36" s="191"/>
      <c r="CW36" s="191"/>
      <c r="CX36" s="191"/>
      <c r="CY36" s="191"/>
    </row>
    <row r="37" spans="1:103" x14ac:dyDescent="0.3">
      <c r="B37" t="str">
        <f>TRNG!F35</f>
        <v>noise-based</v>
      </c>
      <c r="C37">
        <f>TRNG!C35</f>
        <v>2022</v>
      </c>
      <c r="D37" s="57">
        <f>IF($B37=D$3,IF(TRNG!$K35&gt;0,TRNG!$K35*1000000,""),"")</f>
        <v>1500000</v>
      </c>
      <c r="E37" s="57" t="str">
        <f>IF($B37=E$3,IF(TRNG!$K35&gt;0,TRNG!$K35*1000000,""),"")</f>
        <v/>
      </c>
      <c r="F37" s="57" t="str">
        <f>IF($B37=F$3,IF(TRNG!$K35&gt;0,TRNG!$K35*1000000,""),"")</f>
        <v/>
      </c>
      <c r="G37" s="57" t="str">
        <f>IF($B37=G$3,IF(TRNG!$K35&gt;0,TRNG!$K35*1000000,""),"")</f>
        <v/>
      </c>
      <c r="H37" s="57" t="str">
        <f>IF($B37=H$3,IF(TRNG!$K35&gt;0,TRNG!$K35*1000000,""),"")</f>
        <v/>
      </c>
      <c r="I37" s="57" t="str">
        <f>IF($B37=I$3,IF(TRNG!$K35&gt;0,TRNG!$K35*1000000,""),"")</f>
        <v/>
      </c>
      <c r="J37" s="23"/>
      <c r="K37" s="57" t="str">
        <f>IF($B37=K$3,IF(TRNG!$O35&gt;0,TRNG!$O35,""),"")</f>
        <v/>
      </c>
      <c r="L37" s="57" t="str">
        <f>IF($B37=L$3,IF(TRNG!$O35&gt;0,TRNG!$O35,""),"")</f>
        <v/>
      </c>
      <c r="M37" s="57" t="str">
        <f>IF($B37=M$3,IF(TRNG!$O35&gt;0,TRNG!$O35,""),"")</f>
        <v/>
      </c>
      <c r="N37" s="57" t="str">
        <f>IF($B37=N$3,IF(TRNG!$O35&gt;0,TRNG!$O35,""),"")</f>
        <v/>
      </c>
      <c r="O37" s="57" t="str">
        <f>IF($B37=O$3,IF(TRNG!$O35&gt;0,TRNG!$O35,""),"")</f>
        <v/>
      </c>
      <c r="P37" s="57" t="str">
        <f>IF($B37=P$3,IF(TRNG!$O35&gt;0,TRNG!$O35,""),"")</f>
        <v/>
      </c>
      <c r="R37" s="57" t="str">
        <f>IF($B37=R$3,IF(TRNG!$N35&gt;0,TRNG!$N35*1000000,""),"")</f>
        <v/>
      </c>
      <c r="S37" s="57" t="str">
        <f>IF($B37=S$3,IF(TRNG!$N35&gt;0,TRNG!$N35*1000000,""),"")</f>
        <v/>
      </c>
      <c r="T37" s="57" t="str">
        <f>IF($B37=T$3,IF(TRNG!$N35&gt;0,TRNG!$N35*1000000,""),"")</f>
        <v/>
      </c>
      <c r="U37" s="57" t="str">
        <f>IF($B37=U$3,IF(TRNG!$N35&gt;0,TRNG!$N35*1000000,""),"")</f>
        <v/>
      </c>
      <c r="V37" s="57" t="str">
        <f>IF($B37=V$3,IF(TRNG!$N35&gt;0,TRNG!$N35*1000000,""),"")</f>
        <v/>
      </c>
      <c r="W37" s="57" t="str">
        <f>IF($B37=W$3,IF(TRNG!$N35&gt;0,TRNG!$N35*1000000,""),"")</f>
        <v/>
      </c>
      <c r="Y37" s="57" t="str">
        <f>IF($B37=Y$3,IF(TRNG!$P35&gt;0,TRNG!$P35,""),"")</f>
        <v/>
      </c>
      <c r="Z37" s="57" t="str">
        <f>IF($B37=Z$3,IF(TRNG!$P35&gt;0,TRNG!$P35,""),"")</f>
        <v/>
      </c>
      <c r="AA37" s="57" t="str">
        <f>IF($B37=AA$3,IF(TRNG!$P35&gt;0,TRNG!$P35,""),"")</f>
        <v/>
      </c>
      <c r="AB37" s="57" t="str">
        <f>IF($B37=AB$3,IF(TRNG!$P35&gt;0,TRNG!$P35,""),"")</f>
        <v/>
      </c>
      <c r="AC37" s="57" t="str">
        <f>IF($B37=AC$3,IF(TRNG!$P35&gt;0,TRNG!$P35,""),"")</f>
        <v/>
      </c>
      <c r="AD37" s="57" t="str">
        <f>IF($B37=AD$3,IF(TRNG!$P35&gt;0,TRNG!$P35,""),"")</f>
        <v/>
      </c>
      <c r="AG37" s="199">
        <f t="shared" si="0"/>
        <v>0</v>
      </c>
      <c r="AH37" s="199">
        <f t="shared" si="1"/>
        <v>0</v>
      </c>
      <c r="AI37" s="199">
        <f t="shared" si="2"/>
        <v>0</v>
      </c>
      <c r="AJ37" s="199">
        <f t="shared" si="3"/>
        <v>0</v>
      </c>
      <c r="AK37" s="199">
        <f t="shared" si="4"/>
        <v>0</v>
      </c>
      <c r="AL37" s="199">
        <f t="shared" si="5"/>
        <v>0</v>
      </c>
      <c r="AM37" s="199">
        <f t="shared" si="6"/>
        <v>0</v>
      </c>
      <c r="AN37" s="199">
        <f t="shared" si="7"/>
        <v>0</v>
      </c>
      <c r="AO37" s="199">
        <f t="shared" si="8"/>
        <v>0</v>
      </c>
      <c r="AP37" s="199">
        <f t="shared" si="9"/>
        <v>0</v>
      </c>
      <c r="AQ37" s="199">
        <f t="shared" si="10"/>
        <v>0</v>
      </c>
      <c r="AR37" s="199">
        <f t="shared" si="11"/>
        <v>0</v>
      </c>
      <c r="AT37" s="199">
        <f t="shared" si="12"/>
        <v>0</v>
      </c>
      <c r="AU37" s="199">
        <f t="shared" si="13"/>
        <v>0</v>
      </c>
      <c r="AV37" s="199">
        <f t="shared" si="14"/>
        <v>0</v>
      </c>
      <c r="AW37" s="199">
        <f t="shared" si="15"/>
        <v>0</v>
      </c>
      <c r="AX37" s="199">
        <f t="shared" si="16"/>
        <v>0</v>
      </c>
      <c r="AY37" s="199">
        <f t="shared" si="17"/>
        <v>0</v>
      </c>
      <c r="AZ37" s="199">
        <f t="shared" si="18"/>
        <v>0</v>
      </c>
      <c r="BA37" s="199">
        <f t="shared" si="19"/>
        <v>0</v>
      </c>
      <c r="BB37" s="199">
        <f t="shared" si="20"/>
        <v>0</v>
      </c>
      <c r="BC37" s="199">
        <f t="shared" si="21"/>
        <v>0</v>
      </c>
      <c r="BD37" s="199">
        <f t="shared" si="22"/>
        <v>0</v>
      </c>
      <c r="BE37" s="202">
        <f t="shared" si="23"/>
        <v>0</v>
      </c>
      <c r="BF37" s="191"/>
      <c r="BG37" s="199">
        <f t="shared" si="24"/>
        <v>0</v>
      </c>
      <c r="BH37" s="199">
        <f t="shared" si="25"/>
        <v>0</v>
      </c>
      <c r="BI37" s="199">
        <f t="shared" si="26"/>
        <v>0</v>
      </c>
      <c r="BJ37" s="199">
        <f t="shared" si="27"/>
        <v>0</v>
      </c>
      <c r="BK37" s="199">
        <f t="shared" si="28"/>
        <v>0</v>
      </c>
      <c r="BL37" s="199">
        <f t="shared" si="29"/>
        <v>0</v>
      </c>
      <c r="BM37" s="199">
        <f t="shared" si="30"/>
        <v>0</v>
      </c>
      <c r="BN37" s="199">
        <f t="shared" si="31"/>
        <v>0</v>
      </c>
      <c r="BO37" s="199">
        <f t="shared" si="32"/>
        <v>0</v>
      </c>
      <c r="BP37" s="199">
        <f t="shared" si="33"/>
        <v>0</v>
      </c>
      <c r="BQ37" s="199">
        <f t="shared" si="34"/>
        <v>0</v>
      </c>
      <c r="BR37" s="199">
        <f t="shared" si="35"/>
        <v>0</v>
      </c>
      <c r="BS37" s="191"/>
      <c r="BT37" s="199">
        <f t="shared" si="36"/>
        <v>0</v>
      </c>
      <c r="BU37" s="199">
        <f t="shared" si="37"/>
        <v>0</v>
      </c>
      <c r="BV37" s="199">
        <f t="shared" si="38"/>
        <v>0</v>
      </c>
      <c r="BW37" s="199">
        <f t="shared" si="39"/>
        <v>0</v>
      </c>
      <c r="BX37" s="199">
        <f t="shared" si="40"/>
        <v>0</v>
      </c>
      <c r="BY37" s="199">
        <f t="shared" si="41"/>
        <v>0</v>
      </c>
      <c r="BZ37" s="199">
        <f t="shared" si="42"/>
        <v>0</v>
      </c>
      <c r="CA37" s="199">
        <f t="shared" si="43"/>
        <v>0</v>
      </c>
      <c r="CB37" s="199">
        <f t="shared" si="44"/>
        <v>0</v>
      </c>
      <c r="CC37" s="199">
        <f t="shared" si="45"/>
        <v>0</v>
      </c>
      <c r="CD37" s="199">
        <f t="shared" si="46"/>
        <v>0</v>
      </c>
      <c r="CE37" s="199">
        <f t="shared" si="47"/>
        <v>0</v>
      </c>
      <c r="CF37" s="191"/>
      <c r="CG37" s="199">
        <f t="shared" si="48"/>
        <v>0</v>
      </c>
      <c r="CH37" s="199">
        <f t="shared" si="49"/>
        <v>0</v>
      </c>
      <c r="CI37" s="199">
        <f t="shared" si="50"/>
        <v>0</v>
      </c>
      <c r="CJ37" s="199">
        <f t="shared" si="51"/>
        <v>0</v>
      </c>
      <c r="CK37" s="199">
        <f t="shared" si="52"/>
        <v>0</v>
      </c>
      <c r="CL37" s="199">
        <f t="shared" si="53"/>
        <v>0</v>
      </c>
      <c r="CM37" s="199">
        <f t="shared" si="54"/>
        <v>0</v>
      </c>
      <c r="CN37" s="199">
        <f t="shared" si="55"/>
        <v>0</v>
      </c>
      <c r="CO37" s="199">
        <f t="shared" si="56"/>
        <v>0</v>
      </c>
      <c r="CP37" s="199">
        <f t="shared" si="57"/>
        <v>0</v>
      </c>
      <c r="CQ37" s="199">
        <f t="shared" si="58"/>
        <v>0</v>
      </c>
      <c r="CR37" s="199">
        <f t="shared" si="59"/>
        <v>0</v>
      </c>
      <c r="CS37" s="191"/>
      <c r="CT37" s="191"/>
      <c r="CU37" s="191"/>
      <c r="CV37" s="191"/>
      <c r="CW37" s="191"/>
      <c r="CX37" s="191"/>
      <c r="CY37" s="191"/>
    </row>
    <row r="38" spans="1:103" x14ac:dyDescent="0.3">
      <c r="B38" t="str">
        <f>TRNG!F36</f>
        <v>metastability</v>
      </c>
      <c r="C38">
        <f>TRNG!C36</f>
        <v>2022</v>
      </c>
      <c r="D38" s="57" t="str">
        <f>IF($B38=D$3,IF(TRNG!$K36&gt;0,TRNG!$K36*1000000,""),"")</f>
        <v/>
      </c>
      <c r="E38" s="57" t="str">
        <f>IF($B38=E$3,IF(TRNG!$K36&gt;0,TRNG!$K36*1000000,""),"")</f>
        <v/>
      </c>
      <c r="F38" s="57">
        <f>IF($B38=F$3,IF(TRNG!$K36&gt;0,TRNG!$K36*1000000,""),"")</f>
        <v>1300000</v>
      </c>
      <c r="G38" s="57" t="str">
        <f>IF($B38=G$3,IF(TRNG!$K36&gt;0,TRNG!$K36*1000000,""),"")</f>
        <v/>
      </c>
      <c r="H38" s="57" t="str">
        <f>IF($B38=H$3,IF(TRNG!$K36&gt;0,TRNG!$K36*1000000,""),"")</f>
        <v/>
      </c>
      <c r="I38" s="57" t="str">
        <f>IF($B38=I$3,IF(TRNG!$K36&gt;0,TRNG!$K36*1000000,""),"")</f>
        <v/>
      </c>
      <c r="J38" s="23"/>
      <c r="K38" s="57" t="str">
        <f>IF($B38=K$3,IF(TRNG!$O36&gt;0,TRNG!$O36,""),"")</f>
        <v/>
      </c>
      <c r="L38" s="57" t="str">
        <f>IF($B38=L$3,IF(TRNG!$O36&gt;0,TRNG!$O36,""),"")</f>
        <v/>
      </c>
      <c r="M38" s="57">
        <f>IF($B38=M$3,IF(TRNG!$O36&gt;0,TRNG!$O36,""),"")</f>
        <v>316000</v>
      </c>
      <c r="N38" s="57" t="str">
        <f>IF($B38=N$3,IF(TRNG!$O36&gt;0,TRNG!$O36,""),"")</f>
        <v/>
      </c>
      <c r="O38" s="57" t="str">
        <f>IF($B38=O$3,IF(TRNG!$O36&gt;0,TRNG!$O36,""),"")</f>
        <v/>
      </c>
      <c r="P38" s="57" t="str">
        <f>IF($B38=P$3,IF(TRNG!$O36&gt;0,TRNG!$O36,""),"")</f>
        <v/>
      </c>
      <c r="R38" s="57" t="str">
        <f>IF($B38=R$3,IF(TRNG!$N36&gt;0,TRNG!$N36*1000000,""),"")</f>
        <v/>
      </c>
      <c r="S38" s="57" t="str">
        <f>IF($B38=S$3,IF(TRNG!$N36&gt;0,TRNG!$N36*1000000,""),"")</f>
        <v/>
      </c>
      <c r="T38" s="57">
        <f>IF($B38=T$3,IF(TRNG!$N36&gt;0,TRNG!$N36*1000000,""),"")</f>
        <v>5343000000</v>
      </c>
      <c r="U38" s="57" t="str">
        <f>IF($B38=U$3,IF(TRNG!$N36&gt;0,TRNG!$N36*1000000,""),"")</f>
        <v/>
      </c>
      <c r="V38" s="57" t="str">
        <f>IF($B38=V$3,IF(TRNG!$N36&gt;0,TRNG!$N36*1000000,""),"")</f>
        <v/>
      </c>
      <c r="W38" s="57" t="str">
        <f>IF($B38=W$3,IF(TRNG!$N36&gt;0,TRNG!$N36*1000000,""),"")</f>
        <v/>
      </c>
      <c r="Y38" s="57" t="str">
        <f>IF($B38=Y$3,IF(TRNG!$P36&gt;0,TRNG!$P36,""),"")</f>
        <v/>
      </c>
      <c r="Z38" s="57" t="str">
        <f>IF($B38=Z$3,IF(TRNG!$P36&gt;0,TRNG!$P36,""),"")</f>
        <v/>
      </c>
      <c r="AA38" s="57">
        <f>IF($B38=AA$3,IF(TRNG!$P36&gt;0,TRNG!$P36,""),"")</f>
        <v>0.11600000000000001</v>
      </c>
      <c r="AB38" s="57" t="str">
        <f>IF($B38=AB$3,IF(TRNG!$P36&gt;0,TRNG!$P36,""),"")</f>
        <v/>
      </c>
      <c r="AC38" s="57" t="str">
        <f>IF($B38=AC$3,IF(TRNG!$P36&gt;0,TRNG!$P36,""),"")</f>
        <v/>
      </c>
      <c r="AD38" s="57" t="str">
        <f>IF($B38=AD$3,IF(TRNG!$P36&gt;0,TRNG!$P36,""),"")</f>
        <v/>
      </c>
      <c r="AG38" s="199">
        <f t="shared" si="0"/>
        <v>0</v>
      </c>
      <c r="AH38" s="199">
        <f t="shared" si="1"/>
        <v>0</v>
      </c>
      <c r="AI38" s="199">
        <f t="shared" si="2"/>
        <v>0</v>
      </c>
      <c r="AJ38" s="199">
        <f t="shared" si="3"/>
        <v>0</v>
      </c>
      <c r="AK38" s="199">
        <f t="shared" si="4"/>
        <v>1300000</v>
      </c>
      <c r="AL38" s="199">
        <f t="shared" si="5"/>
        <v>316000</v>
      </c>
      <c r="AM38" s="199">
        <f t="shared" si="6"/>
        <v>0</v>
      </c>
      <c r="AN38" s="199">
        <f t="shared" si="7"/>
        <v>0</v>
      </c>
      <c r="AO38" s="199">
        <f t="shared" si="8"/>
        <v>0</v>
      </c>
      <c r="AP38" s="199">
        <f t="shared" si="9"/>
        <v>0</v>
      </c>
      <c r="AQ38" s="199">
        <f t="shared" si="10"/>
        <v>0</v>
      </c>
      <c r="AR38" s="199">
        <f t="shared" si="11"/>
        <v>0</v>
      </c>
      <c r="AT38" s="199">
        <f t="shared" si="12"/>
        <v>0</v>
      </c>
      <c r="AU38" s="199">
        <f t="shared" si="13"/>
        <v>0</v>
      </c>
      <c r="AV38" s="199">
        <f t="shared" si="14"/>
        <v>0</v>
      </c>
      <c r="AW38" s="199">
        <f t="shared" si="15"/>
        <v>0</v>
      </c>
      <c r="AX38" s="199">
        <f t="shared" si="16"/>
        <v>1300000</v>
      </c>
      <c r="AY38" s="199">
        <f t="shared" si="17"/>
        <v>5343000000</v>
      </c>
      <c r="AZ38" s="199">
        <f t="shared" si="18"/>
        <v>0</v>
      </c>
      <c r="BA38" s="199">
        <f t="shared" si="19"/>
        <v>0</v>
      </c>
      <c r="BB38" s="199">
        <f t="shared" si="20"/>
        <v>0</v>
      </c>
      <c r="BC38" s="199">
        <f t="shared" si="21"/>
        <v>0</v>
      </c>
      <c r="BD38" s="199">
        <f t="shared" si="22"/>
        <v>0</v>
      </c>
      <c r="BE38" s="202">
        <f t="shared" si="23"/>
        <v>0</v>
      </c>
      <c r="BF38" s="191"/>
      <c r="BG38" s="199">
        <f t="shared" si="24"/>
        <v>0</v>
      </c>
      <c r="BH38" s="199">
        <f t="shared" si="25"/>
        <v>0</v>
      </c>
      <c r="BI38" s="199">
        <f t="shared" si="26"/>
        <v>0</v>
      </c>
      <c r="BJ38" s="199">
        <f t="shared" si="27"/>
        <v>0</v>
      </c>
      <c r="BK38" s="199">
        <f t="shared" si="28"/>
        <v>1300000</v>
      </c>
      <c r="BL38" s="199">
        <f t="shared" si="29"/>
        <v>0.11600000000000001</v>
      </c>
      <c r="BM38" s="199">
        <f t="shared" si="30"/>
        <v>0</v>
      </c>
      <c r="BN38" s="199">
        <f t="shared" si="31"/>
        <v>0</v>
      </c>
      <c r="BO38" s="199">
        <f t="shared" si="32"/>
        <v>0</v>
      </c>
      <c r="BP38" s="199">
        <f t="shared" si="33"/>
        <v>0</v>
      </c>
      <c r="BQ38" s="199">
        <f t="shared" si="34"/>
        <v>0</v>
      </c>
      <c r="BR38" s="199">
        <f t="shared" si="35"/>
        <v>0</v>
      </c>
      <c r="BS38" s="191"/>
      <c r="BT38" s="199">
        <f t="shared" si="36"/>
        <v>0</v>
      </c>
      <c r="BU38" s="199">
        <f t="shared" si="37"/>
        <v>0</v>
      </c>
      <c r="BV38" s="199">
        <f t="shared" si="38"/>
        <v>0</v>
      </c>
      <c r="BW38" s="199">
        <f t="shared" si="39"/>
        <v>0</v>
      </c>
      <c r="BX38" s="199">
        <f t="shared" si="40"/>
        <v>0.11600000000000001</v>
      </c>
      <c r="BY38" s="199">
        <f t="shared" si="41"/>
        <v>316000</v>
      </c>
      <c r="BZ38" s="199">
        <f t="shared" si="42"/>
        <v>0</v>
      </c>
      <c r="CA38" s="199">
        <f t="shared" si="43"/>
        <v>0</v>
      </c>
      <c r="CB38" s="199">
        <f t="shared" si="44"/>
        <v>0</v>
      </c>
      <c r="CC38" s="199">
        <f t="shared" si="45"/>
        <v>0</v>
      </c>
      <c r="CD38" s="199">
        <f t="shared" si="46"/>
        <v>0</v>
      </c>
      <c r="CE38" s="199">
        <f t="shared" si="47"/>
        <v>0</v>
      </c>
      <c r="CF38" s="191"/>
      <c r="CG38" s="199">
        <f t="shared" si="48"/>
        <v>0</v>
      </c>
      <c r="CH38" s="199">
        <f t="shared" si="49"/>
        <v>0</v>
      </c>
      <c r="CI38" s="199">
        <f t="shared" si="50"/>
        <v>0</v>
      </c>
      <c r="CJ38" s="199">
        <f t="shared" si="51"/>
        <v>0</v>
      </c>
      <c r="CK38" s="199">
        <f t="shared" si="52"/>
        <v>0.11600000000000001</v>
      </c>
      <c r="CL38" s="199">
        <f t="shared" si="53"/>
        <v>5343000000</v>
      </c>
      <c r="CM38" s="199">
        <f t="shared" si="54"/>
        <v>0</v>
      </c>
      <c r="CN38" s="199">
        <f t="shared" si="55"/>
        <v>0</v>
      </c>
      <c r="CO38" s="199">
        <f t="shared" si="56"/>
        <v>0</v>
      </c>
      <c r="CP38" s="199">
        <f t="shared" si="57"/>
        <v>0</v>
      </c>
      <c r="CQ38" s="199">
        <f t="shared" si="58"/>
        <v>0</v>
      </c>
      <c r="CR38" s="199">
        <f t="shared" si="59"/>
        <v>0</v>
      </c>
      <c r="CS38" s="191"/>
      <c r="CT38" s="191"/>
      <c r="CU38" s="191"/>
      <c r="CV38" s="191"/>
      <c r="CW38" s="191"/>
      <c r="CX38" s="191"/>
      <c r="CY38" s="191"/>
    </row>
    <row r="39" spans="1:103" x14ac:dyDescent="0.3">
      <c r="B39" t="str">
        <f>TRNG!F37</f>
        <v>jitter</v>
      </c>
      <c r="C39">
        <f>TRNG!C37</f>
        <v>2022</v>
      </c>
      <c r="D39" s="57" t="str">
        <f>IF($B39=D$3,IF(TRNG!$K37&gt;0,TRNG!$K37*1000000,""),"")</f>
        <v/>
      </c>
      <c r="E39" s="57" t="str">
        <f>IF($B39=E$3,IF(TRNG!$K37&gt;0,TRNG!$K37*1000000,""),"")</f>
        <v/>
      </c>
      <c r="F39" s="57" t="str">
        <f>IF($B39=F$3,IF(TRNG!$K37&gt;0,TRNG!$K37*1000000,""),"")</f>
        <v/>
      </c>
      <c r="G39" s="57" t="str">
        <f>IF($B39=G$3,IF(TRNG!$K37&gt;0,TRNG!$K37*1000000,""),"")</f>
        <v/>
      </c>
      <c r="H39" s="57" t="str">
        <f>IF($B39=H$3,IF(TRNG!$K37&gt;0,TRNG!$K37*1000000,""),"")</f>
        <v/>
      </c>
      <c r="I39" s="57" t="str">
        <f>IF($B39=I$3,IF(TRNG!$K37&gt;0,TRNG!$K37*1000000,""),"")</f>
        <v/>
      </c>
      <c r="J39" s="23"/>
      <c r="K39" s="57" t="str">
        <f>IF($B39=K$3,IF(TRNG!$O37&gt;0,TRNG!$O37,""),"")</f>
        <v/>
      </c>
      <c r="L39" s="57">
        <f>IF($B39=L$3,IF(TRNG!$O37&gt;0,TRNG!$O37,""),"")</f>
        <v>191000</v>
      </c>
      <c r="M39" s="57" t="str">
        <f>IF($B39=M$3,IF(TRNG!$O37&gt;0,TRNG!$O37,""),"")</f>
        <v/>
      </c>
      <c r="N39" s="57" t="str">
        <f>IF($B39=N$3,IF(TRNG!$O37&gt;0,TRNG!$O37,""),"")</f>
        <v/>
      </c>
      <c r="O39" s="57" t="str">
        <f>IF($B39=O$3,IF(TRNG!$O37&gt;0,TRNG!$O37,""),"")</f>
        <v/>
      </c>
      <c r="P39" s="57" t="str">
        <f>IF($B39=P$3,IF(TRNG!$O37&gt;0,TRNG!$O37,""),"")</f>
        <v/>
      </c>
      <c r="R39" s="57" t="str">
        <f>IF($B39=R$3,IF(TRNG!$N37&gt;0,TRNG!$N37*1000000,""),"")</f>
        <v/>
      </c>
      <c r="S39" s="57">
        <f>IF($B39=S$3,IF(TRNG!$N37&gt;0,TRNG!$N37*1000000,""),"")</f>
        <v>305600000</v>
      </c>
      <c r="T39" s="57" t="str">
        <f>IF($B39=T$3,IF(TRNG!$N37&gt;0,TRNG!$N37*1000000,""),"")</f>
        <v/>
      </c>
      <c r="U39" s="57" t="str">
        <f>IF($B39=U$3,IF(TRNG!$N37&gt;0,TRNG!$N37*1000000,""),"")</f>
        <v/>
      </c>
      <c r="V39" s="57" t="str">
        <f>IF($B39=V$3,IF(TRNG!$N37&gt;0,TRNG!$N37*1000000,""),"")</f>
        <v/>
      </c>
      <c r="W39" s="57" t="str">
        <f>IF($B39=W$3,IF(TRNG!$N37&gt;0,TRNG!$N37*1000000,""),"")</f>
        <v/>
      </c>
      <c r="Y39" s="57" t="str">
        <f>IF($B39=Y$3,IF(TRNG!$P37&gt;0,TRNG!$P37,""),"")</f>
        <v/>
      </c>
      <c r="Z39" s="57">
        <f>IF($B39=Z$3,IF(TRNG!$P37&gt;0,TRNG!$P37,""),"")</f>
        <v>10.7</v>
      </c>
      <c r="AA39" s="57" t="str">
        <f>IF($B39=AA$3,IF(TRNG!$P37&gt;0,TRNG!$P37,""),"")</f>
        <v/>
      </c>
      <c r="AB39" s="57" t="str">
        <f>IF($B39=AB$3,IF(TRNG!$P37&gt;0,TRNG!$P37,""),"")</f>
        <v/>
      </c>
      <c r="AC39" s="57" t="str">
        <f>IF($B39=AC$3,IF(TRNG!$P37&gt;0,TRNG!$P37,""),"")</f>
        <v/>
      </c>
      <c r="AD39" s="57" t="str">
        <f>IF($B39=AD$3,IF(TRNG!$P37&gt;0,TRNG!$P37,""),"")</f>
        <v/>
      </c>
      <c r="AG39" s="199">
        <f t="shared" si="0"/>
        <v>0</v>
      </c>
      <c r="AH39" s="199">
        <f t="shared" si="1"/>
        <v>0</v>
      </c>
      <c r="AI39" s="199">
        <f t="shared" si="2"/>
        <v>0</v>
      </c>
      <c r="AJ39" s="199">
        <f t="shared" si="3"/>
        <v>0</v>
      </c>
      <c r="AK39" s="199">
        <f t="shared" si="4"/>
        <v>0</v>
      </c>
      <c r="AL39" s="199">
        <f t="shared" si="5"/>
        <v>0</v>
      </c>
      <c r="AM39" s="199">
        <f t="shared" si="6"/>
        <v>0</v>
      </c>
      <c r="AN39" s="199">
        <f t="shared" si="7"/>
        <v>0</v>
      </c>
      <c r="AO39" s="199">
        <f t="shared" si="8"/>
        <v>0</v>
      </c>
      <c r="AP39" s="199">
        <f t="shared" si="9"/>
        <v>0</v>
      </c>
      <c r="AQ39" s="199">
        <f t="shared" si="10"/>
        <v>0</v>
      </c>
      <c r="AR39" s="199">
        <f t="shared" si="11"/>
        <v>0</v>
      </c>
      <c r="AT39" s="199">
        <f t="shared" si="12"/>
        <v>0</v>
      </c>
      <c r="AU39" s="199">
        <f t="shared" si="13"/>
        <v>0</v>
      </c>
      <c r="AV39" s="199">
        <f t="shared" si="14"/>
        <v>0</v>
      </c>
      <c r="AW39" s="199">
        <f t="shared" si="15"/>
        <v>0</v>
      </c>
      <c r="AX39" s="199">
        <f t="shared" si="16"/>
        <v>0</v>
      </c>
      <c r="AY39" s="199">
        <f t="shared" si="17"/>
        <v>0</v>
      </c>
      <c r="AZ39" s="199">
        <f t="shared" si="18"/>
        <v>0</v>
      </c>
      <c r="BA39" s="199">
        <f t="shared" si="19"/>
        <v>0</v>
      </c>
      <c r="BB39" s="199">
        <f t="shared" si="20"/>
        <v>0</v>
      </c>
      <c r="BC39" s="199">
        <f t="shared" si="21"/>
        <v>0</v>
      </c>
      <c r="BD39" s="199">
        <f t="shared" si="22"/>
        <v>0</v>
      </c>
      <c r="BE39" s="202">
        <f t="shared" si="23"/>
        <v>0</v>
      </c>
      <c r="BF39" s="191"/>
      <c r="BG39" s="199">
        <f t="shared" si="24"/>
        <v>0</v>
      </c>
      <c r="BH39" s="199">
        <f t="shared" si="25"/>
        <v>0</v>
      </c>
      <c r="BI39" s="199">
        <f t="shared" si="26"/>
        <v>0</v>
      </c>
      <c r="BJ39" s="199">
        <f t="shared" si="27"/>
        <v>0</v>
      </c>
      <c r="BK39" s="199">
        <f t="shared" si="28"/>
        <v>0</v>
      </c>
      <c r="BL39" s="199">
        <f t="shared" si="29"/>
        <v>0</v>
      </c>
      <c r="BM39" s="199">
        <f t="shared" si="30"/>
        <v>0</v>
      </c>
      <c r="BN39" s="199">
        <f t="shared" si="31"/>
        <v>0</v>
      </c>
      <c r="BO39" s="199">
        <f t="shared" si="32"/>
        <v>0</v>
      </c>
      <c r="BP39" s="199">
        <f t="shared" si="33"/>
        <v>0</v>
      </c>
      <c r="BQ39" s="199">
        <f t="shared" si="34"/>
        <v>0</v>
      </c>
      <c r="BR39" s="199">
        <f t="shared" si="35"/>
        <v>0</v>
      </c>
      <c r="BS39" s="191"/>
      <c r="BT39" s="199">
        <f t="shared" si="36"/>
        <v>0</v>
      </c>
      <c r="BU39" s="199">
        <f t="shared" si="37"/>
        <v>0</v>
      </c>
      <c r="BV39" s="199">
        <f t="shared" si="38"/>
        <v>10.7</v>
      </c>
      <c r="BW39" s="199">
        <f t="shared" si="39"/>
        <v>191000</v>
      </c>
      <c r="BX39" s="199">
        <f t="shared" si="40"/>
        <v>0</v>
      </c>
      <c r="BY39" s="199">
        <f t="shared" si="41"/>
        <v>0</v>
      </c>
      <c r="BZ39" s="199">
        <f t="shared" si="42"/>
        <v>0</v>
      </c>
      <c r="CA39" s="199">
        <f t="shared" si="43"/>
        <v>0</v>
      </c>
      <c r="CB39" s="199">
        <f t="shared" si="44"/>
        <v>0</v>
      </c>
      <c r="CC39" s="199">
        <f t="shared" si="45"/>
        <v>0</v>
      </c>
      <c r="CD39" s="199">
        <f t="shared" si="46"/>
        <v>0</v>
      </c>
      <c r="CE39" s="199">
        <f t="shared" si="47"/>
        <v>0</v>
      </c>
      <c r="CF39" s="191"/>
      <c r="CG39" s="199">
        <f t="shared" si="48"/>
        <v>0</v>
      </c>
      <c r="CH39" s="199">
        <f t="shared" si="49"/>
        <v>0</v>
      </c>
      <c r="CI39" s="199">
        <f t="shared" si="50"/>
        <v>10.7</v>
      </c>
      <c r="CJ39" s="199">
        <f t="shared" si="51"/>
        <v>305600000</v>
      </c>
      <c r="CK39" s="199">
        <f t="shared" si="52"/>
        <v>0</v>
      </c>
      <c r="CL39" s="199">
        <f t="shared" si="53"/>
        <v>0</v>
      </c>
      <c r="CM39" s="199">
        <f t="shared" si="54"/>
        <v>0</v>
      </c>
      <c r="CN39" s="199">
        <f t="shared" si="55"/>
        <v>0</v>
      </c>
      <c r="CO39" s="199">
        <f t="shared" si="56"/>
        <v>0</v>
      </c>
      <c r="CP39" s="199">
        <f t="shared" si="57"/>
        <v>0</v>
      </c>
      <c r="CQ39" s="199">
        <f t="shared" si="58"/>
        <v>0</v>
      </c>
      <c r="CR39" s="199">
        <f t="shared" si="59"/>
        <v>0</v>
      </c>
      <c r="CS39" s="191"/>
      <c r="CT39" s="191"/>
      <c r="CU39" s="191"/>
      <c r="CV39" s="191"/>
      <c r="CW39" s="191"/>
      <c r="CX39" s="191"/>
      <c r="CY39" s="191"/>
    </row>
    <row r="40" spans="1:103" x14ac:dyDescent="0.3">
      <c r="B40" t="str">
        <f>TRNG!F38</f>
        <v>jitter</v>
      </c>
      <c r="C40">
        <f>TRNG!C38</f>
        <v>2023</v>
      </c>
      <c r="D40" s="57" t="str">
        <f>IF($B40=D$3,IF(TRNG!$K38&gt;0,TRNG!$K38*1000000,""),"")</f>
        <v/>
      </c>
      <c r="E40" s="57">
        <f>IF($B40=E$3,IF(TRNG!$K38&gt;0,TRNG!$K38*1000000,""),"")</f>
        <v>53000000</v>
      </c>
      <c r="F40" s="57" t="str">
        <f>IF($B40=F$3,IF(TRNG!$K38&gt;0,TRNG!$K38*1000000,""),"")</f>
        <v/>
      </c>
      <c r="G40" s="57" t="str">
        <f>IF($B40=G$3,IF(TRNG!$K38&gt;0,TRNG!$K38*1000000,""),"")</f>
        <v/>
      </c>
      <c r="H40" s="57" t="str">
        <f>IF($B40=H$3,IF(TRNG!$K38&gt;0,TRNG!$K38*1000000,""),"")</f>
        <v/>
      </c>
      <c r="I40" s="57" t="str">
        <f>IF($B40=I$3,IF(TRNG!$K38&gt;0,TRNG!$K38*1000000,""),"")</f>
        <v/>
      </c>
      <c r="J40" s="23"/>
      <c r="K40" s="57" t="str">
        <f>IF($B40=K$3,IF(TRNG!$O38&gt;0,TRNG!$O38,""),"")</f>
        <v/>
      </c>
      <c r="L40" s="57">
        <f>IF($B40=L$3,IF(TRNG!$O38&gt;0,TRNG!$O38,""),"")</f>
        <v>340000</v>
      </c>
      <c r="M40" s="57" t="str">
        <f>IF($B40=M$3,IF(TRNG!$O38&gt;0,TRNG!$O38,""),"")</f>
        <v/>
      </c>
      <c r="N40" s="57" t="str">
        <f>IF($B40=N$3,IF(TRNG!$O38&gt;0,TRNG!$O38,""),"")</f>
        <v/>
      </c>
      <c r="O40" s="57" t="str">
        <f>IF($B40=O$3,IF(TRNG!$O38&gt;0,TRNG!$O38,""),"")</f>
        <v/>
      </c>
      <c r="P40" s="57" t="str">
        <f>IF($B40=P$3,IF(TRNG!$O38&gt;0,TRNG!$O38,""),"")</f>
        <v/>
      </c>
      <c r="R40" s="57" t="str">
        <f>IF($B40=R$3,IF(TRNG!$N38&gt;0,TRNG!$N38*1000000,""),"")</f>
        <v/>
      </c>
      <c r="S40" s="57" t="str">
        <f>IF($B40=S$3,IF(TRNG!$N38&gt;0,TRNG!$N38*1000000,""),"")</f>
        <v/>
      </c>
      <c r="T40" s="57" t="str">
        <f>IF($B40=T$3,IF(TRNG!$N38&gt;0,TRNG!$N38*1000000,""),"")</f>
        <v/>
      </c>
      <c r="U40" s="57" t="str">
        <f>IF($B40=U$3,IF(TRNG!$N38&gt;0,TRNG!$N38*1000000,""),"")</f>
        <v/>
      </c>
      <c r="V40" s="57" t="str">
        <f>IF($B40=V$3,IF(TRNG!$N38&gt;0,TRNG!$N38*1000000,""),"")</f>
        <v/>
      </c>
      <c r="W40" s="57" t="str">
        <f>IF($B40=W$3,IF(TRNG!$N38&gt;0,TRNG!$N38*1000000,""),"")</f>
        <v/>
      </c>
      <c r="Y40" s="57" t="str">
        <f>IF($B40=Y$3,IF(TRNG!$P38&gt;0,TRNG!$P38,""),"")</f>
        <v/>
      </c>
      <c r="Z40" s="57">
        <f>IF($B40=Z$3,IF(TRNG!$P38&gt;0,TRNG!$P38,""),"")</f>
        <v>2.5</v>
      </c>
      <c r="AA40" s="57" t="str">
        <f>IF($B40=AA$3,IF(TRNG!$P38&gt;0,TRNG!$P38,""),"")</f>
        <v/>
      </c>
      <c r="AB40" s="57" t="str">
        <f>IF($B40=AB$3,IF(TRNG!$P38&gt;0,TRNG!$P38,""),"")</f>
        <v/>
      </c>
      <c r="AC40" s="57" t="str">
        <f>IF($B40=AC$3,IF(TRNG!$P38&gt;0,TRNG!$P38,""),"")</f>
        <v/>
      </c>
      <c r="AD40" s="57" t="str">
        <f>IF($B40=AD$3,IF(TRNG!$P38&gt;0,TRNG!$P38,""),"")</f>
        <v/>
      </c>
      <c r="AG40" s="199">
        <f t="shared" ref="AG40:AG41" si="60">IF(AND($B40=AG$3,NOT(D40=""),NOT(K40="")),D40,0)</f>
        <v>0</v>
      </c>
      <c r="AH40" s="199">
        <f t="shared" ref="AH40:AH41" si="61">IF(AND($B40=AG$3,NOT(D40=""),NOT(K40="")),K40,0)</f>
        <v>0</v>
      </c>
      <c r="AI40" s="199">
        <f t="shared" ref="AI40:AI41" si="62">IF(AND($B40=AI$3,NOT(E40=""),NOT(L40="")),E40,0)</f>
        <v>53000000</v>
      </c>
      <c r="AJ40" s="199">
        <f t="shared" ref="AJ40:AJ41" si="63">IF(AND($B40=AI$3,NOT(E40=""),NOT(L40="")),L40,0)</f>
        <v>340000</v>
      </c>
      <c r="AK40" s="199">
        <f t="shared" ref="AK40:AK41" si="64">IF(AND($B40=AK$3,NOT(F40=""),NOT(M40="")),F40,0)</f>
        <v>0</v>
      </c>
      <c r="AL40" s="199">
        <f t="shared" ref="AL40:AL41" si="65">IF(AND($B40=AK$3,NOT(F40=""),NOT(M40="")),M40,0)</f>
        <v>0</v>
      </c>
      <c r="AM40" s="199">
        <f t="shared" ref="AM40:AM41" si="66">IF(AND($B40=AM$3,NOT(G40=""),NOT(N40="")),G40,0)</f>
        <v>0</v>
      </c>
      <c r="AN40" s="199">
        <f t="shared" ref="AN40:AN41" si="67">IF(AND($B40=AM$3,NOT(G40=""),NOT(N40="")),N40,0)</f>
        <v>0</v>
      </c>
      <c r="AO40" s="199">
        <f t="shared" ref="AO40:AO41" si="68">IF(AND($B40=AO$3,NOT(H40=""),NOT(O40="")),H40,0)</f>
        <v>0</v>
      </c>
      <c r="AP40" s="199">
        <f t="shared" ref="AP40:AP41" si="69">IF(AND($B40=AO$3,NOT(H40=""),NOT(O40="")),O40,0)</f>
        <v>0</v>
      </c>
      <c r="AQ40" s="199">
        <f t="shared" ref="AQ40:AQ41" si="70">IF(AND($B40=AQ$3,NOT(I40=""),NOT(P40="")),I40,0)</f>
        <v>0</v>
      </c>
      <c r="AR40" s="199">
        <f t="shared" ref="AR40:AR41" si="71">IF(AND($B40=AQ$3,NOT(I40=""),NOT(P40="")),P40,0)</f>
        <v>0</v>
      </c>
      <c r="AT40" s="199">
        <f t="shared" ref="AT40:AT41" si="72">IF(AND($B40=AT$3,NOT(D40=""),NOT(R40="")),D40,0)</f>
        <v>0</v>
      </c>
      <c r="AU40" s="199">
        <f t="shared" ref="AU40:AU41" si="73">IF(AND($B40=AT$3,NOT(D40=""),NOT(R40="")),R40,0)</f>
        <v>0</v>
      </c>
      <c r="AV40" s="199">
        <f t="shared" ref="AV40:AV41" si="74">IF(AND($B40=AV$3,NOT(E40=""),NOT(S40="")),E40,0)</f>
        <v>0</v>
      </c>
      <c r="AW40" s="199">
        <f t="shared" ref="AW40:AW41" si="75">IF(AND($B40=AV$3,NOT(E40=""),NOT(S40="")),S40,0)</f>
        <v>0</v>
      </c>
      <c r="AX40" s="199">
        <f t="shared" ref="AX40:AX41" si="76">IF(AND($B40=AX$3,NOT(F40=""),NOT(T40="")),F40,0)</f>
        <v>0</v>
      </c>
      <c r="AY40" s="199">
        <f t="shared" ref="AY40:AY41" si="77">IF(AND($B40=AX$3,NOT(F40=""),NOT(T40="")),T40,0)</f>
        <v>0</v>
      </c>
      <c r="AZ40" s="199">
        <f t="shared" ref="AZ40:AZ41" si="78">IF(AND($B40=AZ$3,NOT(G40=""),NOT(U40="")),G40,0)</f>
        <v>0</v>
      </c>
      <c r="BA40" s="199">
        <f t="shared" ref="BA40:BA41" si="79">IF(AND($B40=AZ$3,NOT(G40=""),NOT(U40="")),U40,0)</f>
        <v>0</v>
      </c>
      <c r="BB40" s="199">
        <f t="shared" ref="BB40:BB41" si="80">IF(AND($B40=BB$3,NOT(H40=""),NOT(V40="")),H40,0)</f>
        <v>0</v>
      </c>
      <c r="BC40" s="199">
        <f t="shared" ref="BC40:BC41" si="81">IF(AND($B40=BB$3,NOT(H40=""),NOT(V40="")),V40,0)</f>
        <v>0</v>
      </c>
      <c r="BD40" s="199">
        <f t="shared" ref="BD40:BD41" si="82">IF(AND($B40=BD$3,NOT(I40=""),NOT(W40="")),I40,0)</f>
        <v>0</v>
      </c>
      <c r="BE40" s="202">
        <f t="shared" ref="BE40:BE41" si="83">IF(AND($B40=BD$3,NOT(I40=""),NOT(W40="")),W40,0)</f>
        <v>0</v>
      </c>
      <c r="BF40" s="191"/>
      <c r="BG40" s="199">
        <f t="shared" ref="BG40:BG41" si="84">IF(AND($B40=BG$3,NOT(D40=""),NOT(Y40="")),D40,0)</f>
        <v>0</v>
      </c>
      <c r="BH40" s="199">
        <f t="shared" ref="BH40:BH41" si="85">IF(AND($B40=BG$3,NOT(D40=""),NOT(Y40="")),Y40,0)</f>
        <v>0</v>
      </c>
      <c r="BI40" s="199">
        <f t="shared" ref="BI40:BI41" si="86">IF(AND($B40=BI$3,NOT(E40=""),NOT(Z40="")),E40,0)</f>
        <v>53000000</v>
      </c>
      <c r="BJ40" s="199">
        <f t="shared" ref="BJ40:BJ41" si="87">IF(AND($B40=BI$3,NOT(E40=""),NOT(Z40="")),Z40,0)</f>
        <v>2.5</v>
      </c>
      <c r="BK40" s="199">
        <f t="shared" ref="BK40:BK41" si="88">IF(AND($B40=BK$3,NOT(F40=""),NOT(AA40="")),F40,0)</f>
        <v>0</v>
      </c>
      <c r="BL40" s="199">
        <f t="shared" ref="BL40:BL41" si="89">IF(AND($B40=BK$3,NOT(F40=""),NOT(AA40="")),AA40,0)</f>
        <v>0</v>
      </c>
      <c r="BM40" s="199">
        <f t="shared" ref="BM40:BM41" si="90">IF(AND($B40=BM$3,NOT(G40=""),NOT(AB40="")),G40,0)</f>
        <v>0</v>
      </c>
      <c r="BN40" s="199">
        <f t="shared" ref="BN40:BN41" si="91">IF(AND($B40=BM$3,NOT(G40=""),NOT(AB40="")),AB40,0)</f>
        <v>0</v>
      </c>
      <c r="BO40" s="199">
        <f t="shared" ref="BO40:BO41" si="92">IF(AND($B40=BO$3,NOT(H40=""),NOT(AC40="")),H40,0)</f>
        <v>0</v>
      </c>
      <c r="BP40" s="199">
        <f t="shared" ref="BP40:BP41" si="93">IF(AND($B40=BO$3,NOT(H40=""),NOT(AC40="")),AC40,0)</f>
        <v>0</v>
      </c>
      <c r="BQ40" s="199">
        <f t="shared" ref="BQ40:BQ41" si="94">IF(AND($B40=BQ$3,NOT(I40=""),NOT(AD40="")),I40,0)</f>
        <v>0</v>
      </c>
      <c r="BR40" s="199">
        <f t="shared" ref="BR40:BR41" si="95">IF(AND($B40=BQ$3,NOT(I40=""),NOT(AD40="")),AD40,0)</f>
        <v>0</v>
      </c>
      <c r="BS40" s="191"/>
      <c r="BT40" s="199">
        <f t="shared" ref="BT40:BT41" si="96">IF(AND($B40=BT$3,NOT(Y40=""),NOT(K40="")),Y40,0)</f>
        <v>0</v>
      </c>
      <c r="BU40" s="199">
        <f t="shared" ref="BU40:BU41" si="97">IF(AND($B40=BT$3,NOT(Y40=""),NOT(K40="")),K40,0)</f>
        <v>0</v>
      </c>
      <c r="BV40" s="199">
        <f t="shared" ref="BV40:BV41" si="98">IF(AND($B40=BV$3,NOT(Z40=""),NOT(L40="")),Z40,0)</f>
        <v>2.5</v>
      </c>
      <c r="BW40" s="199">
        <f t="shared" ref="BW40:BW41" si="99">IF(AND($B40=BV$3,NOT(Z40=""),NOT(L40="")),L40,0)</f>
        <v>340000</v>
      </c>
      <c r="BX40" s="199">
        <f t="shared" ref="BX40:BX41" si="100">IF(AND($B40=BX$3,NOT(AA40=""),NOT(M40="")),AA40,0)</f>
        <v>0</v>
      </c>
      <c r="BY40" s="199">
        <f t="shared" ref="BY40:BY41" si="101">IF(AND($B40=BX$3,NOT(AA40=""),NOT(M40="")),M40,0)</f>
        <v>0</v>
      </c>
      <c r="BZ40" s="199">
        <f t="shared" ref="BZ40:BZ41" si="102">IF(AND($B40=BZ$3,NOT(AB40=""),NOT(N40="")),AB40,0)</f>
        <v>0</v>
      </c>
      <c r="CA40" s="199">
        <f t="shared" ref="CA40:CA41" si="103">IF(AND($B40=BZ$3,NOT(AB40=""),NOT(N40="")),N40,0)</f>
        <v>0</v>
      </c>
      <c r="CB40" s="199">
        <f t="shared" ref="CB40:CB41" si="104">IF(AND($B40=CB$3,NOT(AC40=""),NOT(O40="")),AC40,0)</f>
        <v>0</v>
      </c>
      <c r="CC40" s="199">
        <f t="shared" ref="CC40:CC41" si="105">IF(AND($B40=CB$3,NOT(AC40=""),NOT(O40="")),O40,0)</f>
        <v>0</v>
      </c>
      <c r="CD40" s="199">
        <f t="shared" ref="CD40:CD41" si="106">IF(AND($B40=CD$3,NOT(AD40=""),NOT(P40="")),AD40,0)</f>
        <v>0</v>
      </c>
      <c r="CE40" s="199">
        <f t="shared" ref="CE40:CE41" si="107">IF(AND($B40=CD$3,NOT(AD40=""),NOT(P40="")),P40,0)</f>
        <v>0</v>
      </c>
      <c r="CF40" s="191"/>
      <c r="CG40" s="199">
        <f t="shared" ref="CG40:CG41" si="108">IF(AND($B40=CG$3,NOT(Y40=""),NOT(R40="")),Y40,0)</f>
        <v>0</v>
      </c>
      <c r="CH40" s="199">
        <f t="shared" ref="CH40:CH41" si="109">IF(AND($B40=CG$3,NOT(Y40=""),NOT(R40="")),R40,0)</f>
        <v>0</v>
      </c>
      <c r="CI40" s="199">
        <f t="shared" ref="CI40:CI41" si="110">IF(AND($B40=CI$3,NOT(Z40=""),NOT(S40="")),Z40,0)</f>
        <v>0</v>
      </c>
      <c r="CJ40" s="199">
        <f t="shared" ref="CJ40:CJ41" si="111">IF(AND($B40=CI$3,NOT(Z40=""),NOT(S40="")),S40,0)</f>
        <v>0</v>
      </c>
      <c r="CK40" s="199">
        <f t="shared" ref="CK40:CK41" si="112">IF(AND($B40=CK$3,NOT(AA40=""),NOT(T40="")),AA40,0)</f>
        <v>0</v>
      </c>
      <c r="CL40" s="199">
        <f t="shared" ref="CL40:CL41" si="113">IF(AND($B40=CK$3,NOT(AA40=""),NOT(T40="")),T40,0)</f>
        <v>0</v>
      </c>
      <c r="CM40" s="199">
        <f t="shared" ref="CM40:CM41" si="114">IF(AND($B40=BZ$3,NOT(AB40=""),NOT(U40="")),AB40,0)</f>
        <v>0</v>
      </c>
      <c r="CN40" s="199">
        <f t="shared" ref="CN40:CN41" si="115">IF(AND($B40=BZ$3,NOT(AB40=""),NOT(U40="")),U40,0)</f>
        <v>0</v>
      </c>
      <c r="CO40" s="199">
        <f t="shared" ref="CO40:CO41" si="116">IF(AND($B40=CO$3,NOT(AC40=""),NOT(V40="")),AC40,0)</f>
        <v>0</v>
      </c>
      <c r="CP40" s="199">
        <f t="shared" ref="CP40:CP41" si="117">IF(AND($B40=CO$3,NOT(AC40=""),NOT(V40="")),V40,0)</f>
        <v>0</v>
      </c>
      <c r="CQ40" s="199">
        <f t="shared" ref="CQ40:CQ41" si="118">IF(AND($B40=CQ$3,NOT(AD40=""),NOT(W40="")),AD40,0)</f>
        <v>0</v>
      </c>
      <c r="CR40" s="199">
        <f t="shared" ref="CR40:CR41" si="119">IF(AND($B40=CQ$3,NOT(AD40=""),NOT(W40="")),W40,0)</f>
        <v>0</v>
      </c>
      <c r="CS40" s="191"/>
      <c r="CT40" s="191"/>
      <c r="CU40" s="191"/>
      <c r="CV40" s="191"/>
      <c r="CW40" s="191"/>
      <c r="CX40" s="191"/>
      <c r="CY40" s="191"/>
    </row>
    <row r="41" spans="1:103" x14ac:dyDescent="0.3">
      <c r="B41" t="str">
        <f>TRNG!F39</f>
        <v>jitter</v>
      </c>
      <c r="C41">
        <f>TRNG!C39</f>
        <v>2023</v>
      </c>
      <c r="D41" s="57" t="str">
        <f>IF($B41=D$3,IF(TRNG!$K39&gt;0,TRNG!$K39*1000000,""),"")</f>
        <v/>
      </c>
      <c r="E41" s="57">
        <f>IF($B41=E$3,IF(TRNG!$K39&gt;0,TRNG!$K39*1000000,""),"")</f>
        <v>100800000</v>
      </c>
      <c r="F41" s="57" t="str">
        <f>IF($B41=F$3,IF(TRNG!$K39&gt;0,TRNG!$K39*1000000,""),"")</f>
        <v/>
      </c>
      <c r="G41" s="57" t="str">
        <f>IF($B41=G$3,IF(TRNG!$K39&gt;0,TRNG!$K39*1000000,""),"")</f>
        <v/>
      </c>
      <c r="H41" s="57" t="str">
        <f>IF($B41=H$3,IF(TRNG!$K39&gt;0,TRNG!$K39*1000000,""),"")</f>
        <v/>
      </c>
      <c r="I41" s="57" t="str">
        <f>IF($B41=I$3,IF(TRNG!$K39&gt;0,TRNG!$K39*1000000,""),"")</f>
        <v/>
      </c>
      <c r="J41" s="23"/>
      <c r="K41" s="57" t="str">
        <f>IF($B41=K$3,IF(TRNG!$O39&gt;0,TRNG!$O39,""),"")</f>
        <v/>
      </c>
      <c r="L41" s="57">
        <f>IF($B41=L$3,IF(TRNG!$O39&gt;0,TRNG!$O39,""),"")</f>
        <v>1810000</v>
      </c>
      <c r="M41" s="57" t="str">
        <f>IF($B41=M$3,IF(TRNG!$O39&gt;0,TRNG!$O39,""),"")</f>
        <v/>
      </c>
      <c r="N41" s="57" t="str">
        <f>IF($B41=N$3,IF(TRNG!$O39&gt;0,TRNG!$O39,""),"")</f>
        <v/>
      </c>
      <c r="O41" s="57" t="str">
        <f>IF($B41=O$3,IF(TRNG!$O39&gt;0,TRNG!$O39,""),"")</f>
        <v/>
      </c>
      <c r="P41" s="57" t="str">
        <f>IF($B41=P$3,IF(TRNG!$O39&gt;0,TRNG!$O39,""),"")</f>
        <v/>
      </c>
      <c r="R41" s="57" t="str">
        <f>IF($B41=R$3,IF(TRNG!$N39&gt;0,TRNG!$N39*1000000,""),"")</f>
        <v/>
      </c>
      <c r="S41" s="57" t="str">
        <f>IF($B41=S$3,IF(TRNG!$N39&gt;0,TRNG!$N39*1000000,""),"")</f>
        <v/>
      </c>
      <c r="T41" s="57" t="str">
        <f>IF($B41=T$3,IF(TRNG!$N39&gt;0,TRNG!$N39*1000000,""),"")</f>
        <v/>
      </c>
      <c r="U41" s="57" t="str">
        <f>IF($B41=U$3,IF(TRNG!$N39&gt;0,TRNG!$N39*1000000,""),"")</f>
        <v/>
      </c>
      <c r="V41" s="57" t="str">
        <f>IF($B41=V$3,IF(TRNG!$N39&gt;0,TRNG!$N39*1000000,""),"")</f>
        <v/>
      </c>
      <c r="W41" s="57" t="str">
        <f>IF($B41=W$3,IF(TRNG!$N39&gt;0,TRNG!$N39*1000000,""),"")</f>
        <v/>
      </c>
      <c r="Y41" s="57" t="str">
        <f>IF($B41=Y$3,IF(TRNG!$P39&gt;0,TRNG!$P39,""),"")</f>
        <v/>
      </c>
      <c r="Z41" s="57">
        <f>IF($B41=Z$3,IF(TRNG!$P39&gt;0,TRNG!$P39,""),"")</f>
        <v>3.67</v>
      </c>
      <c r="AA41" s="57" t="str">
        <f>IF($B41=AA$3,IF(TRNG!$P39&gt;0,TRNG!$P39,""),"")</f>
        <v/>
      </c>
      <c r="AB41" s="57" t="str">
        <f>IF($B41=AB$3,IF(TRNG!$P39&gt;0,TRNG!$P39,""),"")</f>
        <v/>
      </c>
      <c r="AC41" s="57" t="str">
        <f>IF($B41=AC$3,IF(TRNG!$P39&gt;0,TRNG!$P39,""),"")</f>
        <v/>
      </c>
      <c r="AD41" s="57" t="str">
        <f>IF($B41=AD$3,IF(TRNG!$P39&gt;0,TRNG!$P39,""),"")</f>
        <v/>
      </c>
      <c r="AG41" s="199">
        <f t="shared" si="60"/>
        <v>0</v>
      </c>
      <c r="AH41" s="199">
        <f t="shared" si="61"/>
        <v>0</v>
      </c>
      <c r="AI41" s="199">
        <f t="shared" si="62"/>
        <v>100800000</v>
      </c>
      <c r="AJ41" s="199">
        <f t="shared" si="63"/>
        <v>1810000</v>
      </c>
      <c r="AK41" s="199">
        <f t="shared" si="64"/>
        <v>0</v>
      </c>
      <c r="AL41" s="199">
        <f t="shared" si="65"/>
        <v>0</v>
      </c>
      <c r="AM41" s="199">
        <f t="shared" si="66"/>
        <v>0</v>
      </c>
      <c r="AN41" s="199">
        <f t="shared" si="67"/>
        <v>0</v>
      </c>
      <c r="AO41" s="199">
        <f t="shared" si="68"/>
        <v>0</v>
      </c>
      <c r="AP41" s="199">
        <f t="shared" si="69"/>
        <v>0</v>
      </c>
      <c r="AQ41" s="199">
        <f t="shared" si="70"/>
        <v>0</v>
      </c>
      <c r="AR41" s="199">
        <f t="shared" si="71"/>
        <v>0</v>
      </c>
      <c r="AT41" s="199">
        <f t="shared" si="72"/>
        <v>0</v>
      </c>
      <c r="AU41" s="199">
        <f t="shared" si="73"/>
        <v>0</v>
      </c>
      <c r="AV41" s="199">
        <f t="shared" si="74"/>
        <v>0</v>
      </c>
      <c r="AW41" s="199">
        <f t="shared" si="75"/>
        <v>0</v>
      </c>
      <c r="AX41" s="199">
        <f t="shared" si="76"/>
        <v>0</v>
      </c>
      <c r="AY41" s="199">
        <f t="shared" si="77"/>
        <v>0</v>
      </c>
      <c r="AZ41" s="199">
        <f t="shared" si="78"/>
        <v>0</v>
      </c>
      <c r="BA41" s="199">
        <f t="shared" si="79"/>
        <v>0</v>
      </c>
      <c r="BB41" s="199">
        <f t="shared" si="80"/>
        <v>0</v>
      </c>
      <c r="BC41" s="199">
        <f t="shared" si="81"/>
        <v>0</v>
      </c>
      <c r="BD41" s="199">
        <f t="shared" si="82"/>
        <v>0</v>
      </c>
      <c r="BE41" s="202">
        <f t="shared" si="83"/>
        <v>0</v>
      </c>
      <c r="BF41" s="191"/>
      <c r="BG41" s="199">
        <f t="shared" si="84"/>
        <v>0</v>
      </c>
      <c r="BH41" s="199">
        <f t="shared" si="85"/>
        <v>0</v>
      </c>
      <c r="BI41" s="199">
        <f t="shared" si="86"/>
        <v>100800000</v>
      </c>
      <c r="BJ41" s="199">
        <f t="shared" si="87"/>
        <v>3.67</v>
      </c>
      <c r="BK41" s="199">
        <f t="shared" si="88"/>
        <v>0</v>
      </c>
      <c r="BL41" s="199">
        <f t="shared" si="89"/>
        <v>0</v>
      </c>
      <c r="BM41" s="199">
        <f t="shared" si="90"/>
        <v>0</v>
      </c>
      <c r="BN41" s="199">
        <f t="shared" si="91"/>
        <v>0</v>
      </c>
      <c r="BO41" s="199">
        <f t="shared" si="92"/>
        <v>0</v>
      </c>
      <c r="BP41" s="199">
        <f t="shared" si="93"/>
        <v>0</v>
      </c>
      <c r="BQ41" s="199">
        <f t="shared" si="94"/>
        <v>0</v>
      </c>
      <c r="BR41" s="199">
        <f t="shared" si="95"/>
        <v>0</v>
      </c>
      <c r="BS41" s="191"/>
      <c r="BT41" s="199">
        <f t="shared" si="96"/>
        <v>0</v>
      </c>
      <c r="BU41" s="199">
        <f t="shared" si="97"/>
        <v>0</v>
      </c>
      <c r="BV41" s="199">
        <f t="shared" si="98"/>
        <v>3.67</v>
      </c>
      <c r="BW41" s="199">
        <f t="shared" si="99"/>
        <v>1810000</v>
      </c>
      <c r="BX41" s="199">
        <f t="shared" si="100"/>
        <v>0</v>
      </c>
      <c r="BY41" s="199">
        <f t="shared" si="101"/>
        <v>0</v>
      </c>
      <c r="BZ41" s="199">
        <f t="shared" si="102"/>
        <v>0</v>
      </c>
      <c r="CA41" s="199">
        <f t="shared" si="103"/>
        <v>0</v>
      </c>
      <c r="CB41" s="199">
        <f t="shared" si="104"/>
        <v>0</v>
      </c>
      <c r="CC41" s="199">
        <f t="shared" si="105"/>
        <v>0</v>
      </c>
      <c r="CD41" s="199">
        <f t="shared" si="106"/>
        <v>0</v>
      </c>
      <c r="CE41" s="199">
        <f t="shared" si="107"/>
        <v>0</v>
      </c>
      <c r="CF41" s="191"/>
      <c r="CG41" s="199">
        <f t="shared" si="108"/>
        <v>0</v>
      </c>
      <c r="CH41" s="199">
        <f t="shared" si="109"/>
        <v>0</v>
      </c>
      <c r="CI41" s="199">
        <f t="shared" si="110"/>
        <v>0</v>
      </c>
      <c r="CJ41" s="199">
        <f t="shared" si="111"/>
        <v>0</v>
      </c>
      <c r="CK41" s="199">
        <f t="shared" si="112"/>
        <v>0</v>
      </c>
      <c r="CL41" s="199">
        <f t="shared" si="113"/>
        <v>0</v>
      </c>
      <c r="CM41" s="199">
        <f t="shared" si="114"/>
        <v>0</v>
      </c>
      <c r="CN41" s="199">
        <f t="shared" si="115"/>
        <v>0</v>
      </c>
      <c r="CO41" s="199">
        <f t="shared" si="116"/>
        <v>0</v>
      </c>
      <c r="CP41" s="199">
        <f t="shared" si="117"/>
        <v>0</v>
      </c>
      <c r="CQ41" s="199">
        <f t="shared" si="118"/>
        <v>0</v>
      </c>
      <c r="CR41" s="199">
        <f t="shared" si="119"/>
        <v>0</v>
      </c>
      <c r="CS41" s="191"/>
      <c r="CT41" s="191"/>
      <c r="CU41" s="191"/>
      <c r="CV41" s="191"/>
      <c r="CW41" s="191"/>
      <c r="CX41" s="191"/>
      <c r="CY41" s="191"/>
    </row>
    <row r="42" spans="1:103" x14ac:dyDescent="0.3">
      <c r="F42" s="168" t="str">
        <f t="array" ref="F42">IFERROR(INDEX(D42:D77,SMALL(IF(NOT(ISBLANK(D42:D77)),ROW(D42:D77),""),ROW(D42))),"")</f>
        <v/>
      </c>
      <c r="G42" s="192"/>
      <c r="H42" s="192"/>
      <c r="I42" s="192"/>
      <c r="BG42" s="191"/>
      <c r="BH42" s="191"/>
      <c r="BI42" s="191"/>
      <c r="BJ42" s="191"/>
      <c r="BK42" s="191"/>
      <c r="BL42" s="191"/>
      <c r="BM42" s="191"/>
      <c r="BN42" s="191"/>
      <c r="BO42" s="191"/>
      <c r="BP42" s="191"/>
      <c r="BQ42" s="191"/>
      <c r="BR42" s="191"/>
      <c r="BS42" s="191"/>
    </row>
    <row r="43" spans="1:103" x14ac:dyDescent="0.3">
      <c r="A43" s="6"/>
      <c r="B43" s="6"/>
      <c r="C43" s="6"/>
      <c r="E43" s="6"/>
      <c r="F43" s="168" t="str">
        <f t="array" ref="F43">IFERROR(INDEX(D43:D78,SMALL(IF(NOT(ISBLANK(D43:D78)),ROW(D43:D78),""),ROW(D43))),"")</f>
        <v/>
      </c>
      <c r="G43" s="50"/>
      <c r="H43" s="50"/>
      <c r="I43" s="50"/>
      <c r="J43" s="50"/>
      <c r="BG43" s="191"/>
      <c r="BH43" s="191"/>
      <c r="BI43" s="191"/>
      <c r="BJ43" s="191"/>
      <c r="BK43" s="191"/>
      <c r="BL43" s="191"/>
      <c r="BM43" s="191"/>
      <c r="BN43" s="191"/>
      <c r="BO43" s="191"/>
      <c r="BP43" s="191"/>
      <c r="BQ43" s="191"/>
      <c r="BR43" s="191"/>
      <c r="BS43" s="191"/>
    </row>
    <row r="44" spans="1:103" x14ac:dyDescent="0.3">
      <c r="A44" s="6"/>
      <c r="B44" s="6"/>
      <c r="C44" s="6"/>
      <c r="D44" s="6"/>
      <c r="E44" s="6"/>
      <c r="F44" s="168" t="str">
        <f t="array" ref="F44">IFERROR(INDEX(D44:D79,SMALL(IF(NOT(ISBLANK(D44:D79)),ROW(D44:D79),""),ROW(D44))),"")</f>
        <v/>
      </c>
      <c r="G44" s="50"/>
      <c r="H44" s="50"/>
      <c r="I44" s="50"/>
      <c r="J44" s="50"/>
      <c r="K44" s="191"/>
      <c r="BG44" s="191"/>
      <c r="BH44" s="191"/>
      <c r="BI44" s="191"/>
      <c r="BJ44" s="191"/>
      <c r="BK44" s="191"/>
      <c r="BL44" s="191"/>
      <c r="BM44" s="191"/>
      <c r="BN44" s="191"/>
      <c r="BO44" s="191"/>
      <c r="BP44" s="191"/>
      <c r="BQ44" s="191"/>
      <c r="BR44" s="191"/>
      <c r="BS44" s="191"/>
    </row>
    <row r="45" spans="1:103" x14ac:dyDescent="0.3">
      <c r="A45" s="6"/>
      <c r="B45" s="6"/>
      <c r="C45" s="6"/>
      <c r="D45" s="6"/>
      <c r="E45" s="6"/>
      <c r="F45" s="168" t="str">
        <f t="array" ref="F45">IFERROR(INDEX(D45:D80,SMALL(IF(NOT(ISBLANK(D45:D80)),ROW(D45:D80),""),ROW(D45))),"")</f>
        <v/>
      </c>
      <c r="G45" s="50"/>
      <c r="H45" s="50"/>
      <c r="I45" s="50"/>
      <c r="J45" s="50"/>
      <c r="K45" s="191"/>
      <c r="BG45" s="191"/>
      <c r="BH45" s="191"/>
      <c r="BI45" s="191"/>
      <c r="BJ45" s="191"/>
      <c r="BK45" s="191"/>
      <c r="BL45" s="191"/>
      <c r="BM45" s="191"/>
      <c r="BN45" s="191"/>
      <c r="BO45" s="191"/>
      <c r="BP45" s="191"/>
      <c r="BQ45" s="191"/>
      <c r="BR45" s="191"/>
      <c r="BS45" s="191"/>
    </row>
    <row r="46" spans="1:103" x14ac:dyDescent="0.3">
      <c r="A46" s="6"/>
      <c r="B46" s="6"/>
      <c r="C46" s="6"/>
      <c r="D46" s="6"/>
      <c r="E46" s="6"/>
      <c r="F46" s="168" t="str">
        <f t="array" ref="F46">IFERROR(INDEX(D46:D81,SMALL(IF(NOT(ISBLANK(D46:D81)),ROW(D46:D81),""),ROW(D46))),"")</f>
        <v/>
      </c>
      <c r="G46" s="50"/>
      <c r="H46" s="50"/>
      <c r="I46" s="50"/>
      <c r="J46" s="50"/>
      <c r="BG46" s="191"/>
      <c r="BH46" s="191"/>
      <c r="BI46" s="191"/>
      <c r="BJ46" s="191"/>
      <c r="BK46" s="191"/>
      <c r="BL46" s="191"/>
      <c r="BM46" s="191"/>
      <c r="BN46" s="191"/>
      <c r="BO46" s="191"/>
      <c r="BP46" s="191"/>
      <c r="BQ46" s="191"/>
      <c r="BR46" s="191"/>
      <c r="BS46" s="191"/>
    </row>
    <row r="47" spans="1:103" x14ac:dyDescent="0.3">
      <c r="A47" s="6"/>
      <c r="B47" s="6"/>
      <c r="C47" s="6"/>
      <c r="D47" s="6"/>
      <c r="E47" s="6"/>
      <c r="F47" s="6"/>
      <c r="G47" s="50"/>
      <c r="H47" s="50"/>
      <c r="I47" s="50"/>
      <c r="J47" s="6"/>
      <c r="BG47" s="191"/>
      <c r="BH47" s="191"/>
      <c r="BI47" s="191"/>
      <c r="BJ47" s="191"/>
      <c r="BK47" s="191"/>
      <c r="BL47" s="191"/>
      <c r="BM47" s="191"/>
      <c r="BN47" s="191"/>
      <c r="BO47" s="191"/>
      <c r="BP47" s="191"/>
      <c r="BQ47" s="191"/>
      <c r="BR47" s="191"/>
      <c r="BS47" s="191"/>
    </row>
    <row r="48" spans="1:103" x14ac:dyDescent="0.3">
      <c r="A48" s="6"/>
      <c r="B48" s="6"/>
      <c r="C48" s="6"/>
      <c r="D48" s="6"/>
      <c r="E48" s="6"/>
      <c r="F48" s="6"/>
      <c r="G48" s="50"/>
      <c r="H48" s="50"/>
      <c r="I48" s="50"/>
      <c r="J48" s="6"/>
      <c r="BG48" s="191"/>
      <c r="BH48" s="191"/>
      <c r="BI48" s="191"/>
      <c r="BJ48" s="191"/>
      <c r="BK48" s="191"/>
      <c r="BL48" s="191"/>
      <c r="BM48" s="191"/>
      <c r="BN48" s="191"/>
      <c r="BO48" s="191"/>
      <c r="BP48" s="191"/>
      <c r="BQ48" s="191"/>
      <c r="BR48" s="191"/>
      <c r="BS48" s="191"/>
    </row>
    <row r="49" spans="1:71" x14ac:dyDescent="0.3">
      <c r="A49" s="6"/>
      <c r="B49" s="6"/>
      <c r="C49" s="6"/>
      <c r="D49" s="6"/>
      <c r="E49" s="6"/>
      <c r="F49" s="6"/>
      <c r="G49" s="50"/>
      <c r="H49" s="50"/>
      <c r="I49" s="50"/>
      <c r="J49" s="6"/>
      <c r="BG49" s="191"/>
      <c r="BH49" s="191"/>
      <c r="BI49" s="191"/>
      <c r="BJ49" s="191"/>
      <c r="BK49" s="191"/>
      <c r="BL49" s="191"/>
      <c r="BM49" s="191"/>
      <c r="BN49" s="191"/>
      <c r="BO49" s="191"/>
      <c r="BP49" s="191"/>
      <c r="BQ49" s="191"/>
      <c r="BR49" s="191"/>
      <c r="BS49" s="191"/>
    </row>
    <row r="50" spans="1:71" x14ac:dyDescent="0.3">
      <c r="A50" s="6"/>
      <c r="B50" s="6"/>
      <c r="C50" s="6"/>
      <c r="D50" s="6"/>
      <c r="E50" s="6"/>
      <c r="F50" s="6"/>
      <c r="G50" s="50"/>
      <c r="H50" s="50"/>
      <c r="I50" s="50"/>
      <c r="J50" s="6"/>
      <c r="BG50" s="191"/>
      <c r="BH50" s="191"/>
      <c r="BI50" s="191"/>
      <c r="BJ50" s="191"/>
      <c r="BK50" s="191"/>
      <c r="BL50" s="191"/>
      <c r="BM50" s="191"/>
      <c r="BN50" s="191"/>
      <c r="BO50" s="191"/>
      <c r="BP50" s="191"/>
      <c r="BQ50" s="191"/>
      <c r="BR50" s="191"/>
      <c r="BS50" s="191"/>
    </row>
    <row r="51" spans="1:71" x14ac:dyDescent="0.3">
      <c r="A51" s="6"/>
      <c r="B51" s="6"/>
      <c r="C51" s="6"/>
      <c r="D51" s="6"/>
      <c r="E51" s="6"/>
      <c r="F51" s="6"/>
      <c r="G51" s="50"/>
      <c r="H51" s="50"/>
      <c r="I51" s="50"/>
      <c r="J51" s="6"/>
      <c r="BG51" s="191"/>
      <c r="BH51" s="191"/>
      <c r="BI51" s="191"/>
      <c r="BJ51" s="191"/>
      <c r="BK51" s="191"/>
      <c r="BL51" s="191"/>
      <c r="BM51" s="191"/>
      <c r="BN51" s="191"/>
      <c r="BO51" s="191"/>
      <c r="BP51" s="191"/>
      <c r="BQ51" s="191"/>
      <c r="BR51" s="191"/>
      <c r="BS51" s="191"/>
    </row>
    <row r="52" spans="1:71" x14ac:dyDescent="0.3">
      <c r="A52" s="6"/>
      <c r="B52" s="6"/>
      <c r="C52" s="6"/>
      <c r="D52" s="6"/>
      <c r="E52" s="6"/>
      <c r="F52" s="6"/>
      <c r="G52" s="50"/>
      <c r="H52" s="50"/>
      <c r="I52" s="50"/>
      <c r="J52" s="6"/>
      <c r="BG52" s="191"/>
      <c r="BH52" s="191"/>
      <c r="BI52" s="191"/>
      <c r="BJ52" s="191"/>
      <c r="BK52" s="191"/>
      <c r="BL52" s="191"/>
      <c r="BM52" s="191"/>
      <c r="BN52" s="191"/>
      <c r="BO52" s="191"/>
      <c r="BP52" s="191"/>
      <c r="BQ52" s="191"/>
      <c r="BR52" s="191"/>
      <c r="BS52" s="191"/>
    </row>
    <row r="53" spans="1:71" x14ac:dyDescent="0.3">
      <c r="A53" s="6"/>
      <c r="B53" s="6"/>
      <c r="C53" s="6"/>
      <c r="D53" s="6"/>
      <c r="E53" s="6"/>
      <c r="F53" s="6"/>
      <c r="G53" s="50"/>
      <c r="H53" s="50"/>
      <c r="I53" s="50"/>
      <c r="J53" s="6"/>
      <c r="BG53" s="191"/>
      <c r="BH53" s="191"/>
      <c r="BI53" s="191"/>
      <c r="BJ53" s="191"/>
      <c r="BK53" s="191"/>
      <c r="BL53" s="191"/>
      <c r="BM53" s="191"/>
      <c r="BN53" s="191"/>
      <c r="BO53" s="191"/>
      <c r="BP53" s="191"/>
      <c r="BQ53" s="191"/>
      <c r="BR53" s="191"/>
      <c r="BS53" s="191"/>
    </row>
    <row r="54" spans="1:71" x14ac:dyDescent="0.3">
      <c r="A54" s="6"/>
      <c r="B54" s="6"/>
      <c r="C54" s="6"/>
      <c r="D54" s="6"/>
      <c r="E54" s="6"/>
      <c r="F54" s="6"/>
      <c r="G54" s="50"/>
      <c r="H54" s="50"/>
      <c r="I54" s="50"/>
      <c r="J54" s="6"/>
      <c r="BG54" s="191"/>
      <c r="BH54" s="191"/>
      <c r="BI54" s="191"/>
      <c r="BJ54" s="191"/>
      <c r="BK54" s="191"/>
      <c r="BL54" s="191"/>
      <c r="BM54" s="191"/>
      <c r="BN54" s="191"/>
      <c r="BO54" s="191"/>
      <c r="BP54" s="191"/>
      <c r="BQ54" s="191"/>
      <c r="BR54" s="191"/>
      <c r="BS54" s="191"/>
    </row>
    <row r="55" spans="1:71" x14ac:dyDescent="0.3">
      <c r="A55" s="6"/>
      <c r="B55" s="6"/>
      <c r="C55" s="6"/>
      <c r="D55" s="6"/>
      <c r="E55" s="6"/>
      <c r="F55" s="6"/>
      <c r="G55" s="50"/>
      <c r="H55" s="50"/>
      <c r="I55" s="50"/>
      <c r="J55" s="6"/>
      <c r="BG55" s="191"/>
      <c r="BH55" s="191"/>
      <c r="BI55" s="191"/>
      <c r="BJ55" s="191"/>
      <c r="BK55" s="191"/>
      <c r="BL55" s="191"/>
      <c r="BM55" s="191"/>
      <c r="BN55" s="191"/>
      <c r="BO55" s="191"/>
      <c r="BP55" s="191"/>
      <c r="BQ55" s="191"/>
      <c r="BR55" s="191"/>
      <c r="BS55" s="191"/>
    </row>
    <row r="56" spans="1:71" x14ac:dyDescent="0.3">
      <c r="A56" s="6"/>
      <c r="B56" s="6"/>
      <c r="C56" s="6"/>
      <c r="D56" s="6"/>
      <c r="E56" s="6"/>
      <c r="F56" s="6"/>
      <c r="G56" s="50"/>
      <c r="H56" s="50"/>
      <c r="I56" s="50"/>
      <c r="J56" s="6"/>
      <c r="BG56" s="191"/>
      <c r="BH56" s="191"/>
      <c r="BI56" s="191"/>
      <c r="BJ56" s="191"/>
      <c r="BK56" s="191"/>
      <c r="BL56" s="191"/>
      <c r="BM56" s="191"/>
      <c r="BN56" s="191"/>
      <c r="BO56" s="191"/>
      <c r="BP56" s="191"/>
      <c r="BQ56" s="191"/>
      <c r="BR56" s="191"/>
      <c r="BS56" s="191"/>
    </row>
    <row r="57" spans="1:71" x14ac:dyDescent="0.3">
      <c r="A57" s="6"/>
      <c r="B57" s="6"/>
      <c r="C57" s="6"/>
      <c r="D57" s="6"/>
      <c r="E57" s="6"/>
      <c r="F57" s="6"/>
      <c r="G57" s="50"/>
      <c r="H57" s="50"/>
      <c r="I57" s="50"/>
      <c r="J57" s="6"/>
      <c r="BG57" s="191"/>
      <c r="BH57" s="191"/>
      <c r="BI57" s="191"/>
      <c r="BJ57" s="191"/>
      <c r="BK57" s="191"/>
      <c r="BL57" s="191"/>
      <c r="BM57" s="191"/>
      <c r="BN57" s="191"/>
      <c r="BO57" s="191"/>
      <c r="BP57" s="191"/>
      <c r="BQ57" s="191"/>
      <c r="BR57" s="191"/>
      <c r="BS57" s="191"/>
    </row>
    <row r="58" spans="1:71" x14ac:dyDescent="0.3">
      <c r="A58" s="6"/>
      <c r="B58" s="6"/>
      <c r="C58" s="6"/>
      <c r="D58" s="6"/>
      <c r="E58" s="6"/>
      <c r="F58" s="6"/>
      <c r="G58" s="50"/>
      <c r="H58" s="50"/>
      <c r="I58" s="50"/>
      <c r="J58" s="6"/>
      <c r="BG58" s="191"/>
      <c r="BH58" s="191"/>
      <c r="BI58" s="191"/>
      <c r="BJ58" s="191"/>
      <c r="BK58" s="191"/>
      <c r="BL58" s="191"/>
      <c r="BM58" s="191"/>
      <c r="BN58" s="191"/>
      <c r="BO58" s="191"/>
      <c r="BP58" s="191"/>
      <c r="BQ58" s="191"/>
      <c r="BR58" s="191"/>
      <c r="BS58" s="191"/>
    </row>
    <row r="59" spans="1:71" x14ac:dyDescent="0.3">
      <c r="A59" s="6"/>
      <c r="B59" s="6"/>
      <c r="C59" s="6"/>
      <c r="D59" s="6"/>
      <c r="E59" s="6"/>
      <c r="F59" s="6"/>
      <c r="G59" s="50"/>
      <c r="H59" s="50"/>
      <c r="I59" s="50"/>
      <c r="J59" s="6"/>
      <c r="BG59" s="191"/>
      <c r="BH59" s="191"/>
      <c r="BI59" s="191"/>
      <c r="BJ59" s="191"/>
      <c r="BK59" s="191"/>
      <c r="BL59" s="191"/>
      <c r="BM59" s="191"/>
      <c r="BN59" s="191"/>
      <c r="BO59" s="191"/>
      <c r="BP59" s="191"/>
      <c r="BQ59" s="191"/>
      <c r="BR59" s="191"/>
      <c r="BS59" s="191"/>
    </row>
    <row r="60" spans="1:71" x14ac:dyDescent="0.3">
      <c r="A60" s="6"/>
      <c r="B60" s="6"/>
      <c r="C60" s="6"/>
      <c r="D60" s="6"/>
      <c r="E60" s="6"/>
      <c r="F60" s="6"/>
      <c r="G60" s="50"/>
      <c r="H60" s="50"/>
      <c r="I60" s="50"/>
      <c r="J60" s="6"/>
      <c r="BG60" s="191"/>
      <c r="BH60" s="191"/>
      <c r="BI60" s="191"/>
      <c r="BJ60" s="191"/>
      <c r="BK60" s="191"/>
      <c r="BL60" s="191"/>
      <c r="BM60" s="191"/>
      <c r="BN60" s="191"/>
      <c r="BO60" s="191"/>
      <c r="BP60" s="191"/>
      <c r="BQ60" s="191"/>
      <c r="BR60" s="191"/>
      <c r="BS60" s="191"/>
    </row>
    <row r="61" spans="1:71" x14ac:dyDescent="0.3">
      <c r="A61" s="6"/>
      <c r="B61" s="6"/>
      <c r="C61" s="6"/>
      <c r="D61" s="6"/>
      <c r="E61" s="6"/>
      <c r="F61" s="6"/>
      <c r="G61" s="50"/>
      <c r="H61" s="50"/>
      <c r="I61" s="50"/>
      <c r="J61" s="6"/>
      <c r="BG61" s="191"/>
      <c r="BH61" s="191"/>
      <c r="BI61" s="191"/>
      <c r="BJ61" s="191"/>
      <c r="BK61" s="191"/>
      <c r="BL61" s="191"/>
      <c r="BM61" s="191"/>
      <c r="BN61" s="191"/>
      <c r="BO61" s="191"/>
      <c r="BP61" s="191"/>
      <c r="BQ61" s="191"/>
      <c r="BR61" s="191"/>
      <c r="BS61" s="191"/>
    </row>
    <row r="62" spans="1:71" x14ac:dyDescent="0.3">
      <c r="A62" s="6"/>
      <c r="B62" s="6"/>
      <c r="C62" s="6"/>
      <c r="D62" s="6"/>
      <c r="E62" s="6"/>
      <c r="F62" s="6"/>
      <c r="G62" s="50"/>
      <c r="H62" s="50"/>
      <c r="I62" s="50"/>
      <c r="J62" s="6"/>
      <c r="BG62" s="191"/>
      <c r="BH62" s="191"/>
      <c r="BI62" s="191"/>
      <c r="BJ62" s="191"/>
      <c r="BK62" s="191"/>
      <c r="BL62" s="191"/>
      <c r="BM62" s="191"/>
      <c r="BN62" s="191"/>
      <c r="BO62" s="191"/>
      <c r="BP62" s="191"/>
      <c r="BQ62" s="191"/>
      <c r="BR62" s="191"/>
      <c r="BS62" s="191"/>
    </row>
    <row r="63" spans="1:71" x14ac:dyDescent="0.3">
      <c r="A63" s="6"/>
      <c r="B63" s="6"/>
      <c r="C63" s="6"/>
      <c r="D63" s="6"/>
      <c r="E63" s="6"/>
      <c r="F63" s="6"/>
      <c r="G63" s="50"/>
      <c r="H63" s="50"/>
      <c r="I63" s="50"/>
      <c r="J63" s="6"/>
      <c r="BG63" s="191"/>
      <c r="BH63" s="191"/>
      <c r="BI63" s="191"/>
      <c r="BJ63" s="191"/>
      <c r="BK63" s="191"/>
      <c r="BL63" s="191"/>
      <c r="BM63" s="191"/>
      <c r="BN63" s="191"/>
      <c r="BO63" s="191"/>
      <c r="BP63" s="191"/>
      <c r="BQ63" s="191"/>
      <c r="BR63" s="191"/>
      <c r="BS63" s="191"/>
    </row>
    <row r="64" spans="1:71" x14ac:dyDescent="0.3">
      <c r="A64" s="6"/>
      <c r="B64" s="6"/>
      <c r="C64" s="6"/>
      <c r="D64" s="6"/>
      <c r="E64" s="6"/>
      <c r="F64" s="6"/>
      <c r="G64" s="50"/>
      <c r="H64" s="50"/>
      <c r="I64" s="50"/>
      <c r="J64" s="6"/>
      <c r="BG64" s="191"/>
      <c r="BH64" s="191"/>
      <c r="BI64" s="191"/>
      <c r="BJ64" s="191"/>
      <c r="BK64" s="191"/>
      <c r="BL64" s="191"/>
      <c r="BM64" s="191"/>
      <c r="BN64" s="191"/>
      <c r="BO64" s="191"/>
      <c r="BP64" s="191"/>
      <c r="BQ64" s="191"/>
      <c r="BR64" s="191"/>
      <c r="BS64" s="191"/>
    </row>
    <row r="65" spans="1:71" x14ac:dyDescent="0.3">
      <c r="A65" s="6"/>
      <c r="B65" s="6"/>
      <c r="C65" s="6"/>
      <c r="D65" s="6"/>
      <c r="E65" s="6"/>
      <c r="F65" s="6"/>
      <c r="G65" s="50"/>
      <c r="H65" s="50"/>
      <c r="I65" s="50"/>
      <c r="J65" s="6"/>
      <c r="BG65" s="191"/>
      <c r="BH65" s="191"/>
      <c r="BI65" s="191"/>
      <c r="BJ65" s="191"/>
      <c r="BK65" s="191"/>
      <c r="BL65" s="191"/>
      <c r="BM65" s="191"/>
      <c r="BN65" s="191"/>
      <c r="BO65" s="191"/>
      <c r="BP65" s="191"/>
      <c r="BQ65" s="191"/>
      <c r="BR65" s="191"/>
      <c r="BS65" s="191"/>
    </row>
    <row r="66" spans="1:71" x14ac:dyDescent="0.3">
      <c r="A66" s="6"/>
      <c r="B66" s="6"/>
      <c r="C66" s="6"/>
      <c r="D66" s="6"/>
      <c r="E66" s="6"/>
      <c r="F66" s="6"/>
      <c r="G66" s="50"/>
      <c r="H66" s="50"/>
      <c r="I66" s="50"/>
      <c r="J66" s="6"/>
      <c r="BG66" s="191"/>
      <c r="BH66" s="191"/>
      <c r="BI66" s="191"/>
      <c r="BJ66" s="191"/>
      <c r="BK66" s="191"/>
      <c r="BL66" s="191"/>
      <c r="BM66" s="191"/>
      <c r="BN66" s="191"/>
      <c r="BO66" s="191"/>
      <c r="BP66" s="191"/>
      <c r="BQ66" s="191"/>
      <c r="BR66" s="191"/>
      <c r="BS66" s="191"/>
    </row>
    <row r="67" spans="1:71" x14ac:dyDescent="0.3">
      <c r="A67" s="6"/>
      <c r="B67" s="6"/>
      <c r="C67" s="6"/>
      <c r="D67" s="6"/>
      <c r="E67" s="6"/>
      <c r="F67" s="6"/>
      <c r="G67" s="50"/>
      <c r="H67" s="50"/>
      <c r="I67" s="50"/>
      <c r="J67" s="6"/>
      <c r="BG67" s="191"/>
      <c r="BH67" s="191"/>
      <c r="BI67" s="191"/>
      <c r="BJ67" s="191"/>
      <c r="BK67" s="191"/>
      <c r="BL67" s="191"/>
      <c r="BM67" s="191"/>
      <c r="BN67" s="191"/>
      <c r="BO67" s="191"/>
      <c r="BP67" s="191"/>
      <c r="BQ67" s="191"/>
      <c r="BR67" s="191"/>
      <c r="BS67" s="191"/>
    </row>
    <row r="68" spans="1:71" x14ac:dyDescent="0.3">
      <c r="A68" s="6"/>
      <c r="B68" s="6"/>
      <c r="C68" s="6"/>
      <c r="D68" s="6"/>
      <c r="E68" s="6"/>
      <c r="F68" s="6"/>
      <c r="G68" s="50"/>
      <c r="H68" s="50"/>
      <c r="I68" s="50"/>
      <c r="J68" s="6"/>
      <c r="BG68" s="191"/>
      <c r="BH68" s="191"/>
      <c r="BI68" s="191"/>
      <c r="BJ68" s="191"/>
      <c r="BK68" s="191"/>
      <c r="BL68" s="191"/>
      <c r="BM68" s="191"/>
      <c r="BN68" s="191"/>
      <c r="BO68" s="191"/>
      <c r="BP68" s="191"/>
      <c r="BQ68" s="191"/>
      <c r="BR68" s="191"/>
      <c r="BS68" s="191"/>
    </row>
    <row r="69" spans="1:71" x14ac:dyDescent="0.3">
      <c r="A69" s="6"/>
      <c r="B69" s="6"/>
      <c r="C69" s="6"/>
      <c r="D69" s="6"/>
      <c r="E69" s="6"/>
      <c r="F69" s="6"/>
      <c r="G69" s="50"/>
      <c r="H69" s="50"/>
      <c r="I69" s="50"/>
      <c r="J69" s="6"/>
      <c r="BG69" s="191"/>
      <c r="BH69" s="191"/>
      <c r="BI69" s="191"/>
      <c r="BJ69" s="191"/>
      <c r="BK69" s="191"/>
      <c r="BL69" s="191"/>
      <c r="BM69" s="191"/>
      <c r="BN69" s="191"/>
      <c r="BO69" s="191"/>
      <c r="BP69" s="191"/>
      <c r="BQ69" s="191"/>
      <c r="BR69" s="191"/>
      <c r="BS69" s="191"/>
    </row>
    <row r="70" spans="1:71" x14ac:dyDescent="0.3">
      <c r="A70" s="6"/>
      <c r="B70" s="6"/>
      <c r="C70" s="6"/>
      <c r="D70" s="6"/>
      <c r="E70" s="6"/>
      <c r="F70" s="6"/>
      <c r="G70" s="50"/>
      <c r="H70" s="50"/>
      <c r="I70" s="50"/>
      <c r="J70" s="6"/>
      <c r="BG70" s="191"/>
      <c r="BH70" s="191"/>
      <c r="BI70" s="191"/>
      <c r="BJ70" s="191"/>
      <c r="BK70" s="191"/>
      <c r="BL70" s="191"/>
      <c r="BM70" s="191"/>
      <c r="BN70" s="191"/>
      <c r="BO70" s="191"/>
      <c r="BP70" s="191"/>
      <c r="BQ70" s="191"/>
      <c r="BR70" s="191"/>
      <c r="BS70" s="191"/>
    </row>
    <row r="71" spans="1:71" x14ac:dyDescent="0.3">
      <c r="BG71" s="191"/>
      <c r="BH71" s="191"/>
      <c r="BI71" s="191"/>
      <c r="BJ71" s="191"/>
      <c r="BK71" s="191"/>
      <c r="BL71" s="191"/>
      <c r="BM71" s="191"/>
      <c r="BN71" s="191"/>
      <c r="BO71" s="191"/>
      <c r="BP71" s="191"/>
      <c r="BQ71" s="191"/>
      <c r="BR71" s="191"/>
      <c r="BS71" s="191"/>
    </row>
    <row r="72" spans="1:71" x14ac:dyDescent="0.3">
      <c r="BG72" s="191"/>
      <c r="BH72" s="191"/>
      <c r="BI72" s="191"/>
      <c r="BJ72" s="191"/>
      <c r="BK72" s="191"/>
      <c r="BL72" s="191"/>
      <c r="BM72" s="191"/>
      <c r="BN72" s="191"/>
      <c r="BO72" s="191"/>
      <c r="BP72" s="191"/>
      <c r="BQ72" s="191"/>
      <c r="BR72" s="191"/>
      <c r="BS72" s="191"/>
    </row>
    <row r="73" spans="1:71" x14ac:dyDescent="0.3">
      <c r="BG73" s="191"/>
      <c r="BH73" s="191"/>
      <c r="BI73" s="191"/>
      <c r="BJ73" s="191"/>
      <c r="BK73" s="191"/>
      <c r="BL73" s="191"/>
      <c r="BM73" s="191"/>
      <c r="BN73" s="191"/>
      <c r="BO73" s="191"/>
      <c r="BP73" s="191"/>
      <c r="BQ73" s="191"/>
      <c r="BR73" s="191"/>
      <c r="BS73" s="191"/>
    </row>
    <row r="74" spans="1:71" x14ac:dyDescent="0.3">
      <c r="BG74" s="191"/>
      <c r="BH74" s="191"/>
      <c r="BI74" s="191"/>
      <c r="BJ74" s="191"/>
      <c r="BK74" s="191"/>
      <c r="BL74" s="191"/>
      <c r="BM74" s="191"/>
      <c r="BN74" s="191"/>
      <c r="BO74" s="191"/>
      <c r="BP74" s="191"/>
      <c r="BQ74" s="191"/>
      <c r="BR74" s="191"/>
      <c r="BS74" s="191"/>
    </row>
    <row r="75" spans="1:71" x14ac:dyDescent="0.3">
      <c r="BG75" s="191"/>
      <c r="BH75" s="191"/>
      <c r="BI75" s="191"/>
      <c r="BJ75" s="191"/>
      <c r="BK75" s="191"/>
      <c r="BL75" s="191"/>
      <c r="BM75" s="191"/>
      <c r="BN75" s="191"/>
      <c r="BO75" s="191"/>
      <c r="BP75" s="191"/>
      <c r="BQ75" s="191"/>
      <c r="BR75" s="191"/>
      <c r="BS75" s="191"/>
    </row>
    <row r="76" spans="1:71" x14ac:dyDescent="0.3">
      <c r="BG76" s="191"/>
      <c r="BH76" s="191"/>
      <c r="BI76" s="191"/>
      <c r="BJ76" s="191"/>
      <c r="BK76" s="191"/>
      <c r="BL76" s="191"/>
      <c r="BM76" s="191"/>
      <c r="BN76" s="191"/>
      <c r="BO76" s="191"/>
      <c r="BP76" s="191"/>
      <c r="BQ76" s="191"/>
      <c r="BR76" s="191"/>
      <c r="BS76" s="191"/>
    </row>
    <row r="77" spans="1:71" x14ac:dyDescent="0.3">
      <c r="BG77" s="191"/>
      <c r="BH77" s="191"/>
      <c r="BI77" s="191"/>
      <c r="BJ77" s="191"/>
      <c r="BK77" s="191"/>
      <c r="BL77" s="191"/>
      <c r="BM77" s="191"/>
      <c r="BN77" s="191"/>
      <c r="BO77" s="191"/>
      <c r="BP77" s="191"/>
      <c r="BQ77" s="191"/>
      <c r="BR77" s="191"/>
      <c r="BS77" s="191"/>
    </row>
    <row r="78" spans="1:71" x14ac:dyDescent="0.3">
      <c r="BG78" s="191"/>
      <c r="BH78" s="191"/>
      <c r="BI78" s="191"/>
      <c r="BJ78" s="191"/>
      <c r="BK78" s="191"/>
      <c r="BL78" s="191"/>
      <c r="BM78" s="191"/>
      <c r="BN78" s="191"/>
      <c r="BO78" s="191"/>
      <c r="BP78" s="191"/>
      <c r="BQ78" s="191"/>
      <c r="BR78" s="191"/>
      <c r="BS78" s="191"/>
    </row>
    <row r="79" spans="1:71" x14ac:dyDescent="0.3">
      <c r="BG79" s="191"/>
      <c r="BH79" s="191"/>
      <c r="BI79" s="191"/>
      <c r="BJ79" s="191"/>
      <c r="BK79" s="191"/>
      <c r="BL79" s="191"/>
      <c r="BM79" s="191"/>
      <c r="BN79" s="191"/>
      <c r="BO79" s="191"/>
      <c r="BP79" s="191"/>
      <c r="BQ79" s="191"/>
      <c r="BR79" s="191"/>
      <c r="BS79" s="191"/>
    </row>
    <row r="80" spans="1:71" x14ac:dyDescent="0.3">
      <c r="BG80" s="191"/>
      <c r="BH80" s="191"/>
      <c r="BI80" s="191"/>
      <c r="BJ80" s="191"/>
      <c r="BK80" s="191"/>
      <c r="BL80" s="191"/>
      <c r="BM80" s="191"/>
      <c r="BN80" s="191"/>
      <c r="BO80" s="191"/>
      <c r="BP80" s="191"/>
      <c r="BQ80" s="191"/>
      <c r="BR80" s="191"/>
      <c r="BS80" s="191"/>
    </row>
    <row r="81" spans="59:71" x14ac:dyDescent="0.3">
      <c r="BG81" s="191"/>
      <c r="BH81" s="191"/>
      <c r="BI81" s="191"/>
      <c r="BJ81" s="191"/>
      <c r="BK81" s="191"/>
      <c r="BL81" s="191"/>
      <c r="BM81" s="191"/>
      <c r="BN81" s="191"/>
      <c r="BO81" s="191"/>
      <c r="BP81" s="191"/>
      <c r="BQ81" s="191"/>
      <c r="BR81" s="191"/>
      <c r="BS81" s="191"/>
    </row>
    <row r="82" spans="59:71" x14ac:dyDescent="0.3">
      <c r="BG82" s="191"/>
      <c r="BH82" s="191"/>
      <c r="BI82" s="191"/>
      <c r="BJ82" s="191"/>
      <c r="BK82" s="191"/>
      <c r="BL82" s="191"/>
      <c r="BM82" s="191"/>
      <c r="BN82" s="191"/>
      <c r="BO82" s="191"/>
      <c r="BP82" s="191"/>
      <c r="BQ82" s="191"/>
      <c r="BR82" s="191"/>
      <c r="BS82" s="191"/>
    </row>
  </sheetData>
  <sheetProtection algorithmName="SHA-512" hashValue="ObUSL+OQrj4691QfoT57n1JLLD0MBJ4QWIOg2Hro4CgQQzARVLa5+ylW/0qQr1W/HRiFPS7xR4NDRKLcyCDvXg==" saltValue="Rho3gdrMfmaWuu053YW+Pw==" spinCount="100000" sheet="1" formatCells="0" formatColumns="0" formatRows="0" insertColumns="0" insertRows="0" insertHyperlinks="0" deleteColumns="0" deleteRows="0" sort="0" autoFilter="0" pivotTables="0"/>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PUF</vt:lpstr>
      <vt:lpstr>TRNG</vt:lpstr>
      <vt:lpstr>Symmetric ciphers</vt:lpstr>
      <vt:lpstr>PUF DEFINITION</vt:lpstr>
      <vt:lpstr>PUF TRENDS</vt:lpstr>
      <vt:lpstr>TRNG TRENDS</vt:lpstr>
      <vt:lpstr>PUF_Data</vt:lpstr>
      <vt:lpstr>TRNG_Data</vt:lpstr>
      <vt:lpstr>PUF!Print_Area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2015-06-05T18:17:20Z</dcterms:created>
  <dcterms:modified xsi:type="dcterms:W3CDTF">2024-01-24T14:09:06Z</dcterms:modified>
</cp:coreProperties>
</file>